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9" documentId="8_{B7743652-736C-4338-8135-7898164E97BF}" xr6:coauthVersionLast="47" xr6:coauthVersionMax="47" xr10:uidLastSave="{2425FD54-5F82-4E55-BCD9-005CEAAB209B}"/>
  <bookViews>
    <workbookView xWindow="-120" yWindow="-120" windowWidth="29040" windowHeight="15720" xr2:uid="{DB494AEB-586A-4E16-9AD6-2F14977D77D5}"/>
  </bookViews>
  <sheets>
    <sheet name="CONTENTS" sheetId="3" r:id="rId1"/>
    <sheet name="Concepts" sheetId="48" r:id="rId2"/>
    <sheet name="Business &amp; other details" sheetId="4" r:id="rId3"/>
    <sheet name="Assurance requirements by table" sheetId="47" r:id="rId4"/>
    <sheet name="2.1 Expenditure summary" sheetId="5" r:id="rId5"/>
    <sheet name="2.2 Repex" sheetId="6" r:id="rId6"/>
    <sheet name="2.3c Material projects"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3.1 Revenue" sheetId="16" r:id="rId14"/>
    <sheet name="3.2.3 Provisions" sheetId="18" r:id="rId15"/>
    <sheet name="3.5 Physical assets" sheetId="21" r:id="rId16"/>
    <sheet name="3.6 Quality of services" sheetId="22" r:id="rId17"/>
    <sheet name="5.2 Asset Age Profile" sheetId="24" r:id="rId18"/>
    <sheet name="7.5 Large projects" sheetId="34" r:id="rId19"/>
    <sheet name="7.6 PTS Price Reduction" sheetId="44" r:id="rId20"/>
    <sheet name="7.7 Related Party Transactions" sheetId="43" r:id="rId21"/>
    <sheet name="7.9 MIC" sheetId="38" r:id="rId22"/>
    <sheet name="8.5 Opex" sheetId="33" r:id="rId23"/>
    <sheet name="8.6 Ind Asset Base Roll Fwd" sheetId="45" r:id="rId24"/>
    <sheet name="8.8 Revenue Requirements" sheetId="37" r:id="rId25"/>
    <sheet name="9.1 Income - ASA" sheetId="36" r:id="rId26"/>
    <sheet name="9.2 Income - RA" sheetId="41" r:id="rId27"/>
    <sheet name="NSP additional information" sheetId="27" r:id="rId28"/>
    <sheet name="LOS - x &amp; y values" sheetId="46" state="veryHidden" r:id="rId29"/>
    <sheet name="AER CF" sheetId="28" state="veryHidden" r:id="rId30"/>
    <sheet name="AER NRs" sheetId="29" state="veryHidden" r:id="rId31"/>
    <sheet name="AER lookups" sheetId="30" state="veryHidden" r:id="rId32"/>
    <sheet name="AER ETL" sheetId="31" state="veryHidden" r:id="rId33"/>
  </sheets>
  <definedNames>
    <definedName name="_xlnm._FilterDatabase" localSheetId="14" hidden="1">'3.2.3 Provisions'!$C$1:$C$87</definedName>
    <definedName name="abba" hidden="1">{"Ownership",#N/A,FALSE,"Ownership";"Contents",#N/A,FALSE,"Contents"}</definedName>
    <definedName name="anscount" hidden="1">1</definedName>
    <definedName name="ARR">'AER lookups'!$C$23</definedName>
    <definedName name="ARR_Fmt2">'AER lookups'!$D$23</definedName>
    <definedName name="CA">'AER lookups'!$C$24</definedName>
    <definedName name="CA_Fmt2">'AER lookups'!$D$24</definedName>
    <definedName name="Calendar">'AER lookups'!$C$38:$C$87</definedName>
    <definedName name="CESS">'AER lookups'!$C$25</definedName>
    <definedName name="CESS_Fmt2">'AER lookups'!$D$25</definedName>
    <definedName name="CPI">'AER lookups'!$C$26</definedName>
    <definedName name="CPI_Fmt2">'AER lookups'!$D$26</definedName>
    <definedName name="CRCP_final_year">'AER ETL'!$C$48</definedName>
    <definedName name="CRCP_start_year">'AER ETL'!$C$45</definedName>
    <definedName name="CRCP_y1">'AER lookups'!$G$38</definedName>
    <definedName name="CRCP_y10">'AER lookups'!$G$47</definedName>
    <definedName name="CRCP_y11">'AER lookups'!$G$48</definedName>
    <definedName name="CRCP_y12">'AER lookups'!$G$49</definedName>
    <definedName name="CRCP_y13">'AER lookups'!$G$50</definedName>
    <definedName name="CRCP_y14">'AER lookups'!$G$51</definedName>
    <definedName name="CRCP_y15">'AER lookups'!$G$52</definedName>
    <definedName name="CRCP_y16">'AER lookups'!$G$53</definedName>
    <definedName name="CRCP_y2">'AER lookups'!$G$39</definedName>
    <definedName name="CRCP_y3">'AER lookups'!$G$40</definedName>
    <definedName name="CRCP_y4">'AER lookups'!$G$41</definedName>
    <definedName name="CRCP_y5">'AER lookups'!$G$42</definedName>
    <definedName name="CRCP_y6">'AER lookups'!$G$43</definedName>
    <definedName name="CRCP_y7">'AER lookups'!$G$44</definedName>
    <definedName name="CRCP_y8">'AER lookups'!$G$45</definedName>
    <definedName name="CRCP_y9">'AER lookups'!$G$46</definedName>
    <definedName name="CRY">'Business &amp; other details'!$N$19</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summary'!$F$29:$F$34</definedName>
    <definedName name="dms_020102_IE_Values">'2.1 Expenditure summary'!$G$29:$G$34</definedName>
    <definedName name="dms_020102_Rows">'2.1 Expenditure summary'!$C$29:$C$34</definedName>
    <definedName name="dms_020102_Values">'2.1 Expenditure summary'!$E$29:$E$34</definedName>
    <definedName name="dms_020201_01_Exp_INT_Values">'2.2 Repex'!$E$13:$E$26</definedName>
    <definedName name="dms_020201_01_Fail_INT_Values">'2.2 Repex'!$I$13:$I$26</definedName>
    <definedName name="dms_020201_01_INT_Rows">'2.2 Repex'!$C$13:$C$26</definedName>
    <definedName name="dms_020201_01_Repl_INT_Values">'2.2 Repex'!$G$13:$G$26</definedName>
    <definedName name="dms_020303_01_UOM">'AER NRs'!$C$84:$C$90</definedName>
    <definedName name="dms_020401_01_Rows">'2.4 Capex by Asset Class'!$C$13:$C$20</definedName>
    <definedName name="dms_020401_01_Values">'2.4 Capex by Asset Class'!$E$13:$E$20</definedName>
    <definedName name="dms_020401_02_Rows">'2.4 Capex by Asset Class'!$C$13:$C$20</definedName>
    <definedName name="dms_020401_02_Values">'2.4 Capex by Asset Class'!$F$13:$F$20</definedName>
    <definedName name="dms_020401_03_Rows">'2.4 Capex by Asset Class'!$C$13:$C$20</definedName>
    <definedName name="dms_020401_03_Values">'2.4 Capex by Asset Class'!$G$13:$G$20</definedName>
    <definedName name="dms_020401_04_Rows">'2.4 Capex by Asset Class'!$C$13:$C$20</definedName>
    <definedName name="dms_020401_04_Values">'2.4 Capex by Asset Class'!$H$13:$H$20</definedName>
    <definedName name="dms_020401_05_Rows">'2.4 Capex by Asset Class'!$C$13:$C$20</definedName>
    <definedName name="dms_020401_05_Values">'2.4 Capex by Asset Class'!$I$13:$I$20</definedName>
    <definedName name="dms_020401_06_Rows">'2.4 Capex by Asset Class'!$C$25:$C$27</definedName>
    <definedName name="dms_020401_06_Values">'2.4 Capex by Asset Class'!$E$25:$E$27</definedName>
    <definedName name="dms_020402_01_Rows">'2.4 Capex by Asset Class'!$C$37:$C$44</definedName>
    <definedName name="dms_020402_01_Values">'2.4 Capex by Asset Class'!$E$37:$E$44</definedName>
    <definedName name="dms_020402_02_Rows">'2.4 Capex by Asset Class'!$C$37:$C$44</definedName>
    <definedName name="dms_020402_02_Values">'2.4 Capex by Asset Class'!$F$37:$F$44</definedName>
    <definedName name="dms_020402_03_Rows">'2.4 Capex by Asset Class'!$C$37:$C$44</definedName>
    <definedName name="dms_020402_03_Values">'2.4 Capex by Asset Class'!$G$37:$G$44</definedName>
    <definedName name="dms_020402_04_Rows">'2.4 Capex by Asset Class'!$C$37:$C$44</definedName>
    <definedName name="dms_020402_04_Values">'2.4 Capex by Asset Class'!$H$37:$H$44</definedName>
    <definedName name="dms_020402_06_Rows">'2.4 Capex by Asset Class'!$C$49:$C$51</definedName>
    <definedName name="dms_020402_06_Values">'2.4 Capex by Asset Class'!$E$49:$E$51</definedName>
    <definedName name="dms_020501_01_UOM">'AER NRs'!$D$84:$D$96</definedName>
    <definedName name="dms_020501_02_UOM">'AER NRs'!$E$84:$E$92</definedName>
    <definedName name="dms_020501_03_UOM">'AER NRs'!$F$84:$F$93</definedName>
    <definedName name="dms_020501_04_UOM">'AER NRs'!$G$84:$G$92</definedName>
    <definedName name="dms_020502_01_Values">'2.5 Connections'!$E$12:$E$21</definedName>
    <definedName name="dms_020502_02_Values">'2.5 Connections'!$F$12:$F$21</definedName>
    <definedName name="dms_020502_03_Values">'2.5 Connections'!$G$12:$G$21</definedName>
    <definedName name="dms_020502_04_Values">'2.5 Connections'!$H$12:$H$21</definedName>
    <definedName name="dms_020502_Rows">'2.5 Connections'!$C$12:$C$21</definedName>
    <definedName name="dms_020601_01_dev_opex_Rows">'2.6 Non-network'!$C$15</definedName>
    <definedName name="dms_020601_01_dev_opex_Values">'2.6 Non-network'!$E$15</definedName>
    <definedName name="dms_020601_01_non_capex_Rows">'2.6 Non-network'!$C$32:$C$32</definedName>
    <definedName name="dms_020601_01_non_capex_Values">'2.6 Non-network'!$E$32:$E$32</definedName>
    <definedName name="dms_020601_01_non_opex_Rows">'2.6 Non-network'!$C$21:$C$23</definedName>
    <definedName name="dms_020601_01_non_opex_Values">'2.6 Non-network'!$E$21:$E$23</definedName>
    <definedName name="dms_020601_01_opex_Values">'2.6 Non-network'!$E$15:$E$23</definedName>
    <definedName name="dms_020601_01_rec_capex_Rows">'2.6 Non-network'!$C$31:$C$31</definedName>
    <definedName name="dms_020601_01_rec_capex_Values">'2.6 Non-network'!$E$31:$E$31</definedName>
    <definedName name="dms_020601_01_rec_opex_Rows">'2.6 Non-network'!$C$17:$C$19</definedName>
    <definedName name="dms_020601_01_rec_opex_Values">'2.6 Non-network'!$E$17:$E$19</definedName>
    <definedName name="dms_020601_01_Rows">'2.6 Non-network'!$C$15:$C$23</definedName>
    <definedName name="dms_020601_02_capex_Values">'2.6 Non-network'!$E$33:$E$33</definedName>
    <definedName name="dms_020601_02_opex_Values">'2.6 Non-network'!$E$24:$E$24</definedName>
    <definedName name="dms_020601_02_Rows">'2.6 Non-network'!$C$24:$C$24</definedName>
    <definedName name="dms_020601_03_capex_Values">'2.6 Non-network'!$E$34</definedName>
    <definedName name="dms_020601_03_opex_Values">'2.6 Non-network'!$E$25</definedName>
    <definedName name="dms_020601_03_Rows">'2.6 Non-network'!$C$25</definedName>
    <definedName name="dms_020601_04_opex_Values">'2.6 Non-network'!$E$26</definedName>
    <definedName name="dms_020601_04_Rows">'2.6 Non-network'!$C$26</definedName>
    <definedName name="dms_020601_05_capex_Rows">'2.6 Non-network'!$C$35:$C$35</definedName>
    <definedName name="dms_020601_05_capex_Values">'2.6 Non-network'!$E$35:$E$35</definedName>
    <definedName name="dms_020701_02_UOM">'AER NRs'!$I$84:$I$89</definedName>
    <definedName name="dms_020702_01_Rows">'2.7 Vegetation management'!$C$12:$C$17</definedName>
    <definedName name="dms_020702_01_Values">'2.7 Vegetation management'!$E$12:$E$17</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Maintenance'!$F$28</definedName>
    <definedName name="dms_020802_01_RM_Values">'2.8 Maintenance'!$E$28</definedName>
    <definedName name="dms_020802_01_Rows">'2.8 Maintenance'!$C$28</definedName>
    <definedName name="dms_020802_02_NRM_Values">'2.8 Maintenance'!$F$29</definedName>
    <definedName name="dms_020802_02_RM_Values">'2.8 Maintenance'!$E$29</definedName>
    <definedName name="dms_020802_02_Rows">'2.8 Maintenance'!$C$29</definedName>
    <definedName name="dms_020802_03_NRM_Values">'2.8 Maintenance'!$F$30</definedName>
    <definedName name="dms_020802_03_RM_Values">'2.8 Maintenance'!$E$30</definedName>
    <definedName name="dms_020802_03_Rows">'2.8 Maintenance'!$C$30</definedName>
    <definedName name="dms_020802_04_NRM_Values">'2.8 Maintenance'!$F$31</definedName>
    <definedName name="dms_020802_04_RM_Values">'2.8 Maintenance'!$E$31</definedName>
    <definedName name="dms_020802_04_Rows">'2.8 Maintenance'!$C$31</definedName>
    <definedName name="dms_020802_05_NRM_Values">'2.8 Maintenance'!$F$32</definedName>
    <definedName name="dms_020802_05_RM_Values">'2.8 Maintenance'!$E$32</definedName>
    <definedName name="dms_020802_05_Rows">'2.8 Maintenance'!$C$32</definedName>
    <definedName name="dms_021001_01_capex_Values">'2.10 Overheads'!$E$15</definedName>
    <definedName name="dms_021001_01_opex_Values">'2.10 Overheads'!$E$14</definedName>
    <definedName name="dms_021001_02_capex_Values">'2.10 Overheads'!$F$15</definedName>
    <definedName name="dms_021001_02_opex_Values">'2.10 Overheads'!$F$14</definedName>
    <definedName name="dms_021001_03_capex_Values">'2.10 Overheads'!$G$15</definedName>
    <definedName name="dms_021001_03_opex_Values">'2.10 Overheads'!$G$14</definedName>
    <definedName name="dms_021001_04_capex_Values">'2.10 Overheads'!$H$15</definedName>
    <definedName name="dms_021001_04_opex_Values">'2.10 Overheads'!$H$14</definedName>
    <definedName name="dms_021001_05_capex_Values">'2.10 Overheads'!$I$15</definedName>
    <definedName name="dms_021001_05_opex_Values">'2.10 Overheads'!$I$14</definedName>
    <definedName name="dms_021001_06_capex_Values">'2.10 Overheads'!$J$15</definedName>
    <definedName name="dms_021001_06_opex_Values">'2.10 Overheads'!$J$14</definedName>
    <definedName name="dms_021001_07_capex_Values">'2.10 Overheads'!$K$15</definedName>
    <definedName name="dms_021001_07_opex_Values">'2.10 Overheads'!$K$14</definedName>
    <definedName name="dms_021001_08_capex_Values">'2.10 Overheads'!$L$15</definedName>
    <definedName name="dms_021001_08_opex_Values">'2.10 Overheads'!$L$14</definedName>
    <definedName name="dms_021001_09_capex_Values">'2.10 Overheads'!$M$15</definedName>
    <definedName name="dms_021001_09_opex_Values">'2.10 Overheads'!$M$14</definedName>
    <definedName name="dms_021001_capex_Rows">'2.10 Overheads'!$C$15</definedName>
    <definedName name="dms_021001_opex_Rows">'2.10 Overheads'!$C$14</definedName>
    <definedName name="dms_021002_01_opex_Values">'2.10 Overheads'!$E$21:$E$22</definedName>
    <definedName name="dms_021002_02_opex_Values">'2.10 Overheads'!$F$21:$F$22</definedName>
    <definedName name="dms_021002_03_opex_Values">'2.10 Overheads'!$G$21:$G$22</definedName>
    <definedName name="dms_021002_04_opex_Values">'2.10 Overheads'!$H$21:$H$22</definedName>
    <definedName name="dms_021002_05_opex_Values">'2.10 Overheads'!$I$21:$I$22</definedName>
    <definedName name="dms_021002_06_opex_Values">'2.10 Overheads'!$J$21:$J$22</definedName>
    <definedName name="dms_021002_07_opex_Values">'2.10 Overheads'!$K$21:$K$22</definedName>
    <definedName name="dms_021002_08_opex_Values">'2.10 Overheads'!$L$21:$L$22</definedName>
    <definedName name="dms_021002_09_opex_Values">'2.10 Overheads'!$M$21:$M$22</definedName>
    <definedName name="dms_021002_opex_Rows">'2.10 Overheads'!$C$21:$C$22</definedName>
    <definedName name="dms_030103_01_Rows">'3.1 Revenue'!$C$11:$C$16</definedName>
    <definedName name="dms_030103_01_Values">'3.1 Revenue'!$E$11:$E$16</definedName>
    <definedName name="dms_030203_01_Rows">'3.2.3 Provisions'!$C$32</definedName>
    <definedName name="dms_030203_02_Rows">'3.2.3 Provisions'!$C$34:$C$36</definedName>
    <definedName name="dms_030203_03_Rows">'3.2.3 Provisions'!$C$49</definedName>
    <definedName name="dms_030203_P01_01_Values">'3.2.3 Provisions'!$E$32</definedName>
    <definedName name="dms_030203_P01_02_01_Values">'3.2.3 Provisions'!$E$34:$E$36</definedName>
    <definedName name="dms_030203_P01_02_02_Values">'3.2.3 Provisions'!$E$38:$E$40</definedName>
    <definedName name="dms_030203_P01_02_03_Values">'3.2.3 Provisions'!$E$42:$E$44</definedName>
    <definedName name="dms_030203_P01_02_04_Values">'3.2.3 Provisions'!$E$46:$E$48</definedName>
    <definedName name="dms_030203_P01_03_Values">'3.2.3 Provisions'!$E$49</definedName>
    <definedName name="dms_030203_P02_01_Values">'3.2.3 Provisions'!$E$51</definedName>
    <definedName name="dms_030203_P02_02_01_Values">'3.2.3 Provisions'!$E$53:$E$55</definedName>
    <definedName name="dms_030203_P02_02_02_Values">'3.2.3 Provisions'!$E$57:$E$59</definedName>
    <definedName name="dms_030203_P02_02_03_Values">'3.2.3 Provisions'!$E$61:$E$63</definedName>
    <definedName name="dms_030203_P02_02_04_Values">'3.2.3 Provisions'!$E$65:$E$67</definedName>
    <definedName name="dms_030203_P02_03_Values">'3.2.3 Provisions'!$E$68</definedName>
    <definedName name="dms_030203_P03_01_Values">'3.2.3 Provisions'!$E$70</definedName>
    <definedName name="dms_030203_P03_02_01_Values">'3.2.3 Provisions'!$E$72:$E$74</definedName>
    <definedName name="dms_030203_P03_02_02_Values">'3.2.3 Provisions'!$E$76:$E$78</definedName>
    <definedName name="dms_030203_P03_02_03_Values">'3.2.3 Provisions'!$E$80:$E$82</definedName>
    <definedName name="dms_030203_P03_02_04_Values">'3.2.3 Provisions'!$E$84:$E$86</definedName>
    <definedName name="dms_030203_P03_03_Values">'3.2.3 Provisions'!$E$87</definedName>
    <definedName name="dms_030203_Provision_01">'3.2.3 Provisions'!$C$31</definedName>
    <definedName name="dms_030203_Provision_02">'3.2.3 Provisions'!$C$50</definedName>
    <definedName name="dms_030203_Provision_03">'3.2.3 Provisions'!$C$69</definedName>
    <definedName name="dms_030501_01_Rows">'3.5 Physical assets'!$C$14:$C$28</definedName>
    <definedName name="dms_030501_01_Values">'3.5 Physical assets'!$E$14:$E$28</definedName>
    <definedName name="dms_030501_02_Rows">'3.5 Physical assets'!$C$35:$C$49</definedName>
    <definedName name="dms_030501_02_Values">'3.5 Physical assets'!$E$35:$E$49</definedName>
    <definedName name="dms_030501_03_Rows">'3.5 Physical assets'!$C$56:$C$70</definedName>
    <definedName name="dms_030501_03_Values">'3.5 Physical assets'!$E$56:$E$70</definedName>
    <definedName name="dms_030501_04_Rows">'3.5 Physical assets'!$C$76:$C$90</definedName>
    <definedName name="dms_030501_04_Values">'3.5 Physical assets'!$E$76:$E$90</definedName>
    <definedName name="dms_0306_Year">'AER ETL'!$C$87</definedName>
    <definedName name="dms_030601_01_Rows">'3.6 Quality of services'!$C$14:$C$19</definedName>
    <definedName name="dms_030601_01_UOM">'AER NRs'!$C$135:$C$149</definedName>
    <definedName name="dms_030601_01_Values">'3.6 Quality of services'!$E$14:$E$19</definedName>
    <definedName name="dms_030601_02_UOM">'AER NRs'!$D$118:$D$121</definedName>
    <definedName name="dms_030601_04_Rows">'3.6 Quality of services'!$C$21:$C$23</definedName>
    <definedName name="dms_030601_04_Values">'3.6 Quality of services'!$E$21:$E$23</definedName>
    <definedName name="dms_030602_Rows">'3.6 Quality of services'!$C$32</definedName>
    <definedName name="dms_030602_Values">'3.6 Quality of services'!$E$32</definedName>
    <definedName name="dms_030603_Rows">'3.6 Quality of services'!$C$39</definedName>
    <definedName name="dms_030603_Values">'3.6 Quality of services'!$E$39</definedName>
    <definedName name="dms_030605_UOM">'AER NRs'!$C$160:$C$173</definedName>
    <definedName name="dms_03060703_UOM">'AER NRs'!$D$160:$D$164</definedName>
    <definedName name="dms_030701_01_UOM">'AER NRs'!$E$135:$E$142</definedName>
    <definedName name="dms_030702_01_UOM">'AER NRs'!$F$135:$F$138</definedName>
    <definedName name="dms_030703_01_UOM">'AER NRs'!$G$135:$G$136</definedName>
    <definedName name="dms_040102_01_UOM">'AER NRs'!$K$84:$K$87</definedName>
    <definedName name="dms_040102_04_UOM">'AER NRs'!$L$84:$L$87</definedName>
    <definedName name="dms_0502_Inst_Year">'AER ETL'!$C$66</definedName>
    <definedName name="dms_050201_01_INT_Rows">'5.2 Asset Age Profile'!$C$11:$C$19</definedName>
    <definedName name="dms_050201_INT_UOM">'AER NRs'!$D$100:$D$108</definedName>
    <definedName name="dms_050202_01_INT_Values">'5.2 Asset Age Profile'!$F$11:$AI$19</definedName>
    <definedName name="dms_060101_Rows">'AER NRs'!$C$195</definedName>
    <definedName name="dms_060101_StartDateTxt">'AER NRs'!$E$195</definedName>
    <definedName name="dms_060101_StartDateVal">'AER ETL'!$C$108</definedName>
    <definedName name="dms_060102_Rows">'AER NRs'!$D$195</definedName>
    <definedName name="dms_0603_FeederList">'AER NRs'!$D$212:$H$212</definedName>
    <definedName name="dms_060301_Avg_Duration_Sustained_Int_Row">'AER NRs'!$D$191</definedName>
    <definedName name="dms_060301_checkvalue">'AER ETL'!$C$91</definedName>
    <definedName name="dms_060301_CustNo_Affected_Row">'AER NRs'!$C$191</definedName>
    <definedName name="dms_060301_Effect_unplanned_SAIDI_Row">'AER NRs'!$E$191</definedName>
    <definedName name="dms_060301_Effect_unplanned_SAIFI_Row">'AER NRs'!$F$191</definedName>
    <definedName name="dms_060301_LastRow">'AER ETL'!$C$93</definedName>
    <definedName name="dms_060301_MaxRows">'AER ETL'!$C$94</definedName>
    <definedName name="dms_060701_ARR_MaxRows">'AER ETL'!$C$101</definedName>
    <definedName name="dms_060701_Feeder_Header_Lvl4">'AER NRs'!$D$207:$O$207</definedName>
    <definedName name="dms_060701_MaxCols">'AER ETL'!$C$104</definedName>
    <definedName name="dms_060701_MaxRows">'AER ETL'!$C$102</definedName>
    <definedName name="dms_060701_OffsetRows">'AER ETL'!$C$105</definedName>
    <definedName name="dms_060701_Reset_MaxRows">'AER ETL'!$C$100</definedName>
    <definedName name="dms_060701_Rows">'AER NRs'!$D$209:$O$209</definedName>
    <definedName name="dms_060701_StartDateTxt">'AER ETL'!$C$107</definedName>
    <definedName name="dms_060701_StartDateVal">'AER ETL'!$C$108</definedName>
    <definedName name="dms_0608_LastRow">'AER ETL'!$C$113</definedName>
    <definedName name="dms_0608_OffsetRows">'AER ETL'!$C$112</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ETL'!$C$114</definedName>
    <definedName name="dms_070501_Rows">'7.5 Large projects'!$C$13:$C$19</definedName>
    <definedName name="dms_070501_Values">'7.5 Large projects'!$E$13:$E$19</definedName>
    <definedName name="dms_070502_Rows">'7.5 Large projects'!$C$13:$C$19</definedName>
    <definedName name="dms_070502_Values">'7.5 Large projects'!$F$13:$F$19</definedName>
    <definedName name="dms_070601_01_Rows">'7.6 PTS Price Reduction'!$C$11:$C$12</definedName>
    <definedName name="dms_070601_01_Values">'7.6 PTS Price Reduction'!$E$11:$E$12</definedName>
    <definedName name="dms_070601_02_Rows">'7.6 PTS Price Reduction'!$C$14</definedName>
    <definedName name="dms_070601_02_Values">'7.6 PTS Price Reduction'!$E$14</definedName>
    <definedName name="dms_070701_01_Rows">'7.7 Related Party Transactions'!$C$12:$C$16</definedName>
    <definedName name="dms_070701_01_Values">'7.7 Related Party Transactions'!$G$12:$G$16</definedName>
    <definedName name="dms_070701_02_Rows">'7.7 Related Party Transactions'!$C$19:$C$23</definedName>
    <definedName name="dms_070701_02_Values">'7.7 Related Party Transactions'!$G$19:$G$23</definedName>
    <definedName name="dms_070701_02dot_Values">'7.7 Related Party Transactions'!$D$19:$D$23</definedName>
    <definedName name="dms_070701_02pp_Values">'7.7 Related Party Transactions'!$F$19:$F$23</definedName>
    <definedName name="dms_070701_02tos_Values">'7.7 Related Party Transactions'!$E$19:$E$23</definedName>
    <definedName name="dms_070701_dot_Values">'7.7 Related Party Transactions'!$D$12:$D$16</definedName>
    <definedName name="dms_070701_pp_Values">'7.7 Related Party Transactions'!$F$12:$F$16</definedName>
    <definedName name="dms_070701_tos_Values">'7.7 Related Party Transactions'!$E$12:$E$16</definedName>
    <definedName name="dms_070904_01_01_Values">'7.9 MIC'!$E$12:$E$23</definedName>
    <definedName name="dms_070904_01_02_Values">'7.9 MIC'!$F$12:$F$23</definedName>
    <definedName name="dms_070904_01_Rows">'7.9 MIC'!$C$12:$C$23</definedName>
    <definedName name="dms_070904_02_01_Values">'7.9 MIC'!$H$12:$H$23</definedName>
    <definedName name="dms_070904_02_02_Values">'7.9 MIC'!$I$12:$I$23</definedName>
    <definedName name="dms_080501_01_alc_Values">'8.5 Opex'!$E$22:$E$27</definedName>
    <definedName name="dms_080501_01_dir_Values">'8.5 Opex'!$E$13:$E$18</definedName>
    <definedName name="dms_080501_02_alc_Values">'8.5 Opex'!$F$22:$F$27</definedName>
    <definedName name="dms_080501_02_dir_Values">'8.5 Opex'!$F$13:$F$18</definedName>
    <definedName name="dms_080501_03_alc_Values">'8.5 Opex'!$G$22:$G$27</definedName>
    <definedName name="dms_080501_03_dir_Values">'8.5 Opex'!$G$13:$G$18</definedName>
    <definedName name="dms_080501_04_alc_Values">'8.5 Opex'!$H$22:$H$27</definedName>
    <definedName name="dms_080501_04_dir_Values">'8.5 Opex'!$H$13:$H$18</definedName>
    <definedName name="dms_080501_05_alc_Values">'8.5 Opex'!$I$22:$I$27</definedName>
    <definedName name="dms_080501_05_dir_Values">'8.5 Opex'!$I$13:$I$18</definedName>
    <definedName name="dms_080501_alc_Rows">'8.5 Opex'!$C$22:$C$27</definedName>
    <definedName name="dms_080501_dir_Rows">'8.5 Opex'!$C$13:$C$18</definedName>
    <definedName name="dms_080502_06_alc_Values">'8.5 Opex'!$E$42:$E$47</definedName>
    <definedName name="dms_080502_06_dir_Values">'8.5 Opex'!$E$34:$E$39</definedName>
    <definedName name="dms_080502_07_alc_Values">'8.5 Opex'!$F$42:$F$47</definedName>
    <definedName name="dms_080502_07_dir_Values">'8.5 Opex'!$F$34:$F$39</definedName>
    <definedName name="dms_080502_alc_Rows">'8.5 Opex'!$C$42:$C$47</definedName>
    <definedName name="dms_080502_dir_Rows">'8.5 Opex'!$C$34:$C$39</definedName>
    <definedName name="dms_080601_01_Rows">'8.6 Ind Asset Base Roll Fwd'!$C$11:$C$17</definedName>
    <definedName name="dms_080601_01_Values">'8.6 Ind Asset Base Roll Fwd'!$E$11:$E$17</definedName>
    <definedName name="dms_080602_01_Rows">'8.6 Ind Asset Base Roll Fwd'!$C$24:$C$30</definedName>
    <definedName name="dms_080602_01_Values">'8.6 Ind Asset Base Roll Fwd'!$E$24:$E$30</definedName>
    <definedName name="dms_080602_02_Rows">'8.6 Ind Asset Base Roll Fwd'!$C$32:$C$36</definedName>
    <definedName name="dms_080602_02_Values">'8.6 Ind Asset Base Roll Fwd'!$E$32:$E$36</definedName>
    <definedName name="dms_080801_01_01_Rows">'8.8 Revenue Requirements'!$C$11</definedName>
    <definedName name="dms_080801_01_01_Values">'8.8 Revenue Requirements'!$E$11</definedName>
    <definedName name="dms_080801_01_02_Rows">'8.8 Revenue Requirements'!$C$13:$C$20</definedName>
    <definedName name="dms_080801_01_02_Values">'8.8 Revenue Requirements'!$E$13:$E$20</definedName>
    <definedName name="dms_080801_01_03_Rows">'8.8 Revenue Requirements'!$C$21</definedName>
    <definedName name="dms_080801_01_03_Values">'8.8 Revenue Requirements'!$E$21</definedName>
    <definedName name="dms_080801_02_Rows">'8.8 Revenue Requirements'!$C$24:$C$32</definedName>
    <definedName name="dms_080801_02_Values">'8.8 Revenue Requirements'!$E$24:$E$32</definedName>
    <definedName name="dms_080801_03_Rows">'8.8 Revenue Requirements'!$C$35</definedName>
    <definedName name="dms_080801_03_Values">'8.8 Revenue Requirements'!$E$35</definedName>
    <definedName name="dms_080801_04_Rows">'8.8 Revenue Requirements'!$C$38:$C$44</definedName>
    <definedName name="dms_080801_04_Values">'8.8 Revenue Requirements'!$E$38:$E$44</definedName>
    <definedName name="dms_080801_05_01_Rows">'8.8 Revenue Requirements'!$C$47</definedName>
    <definedName name="dms_080801_05_01_Values">'8.8 Revenue Requirements'!$E$47</definedName>
    <definedName name="dms_080801_05_02_Rows">'8.8 Revenue Requirements'!$C$48</definedName>
    <definedName name="dms_080801_05_02_Values">'8.8 Revenue Requirements'!$E$48</definedName>
    <definedName name="dms_080801_05_03_Rows">'8.8 Revenue Requirements'!$C$50:$C$51</definedName>
    <definedName name="dms_080801_05_03_Values">'8.8 Revenue Requirements'!$E$50:$E$51</definedName>
    <definedName name="dms_080801_06_01_Rows">'8.8 Revenue Requirements'!$C$55:$C$56</definedName>
    <definedName name="dms_080801_06_01_Values">'8.8 Revenue Requirements'!$E$55:$E$56</definedName>
    <definedName name="dms_080801_06_02_Rows">'8.8 Revenue Requirements'!$C$58:$C$59</definedName>
    <definedName name="dms_080801_06_02_Values">'8.8 Revenue Requirements'!$E$58:$E$59</definedName>
    <definedName name="dms_090101_01_oexp_Values">'9.1 Income - ASA'!$E$22:$E$27</definedName>
    <definedName name="dms_090101_01_orev_Values">'9.1 Income - ASA'!$E$14:$E$17</definedName>
    <definedName name="dms_090101_01_texp_Values">'9.1 Income - ASA'!$E$19:$E$20</definedName>
    <definedName name="dms_090101_01_trev_Values">'9.1 Income - ASA'!$E$11:$E$12</definedName>
    <definedName name="dms_090101_02_oexp_Values">'9.1 Income - ASA'!$F$22:$F$27</definedName>
    <definedName name="dms_090101_02_orev_Values">'9.1 Income - ASA'!$F$14:$F$17</definedName>
    <definedName name="dms_090101_02_texp_Values">'9.1 Income - ASA'!$F$19:$F$20</definedName>
    <definedName name="dms_090101_02_trev_Values">'9.1 Income - ASA'!$F$11:$F$12</definedName>
    <definedName name="dms_090101_03_oexp_Values">'9.1 Income - ASA'!$G$22:$G$27</definedName>
    <definedName name="dms_090101_03_orev_Values">'9.1 Income - ASA'!$G$14:$G$17</definedName>
    <definedName name="dms_090101_03_texp_Values">'9.1 Income - ASA'!$G$19:$G$20</definedName>
    <definedName name="dms_090101_03_trev_Values">'9.1 Income - ASA'!$G$11:$G$12</definedName>
    <definedName name="dms_090101_04_oexp_Values">'9.1 Income - ASA'!$H$22:$H$27</definedName>
    <definedName name="dms_090101_04_orev_Values">'9.1 Income - ASA'!$H$14:$H$17</definedName>
    <definedName name="dms_090101_04_texp_Values">'9.1 Income - ASA'!$H$19:$H$20</definedName>
    <definedName name="dms_090101_04_trev_Values">'9.1 Income - ASA'!$H$11:$H$12</definedName>
    <definedName name="dms_090101_05_oexp_Values">'9.1 Income - ASA'!$I$22:$I$27</definedName>
    <definedName name="dms_090101_05_orev_Values">'9.1 Income - ASA'!$I$14:$I$17</definedName>
    <definedName name="dms_090101_05_texp_Values">'9.1 Income - ASA'!$I$19:$I$20</definedName>
    <definedName name="dms_090101_05_trev_Values">'9.1 Income - ASA'!$I$11:$I$12</definedName>
    <definedName name="dms_090101_oexp_Rows">'9.1 Income - ASA'!$C$22:$C$27</definedName>
    <definedName name="dms_090101_orev_Rows">'9.1 Income - ASA'!$C$14:$C$17</definedName>
    <definedName name="dms_090101_texp_Rows">'9.1 Income - ASA'!$C$19:$C$20</definedName>
    <definedName name="dms_090101_trev_Rows">'9.1 Income - ASA'!$C$11:$C$12</definedName>
    <definedName name="dms_090102_01_oexp_Values">'9.2 Income - RA'!$E$22:$E$27</definedName>
    <definedName name="dms_090102_01_orev_Values">'9.2 Income - RA'!$E$14:$E$17</definedName>
    <definedName name="dms_090102_01_texp_Values">'9.2 Income - RA'!$E$19:$E$20</definedName>
    <definedName name="dms_090102_01_trev_Values">'9.2 Income - RA'!$E$11:$E$12</definedName>
    <definedName name="dms_090102_02_oexp_Values">'9.2 Income - RA'!$F$22:$F$27</definedName>
    <definedName name="dms_090102_02_orev_Values">'9.2 Income - RA'!$F$14:$F$17</definedName>
    <definedName name="dms_090102_02_texp_Values">'9.2 Income - RA'!$F$19:$F$20</definedName>
    <definedName name="dms_090102_02_trev_Values">'9.2 Income - RA'!$F$11:$F$12</definedName>
    <definedName name="dms_090102_oexp_Rows">'9.2 Income - RA'!$C$22:$C$27</definedName>
    <definedName name="dms_090102_orev_Rows">'9.2 Income - RA'!$C$14:$C$17</definedName>
    <definedName name="dms_090102_texp_Rows">'9.2 Income - RA'!$C$19:$C$20</definedName>
    <definedName name="dms_090102_trev_Rows">'9.2 Income - RA'!$C$11:$C$12</definedName>
    <definedName name="dms_663">'AER ETL'!$C$95</definedName>
    <definedName name="dms_663_List">'AER lookups'!$O$7:$O$15</definedName>
    <definedName name="dms_ABN">'Business &amp; other details'!$N$14</definedName>
    <definedName name="dms_ABN_List">'AER lookups'!$D$7:$D$15</definedName>
    <definedName name="dms_Addr1_List">'AER lookups'!$Q$7:$Q$15</definedName>
    <definedName name="dms_Addr2_List">'AER lookups'!$R$7:$R$15</definedName>
    <definedName name="dms_AdjAllowedRev">'8.8 Revenue Requirements'!$E$22</definedName>
    <definedName name="dms_AIO">'AER ETL'!$C$73</definedName>
    <definedName name="dms_Amendment_Text">'Business &amp; other details'!$N$30</definedName>
    <definedName name="dms_AmendmentReason">'AER ETL'!$C$16</definedName>
    <definedName name="dms_ARR">'AER ETL'!$C$75</definedName>
    <definedName name="dms_Beg">'AER NRs'!$C$176</definedName>
    <definedName name="dms_CA">'AER ETL'!$C$74</definedName>
    <definedName name="dms_Cal_Year_B4_CRY">'AER ETL'!$C$30</definedName>
    <definedName name="dms_CBD_flag">'AER lookups'!$AA$7:$AA$15</definedName>
    <definedName name="dms_CBD_flag_NSP">'AER ETL'!$C$122</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ETL'!$C$26</definedName>
    <definedName name="dms_Confid_status_List">'AER NRs'!$D$6:$D$9</definedName>
    <definedName name="dms_Cost_Allocation_Agreement_List">'AER NRs'!$E$6:$E$8</definedName>
    <definedName name="dms_CRCP_FinalYear_Result">'AER ETL'!$C$81</definedName>
    <definedName name="dms_CRCP_start_row">'AER ETL'!$C$41</definedName>
    <definedName name="dms_CRCPlength_List">'AER lookups'!$L$7:$L$15</definedName>
    <definedName name="dms_CRCPlength_Num">'AER ETL'!$C$70</definedName>
    <definedName name="dms_CRY_RYE">'AER ETL'!$C$54</definedName>
    <definedName name="dms_CRY_start_row">'AER ETL'!$C$39</definedName>
    <definedName name="dms_DataQuality">'AER ETL'!$C$20</definedName>
    <definedName name="dms_DataQuality_List">'AER NRs'!$C$6:$C$9</definedName>
    <definedName name="dms_Defined_Names_Used">'AER ETL'!$C$3</definedName>
    <definedName name="dms_DeterminationRef">'AER ETL'!$C$120</definedName>
    <definedName name="dms_DeterminationRef_List">'AER lookups'!$P$7:$P$15</definedName>
    <definedName name="dms_DISCARD">'AER ETL'!$C$129</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ETL'!$C$25</definedName>
    <definedName name="dms_DollarReal">'AER ETL'!$C$32</definedName>
    <definedName name="dms_DollarReal_Prev">'AER ETL'!$C$33</definedName>
    <definedName name="dms_DollarReal_year">'AER ETL'!$C$52</definedName>
    <definedName name="dms_DQ_1">'AER ETL'!$C$14</definedName>
    <definedName name="dms_DQ_2">'AER ETL'!$C$15</definedName>
    <definedName name="dms_EB">'AER ETL'!$C$73</definedName>
    <definedName name="dms_EB_RAB_PIT">'AER NRs'!$C$152:$C$157</definedName>
    <definedName name="dms_End">'AER NRs'!$E$176</definedName>
    <definedName name="dms_FeederName_1">'AER lookups'!$AG$7:$AG$15</definedName>
    <definedName name="dms_FeederName_2">'AER lookups'!$AH$7:$AH$15</definedName>
    <definedName name="dms_FeederName_3">'AER lookups'!$AI$7:$AI$15</definedName>
    <definedName name="dms_FeederName_4">'AER lookups'!$AJ$7:$AJ$15</definedName>
    <definedName name="dms_FeederName_5">'AER lookups'!$AK$7:$AK$15</definedName>
    <definedName name="dms_FeederType_5_flag">'AER lookups'!$AE$7:$AE$15</definedName>
    <definedName name="dms_FifthFeeder_flag_NSP">'AER ETL'!$C$126</definedName>
    <definedName name="dms_FormControl">'AER ETL'!$C$35</definedName>
    <definedName name="dms_FormControl_Choices">'AER NRs'!$D$14:$D$16</definedName>
    <definedName name="dms_FormControl_List">'AER lookups'!$H$7:$H$15</definedName>
    <definedName name="dms_FRCP_start_row">'AER ETL'!$C$40</definedName>
    <definedName name="dms_FRCPlength_List">'AER lookups'!$M$7:$M$15</definedName>
    <definedName name="dms_FRCPlength_Num">'AER ETL'!$C$71</definedName>
    <definedName name="dms_Header_Span">'AER ETL'!$C$61</definedName>
    <definedName name="dms_Jurisdiction">'AER ETL'!$C$27</definedName>
    <definedName name="dms_JurisdictionList">'AER lookups'!$E$7:$E$15</definedName>
    <definedName name="dms_LeapYear_Result">'AER ETL'!$C$99</definedName>
    <definedName name="dms_LongRural_flag">'AER lookups'!$AD$7:$AD$15</definedName>
    <definedName name="dms_LongRural_flag_NSP">'AER ETL'!$C$125</definedName>
    <definedName name="dms_MAIFI_flag_List">'AER lookups'!$AF$7:$AF$15</definedName>
    <definedName name="dms_Mid">'AER NRs'!$D$176</definedName>
    <definedName name="dms_Model">'AER ETL'!$C$12</definedName>
    <definedName name="dms_Model_List">'AER lookups'!$B$23:$B$33</definedName>
    <definedName name="dms_Model_Name_Format1">'AER lookups'!$C$23:$C$33</definedName>
    <definedName name="dms_Model_Span">'AER ETL'!$C$57</definedName>
    <definedName name="dms_Model_Span_List">'AER lookups'!$E$23:$E$33</definedName>
    <definedName name="dms_Multi_RYE_flag">'AER ETL'!$C$136</definedName>
    <definedName name="dms_MultiYear_ABC_RIN">'AER ETL'!$C$83</definedName>
    <definedName name="dms_MultiYear_FinalYear_Result">'AER ETL'!$C$81</definedName>
    <definedName name="dms_MultiYear_Flag">'AER ETL'!$C$64</definedName>
    <definedName name="dms_MultiYear_ResponseFlag">'AER ETL'!$C$63</definedName>
    <definedName name="dms_N0205_AssetType">'AER NRs'!$N$32:$N$42</definedName>
    <definedName name="dms_PAddr1_List">'AER lookups'!$V$7:$V$15</definedName>
    <definedName name="dms_PAddr2_List">'AER lookups'!$W$7:$W$15</definedName>
    <definedName name="dms_Partial">'AER ETL'!$C$132</definedName>
    <definedName name="dms_PostCode_List">'AER lookups'!$U$7:$U$15</definedName>
    <definedName name="dms_PPostCode_List">'AER lookups'!$Z$7:$Z$15</definedName>
    <definedName name="dms_PRCP_start_row">'AER ETL'!$C$42</definedName>
    <definedName name="dms_PRCPlength_List">'AER lookups'!$N$7:$N$15</definedName>
    <definedName name="dms_PRCPlength_Num">'AER ETL'!$C$69</definedName>
    <definedName name="dms_Previous_DollarReal_year">'AER ETL'!$C$53</definedName>
    <definedName name="dms_PState_List">'AER lookups'!$Y$7:$Y$15</definedName>
    <definedName name="dms_PSuburb_List">'AER lookups'!$X$7:$X$15</definedName>
    <definedName name="dms_PTRM_RAB_PIT">'AER NRs'!$C$179:$C$183</definedName>
    <definedName name="dms_PTRM_TAB_PIT">'AER NRs'!$D$179:$D$182</definedName>
    <definedName name="dms_Public_Lighting">'AER ETL'!$C$121</definedName>
    <definedName name="dms_Public_Lighting_List">'AER lookups'!$AL$7:$AL$15</definedName>
    <definedName name="dms_Reason_Interruption">'AER NRs'!$I$32:$I$47</definedName>
    <definedName name="dms_Reset_final_year">'AER ETL'!$C$50</definedName>
    <definedName name="dms_Reset_RYE">'AER ETL'!$C$55</definedName>
    <definedName name="dms_Reset_Span">'AER ETL'!$C$59</definedName>
    <definedName name="dms_revearn_Row">'8.8 Revenue Requirements'!$C$45</definedName>
    <definedName name="dms_RevenueEarned">'8.8 Revenue Requirements'!$E$45</definedName>
    <definedName name="dms_RPT">'AER ETL'!$C$24</definedName>
    <definedName name="dms_RPT_List">'AER lookups'!$I$7:$I$15</definedName>
    <definedName name="dms_RPTMonth">'AER ETL'!$C$31</definedName>
    <definedName name="dms_RPTMonth_List">'AER lookups'!$J$7:$J$15</definedName>
    <definedName name="dms_RYE">'AER ETL'!$C$23</definedName>
    <definedName name="dms_RYE_01">'AER ETL'!$C$138</definedName>
    <definedName name="dms_RYE_02">'AER ETL'!$C$139</definedName>
    <definedName name="dms_RYE_03">'AER ETL'!$C$140</definedName>
    <definedName name="dms_RYE_04">'AER ETL'!$C$141</definedName>
    <definedName name="dms_RYE_05">'AER ETL'!$C$142</definedName>
    <definedName name="dms_RYE_06">'AER ETL'!$C$143</definedName>
    <definedName name="dms_RYE_07">'AER ETL'!$C$144</definedName>
    <definedName name="dms_RYE_08">'AER ETL'!$C$145</definedName>
    <definedName name="dms_RYE_09">'AER ETL'!$C$146</definedName>
    <definedName name="dms_RYE_result">'AER ETL'!$C$58</definedName>
    <definedName name="dms_RYE_start_row">'AER ETL'!$C$43</definedName>
    <definedName name="dms_S140101_UOM">'AER NRs'!$M$84:$M$87</definedName>
    <definedName name="dms_S140102_UOM">'AER NRs'!$N$84:$N$87</definedName>
    <definedName name="dms_S140201_UOM">'AER NRs'!$O$84:$O$86</definedName>
    <definedName name="dms_Sector">'AER ETL'!$C$21</definedName>
    <definedName name="dms_Sector_List">'AER lookups'!$F$7:$F$15</definedName>
    <definedName name="dms_Segment">'AER ETL'!$C$22</definedName>
    <definedName name="dms_Segment_List">'AER lookups'!$G$7:$G$15</definedName>
    <definedName name="dms_Selected_Source">'Business &amp; other details'!$N$26</definedName>
    <definedName name="dms_Selected_Status">'Business &amp; other details'!$N$28</definedName>
    <definedName name="dms_SheetHeading1">'Business &amp; other details'!$C$1</definedName>
    <definedName name="dms_SheetHeading2">'Business &amp; other details'!$C$2</definedName>
    <definedName name="dms_SheetHeading3">'Business &amp; other details'!$C$3</definedName>
    <definedName name="dms_ShortRural_flag">'AER lookups'!$AC$7:$AC$15</definedName>
    <definedName name="dms_ShortRural_flag_NSP">'AER ETL'!$C$124</definedName>
    <definedName name="dms_SingleYear_FinalYear_Result">'AER ETL'!$C$77</definedName>
    <definedName name="dms_SingleYear_Model">'AER ETL'!$C$73:$C$75</definedName>
    <definedName name="dms_SingleYearModel">'AER ETL'!$C$76</definedName>
    <definedName name="dms_Source">'AER ETL'!$C$13</definedName>
    <definedName name="dms_SourceList">'AER NRs'!$C$14:$C$27</definedName>
    <definedName name="dms_Specified_FinalYear">'AER ETL'!$C$65</definedName>
    <definedName name="dms_Specified_RYE">'AER ETL'!$C$56</definedName>
    <definedName name="dms_SpecifiedYear_final_year">'AER ETL'!$C$51</definedName>
    <definedName name="dms_SpecifiedYear_Span">'AER ETL'!$C$60</definedName>
    <definedName name="dms_start_year">'AER ETL'!$C$37</definedName>
    <definedName name="dms_State_List">'AER lookups'!$T$7:$T$15</definedName>
    <definedName name="dms_STPIS_Exclusion_List">'AER NRs'!$H$32:$H$41</definedName>
    <definedName name="dms_SubmissionDate">'AER ETL'!$C$17</definedName>
    <definedName name="dms_Suburb_List">'AER lookups'!$S$7:$S$15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'Business &amp; other details'!$N$13</definedName>
    <definedName name="dms_TradingName_List">'AER lookups'!$B$7:$B$15</definedName>
    <definedName name="dms_TradingNameFull">'AER ETL'!$C$9</definedName>
    <definedName name="dms_TradingNameFull_List">'AER lookups'!$C$7:$C$15</definedName>
    <definedName name="dms_Typed_Submission_Date">'Business &amp; other details'!$N$34</definedName>
    <definedName name="dms_UID">'AER ETL'!$C$11</definedName>
    <definedName name="dms_UID_List">'AER lookups'!$K$7:$K$15</definedName>
    <definedName name="dms_Urban_flag">'AER lookups'!$AB$7:$AB$15</definedName>
    <definedName name="dms_Urban_flag_NSP">'AER ETL'!$C$123</definedName>
    <definedName name="dms_Worksheet_List">'AER lookups'!$D$23:$D$33</definedName>
    <definedName name="DMS_Xfactor">'AER NRs'!$E$179</definedName>
    <definedName name="dms_y1">'AER lookups'!$E$57</definedName>
    <definedName name="dms_y10">'AER lookups'!$E$66</definedName>
    <definedName name="dms_y11">'AER lookups'!$E$67</definedName>
    <definedName name="dms_y12">'AER lookups'!$E$68</definedName>
    <definedName name="dms_y13">'AER lookups'!$E$69</definedName>
    <definedName name="dms_y14">'AER lookups'!$E$70</definedName>
    <definedName name="dms_y15">'AER lookups'!$E$71</definedName>
    <definedName name="dms_y16">'AER lookups'!$E$72</definedName>
    <definedName name="dms_y2">'AER lookups'!$E$58</definedName>
    <definedName name="dms_y3">'AER lookups'!$E$59</definedName>
    <definedName name="dms_y4">'AER lookups'!$E$60</definedName>
    <definedName name="dms_y5">'AER lookups'!$E$61</definedName>
    <definedName name="dms_y6">'AER lookups'!$E$62</definedName>
    <definedName name="dms_y7">'AER lookups'!$E$63</definedName>
    <definedName name="dms_y8">'AER lookups'!$E$64</definedName>
    <definedName name="dms_y9">'AER lookups'!$E$65</definedName>
    <definedName name="EB">'AER lookups'!$C$27</definedName>
    <definedName name="EB_Fmt2">'AER lookups'!$D$27</definedName>
    <definedName name="Financial">'AER lookups'!$B$38:$B$87</definedName>
    <definedName name="FRCP_final_year">'AER ETL'!$C$47</definedName>
    <definedName name="FRCP_start_year">'AER ETL'!$C$44</definedName>
    <definedName name="FRCP_y10">'AER lookups'!$I$47</definedName>
    <definedName name="FRCP_y11">'AER lookups'!$I$48</definedName>
    <definedName name="FRCP_y12">'AER lookups'!$I$49</definedName>
    <definedName name="FRCP_y13">'AER lookups'!$I$50</definedName>
    <definedName name="FRCP_y14">'AER lookups'!$I$51</definedName>
    <definedName name="FRCP_y15">'AER lookups'!$I$52</definedName>
    <definedName name="FRCP_y16">'AER lookups'!$I$53</definedName>
    <definedName name="FRCP_y2">'AER lookups'!$I$39</definedName>
    <definedName name="FRCP_y3">'AER lookups'!$I$40</definedName>
    <definedName name="FRCP_y4">'AER lookups'!$I$41</definedName>
    <definedName name="FRCP_y5">'AER lookups'!$I$42</definedName>
    <definedName name="FRCP_y6">'AER lookups'!$I$43</definedName>
    <definedName name="FRCP_y7">'AER lookups'!$I$44</definedName>
    <definedName name="FRCP_y8">'AER lookups'!$I$45</definedName>
    <definedName name="FRCP_y9">'AER lookups'!$I$46</definedName>
    <definedName name="FRY">'Business &amp; other details'!$N$19</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{"Ownership",#N/A,FALSE,"Ownership";"Contents",#N/A,FALSE,"Contents"}</definedName>
    <definedName name="PRCP_final_year">'AER ETL'!$C$49</definedName>
    <definedName name="PRCP_start_year">'AER ETL'!$C$46</definedName>
    <definedName name="PRCP_y1">'AER lookups'!$E$38</definedName>
    <definedName name="PRCP_y10">'AER lookups'!$E$47</definedName>
    <definedName name="PRCP_y11">'AER lookups'!$E$48</definedName>
    <definedName name="PRCP_y12">'AER lookups'!$E$49</definedName>
    <definedName name="PRCP_y13">'AER lookups'!$E$50</definedName>
    <definedName name="PRCP_y14">'AER lookups'!$E$51</definedName>
    <definedName name="PRCP_y15">'AER lookups'!$E$52</definedName>
    <definedName name="PRCP_y16">'AER lookups'!$E$53</definedName>
    <definedName name="PRCP_y2">'AER lookups'!$E$39</definedName>
    <definedName name="PRCP_y3">'AER lookups'!$E$40</definedName>
    <definedName name="PRCP_y4">'AER lookups'!$E$41</definedName>
    <definedName name="PRCP_y5">'AER lookups'!$E$42</definedName>
    <definedName name="PRCP_y6">'AER lookups'!$E$43</definedName>
    <definedName name="PRCP_y7">'AER lookups'!$E$44</definedName>
    <definedName name="PRCP_y8">'AER lookups'!$E$45</definedName>
    <definedName name="PRCP_y9">'AER lookups'!$E$46</definedName>
    <definedName name="Pricing">'AER lookups'!$C$28</definedName>
    <definedName name="Pricing_Fmt2">'AER lookups'!$D$28</definedName>
    <definedName name="_xlnm.Print_Area" localSheetId="7">'2.4 Capex by Asset Class'!$C$10:$F$52</definedName>
    <definedName name="PTRM">'AER lookups'!$C$29</definedName>
    <definedName name="PTRM_Fmt2">'AER lookups'!$D$29</definedName>
    <definedName name="Reset">'AER lookups'!$C$30</definedName>
    <definedName name="Reset_Fmt2">'AER lookups'!$D$30</definedName>
    <definedName name="RFM">'AER lookups'!$C$31</definedName>
    <definedName name="RFM_Fmt2">'AER lookups'!$D$31</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33" l="1"/>
  <c r="D55" i="33"/>
  <c r="E35" i="13"/>
  <c r="E34" i="13"/>
  <c r="E33" i="13"/>
  <c r="E32" i="13"/>
  <c r="E29" i="13"/>
  <c r="E28" i="13"/>
  <c r="D38" i="11"/>
  <c r="D23" i="10"/>
  <c r="AH20" i="7" l="1"/>
  <c r="AH21" i="7"/>
  <c r="AH22" i="7"/>
  <c r="AH23" i="7"/>
  <c r="AH24" i="7"/>
  <c r="AH25" i="7"/>
  <c r="AH26" i="7"/>
  <c r="E13" i="5"/>
  <c r="E14" i="5"/>
  <c r="E15" i="5"/>
  <c r="E16" i="5"/>
  <c r="E17" i="5"/>
  <c r="E18" i="5"/>
  <c r="E19" i="5"/>
  <c r="E20" i="5"/>
  <c r="E12" i="5"/>
  <c r="C102" i="31"/>
  <c r="C73" i="31"/>
  <c r="C51" i="31"/>
  <c r="C20" i="31"/>
  <c r="D23" i="30"/>
  <c r="C11" i="31" a="1"/>
  <c r="C11" i="31" s="1"/>
  <c r="R20" i="43"/>
  <c r="R21" i="43"/>
  <c r="R22" i="43"/>
  <c r="R23" i="43"/>
  <c r="AL24" i="7" l="1"/>
  <c r="AM24" i="7"/>
  <c r="AN24" i="7"/>
  <c r="AL25" i="7"/>
  <c r="AM25" i="7"/>
  <c r="AN25" i="7"/>
  <c r="AL26" i="7"/>
  <c r="AM26" i="7"/>
  <c r="AN26" i="7"/>
  <c r="AN23" i="7"/>
  <c r="AL23" i="7"/>
  <c r="AM23" i="7"/>
  <c r="AL20" i="7"/>
  <c r="AM20" i="7"/>
  <c r="AN20" i="7"/>
  <c r="AL21" i="7"/>
  <c r="AM21" i="7"/>
  <c r="AN21" i="7"/>
  <c r="AL22" i="7"/>
  <c r="AM22" i="7"/>
  <c r="AN22" i="7"/>
  <c r="AM19" i="7"/>
  <c r="AL19" i="7"/>
  <c r="AN19" i="7"/>
  <c r="AL16" i="7"/>
  <c r="AM16" i="7"/>
  <c r="AN16" i="7"/>
  <c r="AL17" i="7"/>
  <c r="AM17" i="7"/>
  <c r="AN17" i="7"/>
  <c r="AL18" i="7"/>
  <c r="AM18" i="7"/>
  <c r="AN18" i="7"/>
  <c r="AN15" i="7"/>
  <c r="AM15" i="7"/>
  <c r="AL15" i="7"/>
  <c r="M14" i="34" l="1"/>
  <c r="M15" i="34"/>
  <c r="M16" i="34"/>
  <c r="M17" i="34"/>
  <c r="M18" i="34"/>
  <c r="M19" i="34"/>
  <c r="C1" i="47" l="1"/>
  <c r="C3" i="47"/>
  <c r="H17" i="47"/>
  <c r="M13" i="34"/>
  <c r="J14" i="34"/>
  <c r="J15" i="34"/>
  <c r="J16" i="34"/>
  <c r="J17" i="34"/>
  <c r="J18" i="34"/>
  <c r="J19" i="34"/>
  <c r="J13" i="34"/>
  <c r="AC27" i="36"/>
  <c r="AA27" i="36"/>
  <c r="Z27" i="36"/>
  <c r="Y27" i="36"/>
  <c r="W27" i="36"/>
  <c r="V27" i="36"/>
  <c r="U27" i="36"/>
  <c r="S27" i="36"/>
  <c r="R27" i="36"/>
  <c r="Q27" i="36"/>
  <c r="AC26" i="36"/>
  <c r="AA26" i="36"/>
  <c r="Z26" i="36"/>
  <c r="Y26" i="36"/>
  <c r="W26" i="36"/>
  <c r="V26" i="36"/>
  <c r="U26" i="36"/>
  <c r="S26" i="36"/>
  <c r="R26" i="36"/>
  <c r="Q26" i="36"/>
  <c r="AC25" i="36"/>
  <c r="AA25" i="36"/>
  <c r="Z25" i="36"/>
  <c r="Y25" i="36"/>
  <c r="W25" i="36"/>
  <c r="V25" i="36"/>
  <c r="U25" i="36"/>
  <c r="S25" i="36"/>
  <c r="R25" i="36"/>
  <c r="Q25" i="36"/>
  <c r="AC17" i="36"/>
  <c r="AA17" i="36"/>
  <c r="Z17" i="36"/>
  <c r="Y17" i="36"/>
  <c r="W17" i="36"/>
  <c r="V17" i="36"/>
  <c r="U17" i="36"/>
  <c r="AC16" i="36"/>
  <c r="AA16" i="36"/>
  <c r="Z16" i="36"/>
  <c r="Y16" i="36"/>
  <c r="W16" i="36"/>
  <c r="V16" i="36"/>
  <c r="U16" i="36"/>
  <c r="AC15" i="36"/>
  <c r="AA15" i="36"/>
  <c r="Z15" i="36"/>
  <c r="Y15" i="36"/>
  <c r="W15" i="36"/>
  <c r="V15" i="36"/>
  <c r="U15" i="36"/>
  <c r="Q17" i="36"/>
  <c r="Q16" i="36"/>
  <c r="Q15" i="36"/>
  <c r="K43" i="33"/>
  <c r="M43" i="33"/>
  <c r="N43" i="33"/>
  <c r="O43" i="33"/>
  <c r="P43" i="33"/>
  <c r="K44" i="33"/>
  <c r="M44" i="33"/>
  <c r="N44" i="33"/>
  <c r="O44" i="33"/>
  <c r="P44" i="33"/>
  <c r="K45" i="33"/>
  <c r="M45" i="33"/>
  <c r="N45" i="33"/>
  <c r="O45" i="33"/>
  <c r="P45" i="33"/>
  <c r="K46" i="33"/>
  <c r="M46" i="33"/>
  <c r="N46" i="33"/>
  <c r="O46" i="33"/>
  <c r="P46" i="33"/>
  <c r="K47" i="33"/>
  <c r="M47" i="33"/>
  <c r="N47" i="33"/>
  <c r="O47" i="33"/>
  <c r="P47" i="33"/>
  <c r="P42" i="33"/>
  <c r="M42" i="33"/>
  <c r="O42" i="33"/>
  <c r="N42" i="33"/>
  <c r="K42" i="33"/>
  <c r="P35" i="33"/>
  <c r="P36" i="33"/>
  <c r="P37" i="33"/>
  <c r="P38" i="33"/>
  <c r="P39" i="33"/>
  <c r="P34" i="33"/>
  <c r="M35" i="33"/>
  <c r="M36" i="33"/>
  <c r="M37" i="33"/>
  <c r="M38" i="33"/>
  <c r="M39" i="33"/>
  <c r="M34" i="33"/>
  <c r="O39" i="33"/>
  <c r="N39" i="33"/>
  <c r="K39" i="33"/>
  <c r="O38" i="33"/>
  <c r="N38" i="33"/>
  <c r="K38" i="33"/>
  <c r="O37" i="33"/>
  <c r="N37" i="33"/>
  <c r="K37" i="33"/>
  <c r="O36" i="33"/>
  <c r="N36" i="33"/>
  <c r="K36" i="33"/>
  <c r="O35" i="33"/>
  <c r="N35" i="33"/>
  <c r="K35" i="33"/>
  <c r="O34" i="33"/>
  <c r="N34" i="33"/>
  <c r="K34" i="33"/>
  <c r="Y27" i="33"/>
  <c r="X27" i="33"/>
  <c r="W27" i="33"/>
  <c r="V27" i="33"/>
  <c r="U27" i="33"/>
  <c r="T27" i="33"/>
  <c r="S27" i="33"/>
  <c r="R27" i="33"/>
  <c r="Q27" i="33"/>
  <c r="P27" i="33"/>
  <c r="O27" i="33"/>
  <c r="N27" i="33"/>
  <c r="Y26" i="33"/>
  <c r="X26" i="33"/>
  <c r="W26" i="33"/>
  <c r="V26" i="33"/>
  <c r="U26" i="33"/>
  <c r="T26" i="33"/>
  <c r="S26" i="33"/>
  <c r="R26" i="33"/>
  <c r="Q26" i="33"/>
  <c r="P26" i="33"/>
  <c r="O26" i="33"/>
  <c r="N26" i="33"/>
  <c r="Y25" i="33"/>
  <c r="X25" i="33"/>
  <c r="W25" i="33"/>
  <c r="V25" i="33"/>
  <c r="U25" i="33"/>
  <c r="T25" i="33"/>
  <c r="S25" i="33"/>
  <c r="R25" i="33"/>
  <c r="Q25" i="33"/>
  <c r="P25" i="33"/>
  <c r="O25" i="33"/>
  <c r="N25" i="33"/>
  <c r="Y24" i="33"/>
  <c r="X24" i="33"/>
  <c r="W24" i="33"/>
  <c r="V24" i="33"/>
  <c r="U24" i="33"/>
  <c r="T24" i="33"/>
  <c r="S24" i="33"/>
  <c r="R24" i="33"/>
  <c r="Q24" i="33"/>
  <c r="P24" i="33"/>
  <c r="O24" i="33"/>
  <c r="N24" i="33"/>
  <c r="Y23" i="33"/>
  <c r="X23" i="33"/>
  <c r="W23" i="33"/>
  <c r="V23" i="33"/>
  <c r="U23" i="33"/>
  <c r="T23" i="33"/>
  <c r="S23" i="33"/>
  <c r="R23" i="33"/>
  <c r="Q23" i="33"/>
  <c r="P23" i="33"/>
  <c r="O23" i="33"/>
  <c r="N23" i="33"/>
  <c r="Y22" i="33"/>
  <c r="X22" i="33"/>
  <c r="W22" i="33"/>
  <c r="V22" i="33"/>
  <c r="U22" i="33"/>
  <c r="T22" i="33"/>
  <c r="S22" i="33"/>
  <c r="R22" i="33"/>
  <c r="Q22" i="33"/>
  <c r="P22" i="33"/>
  <c r="O22" i="33"/>
  <c r="N22" i="33"/>
  <c r="N17" i="33"/>
  <c r="O17" i="33"/>
  <c r="P17" i="33"/>
  <c r="Q17" i="33"/>
  <c r="R17" i="33"/>
  <c r="S17" i="33"/>
  <c r="T17" i="33"/>
  <c r="U17" i="33"/>
  <c r="V17" i="33"/>
  <c r="W17" i="33"/>
  <c r="X17" i="33"/>
  <c r="Y17" i="33"/>
  <c r="N18" i="33"/>
  <c r="O18" i="33"/>
  <c r="P18" i="33"/>
  <c r="Q18" i="33"/>
  <c r="R18" i="33"/>
  <c r="S18" i="33"/>
  <c r="T18" i="33"/>
  <c r="U18" i="33"/>
  <c r="V18" i="33"/>
  <c r="W18" i="33"/>
  <c r="X18" i="33"/>
  <c r="Y18" i="33"/>
  <c r="Y16" i="33"/>
  <c r="X16" i="33"/>
  <c r="W16" i="33"/>
  <c r="V16" i="33"/>
  <c r="U16" i="33"/>
  <c r="T16" i="33"/>
  <c r="S16" i="33"/>
  <c r="R16" i="33"/>
  <c r="Q16" i="33"/>
  <c r="P16" i="33"/>
  <c r="O16" i="33"/>
  <c r="N16" i="33"/>
  <c r="Y15" i="33"/>
  <c r="X15" i="33"/>
  <c r="W15" i="33"/>
  <c r="V15" i="33"/>
  <c r="U15" i="33"/>
  <c r="T15" i="33"/>
  <c r="S15" i="33"/>
  <c r="R15" i="33"/>
  <c r="Q15" i="33"/>
  <c r="P15" i="33"/>
  <c r="O15" i="33"/>
  <c r="N15" i="33"/>
  <c r="Y14" i="33"/>
  <c r="X14" i="33"/>
  <c r="W14" i="33"/>
  <c r="V14" i="33"/>
  <c r="U14" i="33"/>
  <c r="T14" i="33"/>
  <c r="S14" i="33"/>
  <c r="R14" i="33"/>
  <c r="Q14" i="33"/>
  <c r="P14" i="33"/>
  <c r="O14" i="33"/>
  <c r="N14" i="33"/>
  <c r="Y13" i="33"/>
  <c r="X13" i="33"/>
  <c r="W13" i="33"/>
  <c r="V13" i="33"/>
  <c r="U13" i="33"/>
  <c r="T13" i="33"/>
  <c r="S13" i="33"/>
  <c r="R13" i="33"/>
  <c r="Q13" i="33"/>
  <c r="P13" i="33"/>
  <c r="O13" i="33"/>
  <c r="N13" i="33"/>
  <c r="R19" i="43"/>
  <c r="R13" i="43"/>
  <c r="R14" i="43"/>
  <c r="R15" i="43"/>
  <c r="R16" i="43"/>
  <c r="R12" i="43"/>
  <c r="M20" i="43"/>
  <c r="M21" i="43"/>
  <c r="M22" i="43"/>
  <c r="M23" i="43"/>
  <c r="M19" i="43"/>
  <c r="M16" i="43"/>
  <c r="M15" i="43"/>
  <c r="M14" i="43"/>
  <c r="M13" i="43"/>
  <c r="M12" i="43"/>
  <c r="K23" i="43"/>
  <c r="K22" i="43"/>
  <c r="K21" i="43"/>
  <c r="K20" i="43"/>
  <c r="K19" i="43"/>
  <c r="K13" i="43"/>
  <c r="K14" i="43"/>
  <c r="K15" i="43"/>
  <c r="K16" i="43"/>
  <c r="K12" i="43"/>
  <c r="E71" i="21"/>
  <c r="E91" i="21"/>
  <c r="E50" i="21"/>
  <c r="E51" i="21" s="1"/>
  <c r="E29" i="21"/>
  <c r="E30" i="21" s="1"/>
  <c r="N51" i="40"/>
  <c r="N50" i="40"/>
  <c r="N49" i="40"/>
  <c r="T39" i="40"/>
  <c r="T40" i="40"/>
  <c r="T41" i="40"/>
  <c r="T42" i="40"/>
  <c r="T43" i="40"/>
  <c r="T44" i="40"/>
  <c r="T38" i="40"/>
  <c r="Q39" i="40"/>
  <c r="Q40" i="40"/>
  <c r="Q41" i="40"/>
  <c r="Q42" i="40"/>
  <c r="Q43" i="40"/>
  <c r="Q44" i="40"/>
  <c r="Q38" i="40"/>
  <c r="N39" i="40"/>
  <c r="N40" i="40"/>
  <c r="N41" i="40"/>
  <c r="N42" i="40"/>
  <c r="N43" i="40"/>
  <c r="N44" i="40"/>
  <c r="N38" i="40"/>
  <c r="N27" i="40"/>
  <c r="N26" i="40"/>
  <c r="N25" i="40"/>
  <c r="W15" i="40"/>
  <c r="W16" i="40"/>
  <c r="W17" i="40"/>
  <c r="W18" i="40"/>
  <c r="W19" i="40"/>
  <c r="W20" i="40"/>
  <c r="T15" i="40"/>
  <c r="T16" i="40"/>
  <c r="T17" i="40"/>
  <c r="T18" i="40"/>
  <c r="T19" i="40"/>
  <c r="T20" i="40"/>
  <c r="Q15" i="40"/>
  <c r="Q16" i="40"/>
  <c r="Q17" i="40"/>
  <c r="Q18" i="40"/>
  <c r="Q19" i="40"/>
  <c r="Q20" i="40"/>
  <c r="N15" i="40"/>
  <c r="N16" i="40"/>
  <c r="N17" i="40"/>
  <c r="N18" i="40"/>
  <c r="N19" i="40"/>
  <c r="N20" i="40"/>
  <c r="W14" i="40"/>
  <c r="T14" i="40"/>
  <c r="Q14" i="40"/>
  <c r="N14" i="40"/>
  <c r="M18" i="9"/>
  <c r="E27" i="18" l="1"/>
  <c r="E26" i="18"/>
  <c r="E25" i="18"/>
  <c r="E23" i="18"/>
  <c r="E22" i="18"/>
  <c r="E21" i="18"/>
  <c r="E19" i="18"/>
  <c r="E18" i="18"/>
  <c r="E17" i="18"/>
  <c r="E15" i="18"/>
  <c r="E14" i="18"/>
  <c r="E13" i="18"/>
  <c r="E11" i="18"/>
  <c r="E39" i="48" l="1"/>
  <c r="E38" i="48"/>
  <c r="E33" i="48"/>
  <c r="D34" i="48"/>
  <c r="D40" i="48"/>
  <c r="E28" i="48"/>
  <c r="F42" i="5"/>
  <c r="D28" i="48"/>
  <c r="D27" i="48"/>
  <c r="E27" i="48"/>
  <c r="F41" i="5"/>
  <c r="E41" i="5"/>
  <c r="D41" i="5" s="1"/>
  <c r="E12" i="24"/>
  <c r="E13" i="24"/>
  <c r="E14" i="24"/>
  <c r="E15" i="24"/>
  <c r="E16" i="24"/>
  <c r="E17" i="24"/>
  <c r="E18" i="24"/>
  <c r="E19" i="24"/>
  <c r="E11" i="24"/>
  <c r="N14" i="4" l="1"/>
  <c r="F28" i="48" l="1"/>
  <c r="F27" i="48"/>
  <c r="C26" i="41" l="1"/>
  <c r="C27" i="41"/>
  <c r="C25" i="41"/>
  <c r="C16" i="41"/>
  <c r="C17" i="41"/>
  <c r="C15" i="41"/>
  <c r="C43" i="33"/>
  <c r="C44" i="33"/>
  <c r="C45" i="33"/>
  <c r="C46" i="33"/>
  <c r="C47" i="33"/>
  <c r="C42" i="33"/>
  <c r="C35" i="33"/>
  <c r="C36" i="33"/>
  <c r="C37" i="33"/>
  <c r="C38" i="33"/>
  <c r="C39" i="33"/>
  <c r="C34" i="33"/>
  <c r="F45" i="40"/>
  <c r="F21" i="40"/>
  <c r="G84" i="21"/>
  <c r="H84" i="21"/>
  <c r="G64" i="21"/>
  <c r="H64" i="21"/>
  <c r="G43" i="21"/>
  <c r="H43" i="21"/>
  <c r="G22" i="21"/>
  <c r="H22" i="21"/>
  <c r="G33" i="13"/>
  <c r="G34" i="13"/>
  <c r="F35" i="13"/>
  <c r="G28" i="13"/>
  <c r="F29" i="13"/>
  <c r="F38" i="11"/>
  <c r="E38" i="11"/>
  <c r="E23" i="10"/>
  <c r="F23" i="10"/>
  <c r="L21" i="9"/>
  <c r="L17" i="9"/>
  <c r="AC23" i="7"/>
  <c r="AC19" i="7"/>
  <c r="X23" i="7"/>
  <c r="X19" i="7"/>
  <c r="AC15" i="7"/>
  <c r="AA15" i="7"/>
  <c r="E42" i="5"/>
  <c r="D42" i="5" s="1"/>
  <c r="K21" i="6"/>
  <c r="L21" i="6"/>
  <c r="N21" i="6"/>
  <c r="O21" i="6"/>
  <c r="Q21" i="6"/>
  <c r="R21" i="6"/>
  <c r="K22" i="6"/>
  <c r="L22" i="6"/>
  <c r="N22" i="6"/>
  <c r="O22" i="6"/>
  <c r="Q22" i="6"/>
  <c r="R22" i="6"/>
  <c r="K23" i="6"/>
  <c r="L23" i="6"/>
  <c r="N23" i="6"/>
  <c r="O23" i="6"/>
  <c r="Q23" i="6"/>
  <c r="R23" i="6"/>
  <c r="K24" i="6"/>
  <c r="L24" i="6"/>
  <c r="N24" i="6"/>
  <c r="O24" i="6"/>
  <c r="Q24" i="6"/>
  <c r="R24" i="6"/>
  <c r="K25" i="6"/>
  <c r="L25" i="6"/>
  <c r="N25" i="6"/>
  <c r="O25" i="6"/>
  <c r="Q25" i="6"/>
  <c r="R25" i="6"/>
  <c r="K26" i="6"/>
  <c r="L26" i="6"/>
  <c r="N26" i="6"/>
  <c r="O26" i="6"/>
  <c r="Q26" i="6"/>
  <c r="R26" i="6"/>
  <c r="AI23" i="7"/>
  <c r="AJ23" i="7"/>
  <c r="AK23" i="7"/>
  <c r="AO23" i="7"/>
  <c r="AP23" i="7"/>
  <c r="AQ23" i="7"/>
  <c r="AQ26" i="7"/>
  <c r="AQ25" i="7"/>
  <c r="AQ24" i="7"/>
  <c r="AQ22" i="7"/>
  <c r="AQ21" i="7"/>
  <c r="AQ20" i="7"/>
  <c r="AQ18" i="7"/>
  <c r="AQ17" i="7"/>
  <c r="AQ16" i="7"/>
  <c r="AK26" i="7"/>
  <c r="AK25" i="7"/>
  <c r="AK24" i="7"/>
  <c r="AK22" i="7"/>
  <c r="AK21" i="7"/>
  <c r="AK20" i="7"/>
  <c r="AK18" i="7"/>
  <c r="AK17" i="7"/>
  <c r="AK16" i="7"/>
  <c r="AH18" i="7"/>
  <c r="AH17" i="7"/>
  <c r="AH16" i="7"/>
  <c r="E20" i="9"/>
  <c r="G38" i="40"/>
  <c r="G39" i="40"/>
  <c r="G40" i="40"/>
  <c r="G41" i="40"/>
  <c r="G42" i="40"/>
  <c r="G43" i="40"/>
  <c r="G44" i="40"/>
  <c r="C37" i="40"/>
  <c r="C38" i="40"/>
  <c r="C39" i="40"/>
  <c r="C40" i="40"/>
  <c r="C41" i="40"/>
  <c r="C42" i="40"/>
  <c r="C43" i="40"/>
  <c r="C44" i="40"/>
  <c r="M19" i="9"/>
  <c r="G41" i="5" l="1"/>
  <c r="G23" i="10"/>
  <c r="G38" i="11"/>
  <c r="G42" i="5"/>
  <c r="G47" i="21"/>
  <c r="H47" i="21"/>
  <c r="G48" i="21"/>
  <c r="H48" i="21"/>
  <c r="G49" i="21"/>
  <c r="H49" i="21"/>
  <c r="G67" i="21"/>
  <c r="H67" i="21"/>
  <c r="G68" i="21"/>
  <c r="H68" i="21"/>
  <c r="G69" i="21"/>
  <c r="H69" i="21"/>
  <c r="G70" i="21"/>
  <c r="H70" i="21"/>
  <c r="H90" i="21"/>
  <c r="G90" i="21"/>
  <c r="H89" i="21"/>
  <c r="G89" i="21"/>
  <c r="H88" i="21"/>
  <c r="G88" i="21"/>
  <c r="G87" i="21"/>
  <c r="H87" i="21"/>
  <c r="G57" i="37"/>
  <c r="L15" i="9"/>
  <c r="K15" i="9"/>
  <c r="J15" i="9"/>
  <c r="M14" i="8"/>
  <c r="N14" i="8"/>
  <c r="O14" i="8"/>
  <c r="P14" i="8"/>
  <c r="Q14" i="8"/>
  <c r="R14" i="8"/>
  <c r="S14" i="8"/>
  <c r="T14" i="8"/>
  <c r="U14" i="8"/>
  <c r="V14" i="8"/>
  <c r="M15" i="8"/>
  <c r="N15" i="8"/>
  <c r="O15" i="8"/>
  <c r="P15" i="8"/>
  <c r="Q15" i="8"/>
  <c r="R15" i="8"/>
  <c r="S15" i="8"/>
  <c r="T15" i="8"/>
  <c r="U15" i="8"/>
  <c r="V15" i="8"/>
  <c r="M16" i="8"/>
  <c r="N16" i="8"/>
  <c r="O16" i="8"/>
  <c r="P16" i="8"/>
  <c r="Q16" i="8"/>
  <c r="R16" i="8"/>
  <c r="S16" i="8"/>
  <c r="T16" i="8"/>
  <c r="U16" i="8"/>
  <c r="V16" i="8"/>
  <c r="M17" i="8"/>
  <c r="N17" i="8"/>
  <c r="O17" i="8"/>
  <c r="P17" i="8"/>
  <c r="Q17" i="8"/>
  <c r="R17" i="8"/>
  <c r="S17" i="8"/>
  <c r="T17" i="8"/>
  <c r="U17" i="8"/>
  <c r="V17" i="8"/>
  <c r="M18" i="8"/>
  <c r="N18" i="8"/>
  <c r="O18" i="8"/>
  <c r="P18" i="8"/>
  <c r="Q18" i="8"/>
  <c r="R18" i="8"/>
  <c r="S18" i="8"/>
  <c r="T18" i="8"/>
  <c r="U18" i="8"/>
  <c r="V18" i="8"/>
  <c r="M19" i="8"/>
  <c r="N19" i="8"/>
  <c r="O19" i="8"/>
  <c r="P19" i="8"/>
  <c r="Q19" i="8"/>
  <c r="R19" i="8"/>
  <c r="S19" i="8"/>
  <c r="T19" i="8"/>
  <c r="U19" i="8"/>
  <c r="V19" i="8"/>
  <c r="M20" i="8"/>
  <c r="N20" i="8"/>
  <c r="O20" i="8"/>
  <c r="P20" i="8"/>
  <c r="Q20" i="8"/>
  <c r="R20" i="8"/>
  <c r="S20" i="8"/>
  <c r="T20" i="8"/>
  <c r="U20" i="8"/>
  <c r="V20" i="8"/>
  <c r="M21" i="8"/>
  <c r="N21" i="8"/>
  <c r="O21" i="8"/>
  <c r="P21" i="8"/>
  <c r="Q21" i="8"/>
  <c r="R21" i="8"/>
  <c r="S21" i="8"/>
  <c r="T21" i="8"/>
  <c r="U21" i="8"/>
  <c r="V21" i="8"/>
  <c r="V13" i="8"/>
  <c r="U13" i="8"/>
  <c r="T13" i="8"/>
  <c r="S13" i="8"/>
  <c r="R13" i="8"/>
  <c r="Q13" i="8"/>
  <c r="P13" i="8"/>
  <c r="O13" i="8"/>
  <c r="N13" i="8"/>
  <c r="M13" i="8"/>
  <c r="V12" i="8"/>
  <c r="U12" i="8"/>
  <c r="T12" i="8"/>
  <c r="S12" i="8"/>
  <c r="R12" i="8"/>
  <c r="Q12" i="8"/>
  <c r="P12" i="8"/>
  <c r="O12" i="8"/>
  <c r="N12" i="8"/>
  <c r="M12" i="8"/>
  <c r="L12" i="43" l="1"/>
  <c r="L23" i="43" l="1"/>
  <c r="L22" i="43"/>
  <c r="L21" i="43"/>
  <c r="L20" i="43"/>
  <c r="L19" i="43"/>
  <c r="L13" i="43"/>
  <c r="L14" i="43"/>
  <c r="L15" i="43"/>
  <c r="L16" i="43"/>
  <c r="N26" i="36"/>
  <c r="O26" i="36"/>
  <c r="N27" i="36"/>
  <c r="O27" i="36"/>
  <c r="G14" i="40"/>
  <c r="G15" i="40"/>
  <c r="G16" i="40"/>
  <c r="G17" i="40"/>
  <c r="G18" i="40"/>
  <c r="G19" i="40"/>
  <c r="G20" i="40"/>
  <c r="BI12" i="24"/>
  <c r="BJ12" i="24"/>
  <c r="BL12" i="24"/>
  <c r="BM12" i="24"/>
  <c r="BO12" i="24"/>
  <c r="BP12" i="24"/>
  <c r="BR12" i="24"/>
  <c r="BS12" i="24"/>
  <c r="BU12" i="24"/>
  <c r="BV12" i="24"/>
  <c r="BX12" i="24"/>
  <c r="BY12" i="24"/>
  <c r="CA12" i="24"/>
  <c r="CB12" i="24"/>
  <c r="CD12" i="24"/>
  <c r="CE12" i="24"/>
  <c r="CG12" i="24"/>
  <c r="CH12" i="24"/>
  <c r="CJ12" i="24"/>
  <c r="CK12" i="24"/>
  <c r="CM12" i="24"/>
  <c r="CN12" i="24"/>
  <c r="CP12" i="24"/>
  <c r="CQ12" i="24"/>
  <c r="CS12" i="24"/>
  <c r="CT12" i="24"/>
  <c r="CV12" i="24"/>
  <c r="CW12" i="24"/>
  <c r="CY12" i="24"/>
  <c r="CZ12" i="24"/>
  <c r="DB12" i="24"/>
  <c r="DC12" i="24"/>
  <c r="DE12" i="24"/>
  <c r="DF12" i="24"/>
  <c r="DH12" i="24"/>
  <c r="DI12" i="24"/>
  <c r="DK12" i="24"/>
  <c r="DL12" i="24"/>
  <c r="DN12" i="24"/>
  <c r="DO12" i="24"/>
  <c r="DQ12" i="24"/>
  <c r="DR12" i="24"/>
  <c r="DT12" i="24"/>
  <c r="DU12" i="24"/>
  <c r="BI13" i="24"/>
  <c r="BJ13" i="24"/>
  <c r="BL13" i="24"/>
  <c r="BM13" i="24"/>
  <c r="BO13" i="24"/>
  <c r="BP13" i="24"/>
  <c r="BR13" i="24"/>
  <c r="BS13" i="24"/>
  <c r="BU13" i="24"/>
  <c r="BV13" i="24"/>
  <c r="BX13" i="24"/>
  <c r="BY13" i="24"/>
  <c r="CA13" i="24"/>
  <c r="CB13" i="24"/>
  <c r="CD13" i="24"/>
  <c r="CE13" i="24"/>
  <c r="CG13" i="24"/>
  <c r="CH13" i="24"/>
  <c r="CJ13" i="24"/>
  <c r="CK13" i="24"/>
  <c r="CM13" i="24"/>
  <c r="CN13" i="24"/>
  <c r="CP13" i="24"/>
  <c r="CQ13" i="24"/>
  <c r="CS13" i="24"/>
  <c r="CT13" i="24"/>
  <c r="CV13" i="24"/>
  <c r="CW13" i="24"/>
  <c r="CY13" i="24"/>
  <c r="CZ13" i="24"/>
  <c r="DB13" i="24"/>
  <c r="DC13" i="24"/>
  <c r="DE13" i="24"/>
  <c r="DF13" i="24"/>
  <c r="DH13" i="24"/>
  <c r="DI13" i="24"/>
  <c r="DK13" i="24"/>
  <c r="DL13" i="24"/>
  <c r="DN13" i="24"/>
  <c r="DO13" i="24"/>
  <c r="DQ13" i="24"/>
  <c r="DR13" i="24"/>
  <c r="DT13" i="24"/>
  <c r="DU13" i="24"/>
  <c r="BI14" i="24"/>
  <c r="BJ14" i="24"/>
  <c r="BL14" i="24"/>
  <c r="BM14" i="24"/>
  <c r="BO14" i="24"/>
  <c r="BP14" i="24"/>
  <c r="BR14" i="24"/>
  <c r="BS14" i="24"/>
  <c r="BU14" i="24"/>
  <c r="BV14" i="24"/>
  <c r="BX14" i="24"/>
  <c r="BY14" i="24"/>
  <c r="CA14" i="24"/>
  <c r="CB14" i="24"/>
  <c r="CD14" i="24"/>
  <c r="CE14" i="24"/>
  <c r="CG14" i="24"/>
  <c r="CH14" i="24"/>
  <c r="CJ14" i="24"/>
  <c r="CK14" i="24"/>
  <c r="CM14" i="24"/>
  <c r="CN14" i="24"/>
  <c r="CP14" i="24"/>
  <c r="CQ14" i="24"/>
  <c r="CS14" i="24"/>
  <c r="CT14" i="24"/>
  <c r="CV14" i="24"/>
  <c r="CW14" i="24"/>
  <c r="CY14" i="24"/>
  <c r="CZ14" i="24"/>
  <c r="DB14" i="24"/>
  <c r="DC14" i="24"/>
  <c r="DE14" i="24"/>
  <c r="DF14" i="24"/>
  <c r="DH14" i="24"/>
  <c r="DI14" i="24"/>
  <c r="DK14" i="24"/>
  <c r="DL14" i="24"/>
  <c r="DN14" i="24"/>
  <c r="DO14" i="24"/>
  <c r="DQ14" i="24"/>
  <c r="DR14" i="24"/>
  <c r="DT14" i="24"/>
  <c r="DU14" i="24"/>
  <c r="BI15" i="24"/>
  <c r="BJ15" i="24"/>
  <c r="BL15" i="24"/>
  <c r="BM15" i="24"/>
  <c r="BO15" i="24"/>
  <c r="BP15" i="24"/>
  <c r="BR15" i="24"/>
  <c r="BS15" i="24"/>
  <c r="BU15" i="24"/>
  <c r="BV15" i="24"/>
  <c r="BX15" i="24"/>
  <c r="BY15" i="24"/>
  <c r="CA15" i="24"/>
  <c r="CB15" i="24"/>
  <c r="CD15" i="24"/>
  <c r="CE15" i="24"/>
  <c r="CG15" i="24"/>
  <c r="CH15" i="24"/>
  <c r="CJ15" i="24"/>
  <c r="CK15" i="24"/>
  <c r="CM15" i="24"/>
  <c r="CN15" i="24"/>
  <c r="CP15" i="24"/>
  <c r="CQ15" i="24"/>
  <c r="CS15" i="24"/>
  <c r="CT15" i="24"/>
  <c r="CV15" i="24"/>
  <c r="CW15" i="24"/>
  <c r="CY15" i="24"/>
  <c r="CZ15" i="24"/>
  <c r="DB15" i="24"/>
  <c r="DC15" i="24"/>
  <c r="DE15" i="24"/>
  <c r="DF15" i="24"/>
  <c r="DH15" i="24"/>
  <c r="DI15" i="24"/>
  <c r="DK15" i="24"/>
  <c r="DL15" i="24"/>
  <c r="DN15" i="24"/>
  <c r="DO15" i="24"/>
  <c r="DQ15" i="24"/>
  <c r="DR15" i="24"/>
  <c r="DT15" i="24"/>
  <c r="DU15" i="24"/>
  <c r="BI16" i="24"/>
  <c r="BJ16" i="24"/>
  <c r="BL16" i="24"/>
  <c r="BM16" i="24"/>
  <c r="BO16" i="24"/>
  <c r="BP16" i="24"/>
  <c r="BR16" i="24"/>
  <c r="BS16" i="24"/>
  <c r="BU16" i="24"/>
  <c r="BV16" i="24"/>
  <c r="BX16" i="24"/>
  <c r="BY16" i="24"/>
  <c r="CA16" i="24"/>
  <c r="CB16" i="24"/>
  <c r="CD16" i="24"/>
  <c r="CE16" i="24"/>
  <c r="CG16" i="24"/>
  <c r="CH16" i="24"/>
  <c r="CJ16" i="24"/>
  <c r="CK16" i="24"/>
  <c r="CM16" i="24"/>
  <c r="CN16" i="24"/>
  <c r="CP16" i="24"/>
  <c r="CQ16" i="24"/>
  <c r="CS16" i="24"/>
  <c r="CT16" i="24"/>
  <c r="CV16" i="24"/>
  <c r="CW16" i="24"/>
  <c r="CY16" i="24"/>
  <c r="CZ16" i="24"/>
  <c r="DB16" i="24"/>
  <c r="DC16" i="24"/>
  <c r="DE16" i="24"/>
  <c r="DF16" i="24"/>
  <c r="DH16" i="24"/>
  <c r="DI16" i="24"/>
  <c r="DK16" i="24"/>
  <c r="DL16" i="24"/>
  <c r="DN16" i="24"/>
  <c r="DO16" i="24"/>
  <c r="DQ16" i="24"/>
  <c r="DR16" i="24"/>
  <c r="DT16" i="24"/>
  <c r="DU16" i="24"/>
  <c r="BI17" i="24"/>
  <c r="BJ17" i="24"/>
  <c r="BL17" i="24"/>
  <c r="BM17" i="24"/>
  <c r="BO17" i="24"/>
  <c r="BP17" i="24"/>
  <c r="BR17" i="24"/>
  <c r="BS17" i="24"/>
  <c r="BU17" i="24"/>
  <c r="BV17" i="24"/>
  <c r="BX17" i="24"/>
  <c r="BY17" i="24"/>
  <c r="CA17" i="24"/>
  <c r="CB17" i="24"/>
  <c r="CD17" i="24"/>
  <c r="CE17" i="24"/>
  <c r="CG17" i="24"/>
  <c r="CH17" i="24"/>
  <c r="CJ17" i="24"/>
  <c r="CK17" i="24"/>
  <c r="CM17" i="24"/>
  <c r="CN17" i="24"/>
  <c r="CP17" i="24"/>
  <c r="CQ17" i="24"/>
  <c r="CS17" i="24"/>
  <c r="CT17" i="24"/>
  <c r="CV17" i="24"/>
  <c r="CW17" i="24"/>
  <c r="CY17" i="24"/>
  <c r="CZ17" i="24"/>
  <c r="DB17" i="24"/>
  <c r="DC17" i="24"/>
  <c r="DE17" i="24"/>
  <c r="DF17" i="24"/>
  <c r="DH17" i="24"/>
  <c r="DI17" i="24"/>
  <c r="DK17" i="24"/>
  <c r="DL17" i="24"/>
  <c r="DN17" i="24"/>
  <c r="DO17" i="24"/>
  <c r="DQ17" i="24"/>
  <c r="DR17" i="24"/>
  <c r="DT17" i="24"/>
  <c r="DU17" i="24"/>
  <c r="BI18" i="24"/>
  <c r="BJ18" i="24"/>
  <c r="BL18" i="24"/>
  <c r="BM18" i="24"/>
  <c r="BO18" i="24"/>
  <c r="BP18" i="24"/>
  <c r="BR18" i="24"/>
  <c r="BS18" i="24"/>
  <c r="BU18" i="24"/>
  <c r="BV18" i="24"/>
  <c r="BX18" i="24"/>
  <c r="BY18" i="24"/>
  <c r="CA18" i="24"/>
  <c r="CB18" i="24"/>
  <c r="CD18" i="24"/>
  <c r="CE18" i="24"/>
  <c r="CG18" i="24"/>
  <c r="CH18" i="24"/>
  <c r="CJ18" i="24"/>
  <c r="CK18" i="24"/>
  <c r="CM18" i="24"/>
  <c r="CN18" i="24"/>
  <c r="CP18" i="24"/>
  <c r="CQ18" i="24"/>
  <c r="CS18" i="24"/>
  <c r="CT18" i="24"/>
  <c r="CV18" i="24"/>
  <c r="CW18" i="24"/>
  <c r="CY18" i="24"/>
  <c r="CZ18" i="24"/>
  <c r="DB18" i="24"/>
  <c r="DC18" i="24"/>
  <c r="DE18" i="24"/>
  <c r="DF18" i="24"/>
  <c r="DH18" i="24"/>
  <c r="DI18" i="24"/>
  <c r="DK18" i="24"/>
  <c r="DL18" i="24"/>
  <c r="DN18" i="24"/>
  <c r="DO18" i="24"/>
  <c r="DQ18" i="24"/>
  <c r="DR18" i="24"/>
  <c r="DT18" i="24"/>
  <c r="DU18" i="24"/>
  <c r="BI19" i="24"/>
  <c r="BJ19" i="24"/>
  <c r="BL19" i="24"/>
  <c r="BM19" i="24"/>
  <c r="BO19" i="24"/>
  <c r="BP19" i="24"/>
  <c r="BR19" i="24"/>
  <c r="BS19" i="24"/>
  <c r="BU19" i="24"/>
  <c r="BV19" i="24"/>
  <c r="BX19" i="24"/>
  <c r="BY19" i="24"/>
  <c r="CA19" i="24"/>
  <c r="CB19" i="24"/>
  <c r="CD19" i="24"/>
  <c r="CE19" i="24"/>
  <c r="CG19" i="24"/>
  <c r="CH19" i="24"/>
  <c r="CJ19" i="24"/>
  <c r="CK19" i="24"/>
  <c r="CM19" i="24"/>
  <c r="CN19" i="24"/>
  <c r="CP19" i="24"/>
  <c r="CQ19" i="24"/>
  <c r="CS19" i="24"/>
  <c r="CT19" i="24"/>
  <c r="CV19" i="24"/>
  <c r="CW19" i="24"/>
  <c r="CY19" i="24"/>
  <c r="CZ19" i="24"/>
  <c r="DB19" i="24"/>
  <c r="DC19" i="24"/>
  <c r="DE19" i="24"/>
  <c r="DF19" i="24"/>
  <c r="DH19" i="24"/>
  <c r="DI19" i="24"/>
  <c r="DK19" i="24"/>
  <c r="DL19" i="24"/>
  <c r="DN19" i="24"/>
  <c r="DO19" i="24"/>
  <c r="DQ19" i="24"/>
  <c r="DR19" i="24"/>
  <c r="DT19" i="24"/>
  <c r="DU19" i="24"/>
  <c r="DU11" i="24"/>
  <c r="DR11" i="24"/>
  <c r="DO11" i="24"/>
  <c r="DL11" i="24"/>
  <c r="DI11" i="24"/>
  <c r="DF11" i="24"/>
  <c r="DC11" i="24"/>
  <c r="CZ11" i="24"/>
  <c r="CW11" i="24"/>
  <c r="CT11" i="24"/>
  <c r="CQ11" i="24"/>
  <c r="CN11" i="24"/>
  <c r="CK11" i="24"/>
  <c r="CH11" i="24"/>
  <c r="CE11" i="24"/>
  <c r="CB11" i="24"/>
  <c r="BY11" i="24"/>
  <c r="BV11" i="24"/>
  <c r="BS11" i="24"/>
  <c r="BP11" i="24"/>
  <c r="BM11" i="24"/>
  <c r="BJ11" i="24"/>
  <c r="DT11" i="24"/>
  <c r="DQ11" i="24"/>
  <c r="DN11" i="24"/>
  <c r="DK11" i="24"/>
  <c r="DH11" i="24"/>
  <c r="DE11" i="24"/>
  <c r="DB11" i="24"/>
  <c r="CY11" i="24"/>
  <c r="CV11" i="24"/>
  <c r="CS11" i="24"/>
  <c r="CP11" i="24"/>
  <c r="CM11" i="24"/>
  <c r="CJ11" i="24"/>
  <c r="CG11" i="24"/>
  <c r="CD11" i="24"/>
  <c r="CA11" i="24"/>
  <c r="BX11" i="24"/>
  <c r="BU11" i="24"/>
  <c r="BR11" i="24"/>
  <c r="BO11" i="24"/>
  <c r="BL11" i="24"/>
  <c r="BI11" i="24"/>
  <c r="BF12" i="24"/>
  <c r="BG12" i="24"/>
  <c r="BF13" i="24"/>
  <c r="BG13" i="24"/>
  <c r="BF14" i="24"/>
  <c r="BG14" i="24"/>
  <c r="BF15" i="24"/>
  <c r="BG15" i="24"/>
  <c r="BF16" i="24"/>
  <c r="BG16" i="24"/>
  <c r="BF17" i="24"/>
  <c r="BG17" i="24"/>
  <c r="BF18" i="24"/>
  <c r="BG18" i="24"/>
  <c r="BF19" i="24"/>
  <c r="BG19" i="24"/>
  <c r="BG11" i="24"/>
  <c r="BF11" i="24"/>
  <c r="BC12" i="24"/>
  <c r="BD12" i="24"/>
  <c r="BC13" i="24"/>
  <c r="BD13" i="24"/>
  <c r="BC14" i="24"/>
  <c r="BD14" i="24"/>
  <c r="BC15" i="24"/>
  <c r="BD15" i="24"/>
  <c r="BC16" i="24"/>
  <c r="BD16" i="24"/>
  <c r="BC17" i="24"/>
  <c r="BD17" i="24"/>
  <c r="BC18" i="24"/>
  <c r="BD18" i="24"/>
  <c r="BC19" i="24"/>
  <c r="BD19" i="24"/>
  <c r="BD11" i="24"/>
  <c r="BC11" i="24"/>
  <c r="BA11" i="24"/>
  <c r="AZ11" i="24"/>
  <c r="AL12" i="24"/>
  <c r="AL13" i="24"/>
  <c r="AL14" i="24"/>
  <c r="AL15" i="24"/>
  <c r="AL16" i="24"/>
  <c r="AL17" i="24"/>
  <c r="AL18" i="24"/>
  <c r="AL19" i="24"/>
  <c r="X14" i="13"/>
  <c r="M29" i="11"/>
  <c r="M30" i="11"/>
  <c r="M31" i="11"/>
  <c r="M32" i="11"/>
  <c r="M28" i="11"/>
  <c r="J29" i="11"/>
  <c r="J30" i="11"/>
  <c r="J31" i="11"/>
  <c r="J32" i="11"/>
  <c r="J28" i="11"/>
  <c r="H32" i="11"/>
  <c r="I32" i="11"/>
  <c r="K32" i="11"/>
  <c r="L32" i="11"/>
  <c r="AQ19" i="7"/>
  <c r="AQ15" i="7"/>
  <c r="AK19" i="7"/>
  <c r="AK15" i="7"/>
  <c r="AJ15" i="7"/>
  <c r="AI21" i="7"/>
  <c r="AH19" i="7"/>
  <c r="AH15" i="7"/>
  <c r="AF23" i="7"/>
  <c r="AF19" i="7"/>
  <c r="AF15" i="7"/>
  <c r="Z23" i="7"/>
  <c r="Y23" i="7"/>
  <c r="Z19" i="7"/>
  <c r="Y19" i="7"/>
  <c r="Z15" i="7"/>
  <c r="W23" i="7"/>
  <c r="W19" i="7"/>
  <c r="W15" i="7"/>
  <c r="K14" i="6"/>
  <c r="L14" i="6"/>
  <c r="N14" i="6"/>
  <c r="O14" i="6"/>
  <c r="Q14" i="6"/>
  <c r="R14" i="6"/>
  <c r="K15" i="6"/>
  <c r="L15" i="6"/>
  <c r="M15" i="6"/>
  <c r="N15" i="6"/>
  <c r="O15" i="6"/>
  <c r="P15" i="6"/>
  <c r="Q15" i="6"/>
  <c r="R15" i="6"/>
  <c r="S15" i="6"/>
  <c r="K16" i="6"/>
  <c r="L16" i="6"/>
  <c r="M16" i="6"/>
  <c r="N16" i="6"/>
  <c r="O16" i="6"/>
  <c r="P16" i="6"/>
  <c r="Q16" i="6"/>
  <c r="R16" i="6"/>
  <c r="S16" i="6"/>
  <c r="K17" i="6"/>
  <c r="L17" i="6"/>
  <c r="M17" i="6"/>
  <c r="N17" i="6"/>
  <c r="O17" i="6"/>
  <c r="P17" i="6"/>
  <c r="Q17" i="6"/>
  <c r="R17" i="6"/>
  <c r="S17" i="6"/>
  <c r="K18" i="6"/>
  <c r="L18" i="6"/>
  <c r="M18" i="6"/>
  <c r="N18" i="6"/>
  <c r="O18" i="6"/>
  <c r="P18" i="6"/>
  <c r="Q18" i="6"/>
  <c r="R18" i="6"/>
  <c r="S18" i="6"/>
  <c r="K19" i="6"/>
  <c r="L19" i="6"/>
  <c r="M19" i="6"/>
  <c r="N19" i="6"/>
  <c r="O19" i="6"/>
  <c r="P19" i="6"/>
  <c r="Q19" i="6"/>
  <c r="R19" i="6"/>
  <c r="S19" i="6"/>
  <c r="K20" i="6"/>
  <c r="L20" i="6"/>
  <c r="M20" i="6"/>
  <c r="N20" i="6"/>
  <c r="O20" i="6"/>
  <c r="P20" i="6"/>
  <c r="Q20" i="6"/>
  <c r="R20" i="6"/>
  <c r="S20" i="6"/>
  <c r="R13" i="6"/>
  <c r="Q13" i="6"/>
  <c r="O13" i="6"/>
  <c r="N13" i="6"/>
  <c r="L13" i="6"/>
  <c r="K13" i="6"/>
  <c r="I13" i="10"/>
  <c r="I14" i="10"/>
  <c r="I15" i="10"/>
  <c r="I16" i="10"/>
  <c r="I17" i="10"/>
  <c r="I12" i="10"/>
  <c r="J32" i="9" l="1"/>
  <c r="K32" i="9"/>
  <c r="L32" i="9"/>
  <c r="J33" i="9"/>
  <c r="K33" i="9"/>
  <c r="L33" i="9"/>
  <c r="J34" i="9"/>
  <c r="K34" i="9"/>
  <c r="L34" i="9"/>
  <c r="J35" i="9"/>
  <c r="K35" i="9"/>
  <c r="L35" i="9"/>
  <c r="L31" i="9"/>
  <c r="K31" i="9"/>
  <c r="J31" i="9"/>
  <c r="M22" i="9"/>
  <c r="M23" i="9"/>
  <c r="E16" i="9"/>
  <c r="AI16" i="7"/>
  <c r="AJ16" i="7"/>
  <c r="AO16" i="7"/>
  <c r="AP16" i="7"/>
  <c r="AI17" i="7"/>
  <c r="AJ17" i="7"/>
  <c r="AO17" i="7"/>
  <c r="AP17" i="7"/>
  <c r="AI18" i="7"/>
  <c r="AJ18" i="7"/>
  <c r="AO18" i="7"/>
  <c r="AP18" i="7"/>
  <c r="S19" i="7"/>
  <c r="U19" i="7"/>
  <c r="AB19" i="7"/>
  <c r="AD19" i="7"/>
  <c r="AI19" i="7"/>
  <c r="AJ19" i="7"/>
  <c r="AO19" i="7"/>
  <c r="AP19" i="7"/>
  <c r="AI20" i="7"/>
  <c r="AJ20" i="7"/>
  <c r="AO20" i="7"/>
  <c r="AP20" i="7"/>
  <c r="AJ21" i="7"/>
  <c r="AO21" i="7"/>
  <c r="AP21" i="7"/>
  <c r="AI22" i="7"/>
  <c r="AJ22" i="7"/>
  <c r="AO22" i="7"/>
  <c r="AP22" i="7"/>
  <c r="S23" i="7"/>
  <c r="U23" i="7"/>
  <c r="AB23" i="7"/>
  <c r="AD23" i="7"/>
  <c r="AI24" i="7"/>
  <c r="AJ24" i="7"/>
  <c r="AO24" i="7"/>
  <c r="AP24" i="7"/>
  <c r="AI25" i="7"/>
  <c r="AJ25" i="7"/>
  <c r="AO25" i="7"/>
  <c r="AP25" i="7"/>
  <c r="AI26" i="7"/>
  <c r="AJ26" i="7"/>
  <c r="AO26" i="7"/>
  <c r="AP26" i="7"/>
  <c r="AP15" i="7"/>
  <c r="AO15" i="7"/>
  <c r="AI15" i="7"/>
  <c r="AD15" i="7"/>
  <c r="AB15" i="7"/>
  <c r="Y15" i="7"/>
  <c r="X15" i="7"/>
  <c r="U15" i="7"/>
  <c r="S15" i="7"/>
  <c r="AA23" i="7" a="1"/>
  <c r="AA19" i="7" a="1"/>
  <c r="E14" i="9" l="1"/>
  <c r="E27" i="9" s="1"/>
  <c r="F31" i="5" s="1"/>
  <c r="AA19" i="7"/>
  <c r="AA23" i="7"/>
  <c r="M15" i="13" l="1"/>
  <c r="L15" i="13"/>
  <c r="M23" i="13"/>
  <c r="L23" i="13"/>
  <c r="J24" i="9"/>
  <c r="K24" i="9"/>
  <c r="L24" i="9"/>
  <c r="E34" i="48" l="1"/>
  <c r="F34" i="48" s="1"/>
  <c r="G35" i="13"/>
  <c r="H35" i="13" s="1"/>
  <c r="E40" i="48"/>
  <c r="F40" i="48" s="1"/>
  <c r="G29" i="13"/>
  <c r="H29" i="13" s="1"/>
  <c r="E36" i="9"/>
  <c r="E30" i="9"/>
  <c r="K14" i="13"/>
  <c r="E14" i="13"/>
  <c r="F28" i="13" l="1"/>
  <c r="H28" i="13" s="1"/>
  <c r="D33" i="48"/>
  <c r="F33" i="48" s="1"/>
  <c r="BA19" i="24"/>
  <c r="AZ19" i="24"/>
  <c r="BA18" i="24"/>
  <c r="AZ18" i="24"/>
  <c r="BA17" i="24"/>
  <c r="AZ17" i="24"/>
  <c r="BA16" i="24"/>
  <c r="AZ16" i="24"/>
  <c r="BA15" i="24"/>
  <c r="AZ15" i="24"/>
  <c r="BA14" i="24"/>
  <c r="AZ14" i="24"/>
  <c r="BA13" i="24"/>
  <c r="AZ13" i="24"/>
  <c r="BA12" i="24"/>
  <c r="AZ12" i="24"/>
  <c r="K17" i="41" l="1"/>
  <c r="K16" i="41"/>
  <c r="M15" i="16"/>
  <c r="M16" i="16"/>
  <c r="M14" i="16"/>
  <c r="L50" i="40"/>
  <c r="L51" i="40"/>
  <c r="L49" i="40"/>
  <c r="R44" i="40"/>
  <c r="R43" i="40"/>
  <c r="R42" i="40"/>
  <c r="R41" i="40"/>
  <c r="R40" i="40"/>
  <c r="R39" i="40"/>
  <c r="R38" i="40"/>
  <c r="S37" i="40"/>
  <c r="R37" i="40"/>
  <c r="O44" i="40"/>
  <c r="O43" i="40"/>
  <c r="O42" i="40"/>
  <c r="O41" i="40"/>
  <c r="O40" i="40"/>
  <c r="O39" i="40"/>
  <c r="O38" i="40"/>
  <c r="P37" i="40"/>
  <c r="O37" i="40"/>
  <c r="L44" i="40"/>
  <c r="L43" i="40"/>
  <c r="L42" i="40"/>
  <c r="L41" i="40"/>
  <c r="L40" i="40"/>
  <c r="L39" i="40"/>
  <c r="L38" i="40"/>
  <c r="M37" i="40"/>
  <c r="L37" i="40"/>
  <c r="L26" i="40"/>
  <c r="L27" i="40"/>
  <c r="L25" i="40"/>
  <c r="U20" i="40"/>
  <c r="U19" i="40"/>
  <c r="U18" i="40"/>
  <c r="U17" i="40"/>
  <c r="U16" i="40"/>
  <c r="U15" i="40"/>
  <c r="U14" i="40"/>
  <c r="V13" i="40"/>
  <c r="U13" i="40"/>
  <c r="R20" i="40"/>
  <c r="R19" i="40"/>
  <c r="R18" i="40"/>
  <c r="R17" i="40"/>
  <c r="R16" i="40"/>
  <c r="R15" i="40"/>
  <c r="R14" i="40"/>
  <c r="S13" i="40"/>
  <c r="R13" i="40"/>
  <c r="P13" i="40"/>
  <c r="H39" i="22" l="1"/>
  <c r="O18" i="40"/>
  <c r="O17" i="40"/>
  <c r="O16" i="40"/>
  <c r="O15" i="40"/>
  <c r="O14" i="40"/>
  <c r="L18" i="40"/>
  <c r="L17" i="40"/>
  <c r="L16" i="40"/>
  <c r="L15" i="40"/>
  <c r="L14" i="40"/>
  <c r="K22" i="9"/>
  <c r="J22" i="9"/>
  <c r="K21" i="9"/>
  <c r="J21" i="9"/>
  <c r="K18" i="9"/>
  <c r="J18" i="9"/>
  <c r="K17" i="9"/>
  <c r="J17" i="9"/>
  <c r="K22" i="13" l="1"/>
  <c r="D39" i="48" s="1"/>
  <c r="F39" i="48" s="1"/>
  <c r="K21" i="13"/>
  <c r="D38" i="48" s="1"/>
  <c r="F38" i="48" s="1"/>
  <c r="E22" i="13"/>
  <c r="E21" i="13"/>
  <c r="L11" i="16"/>
  <c r="H59" i="37"/>
  <c r="H58" i="37"/>
  <c r="H56" i="37"/>
  <c r="H55" i="37"/>
  <c r="I56" i="37"/>
  <c r="J56" i="37"/>
  <c r="K56" i="37"/>
  <c r="G56" i="37"/>
  <c r="I58" i="37"/>
  <c r="K58" i="37"/>
  <c r="G58" i="37"/>
  <c r="I59" i="37"/>
  <c r="K59" i="37"/>
  <c r="G59" i="37"/>
  <c r="G55" i="37"/>
  <c r="K55" i="37"/>
  <c r="J55" i="37"/>
  <c r="I55" i="37"/>
  <c r="I48" i="37"/>
  <c r="K48" i="37"/>
  <c r="I50" i="37"/>
  <c r="K50" i="37"/>
  <c r="I51" i="37"/>
  <c r="K51" i="37"/>
  <c r="K44" i="37"/>
  <c r="J44" i="37"/>
  <c r="I44" i="37"/>
  <c r="K43" i="37"/>
  <c r="J43" i="37"/>
  <c r="I43" i="37"/>
  <c r="K42" i="37"/>
  <c r="J42" i="37"/>
  <c r="I42" i="37"/>
  <c r="K41" i="37"/>
  <c r="I41" i="37"/>
  <c r="K40" i="37"/>
  <c r="I40" i="37"/>
  <c r="K39" i="37"/>
  <c r="J39" i="37"/>
  <c r="I39" i="37"/>
  <c r="K38" i="37"/>
  <c r="J38" i="37"/>
  <c r="I38" i="37"/>
  <c r="I25" i="37"/>
  <c r="J25" i="37"/>
  <c r="K25" i="37"/>
  <c r="I26" i="37"/>
  <c r="J26" i="37"/>
  <c r="K26" i="37"/>
  <c r="I27" i="37"/>
  <c r="J27" i="37"/>
  <c r="K27" i="37"/>
  <c r="I28" i="37"/>
  <c r="J28" i="37"/>
  <c r="K28" i="37"/>
  <c r="I29" i="37"/>
  <c r="K29" i="37"/>
  <c r="I30" i="37"/>
  <c r="J30" i="37"/>
  <c r="K30" i="37"/>
  <c r="I31" i="37"/>
  <c r="K31" i="37"/>
  <c r="I32" i="37"/>
  <c r="K32" i="37"/>
  <c r="I18" i="37"/>
  <c r="I19" i="37"/>
  <c r="I20" i="37"/>
  <c r="I21" i="37"/>
  <c r="I24" i="37"/>
  <c r="J24" i="37"/>
  <c r="K24" i="37"/>
  <c r="I13" i="37"/>
  <c r="I14" i="37"/>
  <c r="I15" i="37"/>
  <c r="I16" i="37"/>
  <c r="I17" i="37"/>
  <c r="K11" i="37"/>
  <c r="J11" i="37"/>
  <c r="I11" i="37"/>
  <c r="G33" i="45"/>
  <c r="H33" i="45"/>
  <c r="I33" i="45"/>
  <c r="G34" i="45"/>
  <c r="H34" i="45"/>
  <c r="I34" i="45"/>
  <c r="G35" i="45"/>
  <c r="H35" i="45"/>
  <c r="I35" i="45"/>
  <c r="I32" i="45"/>
  <c r="H32" i="45"/>
  <c r="G32" i="45"/>
  <c r="I29" i="45"/>
  <c r="G29" i="45"/>
  <c r="I28" i="45"/>
  <c r="H28" i="45"/>
  <c r="G28" i="45"/>
  <c r="I27" i="45"/>
  <c r="H27" i="45"/>
  <c r="G27" i="45"/>
  <c r="I26" i="45"/>
  <c r="H26" i="45"/>
  <c r="G26" i="45"/>
  <c r="I25" i="45"/>
  <c r="H25" i="45"/>
  <c r="G25" i="45"/>
  <c r="I24" i="45"/>
  <c r="H24" i="45"/>
  <c r="G24" i="45"/>
  <c r="G12" i="45"/>
  <c r="H12" i="45"/>
  <c r="I12" i="45"/>
  <c r="G13" i="45"/>
  <c r="H13" i="45"/>
  <c r="I13" i="45"/>
  <c r="G14" i="45"/>
  <c r="H14" i="45"/>
  <c r="I14" i="45"/>
  <c r="G15" i="45"/>
  <c r="H15" i="45"/>
  <c r="I15" i="45"/>
  <c r="G16" i="45"/>
  <c r="I16" i="45"/>
  <c r="I11" i="45"/>
  <c r="H11" i="45"/>
  <c r="G11" i="45"/>
  <c r="K14" i="34"/>
  <c r="L14" i="34"/>
  <c r="K15" i="34"/>
  <c r="L15" i="34"/>
  <c r="K16" i="34"/>
  <c r="L16" i="34"/>
  <c r="K17" i="34"/>
  <c r="L17" i="34"/>
  <c r="K18" i="34"/>
  <c r="L18" i="34"/>
  <c r="K19" i="34"/>
  <c r="L19" i="34"/>
  <c r="L13" i="34"/>
  <c r="K13" i="34"/>
  <c r="H14" i="34"/>
  <c r="I14" i="34"/>
  <c r="H15" i="34"/>
  <c r="I15" i="34"/>
  <c r="H16" i="34"/>
  <c r="I16" i="34"/>
  <c r="H17" i="34"/>
  <c r="I17" i="34"/>
  <c r="H18" i="34"/>
  <c r="I18" i="34"/>
  <c r="H19" i="34"/>
  <c r="I19" i="34"/>
  <c r="I13" i="34"/>
  <c r="H13" i="34"/>
  <c r="N13" i="38"/>
  <c r="O13" i="38"/>
  <c r="P13" i="38"/>
  <c r="Q13" i="38"/>
  <c r="R13" i="38"/>
  <c r="S13" i="38"/>
  <c r="T13" i="38"/>
  <c r="U13" i="38"/>
  <c r="V13" i="38"/>
  <c r="N14" i="38"/>
  <c r="O14" i="38"/>
  <c r="P14" i="38"/>
  <c r="Q14" i="38"/>
  <c r="R14" i="38"/>
  <c r="S14" i="38"/>
  <c r="T14" i="38"/>
  <c r="U14" i="38"/>
  <c r="V14" i="38"/>
  <c r="N15" i="38"/>
  <c r="O15" i="38"/>
  <c r="P15" i="38"/>
  <c r="Q15" i="38"/>
  <c r="R15" i="38"/>
  <c r="S15" i="38"/>
  <c r="T15" i="38"/>
  <c r="U15" i="38"/>
  <c r="V15" i="38"/>
  <c r="N16" i="38"/>
  <c r="O16" i="38"/>
  <c r="P16" i="38"/>
  <c r="Q16" i="38"/>
  <c r="R16" i="38"/>
  <c r="S16" i="38"/>
  <c r="T16" i="38"/>
  <c r="U16" i="38"/>
  <c r="V16" i="38"/>
  <c r="N17" i="38"/>
  <c r="O17" i="38"/>
  <c r="P17" i="38"/>
  <c r="Q17" i="38"/>
  <c r="R17" i="38"/>
  <c r="S17" i="38"/>
  <c r="T17" i="38"/>
  <c r="U17" i="38"/>
  <c r="V17" i="38"/>
  <c r="N18" i="38"/>
  <c r="O18" i="38"/>
  <c r="P18" i="38"/>
  <c r="Q18" i="38"/>
  <c r="R18" i="38"/>
  <c r="S18" i="38"/>
  <c r="T18" i="38"/>
  <c r="U18" i="38"/>
  <c r="V18" i="38"/>
  <c r="N19" i="38"/>
  <c r="O19" i="38"/>
  <c r="P19" i="38"/>
  <c r="Q19" i="38"/>
  <c r="R19" i="38"/>
  <c r="S19" i="38"/>
  <c r="T19" i="38"/>
  <c r="U19" i="38"/>
  <c r="V19" i="38"/>
  <c r="N20" i="38"/>
  <c r="O20" i="38"/>
  <c r="P20" i="38"/>
  <c r="Q20" i="38"/>
  <c r="R20" i="38"/>
  <c r="S20" i="38"/>
  <c r="T20" i="38"/>
  <c r="U20" i="38"/>
  <c r="V20" i="38"/>
  <c r="N21" i="38"/>
  <c r="O21" i="38"/>
  <c r="P21" i="38"/>
  <c r="Q21" i="38"/>
  <c r="R21" i="38"/>
  <c r="S21" i="38"/>
  <c r="T21" i="38"/>
  <c r="U21" i="38"/>
  <c r="V21" i="38"/>
  <c r="N22" i="38"/>
  <c r="O22" i="38"/>
  <c r="P22" i="38"/>
  <c r="Q22" i="38"/>
  <c r="R22" i="38"/>
  <c r="S22" i="38"/>
  <c r="T22" i="38"/>
  <c r="U22" i="38"/>
  <c r="V22" i="38"/>
  <c r="N23" i="38"/>
  <c r="O23" i="38"/>
  <c r="P23" i="38"/>
  <c r="Q23" i="38"/>
  <c r="R23" i="38"/>
  <c r="S23" i="38"/>
  <c r="T23" i="38"/>
  <c r="U23" i="38"/>
  <c r="V23" i="38"/>
  <c r="V12" i="38"/>
  <c r="U12" i="38"/>
  <c r="T12" i="38"/>
  <c r="S12" i="38"/>
  <c r="R12" i="38"/>
  <c r="Q12" i="38"/>
  <c r="P12" i="38"/>
  <c r="O12" i="38"/>
  <c r="N12" i="38"/>
  <c r="K13" i="38"/>
  <c r="L13" i="38"/>
  <c r="M13" i="38"/>
  <c r="K14" i="38"/>
  <c r="L14" i="38"/>
  <c r="M14" i="38"/>
  <c r="K15" i="38"/>
  <c r="L15" i="38"/>
  <c r="M15" i="38"/>
  <c r="K16" i="38"/>
  <c r="L16" i="38"/>
  <c r="M16" i="38"/>
  <c r="K17" i="38"/>
  <c r="L17" i="38"/>
  <c r="M17" i="38"/>
  <c r="K18" i="38"/>
  <c r="L18" i="38"/>
  <c r="M18" i="38"/>
  <c r="K19" i="38"/>
  <c r="L19" i="38"/>
  <c r="M19" i="38"/>
  <c r="K20" i="38"/>
  <c r="L20" i="38"/>
  <c r="M20" i="38"/>
  <c r="K21" i="38"/>
  <c r="L21" i="38"/>
  <c r="M21" i="38"/>
  <c r="K22" i="38"/>
  <c r="L22" i="38"/>
  <c r="M22" i="38"/>
  <c r="K23" i="38"/>
  <c r="L23" i="38"/>
  <c r="M23" i="38"/>
  <c r="M12" i="38"/>
  <c r="L12" i="38"/>
  <c r="K12" i="38"/>
  <c r="Q23" i="43"/>
  <c r="P23" i="43"/>
  <c r="Q22" i="43"/>
  <c r="P22" i="43"/>
  <c r="Q21" i="43"/>
  <c r="P21" i="43"/>
  <c r="Q20" i="43"/>
  <c r="P20" i="43"/>
  <c r="Q19" i="43"/>
  <c r="P19" i="43"/>
  <c r="P13" i="43"/>
  <c r="Q13" i="43"/>
  <c r="P14" i="43"/>
  <c r="Q14" i="43"/>
  <c r="P15" i="43"/>
  <c r="Q15" i="43"/>
  <c r="P16" i="43"/>
  <c r="Q16" i="43"/>
  <c r="Q12" i="43"/>
  <c r="P12" i="43"/>
  <c r="H14" i="44"/>
  <c r="G14" i="44"/>
  <c r="G12" i="44"/>
  <c r="H12" i="44"/>
  <c r="H11" i="44"/>
  <c r="G11" i="44"/>
  <c r="H15" i="41"/>
  <c r="K15" i="41"/>
  <c r="H16" i="41"/>
  <c r="H17" i="41"/>
  <c r="H19" i="41"/>
  <c r="I19" i="41"/>
  <c r="K19" i="41"/>
  <c r="L19" i="41"/>
  <c r="H20" i="41"/>
  <c r="I20" i="41"/>
  <c r="K20" i="41"/>
  <c r="L20" i="41"/>
  <c r="H22" i="41"/>
  <c r="I22" i="41"/>
  <c r="K22" i="41"/>
  <c r="L22" i="41"/>
  <c r="H23" i="41"/>
  <c r="I23" i="41"/>
  <c r="K23" i="41"/>
  <c r="L23" i="41"/>
  <c r="H24" i="41"/>
  <c r="I24" i="41"/>
  <c r="K24" i="41"/>
  <c r="L24" i="41"/>
  <c r="H25" i="41"/>
  <c r="K25" i="41"/>
  <c r="H26" i="41"/>
  <c r="K26" i="41"/>
  <c r="H27" i="41"/>
  <c r="K27" i="41"/>
  <c r="L14" i="41"/>
  <c r="K14" i="41"/>
  <c r="I14" i="41"/>
  <c r="H14" i="41"/>
  <c r="H12" i="41"/>
  <c r="I12" i="41"/>
  <c r="K12" i="41"/>
  <c r="L12" i="41"/>
  <c r="L11" i="41"/>
  <c r="K11" i="41"/>
  <c r="H11" i="41"/>
  <c r="I11" i="41"/>
  <c r="T19" i="36"/>
  <c r="T20" i="36"/>
  <c r="X19" i="36"/>
  <c r="X20" i="36"/>
  <c r="O25" i="36"/>
  <c r="N25" i="36"/>
  <c r="AB24" i="36"/>
  <c r="AA24" i="36"/>
  <c r="Z24" i="36"/>
  <c r="X24" i="36"/>
  <c r="W24" i="36"/>
  <c r="V24" i="36"/>
  <c r="T24" i="36"/>
  <c r="S24" i="36"/>
  <c r="R24" i="36"/>
  <c r="P24" i="36"/>
  <c r="O24" i="36"/>
  <c r="N24" i="36"/>
  <c r="AB23" i="36"/>
  <c r="AA23" i="36"/>
  <c r="Z23" i="36"/>
  <c r="X23" i="36"/>
  <c r="W23" i="36"/>
  <c r="V23" i="36"/>
  <c r="T23" i="36"/>
  <c r="S23" i="36"/>
  <c r="R23" i="36"/>
  <c r="P23" i="36"/>
  <c r="O23" i="36"/>
  <c r="N23" i="36"/>
  <c r="AB22" i="36"/>
  <c r="AA22" i="36"/>
  <c r="Z22" i="36"/>
  <c r="X22" i="36"/>
  <c r="W22" i="36"/>
  <c r="V22" i="36"/>
  <c r="T22" i="36"/>
  <c r="S22" i="36"/>
  <c r="R22" i="36"/>
  <c r="P22" i="36"/>
  <c r="O22" i="36"/>
  <c r="N22" i="36"/>
  <c r="AB20" i="36"/>
  <c r="AA20" i="36"/>
  <c r="Z20" i="36"/>
  <c r="W20" i="36"/>
  <c r="V20" i="36"/>
  <c r="S20" i="36"/>
  <c r="R20" i="36"/>
  <c r="P20" i="36"/>
  <c r="O20" i="36"/>
  <c r="N20" i="36"/>
  <c r="AB19" i="36"/>
  <c r="AA19" i="36"/>
  <c r="Z19" i="36"/>
  <c r="W19" i="36"/>
  <c r="V19" i="36"/>
  <c r="S19" i="36"/>
  <c r="R19" i="36"/>
  <c r="P19" i="36"/>
  <c r="O19" i="36"/>
  <c r="N19" i="36"/>
  <c r="R15" i="36"/>
  <c r="S15" i="36"/>
  <c r="R16" i="36"/>
  <c r="S16" i="36"/>
  <c r="R17" i="36"/>
  <c r="S17" i="36"/>
  <c r="AB14" i="36"/>
  <c r="AA14" i="36"/>
  <c r="Z14" i="36"/>
  <c r="X14" i="36"/>
  <c r="W14" i="36"/>
  <c r="V14" i="36"/>
  <c r="T14" i="36"/>
  <c r="S14" i="36"/>
  <c r="R14" i="36"/>
  <c r="R12" i="36"/>
  <c r="S12" i="36"/>
  <c r="T12" i="36"/>
  <c r="V12" i="36"/>
  <c r="W12" i="36"/>
  <c r="X12" i="36"/>
  <c r="Z12" i="36"/>
  <c r="AA12" i="36"/>
  <c r="AB12" i="36"/>
  <c r="AB11" i="36"/>
  <c r="AA11" i="36"/>
  <c r="Z11" i="36"/>
  <c r="X11" i="36"/>
  <c r="W11" i="36"/>
  <c r="V11" i="36"/>
  <c r="T11" i="36"/>
  <c r="S11" i="36"/>
  <c r="R11" i="36"/>
  <c r="N15" i="36"/>
  <c r="O15" i="36"/>
  <c r="N16" i="36"/>
  <c r="O16" i="36"/>
  <c r="N17" i="36"/>
  <c r="O17" i="36"/>
  <c r="P14" i="36"/>
  <c r="O14" i="36"/>
  <c r="N14" i="36"/>
  <c r="N12" i="36"/>
  <c r="O12" i="36"/>
  <c r="P12" i="36"/>
  <c r="P11" i="36"/>
  <c r="O11" i="36"/>
  <c r="N11" i="36"/>
  <c r="O20" i="40"/>
  <c r="O19" i="40"/>
  <c r="O13" i="40"/>
  <c r="L19" i="40"/>
  <c r="L20" i="40"/>
  <c r="M13" i="40"/>
  <c r="L13" i="40"/>
  <c r="I39" i="22"/>
  <c r="I32" i="22"/>
  <c r="H32" i="22"/>
  <c r="G32" i="22"/>
  <c r="I10" i="22"/>
  <c r="H23" i="22"/>
  <c r="G23" i="22"/>
  <c r="H22" i="22"/>
  <c r="G22" i="22"/>
  <c r="H21" i="22"/>
  <c r="G21" i="22"/>
  <c r="G18" i="22"/>
  <c r="H18" i="22"/>
  <c r="I18" i="22"/>
  <c r="G19" i="22"/>
  <c r="H19" i="22"/>
  <c r="I19" i="22"/>
  <c r="G16" i="22"/>
  <c r="H16" i="22"/>
  <c r="I16" i="22"/>
  <c r="G15" i="22"/>
  <c r="H15" i="22"/>
  <c r="I15" i="22"/>
  <c r="G77" i="21"/>
  <c r="H77" i="21"/>
  <c r="G78" i="21"/>
  <c r="H78" i="21"/>
  <c r="G79" i="21"/>
  <c r="H79" i="21"/>
  <c r="G80" i="21"/>
  <c r="H80" i="21"/>
  <c r="G81" i="21"/>
  <c r="H81" i="21"/>
  <c r="G82" i="21"/>
  <c r="H82" i="21"/>
  <c r="G83" i="21"/>
  <c r="H83" i="21"/>
  <c r="G85" i="21"/>
  <c r="H85" i="21"/>
  <c r="G86" i="21"/>
  <c r="H86" i="21"/>
  <c r="H76" i="21"/>
  <c r="G76" i="21"/>
  <c r="G57" i="21"/>
  <c r="H57" i="21"/>
  <c r="G58" i="21"/>
  <c r="H58" i="21"/>
  <c r="G59" i="21"/>
  <c r="H59" i="21"/>
  <c r="G60" i="21"/>
  <c r="H60" i="21"/>
  <c r="G61" i="21"/>
  <c r="H61" i="21"/>
  <c r="G62" i="21"/>
  <c r="H62" i="21"/>
  <c r="G63" i="21"/>
  <c r="H63" i="21"/>
  <c r="G65" i="21"/>
  <c r="H65" i="21"/>
  <c r="G66" i="21"/>
  <c r="H66" i="21"/>
  <c r="H56" i="21"/>
  <c r="G56" i="21"/>
  <c r="H46" i="21"/>
  <c r="G46" i="21"/>
  <c r="H45" i="21"/>
  <c r="G45" i="21"/>
  <c r="H44" i="21"/>
  <c r="G44" i="21"/>
  <c r="H42" i="21"/>
  <c r="G42" i="21"/>
  <c r="H41" i="21"/>
  <c r="G41" i="21"/>
  <c r="H40" i="21"/>
  <c r="G40" i="21"/>
  <c r="H39" i="21"/>
  <c r="G39" i="21"/>
  <c r="H38" i="21"/>
  <c r="G38" i="21"/>
  <c r="H37" i="21"/>
  <c r="G37" i="21"/>
  <c r="H36" i="21"/>
  <c r="G36" i="21"/>
  <c r="H35" i="21"/>
  <c r="G35" i="21"/>
  <c r="G15" i="21"/>
  <c r="H15" i="21"/>
  <c r="G16" i="21"/>
  <c r="H16" i="21"/>
  <c r="G17" i="21"/>
  <c r="H17" i="21"/>
  <c r="G18" i="21"/>
  <c r="H18" i="21"/>
  <c r="G19" i="21"/>
  <c r="H19" i="21"/>
  <c r="G20" i="21"/>
  <c r="H20" i="21"/>
  <c r="G21" i="21"/>
  <c r="H21" i="21"/>
  <c r="G23" i="21"/>
  <c r="H23" i="21"/>
  <c r="G24" i="21"/>
  <c r="H24" i="21"/>
  <c r="G25" i="21"/>
  <c r="H25" i="21"/>
  <c r="G28" i="21"/>
  <c r="H28" i="21"/>
  <c r="H14" i="21"/>
  <c r="G14" i="21"/>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34" i="18"/>
  <c r="H35" i="18"/>
  <c r="H36" i="18"/>
  <c r="H38" i="18"/>
  <c r="H39" i="18"/>
  <c r="H40" i="18"/>
  <c r="H42" i="18"/>
  <c r="H43" i="18"/>
  <c r="H44" i="18"/>
  <c r="H46" i="18"/>
  <c r="H47" i="18"/>
  <c r="H48" i="18"/>
  <c r="H49" i="18"/>
  <c r="H32" i="18"/>
  <c r="J11" i="16"/>
  <c r="J12" i="16"/>
  <c r="L12" i="16"/>
  <c r="J13" i="16"/>
  <c r="L13" i="16"/>
  <c r="J14" i="16"/>
  <c r="J15" i="16"/>
  <c r="J16" i="16"/>
  <c r="I12" i="5"/>
  <c r="F34" i="13" l="1"/>
  <c r="H34" i="13" s="1"/>
  <c r="F33" i="13"/>
  <c r="H33" i="13" s="1"/>
  <c r="AK16" i="24"/>
  <c r="AN16" i="24"/>
  <c r="AO16" i="24"/>
  <c r="AQ16" i="24"/>
  <c r="AR16" i="24"/>
  <c r="AT16" i="24"/>
  <c r="AU16" i="24"/>
  <c r="AW16" i="24"/>
  <c r="AX16" i="24"/>
  <c r="AK17" i="24"/>
  <c r="AN17" i="24"/>
  <c r="AO17" i="24"/>
  <c r="AQ17" i="24"/>
  <c r="AR17" i="24"/>
  <c r="AT17" i="24"/>
  <c r="AU17" i="24"/>
  <c r="AW17" i="24"/>
  <c r="AX17" i="24"/>
  <c r="AK18" i="24"/>
  <c r="AN18" i="24"/>
  <c r="AO18" i="24"/>
  <c r="AQ18" i="24"/>
  <c r="AR18" i="24"/>
  <c r="AT18" i="24"/>
  <c r="AU18" i="24"/>
  <c r="AW18" i="24"/>
  <c r="AX18" i="24"/>
  <c r="AK19" i="24"/>
  <c r="AN19" i="24"/>
  <c r="AO19" i="24"/>
  <c r="AQ19" i="24"/>
  <c r="AR19" i="24"/>
  <c r="AT19" i="24"/>
  <c r="AU19" i="24"/>
  <c r="AW19" i="24"/>
  <c r="AX19" i="24"/>
  <c r="AK12" i="24"/>
  <c r="AN12" i="24"/>
  <c r="AO12" i="24"/>
  <c r="AQ12" i="24"/>
  <c r="AR12" i="24"/>
  <c r="AT12" i="24"/>
  <c r="AU12" i="24"/>
  <c r="AW12" i="24"/>
  <c r="AX12" i="24"/>
  <c r="AK13" i="24"/>
  <c r="AN13" i="24"/>
  <c r="AO13" i="24"/>
  <c r="AQ13" i="24"/>
  <c r="AR13" i="24"/>
  <c r="AT13" i="24"/>
  <c r="AU13" i="24"/>
  <c r="AW13" i="24"/>
  <c r="AX13" i="24"/>
  <c r="AK14" i="24"/>
  <c r="AN14" i="24"/>
  <c r="AO14" i="24"/>
  <c r="AQ14" i="24"/>
  <c r="AR14" i="24"/>
  <c r="AT14" i="24"/>
  <c r="AU14" i="24"/>
  <c r="AW14" i="24"/>
  <c r="AX14" i="24"/>
  <c r="AK15" i="24"/>
  <c r="AN15" i="24"/>
  <c r="AO15" i="24"/>
  <c r="AQ15" i="24"/>
  <c r="AR15" i="24"/>
  <c r="AT15" i="24"/>
  <c r="AU15" i="24"/>
  <c r="AW15" i="24"/>
  <c r="AX15" i="24"/>
  <c r="AX11" i="24"/>
  <c r="AW11" i="24"/>
  <c r="AU11" i="24"/>
  <c r="AT11" i="24"/>
  <c r="AR11" i="24"/>
  <c r="AQ11" i="24"/>
  <c r="AO11" i="24"/>
  <c r="AN11" i="24"/>
  <c r="AL11" i="24"/>
  <c r="AK11" i="24"/>
  <c r="R21" i="13"/>
  <c r="S21" i="13"/>
  <c r="T21" i="13"/>
  <c r="U21" i="13"/>
  <c r="V21" i="13"/>
  <c r="W21" i="13"/>
  <c r="X21" i="13"/>
  <c r="Y21" i="13"/>
  <c r="Z21" i="13"/>
  <c r="AA21" i="13"/>
  <c r="AB21" i="13"/>
  <c r="AC21" i="13"/>
  <c r="AD21" i="13"/>
  <c r="AE21" i="13"/>
  <c r="AF21" i="13"/>
  <c r="AJ21" i="13"/>
  <c r="AK21" i="13"/>
  <c r="AL21" i="13"/>
  <c r="AM21" i="13"/>
  <c r="AN21" i="13"/>
  <c r="AO21" i="13"/>
  <c r="R22" i="13"/>
  <c r="S22" i="13"/>
  <c r="T22" i="13"/>
  <c r="U22" i="13"/>
  <c r="V22" i="13"/>
  <c r="W22" i="13"/>
  <c r="X22" i="13"/>
  <c r="Y22" i="13"/>
  <c r="Z22" i="13"/>
  <c r="AA22" i="13"/>
  <c r="AB22" i="13"/>
  <c r="AC22" i="13"/>
  <c r="AD22" i="13"/>
  <c r="AE22" i="13"/>
  <c r="AF22" i="13"/>
  <c r="AJ22" i="13"/>
  <c r="AK22" i="13"/>
  <c r="AL22" i="13"/>
  <c r="AM22" i="13"/>
  <c r="AN22" i="13"/>
  <c r="AO22" i="13"/>
  <c r="AO14" i="13"/>
  <c r="AN14" i="13"/>
  <c r="AM14" i="13"/>
  <c r="AL14" i="13"/>
  <c r="AK14" i="13"/>
  <c r="AJ14" i="13"/>
  <c r="AF14" i="13"/>
  <c r="AE14" i="13"/>
  <c r="AD14" i="13"/>
  <c r="AC14" i="13"/>
  <c r="AB14" i="13"/>
  <c r="AA14" i="13"/>
  <c r="Z14" i="13"/>
  <c r="Y14" i="13"/>
  <c r="W14" i="13"/>
  <c r="V14" i="13"/>
  <c r="U14" i="13"/>
  <c r="T14" i="13"/>
  <c r="S14" i="13"/>
  <c r="R14" i="13"/>
  <c r="H29" i="11"/>
  <c r="I29" i="11"/>
  <c r="K29" i="11"/>
  <c r="L29" i="11"/>
  <c r="H30" i="11"/>
  <c r="I30" i="11"/>
  <c r="K30" i="11"/>
  <c r="L30" i="11"/>
  <c r="H31" i="11"/>
  <c r="I31" i="11"/>
  <c r="K31" i="11"/>
  <c r="L31" i="11"/>
  <c r="L28" i="11"/>
  <c r="K28" i="11"/>
  <c r="I28" i="11"/>
  <c r="H28" i="11"/>
  <c r="H19" i="11"/>
  <c r="I19" i="11"/>
  <c r="J19" i="11"/>
  <c r="K19" i="11"/>
  <c r="L19" i="11"/>
  <c r="M19" i="11"/>
  <c r="H12" i="11"/>
  <c r="I12" i="11"/>
  <c r="K12" i="11"/>
  <c r="L12" i="11"/>
  <c r="H13" i="11"/>
  <c r="I13" i="11"/>
  <c r="J13" i="11"/>
  <c r="K13" i="11"/>
  <c r="L13" i="11"/>
  <c r="M13" i="11"/>
  <c r="H14" i="11"/>
  <c r="I14" i="11"/>
  <c r="J14" i="11"/>
  <c r="K14" i="11"/>
  <c r="L14" i="11"/>
  <c r="M14" i="11"/>
  <c r="H15" i="11"/>
  <c r="I15" i="11"/>
  <c r="J15" i="11"/>
  <c r="K15" i="11"/>
  <c r="L15" i="11"/>
  <c r="M15" i="11"/>
  <c r="H16" i="11"/>
  <c r="I16" i="11"/>
  <c r="J16" i="11"/>
  <c r="K16" i="11"/>
  <c r="L16" i="11"/>
  <c r="M16" i="11"/>
  <c r="H17" i="11"/>
  <c r="I17" i="11"/>
  <c r="J17" i="11"/>
  <c r="K17" i="11"/>
  <c r="L17" i="11"/>
  <c r="M17" i="11"/>
  <c r="H18" i="11"/>
  <c r="I18" i="11"/>
  <c r="J18" i="11"/>
  <c r="K18" i="11"/>
  <c r="L18" i="11"/>
  <c r="M18" i="11"/>
  <c r="L11" i="11"/>
  <c r="K11" i="11"/>
  <c r="I11" i="11"/>
  <c r="H11" i="11"/>
  <c r="H17" i="10"/>
  <c r="G17" i="10"/>
  <c r="H16" i="10"/>
  <c r="G16" i="10"/>
  <c r="H15" i="10"/>
  <c r="G15" i="10"/>
  <c r="H14" i="10"/>
  <c r="G14" i="10"/>
  <c r="H13" i="10"/>
  <c r="G13" i="10"/>
  <c r="H12" i="10"/>
  <c r="G12" i="10"/>
  <c r="L26" i="9"/>
  <c r="L25" i="9"/>
  <c r="J26" i="9"/>
  <c r="K26" i="9"/>
  <c r="J19" i="9"/>
  <c r="K19" i="9"/>
  <c r="J23" i="9"/>
  <c r="K23" i="9"/>
  <c r="J25" i="9"/>
  <c r="K25" i="9"/>
  <c r="K34" i="5" l="1"/>
  <c r="J34" i="5"/>
  <c r="I34" i="5"/>
  <c r="I30" i="5"/>
  <c r="J30" i="5"/>
  <c r="K30" i="5"/>
  <c r="J29" i="5"/>
  <c r="I13" i="5"/>
  <c r="J13" i="5"/>
  <c r="K13" i="5"/>
  <c r="I14" i="5"/>
  <c r="J14" i="5"/>
  <c r="K14" i="5"/>
  <c r="I15" i="5"/>
  <c r="J15" i="5"/>
  <c r="K15" i="5"/>
  <c r="I16" i="5"/>
  <c r="J16" i="5"/>
  <c r="K16" i="5"/>
  <c r="I17" i="5"/>
  <c r="J17" i="5"/>
  <c r="K17" i="5"/>
  <c r="I18" i="5"/>
  <c r="J18" i="5"/>
  <c r="K18" i="5"/>
  <c r="I19" i="5"/>
  <c r="J19" i="5"/>
  <c r="K19" i="5"/>
  <c r="I20" i="5"/>
  <c r="J20" i="5"/>
  <c r="K20" i="5"/>
  <c r="L20" i="5"/>
  <c r="M20" i="5"/>
  <c r="N20" i="5"/>
  <c r="M19" i="5"/>
  <c r="J12" i="5"/>
  <c r="K29" i="5"/>
  <c r="N19" i="5"/>
  <c r="K12" i="5"/>
  <c r="L19" i="5" l="1"/>
  <c r="I29" i="5"/>
  <c r="O12" i="5"/>
  <c r="E27" i="36" l="1"/>
  <c r="E26" i="36"/>
  <c r="E25" i="36"/>
  <c r="E24" i="36"/>
  <c r="E23" i="36"/>
  <c r="E22" i="36"/>
  <c r="E20" i="36"/>
  <c r="E19" i="36"/>
  <c r="E17" i="36"/>
  <c r="E16" i="36"/>
  <c r="E15" i="36"/>
  <c r="E14" i="36"/>
  <c r="E12" i="36"/>
  <c r="E11" i="36"/>
  <c r="F48" i="33"/>
  <c r="E48" i="33"/>
  <c r="F40" i="33"/>
  <c r="E40" i="33"/>
  <c r="E27" i="33"/>
  <c r="E26" i="33"/>
  <c r="E25" i="33"/>
  <c r="E24" i="33"/>
  <c r="E23" i="33"/>
  <c r="E22" i="33"/>
  <c r="E18" i="33"/>
  <c r="E17" i="33"/>
  <c r="E16" i="33"/>
  <c r="E15" i="33"/>
  <c r="E14" i="33"/>
  <c r="E13" i="33"/>
  <c r="E57" i="37"/>
  <c r="E49" i="37"/>
  <c r="E49" i="33" l="1"/>
  <c r="F49" i="33"/>
  <c r="E29" i="48" l="1"/>
  <c r="F43" i="5"/>
  <c r="E30" i="48"/>
  <c r="F55" i="33"/>
  <c r="E56" i="33"/>
  <c r="E30" i="45"/>
  <c r="E17" i="45"/>
  <c r="E17" i="22" l="1"/>
  <c r="E14" i="22"/>
  <c r="E29" i="22"/>
  <c r="J26" i="41" l="1"/>
  <c r="M26" i="41"/>
  <c r="J15" i="41"/>
  <c r="M15" i="41"/>
  <c r="J25" i="41"/>
  <c r="M25" i="41"/>
  <c r="J16" i="41"/>
  <c r="M16" i="41"/>
  <c r="J27" i="41"/>
  <c r="M27" i="41"/>
  <c r="J17" i="41"/>
  <c r="M17" i="41"/>
  <c r="E36" i="45"/>
  <c r="C1" i="40"/>
  <c r="C1" i="45"/>
  <c r="C1" i="44"/>
  <c r="C1" i="43"/>
  <c r="C1" i="41"/>
  <c r="E52" i="40"/>
  <c r="H45" i="40"/>
  <c r="G37" i="40"/>
  <c r="G45" i="40" s="1"/>
  <c r="E45" i="40"/>
  <c r="E28" i="40"/>
  <c r="I21" i="40"/>
  <c r="H21" i="40"/>
  <c r="G13" i="40"/>
  <c r="G21" i="40" s="1"/>
  <c r="E21" i="40"/>
  <c r="G32" i="5" l="1"/>
  <c r="F32" i="5"/>
  <c r="I28" i="33"/>
  <c r="H28" i="33"/>
  <c r="G28" i="33"/>
  <c r="F28" i="33"/>
  <c r="E28" i="33"/>
  <c r="I19" i="33"/>
  <c r="F19" i="33"/>
  <c r="G19" i="33"/>
  <c r="H19" i="33"/>
  <c r="E19" i="33"/>
  <c r="J20" i="13"/>
  <c r="K20" i="13"/>
  <c r="L20" i="13"/>
  <c r="M20" i="13"/>
  <c r="G33" i="5" s="1"/>
  <c r="I20" i="13"/>
  <c r="H20" i="13"/>
  <c r="G20" i="13"/>
  <c r="F20" i="13"/>
  <c r="E20" i="13"/>
  <c r="E37" i="48" l="1"/>
  <c r="F32" i="13"/>
  <c r="D37" i="48"/>
  <c r="F37" i="48" s="1"/>
  <c r="F33" i="5"/>
  <c r="G32" i="13"/>
  <c r="H32" i="13"/>
  <c r="F29" i="33"/>
  <c r="G29" i="33"/>
  <c r="H29" i="33"/>
  <c r="I29" i="33"/>
  <c r="E29" i="33"/>
  <c r="D30" i="48" l="1"/>
  <c r="F30" i="48" s="1"/>
  <c r="E55" i="33"/>
  <c r="G55" i="33" s="1"/>
  <c r="E17" i="16"/>
  <c r="C1" i="38" l="1"/>
  <c r="E45" i="37" l="1"/>
  <c r="E33" i="37"/>
  <c r="E12" i="37" l="1"/>
  <c r="C1" i="37"/>
  <c r="C1" i="36"/>
  <c r="E22" i="37" l="1"/>
  <c r="E28" i="18"/>
  <c r="E52" i="37" l="1"/>
  <c r="E34" i="5" l="1"/>
  <c r="E30" i="5"/>
  <c r="E29" i="5"/>
  <c r="E32" i="5"/>
  <c r="G35" i="5" l="1"/>
  <c r="E33" i="5"/>
  <c r="C1" i="34" l="1"/>
  <c r="C1" i="33"/>
  <c r="G21" i="5"/>
  <c r="E31" i="5" l="1"/>
  <c r="E35" i="5" s="1"/>
  <c r="F56" i="33" l="1"/>
  <c r="G56" i="33" s="1"/>
  <c r="E43" i="5"/>
  <c r="F35" i="5"/>
  <c r="D29" i="48" s="1"/>
  <c r="F29" i="48" s="1"/>
  <c r="G43" i="5" l="1"/>
  <c r="D43" i="5"/>
  <c r="C126" i="31"/>
  <c r="C104" i="31" s="1"/>
  <c r="C125" i="31"/>
  <c r="C124" i="31"/>
  <c r="C123" i="31"/>
  <c r="C122" i="31"/>
  <c r="C121" i="31"/>
  <c r="C120" i="31"/>
  <c r="C114" i="31"/>
  <c r="C105" i="31"/>
  <c r="C99" i="31"/>
  <c r="C101" i="31" s="1"/>
  <c r="C98" i="31"/>
  <c r="C95" i="31"/>
  <c r="C94" i="31"/>
  <c r="C93" i="31"/>
  <c r="C91" i="31"/>
  <c r="C92" i="31" s="1"/>
  <c r="C90" i="31"/>
  <c r="C75" i="31"/>
  <c r="C74" i="31"/>
  <c r="C71" i="31"/>
  <c r="C70" i="31"/>
  <c r="C69" i="31"/>
  <c r="C64" i="31"/>
  <c r="C57" i="31"/>
  <c r="C81" i="31" s="1"/>
  <c r="C56" i="31"/>
  <c r="C60" i="31" s="1"/>
  <c r="C54" i="31"/>
  <c r="C38" i="31"/>
  <c r="C35" i="31"/>
  <c r="C31" i="31"/>
  <c r="C29" i="31"/>
  <c r="C27" i="31"/>
  <c r="C24" i="31"/>
  <c r="C30" i="31" s="1"/>
  <c r="C22" i="31"/>
  <c r="C21" i="31"/>
  <c r="C17" i="31"/>
  <c r="C16" i="31"/>
  <c r="C15" i="31"/>
  <c r="C13" i="31"/>
  <c r="C10" i="31"/>
  <c r="C9" i="31"/>
  <c r="H38" i="30"/>
  <c r="D27" i="30"/>
  <c r="D24" i="30"/>
  <c r="G212" i="29"/>
  <c r="F212" i="29"/>
  <c r="E212" i="29"/>
  <c r="D212" i="29"/>
  <c r="M207" i="29"/>
  <c r="L207" i="29"/>
  <c r="K207" i="29"/>
  <c r="J207" i="29"/>
  <c r="I207" i="29"/>
  <c r="H207" i="29"/>
  <c r="G207" i="29"/>
  <c r="F207" i="29"/>
  <c r="E207" i="29"/>
  <c r="D207" i="29"/>
  <c r="F10" i="24"/>
  <c r="AK10" i="24" s="1"/>
  <c r="C1" i="24"/>
  <c r="C1" i="22"/>
  <c r="C1" i="21"/>
  <c r="C1" i="18"/>
  <c r="C1" i="16"/>
  <c r="C1" i="13"/>
  <c r="C1" i="11"/>
  <c r="C1" i="10"/>
  <c r="C1" i="9"/>
  <c r="C1" i="8"/>
  <c r="C1" i="7"/>
  <c r="C1" i="6"/>
  <c r="F21" i="5"/>
  <c r="C1" i="5"/>
  <c r="C3" i="4"/>
  <c r="C2" i="4"/>
  <c r="C2" i="47" s="1"/>
  <c r="B3" i="3"/>
  <c r="B2" i="3"/>
  <c r="C39" i="31"/>
  <c r="E21" i="5" l="1"/>
  <c r="C2" i="45"/>
  <c r="C2" i="40"/>
  <c r="C3" i="45"/>
  <c r="C3" i="40"/>
  <c r="C3" i="43"/>
  <c r="C3" i="44"/>
  <c r="C2" i="43"/>
  <c r="C2" i="44"/>
  <c r="C103" i="31"/>
  <c r="C2" i="41"/>
  <c r="C3" i="41"/>
  <c r="C2" i="37"/>
  <c r="C2" i="38"/>
  <c r="C3" i="37"/>
  <c r="C3" i="38"/>
  <c r="C2" i="36"/>
  <c r="C3" i="36"/>
  <c r="G10" i="24"/>
  <c r="C3" i="33"/>
  <c r="C3" i="34"/>
  <c r="C76" i="31"/>
  <c r="C107" i="31" s="1"/>
  <c r="C108" i="31" s="1"/>
  <c r="C2" i="33"/>
  <c r="C2" i="34"/>
  <c r="C61" i="31"/>
  <c r="C65" i="31"/>
  <c r="C100" i="31"/>
  <c r="C66" i="31"/>
  <c r="C55" i="31"/>
  <c r="C59" i="31" s="1"/>
  <c r="C87" i="31"/>
  <c r="C3" i="9"/>
  <c r="C3" i="13"/>
  <c r="C2" i="7"/>
  <c r="C3" i="7"/>
  <c r="C3" i="5"/>
  <c r="C2" i="18"/>
  <c r="C3" i="22"/>
  <c r="C80" i="31"/>
  <c r="C2" i="5"/>
  <c r="C2" i="8"/>
  <c r="C2" i="16"/>
  <c r="C3" i="18"/>
  <c r="C2" i="21"/>
  <c r="C58" i="31"/>
  <c r="C23" i="31" s="1"/>
  <c r="C2" i="6"/>
  <c r="C2" i="22"/>
  <c r="C3" i="8"/>
  <c r="C3" i="16"/>
  <c r="C3" i="21"/>
  <c r="C2" i="24"/>
  <c r="C83" i="31"/>
  <c r="C2" i="10"/>
  <c r="C2" i="11"/>
  <c r="C3" i="24"/>
  <c r="C84" i="31"/>
  <c r="C3" i="6"/>
  <c r="C3" i="10"/>
  <c r="C3" i="11"/>
  <c r="C2" i="9"/>
  <c r="C2" i="13"/>
  <c r="E64" i="30"/>
  <c r="E65" i="30"/>
  <c r="E71" i="30"/>
  <c r="E52" i="30"/>
  <c r="I43" i="30"/>
  <c r="I48" i="30"/>
  <c r="E67" i="30"/>
  <c r="E59" i="30"/>
  <c r="I40" i="30"/>
  <c r="E63" i="30"/>
  <c r="I46" i="30"/>
  <c r="I45" i="30"/>
  <c r="E62" i="30"/>
  <c r="I42" i="30"/>
  <c r="I38" i="30"/>
  <c r="E72" i="30"/>
  <c r="E60" i="30"/>
  <c r="I44" i="30"/>
  <c r="E70" i="30"/>
  <c r="I39" i="30"/>
  <c r="E61" i="30"/>
  <c r="E66" i="30"/>
  <c r="E58" i="30"/>
  <c r="E69" i="30"/>
  <c r="E57" i="30"/>
  <c r="I41" i="30"/>
  <c r="I49" i="30"/>
  <c r="I51" i="30"/>
  <c r="I53" i="30"/>
  <c r="I50" i="30"/>
  <c r="E68" i="30"/>
  <c r="I47" i="30"/>
  <c r="I52" i="30"/>
  <c r="H10" i="24" l="1"/>
  <c r="AN10" i="24"/>
  <c r="C33" i="31"/>
  <c r="C77" i="31"/>
  <c r="C32" i="31"/>
  <c r="E195" i="29"/>
  <c r="E39" i="30"/>
  <c r="G43" i="30"/>
  <c r="G52" i="30"/>
  <c r="G40" i="30"/>
  <c r="E50" i="30"/>
  <c r="G53" i="30"/>
  <c r="G38" i="30"/>
  <c r="E41" i="30"/>
  <c r="E48" i="30"/>
  <c r="E46" i="30"/>
  <c r="G42" i="30"/>
  <c r="G49" i="30"/>
  <c r="E42" i="30"/>
  <c r="E49" i="30"/>
  <c r="E40" i="30"/>
  <c r="G50" i="30"/>
  <c r="E38" i="30"/>
  <c r="G45" i="30"/>
  <c r="E51" i="30"/>
  <c r="E53" i="30"/>
  <c r="G41" i="30"/>
  <c r="E47" i="30"/>
  <c r="E44" i="30"/>
  <c r="G51" i="30"/>
  <c r="E45" i="30"/>
  <c r="G47" i="30"/>
  <c r="G48" i="30"/>
  <c r="G46" i="30"/>
  <c r="E43" i="30"/>
  <c r="G44" i="30"/>
  <c r="G39" i="30"/>
  <c r="I10" i="24" l="1"/>
  <c r="AQ10" i="24"/>
  <c r="C53" i="31"/>
  <c r="C117" i="31"/>
  <c r="C52" i="31"/>
  <c r="J10" i="24" l="1"/>
  <c r="AT10" i="24"/>
  <c r="K10" i="24" l="1"/>
  <c r="AW10" i="24"/>
  <c r="L10" i="24" l="1"/>
  <c r="AZ10" i="24"/>
  <c r="M10" i="24" l="1"/>
  <c r="BC10" i="24"/>
  <c r="N10" i="24" l="1"/>
  <c r="BF10" i="24"/>
  <c r="O10" i="24" l="1"/>
  <c r="BI10" i="24"/>
  <c r="P10" i="24" l="1"/>
  <c r="BL10" i="24"/>
  <c r="Q10" i="24" l="1"/>
  <c r="BO10" i="24"/>
  <c r="R10" i="24" l="1"/>
  <c r="BR10" i="24"/>
  <c r="S10" i="24" l="1"/>
  <c r="BU10" i="24"/>
  <c r="T10" i="24" l="1"/>
  <c r="BX10" i="24"/>
  <c r="U10" i="24" l="1"/>
  <c r="CA10" i="24"/>
  <c r="V10" i="24" l="1"/>
  <c r="CD10" i="24"/>
  <c r="W10" i="24" l="1"/>
  <c r="CG10" i="24"/>
  <c r="X10" i="24" l="1"/>
  <c r="CJ10" i="24"/>
  <c r="Y10" i="24" l="1"/>
  <c r="CM10" i="24"/>
  <c r="Z10" i="24" l="1"/>
  <c r="CP10" i="24"/>
  <c r="AA10" i="24" l="1"/>
  <c r="CS10" i="24"/>
  <c r="AB10" i="24" l="1"/>
  <c r="CV10" i="24"/>
  <c r="AC10" i="24" l="1"/>
  <c r="CY10" i="24"/>
  <c r="AD10" i="24" l="1"/>
  <c r="DB10" i="24"/>
  <c r="AE10" i="24" l="1"/>
  <c r="DE10" i="24"/>
  <c r="AF10" i="24" l="1"/>
  <c r="DH10" i="24"/>
  <c r="AG10" i="24" l="1"/>
  <c r="DK10" i="24"/>
  <c r="AH10" i="24" l="1"/>
  <c r="DN10" i="24"/>
  <c r="AI10" i="24" l="1"/>
  <c r="DT10" i="24" s="1"/>
  <c r="DQ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<sst xmlns="http://schemas.openxmlformats.org/spreadsheetml/2006/main" count="4110" uniqueCount="1707">
  <si>
    <t>CONTENTS</t>
  </si>
  <si>
    <t>TEMPLATE DATE</t>
  </si>
  <si>
    <t>Business &amp; other details</t>
  </si>
  <si>
    <t>2.1 Expenditure summary</t>
  </si>
  <si>
    <t>2.2 Repex</t>
  </si>
  <si>
    <t>2.5 Connections</t>
  </si>
  <si>
    <t>2.6 Non-network</t>
  </si>
  <si>
    <t>2.7 Vegetation management</t>
  </si>
  <si>
    <t>2.8 Maintenance</t>
  </si>
  <si>
    <t>2.10 Overheads</t>
  </si>
  <si>
    <t>3.1 Revenue</t>
  </si>
  <si>
    <t>3.2.3 Provisions</t>
  </si>
  <si>
    <t>3.5 Physical assets</t>
  </si>
  <si>
    <t>3.6 Quality of services</t>
  </si>
  <si>
    <t>5.2 Asset Age Profile</t>
  </si>
  <si>
    <t>BUSINESS &amp; OTHER DETAILS</t>
  </si>
  <si>
    <t>SUBMISSION PARTICULARS INPUT SHEET</t>
  </si>
  <si>
    <t>Business Name</t>
  </si>
  <si>
    <t>Short name</t>
  </si>
  <si>
    <t>Australian Transmission Co.</t>
  </si>
  <si>
    <t>ACN/ABN</t>
  </si>
  <si>
    <t>2020-21</t>
  </si>
  <si>
    <t>2022-23</t>
  </si>
  <si>
    <t>Source</t>
  </si>
  <si>
    <t>Reporting</t>
  </si>
  <si>
    <t>Consolidated</t>
  </si>
  <si>
    <t>Confidentiality Status</t>
  </si>
  <si>
    <t>Public</t>
  </si>
  <si>
    <t>.</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</si>
  <si>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</si>
  <si>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</si>
  <si>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</si>
  <si>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</si>
  <si>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</si>
  <si>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</si>
  <si>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</si>
  <si>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</si>
  <si>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</si>
  <si>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</si>
  <si>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</si>
  <si>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Other</t>
  </si>
  <si>
    <t>Comments</t>
  </si>
  <si>
    <t/>
  </si>
  <si>
    <t>2.5.2 - DESCRIPTION OF CONNECTION PROJECTS</t>
  </si>
  <si>
    <t>2.6.1 - NON-NETWORK EXPENDITURE</t>
  </si>
  <si>
    <t>km</t>
  </si>
  <si>
    <t>number</t>
  </si>
  <si>
    <t>(per cent)</t>
  </si>
  <si>
    <t>Route line length within zone</t>
  </si>
  <si>
    <t>Number of maintenance spans</t>
  </si>
  <si>
    <t>Total length of maintenance spans</t>
  </si>
  <si>
    <t>Average number of trees per maintenance span</t>
  </si>
  <si>
    <t>Length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</si>
  <si>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</si>
  <si>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</si>
  <si>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</si>
  <si>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</si>
  <si>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</si>
  <si>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</si>
  <si>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</si>
  <si>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</si>
  <si>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</si>
  <si>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EBSS</t>
  </si>
  <si>
    <t>STPIS</t>
  </si>
  <si>
    <t>Total revenue of incentive schemes</t>
  </si>
  <si>
    <t>3.2.3 - PROVISIONS</t>
  </si>
  <si>
    <t>$</t>
  </si>
  <si>
    <t>&lt;Provision name&gt;</t>
  </si>
  <si>
    <t>Additional provisions made in the period, including increases to existing provisions</t>
  </si>
  <si>
    <t>Opex component</t>
  </si>
  <si>
    <t>Capex component</t>
  </si>
  <si>
    <t>Other component</t>
  </si>
  <si>
    <t>Amounts used (that is, incurred and charged against the provision) during the period</t>
  </si>
  <si>
    <t>Unused amounts reversed during the period</t>
  </si>
  <si>
    <t>The increase during the period in the discounted amount arising from the passage of time and the effect of any change in the discount rate</t>
  </si>
  <si>
    <t>Closing balance (carrying amount at the end of the period)</t>
  </si>
  <si>
    <t>Opening value</t>
  </si>
  <si>
    <t>Inflation addition</t>
  </si>
  <si>
    <t xml:space="preserve">Disposals </t>
  </si>
  <si>
    <t xml:space="preserve">Closing value </t>
  </si>
  <si>
    <t>132 kV</t>
  </si>
  <si>
    <t>66 kV</t>
  </si>
  <si>
    <t>33 kV</t>
  </si>
  <si>
    <t>22 kV</t>
  </si>
  <si>
    <t>11 kV</t>
  </si>
  <si>
    <t>MVA</t>
  </si>
  <si>
    <t xml:space="preserve">3.5.1 - TRANSMISSION SYSTEM CAPACITIES </t>
  </si>
  <si>
    <t>500 kV</t>
  </si>
  <si>
    <t>330 kV</t>
  </si>
  <si>
    <t>275 kV</t>
  </si>
  <si>
    <t>220 kV</t>
  </si>
  <si>
    <t>110 kV</t>
  </si>
  <si>
    <t>88 kV</t>
  </si>
  <si>
    <t>%</t>
  </si>
  <si>
    <t>3.6.2 - MARKET IMPACT COMPONENT</t>
  </si>
  <si>
    <t>3.6.3 - SYSTEM LOSSES</t>
  </si>
  <si>
    <t>System losses</t>
  </si>
  <si>
    <t>Number of spans</t>
  </si>
  <si>
    <t>Years</t>
  </si>
  <si>
    <t>Trees</t>
  </si>
  <si>
    <t>Defects</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</si>
  <si>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</si>
  <si>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</si>
  <si>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</si>
  <si>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</si>
  <si>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</si>
  <si>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</si>
  <si>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</si>
  <si>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</si>
  <si>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</si>
  <si>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</si>
  <si>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</si>
  <si>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</si>
  <si>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</si>
  <si>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</si>
  <si>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</si>
  <si>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</si>
  <si>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</si>
  <si>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</si>
  <si>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</si>
  <si>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</si>
  <si>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</si>
  <si>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</si>
  <si>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</si>
  <si>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</si>
  <si>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</si>
  <si>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</si>
  <si>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</si>
  <si>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</si>
  <si>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</si>
  <si>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</si>
  <si>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</si>
  <si>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</si>
  <si>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</si>
  <si>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</si>
  <si>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</si>
  <si>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</si>
  <si>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</si>
  <si>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</si>
  <si>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</si>
  <si>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</si>
  <si>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</si>
  <si>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</si>
  <si>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</si>
  <si>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</si>
  <si>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</si>
  <si>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</si>
  <si>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</si>
  <si>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</si>
  <si>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</si>
  <si>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</si>
  <si>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</si>
  <si>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</si>
  <si>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</si>
  <si>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</si>
  <si>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</si>
  <si>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</si>
  <si>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</si>
  <si>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</si>
  <si>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</si>
  <si>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</si>
  <si>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</si>
  <si>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</si>
  <si>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</si>
  <si>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</si>
  <si>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</si>
  <si>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</si>
  <si>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</si>
  <si>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</si>
  <si>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</si>
  <si>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</si>
  <si>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</si>
  <si>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</si>
  <si>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</si>
  <si>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</si>
  <si>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</si>
  <si>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</si>
  <si>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</si>
  <si>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</si>
  <si>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</si>
  <si>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</si>
  <si>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</si>
  <si>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</si>
  <si>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</si>
  <si>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</si>
  <si>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</si>
  <si>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</si>
  <si>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</si>
  <si>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</si>
  <si>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</si>
  <si>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</si>
  <si>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</si>
  <si>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</si>
  <si>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</si>
  <si>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</si>
  <si>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</si>
  <si>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</si>
  <si>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</si>
  <si>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</si>
  <si>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</si>
  <si>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</si>
  <si>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</si>
  <si>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</si>
  <si>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</si>
  <si>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</si>
  <si>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</si>
  <si>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</si>
  <si>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</si>
  <si>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</si>
  <si>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</si>
  <si>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</si>
  <si>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</si>
  <si>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</si>
  <si>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</si>
  <si>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</si>
  <si>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</si>
  <si>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</si>
  <si>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</si>
  <si>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</si>
  <si>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</si>
  <si>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</si>
  <si>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</si>
  <si>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</si>
  <si>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</si>
  <si>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</si>
  <si>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</si>
  <si>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</si>
  <si>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</si>
  <si>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</si>
  <si>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</si>
  <si>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</si>
  <si>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</si>
  <si>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</si>
  <si>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</si>
  <si>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</si>
  <si>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</si>
  <si>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</si>
  <si>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</si>
  <si>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</si>
  <si>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</si>
  <si>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</si>
  <si>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</si>
  <si>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</si>
  <si>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</si>
  <si>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</si>
  <si>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</si>
  <si>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</si>
  <si>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</si>
  <si>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</si>
  <si>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</si>
  <si>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</si>
  <si>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</si>
  <si>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</si>
  <si>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</si>
  <si>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</si>
  <si>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</si>
  <si>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</si>
  <si>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</si>
  <si>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</si>
  <si>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</si>
  <si>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</si>
  <si>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</si>
  <si>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</si>
  <si>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</si>
  <si>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</si>
  <si>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</si>
  <si>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</si>
  <si>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</si>
  <si>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</si>
  <si>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</si>
  <si>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</si>
  <si>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</si>
  <si>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</si>
  <si>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</si>
  <si>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</si>
  <si>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</si>
  <si>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</si>
  <si>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</si>
  <si>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</si>
  <si>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</si>
  <si>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</si>
  <si>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</si>
  <si>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</si>
  <si>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</si>
  <si>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</si>
  <si>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</si>
  <si>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</si>
  <si>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</si>
  <si>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</si>
  <si>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</si>
  <si>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</si>
  <si>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</si>
  <si>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</si>
  <si>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</si>
  <si>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</si>
  <si>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</si>
  <si>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</si>
  <si>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</si>
  <si>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</si>
  <si>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</si>
  <si>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</si>
  <si>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</si>
  <si>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</si>
  <si>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</si>
  <si>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</si>
  <si>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</si>
  <si>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</si>
  <si>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</si>
  <si>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</si>
  <si>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</si>
  <si>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</si>
  <si>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</si>
  <si>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</si>
  <si>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</si>
  <si>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</si>
  <si>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</si>
  <si>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</si>
  <si>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</si>
  <si>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</si>
  <si>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</si>
  <si>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</si>
  <si>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</si>
  <si>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</si>
  <si>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</si>
  <si>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</si>
  <si>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</si>
  <si>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</si>
  <si>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</si>
  <si>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</si>
  <si>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</si>
  <si>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</si>
  <si>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</si>
  <si>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</si>
  <si>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</si>
  <si>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</si>
  <si>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</si>
  <si>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</si>
  <si>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</si>
  <si>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</si>
  <si>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</si>
  <si>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</si>
  <si>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</si>
  <si>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</si>
  <si>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</si>
  <si>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</si>
  <si>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</si>
  <si>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</si>
  <si>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</si>
  <si>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</si>
  <si>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</si>
  <si>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</si>
  <si>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</si>
  <si>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</si>
  <si>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</si>
  <si>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</si>
  <si>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</si>
  <si>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</si>
  <si>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</si>
  <si>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</si>
  <si>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</si>
  <si>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</si>
  <si>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</si>
  <si>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</si>
  <si>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</si>
  <si>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</si>
  <si>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</si>
  <si>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</si>
  <si>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</si>
  <si>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</si>
  <si>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</si>
  <si>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</si>
  <si>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</si>
  <si>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</si>
  <si>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</si>
  <si>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</si>
  <si>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</si>
  <si>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</si>
  <si>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</si>
  <si>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</si>
  <si>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</si>
  <si>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</si>
  <si>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</si>
  <si>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</si>
  <si>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</si>
  <si>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</si>
  <si>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</si>
  <si>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</si>
  <si>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</si>
  <si>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</si>
  <si>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</si>
  <si>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</si>
  <si>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</si>
  <si>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</si>
  <si>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</si>
  <si>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</si>
  <si>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</si>
  <si>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</si>
  <si>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</si>
  <si>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</si>
  <si>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</si>
  <si>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</si>
  <si>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</si>
  <si>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</si>
  <si>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</si>
  <si>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</si>
  <si>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</si>
  <si>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</si>
  <si>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</si>
  <si>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</si>
  <si>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</si>
  <si>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</si>
  <si>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</si>
  <si>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</si>
  <si>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</si>
  <si>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</si>
  <si>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</si>
  <si>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</si>
  <si>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</si>
  <si>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</si>
  <si>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</si>
  <si>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</si>
  <si>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</si>
  <si>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</si>
  <si>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</si>
  <si>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</si>
  <si>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</si>
  <si>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</si>
  <si>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</si>
  <si>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</si>
  <si>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</si>
  <si>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</si>
  <si>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</si>
  <si>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</si>
  <si>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</si>
  <si>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</si>
  <si>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</si>
  <si>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</si>
  <si>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</si>
  <si>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</si>
  <si>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</si>
  <si>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</si>
  <si>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</si>
  <si>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</si>
  <si>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</si>
  <si>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</si>
  <si>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</si>
  <si>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</si>
  <si>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</si>
  <si>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</si>
  <si>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</si>
  <si>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</si>
  <si>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</si>
  <si>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</si>
  <si>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</si>
  <si>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</si>
  <si>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</si>
  <si>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</si>
  <si>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</si>
  <si>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</si>
  <si>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</si>
  <si>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</si>
  <si>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</si>
  <si>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</si>
  <si>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</si>
  <si>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</si>
  <si>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</si>
  <si>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</si>
  <si>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</si>
  <si>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</si>
  <si>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</si>
  <si>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</si>
  <si>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</si>
  <si>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</si>
  <si>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</si>
  <si>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</si>
  <si>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</si>
  <si>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</si>
  <si>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</si>
  <si>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</si>
  <si>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</si>
  <si>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</si>
  <si>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</si>
  <si>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</si>
  <si>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</si>
  <si>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</si>
  <si>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</si>
  <si>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</si>
  <si>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</si>
  <si>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</si>
  <si>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</si>
  <si>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</si>
  <si>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</si>
  <si>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</si>
  <si>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</si>
  <si>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</si>
  <si>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</si>
  <si>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</si>
  <si>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</si>
  <si>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</si>
  <si>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</si>
  <si>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</si>
  <si>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</si>
  <si>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</si>
  <si>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</si>
  <si>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</si>
  <si>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</si>
  <si>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</si>
  <si>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</si>
  <si>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</si>
  <si>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</si>
  <si>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</si>
  <si>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</si>
  <si>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</si>
  <si>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</si>
  <si>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</si>
  <si>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</si>
  <si>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</si>
  <si>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</si>
  <si>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</si>
  <si>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</si>
  <si>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</si>
  <si>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</si>
  <si>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</si>
  <si>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</si>
  <si>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</si>
  <si>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</si>
  <si>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</si>
  <si>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</si>
  <si>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</si>
  <si>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</si>
  <si>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</si>
  <si>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</si>
  <si>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</si>
  <si>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</si>
  <si>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</si>
  <si>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</si>
  <si>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123 Straight Street</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</si>
  <si>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</si>
  <si>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</si>
  <si>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</si>
  <si>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</si>
  <si>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</si>
  <si>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</si>
  <si>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</si>
  <si>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</si>
  <si>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</si>
  <si>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</si>
  <si>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</si>
  <si>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</si>
  <si>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</si>
  <si>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</si>
  <si>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</si>
  <si>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</si>
  <si>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</si>
  <si>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</si>
  <si>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</si>
  <si>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</si>
  <si>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</si>
  <si>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</si>
  <si>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</si>
  <si>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</si>
  <si>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</si>
  <si>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</si>
  <si>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</si>
  <si>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</si>
  <si>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</si>
  <si>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</si>
  <si>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</si>
  <si>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</si>
  <si>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</si>
  <si>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</si>
  <si>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</si>
  <si>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</si>
  <si>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</si>
  <si>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</si>
  <si>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</si>
  <si>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</si>
  <si>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</si>
  <si>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</si>
  <si>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</si>
  <si>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</si>
  <si>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</si>
  <si>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</si>
  <si>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</si>
  <si>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</si>
  <si>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</si>
  <si>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</si>
  <si>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</si>
  <si>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</si>
  <si>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</si>
  <si>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</si>
  <si>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</si>
  <si>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</si>
  <si>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</si>
  <si>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</si>
  <si>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</si>
  <si>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</si>
  <si>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</si>
  <si>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</si>
  <si>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</si>
  <si>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</si>
  <si>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</si>
  <si>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</si>
  <si>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</si>
  <si>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</si>
  <si>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</si>
  <si>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</si>
  <si>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</si>
  <si>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</si>
  <si>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</si>
  <si>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</si>
  <si>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</si>
  <si>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</si>
  <si>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</si>
  <si>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</si>
  <si>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</si>
  <si>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</si>
  <si>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</si>
  <si>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</si>
  <si>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</si>
  <si>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</si>
  <si>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</si>
  <si>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</si>
  <si>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</si>
  <si>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</si>
  <si>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</si>
  <si>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</si>
  <si>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</si>
  <si>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</si>
  <si>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</si>
  <si>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</si>
  <si>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</si>
  <si>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</si>
  <si>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</si>
  <si>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</si>
  <si>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</si>
  <si>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</si>
  <si>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</si>
  <si>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</si>
  <si>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</si>
  <si>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</si>
  <si>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</si>
  <si>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</si>
  <si>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</si>
  <si>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</si>
  <si>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</si>
  <si>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</si>
  <si>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</si>
  <si>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</si>
  <si>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</si>
  <si>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</si>
  <si>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</si>
  <si>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</si>
  <si>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</si>
  <si>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</si>
  <si>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</si>
  <si>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</si>
  <si>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</si>
  <si>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</si>
  <si>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</si>
  <si>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</si>
  <si>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</si>
  <si>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</si>
  <si>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</si>
  <si>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</si>
  <si>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</si>
  <si>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</si>
  <si>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</si>
  <si>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</si>
  <si>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</si>
  <si>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</si>
  <si>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</si>
  <si>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</si>
  <si>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</si>
  <si>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</si>
  <si>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</si>
  <si>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</si>
  <si>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</si>
  <si>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</si>
  <si>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</si>
  <si>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</si>
  <si>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</si>
  <si>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</si>
  <si>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</si>
  <si>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</si>
  <si>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</si>
  <si>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</si>
  <si>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</si>
  <si>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</si>
  <si>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</si>
  <si>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</si>
  <si>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</si>
  <si>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</si>
  <si>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</si>
  <si>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</si>
  <si>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</si>
  <si>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</si>
  <si>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</si>
  <si>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</si>
  <si>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</si>
  <si>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</si>
  <si>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</si>
  <si>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</si>
  <si>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</si>
  <si>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</si>
  <si>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</si>
  <si>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</si>
  <si>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</si>
  <si>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</si>
  <si>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</si>
  <si>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</si>
  <si>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</si>
  <si>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</si>
  <si>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</si>
  <si>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</si>
  <si>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</si>
  <si>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</si>
  <si>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</si>
  <si>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</si>
  <si>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</si>
  <si>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</si>
  <si>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</si>
  <si>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</si>
  <si>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</si>
  <si>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</si>
  <si>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</si>
  <si>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</si>
  <si>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</si>
  <si>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</si>
  <si>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</si>
  <si>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</si>
  <si>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</si>
  <si>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</si>
  <si>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</si>
  <si>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</si>
  <si>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</si>
  <si>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</si>
  <si>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</si>
  <si>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</si>
  <si>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</si>
  <si>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</si>
  <si>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</si>
  <si>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</si>
  <si>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</si>
  <si>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</si>
  <si>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</si>
  <si>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</si>
  <si>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</si>
  <si>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</si>
  <si>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</si>
  <si>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</si>
  <si>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</si>
  <si>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</si>
  <si>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</si>
  <si>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</si>
  <si>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</si>
  <si>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</si>
  <si>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</si>
  <si>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</si>
  <si>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</si>
  <si>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</si>
  <si>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</si>
  <si>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</si>
  <si>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</si>
  <si>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</si>
  <si>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</si>
  <si>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</si>
  <si>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</si>
  <si>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</si>
  <si>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</si>
  <si>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</si>
  <si>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</si>
  <si>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</si>
  <si>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</si>
  <si>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</si>
  <si>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</si>
  <si>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</si>
  <si>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</si>
  <si>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</si>
  <si>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</si>
  <si>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</si>
  <si>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</si>
  <si>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</si>
  <si>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</si>
  <si>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</si>
  <si>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</si>
  <si>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</si>
  <si>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</si>
  <si>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</si>
  <si>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</si>
  <si>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</si>
  <si>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</si>
  <si>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</si>
  <si>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</si>
  <si>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</si>
  <si>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</si>
  <si>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</si>
  <si>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</si>
  <si>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</si>
  <si>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</si>
  <si>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</si>
  <si>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</si>
  <si>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</si>
  <si>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</si>
  <si>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</si>
  <si>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</si>
  <si>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</si>
  <si>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</si>
  <si>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</si>
  <si>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</si>
  <si>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</si>
  <si>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</si>
  <si>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</si>
  <si>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</si>
  <si>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</si>
  <si>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</si>
  <si>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</si>
  <si>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</si>
  <si>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</si>
  <si>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</si>
  <si>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</si>
  <si>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</si>
  <si>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</si>
  <si>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</si>
  <si>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</si>
  <si>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</si>
  <si>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</si>
  <si>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</si>
  <si>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</si>
  <si>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</si>
  <si>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</si>
  <si>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</si>
  <si>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</si>
  <si>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</si>
  <si>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</si>
  <si>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</si>
  <si>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</si>
  <si>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</si>
  <si>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</si>
  <si>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</si>
  <si>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</si>
  <si>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</si>
  <si>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</si>
  <si>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</si>
  <si>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</si>
  <si>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</si>
  <si>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</si>
  <si>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</si>
  <si>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</si>
  <si>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</si>
  <si>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</si>
  <si>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</si>
  <si>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</si>
  <si>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</si>
  <si>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</si>
  <si>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</si>
  <si>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</si>
  <si>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</si>
  <si>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</si>
  <si>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</si>
  <si>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</si>
  <si>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</si>
  <si>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</si>
  <si>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</si>
  <si>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</si>
  <si>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</si>
  <si>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</si>
  <si>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</si>
  <si>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</si>
  <si>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</si>
  <si>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</si>
  <si>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</si>
  <si>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</si>
  <si>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</si>
  <si>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</si>
  <si>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</si>
  <si>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</si>
  <si>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</si>
  <si>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</si>
  <si>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</si>
  <si>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</si>
  <si>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</si>
  <si>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</si>
  <si>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</si>
  <si>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</si>
  <si>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</si>
  <si>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</si>
  <si>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</si>
  <si>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</si>
  <si>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</si>
  <si>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</si>
  <si>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</si>
  <si>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</si>
  <si>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</si>
  <si>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</si>
  <si>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</si>
  <si>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</si>
  <si>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</si>
  <si>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</si>
  <si>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</si>
  <si>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</si>
  <si>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</si>
  <si>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</si>
  <si>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</si>
  <si>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</si>
  <si>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</si>
  <si>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</si>
  <si>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</si>
  <si>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</si>
  <si>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</si>
  <si>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</si>
  <si>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</si>
  <si>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</si>
  <si>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</si>
  <si>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</si>
  <si>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</si>
  <si>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</si>
  <si>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</si>
  <si>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</si>
  <si>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</si>
  <si>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</si>
  <si>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</si>
  <si>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</si>
  <si>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</si>
  <si>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</si>
  <si>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</si>
  <si>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</si>
  <si>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</si>
  <si>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</si>
  <si>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</si>
  <si>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</si>
  <si>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</si>
  <si>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</si>
  <si>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</si>
  <si>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</si>
  <si>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</si>
  <si>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</si>
  <si>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</si>
  <si>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</si>
  <si>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</si>
  <si>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</si>
  <si>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</si>
  <si>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</si>
  <si>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</si>
  <si>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</si>
  <si>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</si>
  <si>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</si>
  <si>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</si>
  <si>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</si>
  <si>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</si>
  <si>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</si>
  <si>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</si>
  <si>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</si>
  <si>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</si>
  <si>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</si>
  <si>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</si>
  <si>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</si>
  <si>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</si>
  <si>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</si>
  <si>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</si>
  <si>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</si>
  <si>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</si>
  <si>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</si>
  <si>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</si>
  <si>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</si>
  <si>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</si>
  <si>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</si>
  <si>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</si>
  <si>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</si>
  <si>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</si>
  <si>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</si>
  <si>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</si>
  <si>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</si>
  <si>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</si>
  <si>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</si>
  <si>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</si>
  <si>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</si>
  <si>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</si>
  <si>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</si>
  <si>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</si>
  <si>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</si>
  <si>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</si>
  <si>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</si>
  <si>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</si>
  <si>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</si>
  <si>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</si>
  <si>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</si>
  <si>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</si>
  <si>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</si>
  <si>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</si>
  <si>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</si>
  <si>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</si>
  <si>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</si>
  <si>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Substation switchbays</t>
  </si>
  <si>
    <t>SCADA, network control and protection systems</t>
  </si>
  <si>
    <t>Revenue from other sources</t>
  </si>
  <si>
    <t>Capex timing adjustment</t>
  </si>
  <si>
    <t>number of transformers</t>
  </si>
  <si>
    <t>number of lines</t>
  </si>
  <si>
    <t>number of events</t>
  </si>
  <si>
    <t>number of dispatch intervals</t>
  </si>
  <si>
    <t xml:space="preserve">CAPITAL EXPENDITURE </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</si>
  <si>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</si>
  <si>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</si>
  <si>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</si>
  <si>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</si>
  <si>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</si>
  <si>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</si>
  <si>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</si>
  <si>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</si>
  <si>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</si>
  <si>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</si>
  <si>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</si>
  <si>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</si>
  <si>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</si>
  <si>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Tree trimming</t>
  </si>
  <si>
    <t>Vegetation corridor clearance</t>
  </si>
  <si>
    <t>Inspection</t>
  </si>
  <si>
    <t>Contractor liaison expenditure</t>
  </si>
  <si>
    <t>Other vegetation management expenditure</t>
  </si>
  <si>
    <t>Vegetation management expenditure</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</si>
  <si>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</si>
  <si>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</si>
  <si>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</si>
  <si>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</si>
  <si>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</si>
  <si>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</si>
  <si>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</si>
  <si>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</si>
  <si>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</si>
  <si>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</si>
  <si>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text</t>
  </si>
  <si>
    <t>REVENUE REWARDS AND PENALTIES - INCENTIVE SCHEMES</t>
  </si>
  <si>
    <t>OPENING BALANCE (the carrying amount at the beginning of the period)</t>
  </si>
  <si>
    <t>TOTAL PROVISIONS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</si>
  <si>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</si>
  <si>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</si>
  <si>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</si>
  <si>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</si>
  <si>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</si>
  <si>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</si>
  <si>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</si>
  <si>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</si>
  <si>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</si>
  <si>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</si>
  <si>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</si>
  <si>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</si>
  <si>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</si>
  <si>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</si>
  <si>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</si>
  <si>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</si>
  <si>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</si>
  <si>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</si>
  <si>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</si>
  <si>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</si>
  <si>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</si>
  <si>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</si>
  <si>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</si>
  <si>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</si>
  <si>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</si>
  <si>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</si>
  <si>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</si>
  <si>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</si>
  <si>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</si>
  <si>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</si>
  <si>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</si>
  <si>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</si>
  <si>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</si>
  <si>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</si>
  <si>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</si>
  <si>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</si>
  <si>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</si>
  <si>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</si>
  <si>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</si>
  <si>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</si>
  <si>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</si>
  <si>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</si>
  <si>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</si>
  <si>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</si>
  <si>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</si>
  <si>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</si>
  <si>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</si>
  <si>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OVERHEAD NETWORK LENGTH OF CIRCUIT AT EACH VOLTAGE</t>
  </si>
  <si>
    <t>UNDERGROUND CABLE CIRCUIT LENGTH AT EACH VOLTAGE</t>
  </si>
  <si>
    <t>Total overhead length</t>
  </si>
  <si>
    <t>Total underground length</t>
  </si>
  <si>
    <t>ESTIMATED OVERHEAD NETWORK WEIGHTED AVERAGE MVA CAPACITY BY VOLTAGE CLASS</t>
  </si>
  <si>
    <t>ESTIMATED UNDERGROUND NETWORK WEIGHTED AVERAGE MVA CAPACITY BY VOLTAGE CLASS</t>
  </si>
  <si>
    <t>UNPLANNED OUTAGES</t>
  </si>
  <si>
    <t>Market impact parameter</t>
  </si>
  <si>
    <t>7.9.4 - MARKET IMPACT COMPONENT</t>
  </si>
  <si>
    <t>PLANNED OUTAGES</t>
  </si>
  <si>
    <t>January</t>
  </si>
  <si>
    <t>February</t>
  </si>
  <si>
    <t>April</t>
  </si>
  <si>
    <t>May</t>
  </si>
  <si>
    <t>July</t>
  </si>
  <si>
    <t>August</t>
  </si>
  <si>
    <t>September</t>
  </si>
  <si>
    <t>October</t>
  </si>
  <si>
    <t>November</t>
  </si>
  <si>
    <t>December</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</si>
  <si>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</si>
  <si>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</si>
  <si>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</si>
  <si>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</si>
  <si>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</si>
  <si>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</si>
  <si>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</si>
  <si>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</si>
  <si>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</si>
  <si>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</si>
  <si>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</si>
  <si>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</si>
  <si>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</si>
  <si>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</si>
  <si>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</si>
  <si>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3.6.1 - SERVICE COMPONENT</t>
  </si>
  <si>
    <t>Units</t>
  </si>
  <si>
    <t>Lines outage rate - fault</t>
  </si>
  <si>
    <t>Number of Lines fault outages</t>
  </si>
  <si>
    <t>Number of defined Lines</t>
  </si>
  <si>
    <t>Transformers outage rate - fault</t>
  </si>
  <si>
    <t>Number of Transformer fault outages</t>
  </si>
  <si>
    <t>Number of defined Transformers</t>
  </si>
  <si>
    <t>Failure of protection system</t>
  </si>
  <si>
    <t>Material failure of Supervisory Control and Data Acquisition (SCADA) system</t>
  </si>
  <si>
    <t>Incorrect operational isolation of primary or secondary equipment</t>
  </si>
  <si>
    <t>Direct expenditure</t>
  </si>
  <si>
    <t xml:space="preserve">Asset replacements </t>
  </si>
  <si>
    <t xml:space="preserve">Asset failures  </t>
  </si>
  <si>
    <t>Project name</t>
  </si>
  <si>
    <t>Substation reactive plants</t>
  </si>
  <si>
    <t>2.8.2 - COST METRICS FOR ROUTINE AND NON-ROUTINE MAINTENANCE</t>
  </si>
  <si>
    <t>2.10.1 - NETWORK OVERHEADS EXPENDITURE</t>
  </si>
  <si>
    <t>2.10.2 - CORPORATE OVERHEADS EXPENDITURE</t>
  </si>
  <si>
    <t>Operating expenditure</t>
  </si>
  <si>
    <t>Capital expenditure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</si>
  <si>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</si>
  <si>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</si>
  <si>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</si>
  <si>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</si>
  <si>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</si>
  <si>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</si>
  <si>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</si>
  <si>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</si>
  <si>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</si>
  <si>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</si>
  <si>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</si>
  <si>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</si>
  <si>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Total NCIPAP projects</t>
  </si>
  <si>
    <t>ANNUAL INFORMATION ORDER</t>
  </si>
  <si>
    <t>CA RIN 2.1 EXPENDITURE SUMMARY</t>
  </si>
  <si>
    <t>2.1.1 - PRESCRIBED TRANSMISSION SERVICES CAPEX (as incurred)</t>
  </si>
  <si>
    <t>CA RIN 2.2 REPEX</t>
  </si>
  <si>
    <t>Asset failures</t>
  </si>
  <si>
    <t>Prescribed transmission services</t>
  </si>
  <si>
    <t>CA RIN 2.5 CONNECTIONS</t>
  </si>
  <si>
    <t>CA RIN 2.6 NON-NETWORK</t>
  </si>
  <si>
    <t>CA RIN 2.7 VEGETATION MANAGEMENT</t>
  </si>
  <si>
    <t>CA RIN 2.8 MAINTENANCE</t>
  </si>
  <si>
    <t>CA RIN 2.10 OVERHEADS</t>
  </si>
  <si>
    <t>KV</t>
  </si>
  <si>
    <t>Project ID</t>
  </si>
  <si>
    <t>Project type</t>
  </si>
  <si>
    <t xml:space="preserve">Voltage </t>
  </si>
  <si>
    <t>Project trigger</t>
  </si>
  <si>
    <t>Direct Expenditure</t>
  </si>
  <si>
    <t>Connection rating</t>
  </si>
  <si>
    <t>Connection 
voltage</t>
  </si>
  <si>
    <t>Regulatory accounts 
(prescribed transmission services)</t>
  </si>
  <si>
    <t>Total non-network operating expenditure</t>
  </si>
  <si>
    <t>Total non-network capital expenditure</t>
  </si>
  <si>
    <t>3.1.3 REVENUE (penalties) ALLOWED (deducted) THROUGH INCENTIVE SCHEMES</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</si>
  <si>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</si>
  <si>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</si>
  <si>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</si>
  <si>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</si>
  <si>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</si>
  <si>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</si>
  <si>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</si>
  <si>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</si>
  <si>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</si>
  <si>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</si>
  <si>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</si>
  <si>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</si>
  <si>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</si>
  <si>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</si>
  <si>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</si>
  <si>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</si>
  <si>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t>Assets maintained</t>
  </si>
  <si>
    <t>Assets inspected</t>
  </si>
  <si>
    <t>Routine</t>
  </si>
  <si>
    <t>Non-routine</t>
  </si>
  <si>
    <t>Direct</t>
  </si>
  <si>
    <t>Indirect</t>
  </si>
  <si>
    <t>5.2.1 - ASSET AGE PROFILE</t>
  </si>
  <si>
    <t>CA RIN 5.2 ASSET AGE PROFILE</t>
  </si>
  <si>
    <t>REVENUE RECOVERIES</t>
  </si>
  <si>
    <t>REVENUE UNDERS / OVERS</t>
  </si>
  <si>
    <t>REVENUE RECONCILIATION (T-2)</t>
  </si>
  <si>
    <t>Forecast straight line depreciation</t>
  </si>
  <si>
    <t>Actual tax depreciation</t>
  </si>
  <si>
    <t>Capacity</t>
  </si>
  <si>
    <t>Regulatory financial statements (PTS)</t>
  </si>
  <si>
    <t>BUSINESS SPECIFIED PROVISIONS</t>
  </si>
  <si>
    <t>Regulatory accounts (PTS)</t>
  </si>
  <si>
    <t>Length</t>
  </si>
  <si>
    <t>SOURCE: STPIS Guidelines V.5</t>
  </si>
  <si>
    <t>Parameter 2 Loss of supply event frequency</t>
  </si>
  <si>
    <t>TNSP</t>
  </si>
  <si>
    <t>Transgrid</t>
  </si>
  <si>
    <t>x system minute</t>
  </si>
  <si>
    <t>y system minute</t>
  </si>
  <si>
    <t>SERVICE PARAMETER 1 – AVERAGE CIRCUIT OUTAGE RATE</t>
  </si>
  <si>
    <t>SERVICE PARAMETER 4 – PROPER OPERATION OF EQUIPMENT – NUMBER OF FAILURE EVENTS</t>
  </si>
  <si>
    <t>INDENTIFY THE SERVICE TARGET PERFORMANCE INCENTIVE SCHEME (STPIS) THAT APPLIED IN THE REPORTING PERIOD</t>
  </si>
  <si>
    <t>Without exclusions</t>
  </si>
  <si>
    <t>With exclusions</t>
  </si>
  <si>
    <t>Calendar year</t>
  </si>
  <si>
    <t>Amount of prudent discounts offered / recovered from other transmission customers</t>
  </si>
  <si>
    <t>RESET RIN 7.9 MARKET IMPACT COMPONENT</t>
  </si>
  <si>
    <t>7.9 Market Impact Component</t>
  </si>
  <si>
    <t>EB RIN 3.1 REVENUE</t>
  </si>
  <si>
    <t>EB RIN 3.5 PHYSICAL ASSETS</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</si>
  <si>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</si>
  <si>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</si>
  <si>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</si>
  <si>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</si>
  <si>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</si>
  <si>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</si>
  <si>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</si>
  <si>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</si>
  <si>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</si>
  <si>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</si>
  <si>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</si>
  <si>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</si>
  <si>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</si>
  <si>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</si>
  <si>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</si>
  <si>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</si>
  <si>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</si>
  <si>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</si>
  <si>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</si>
  <si>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</si>
  <si>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</si>
  <si>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</si>
  <si>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</si>
  <si>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</si>
  <si>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</si>
  <si>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</si>
  <si>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</si>
  <si>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</si>
  <si>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</si>
  <si>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</si>
  <si>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</si>
  <si>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</si>
  <si>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</si>
  <si>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</si>
  <si>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</si>
  <si>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</si>
  <si>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</si>
  <si>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</si>
  <si>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</si>
  <si>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</si>
  <si>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</si>
  <si>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</si>
  <si>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</si>
  <si>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</si>
  <si>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</si>
  <si>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</si>
  <si>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</si>
  <si>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</si>
  <si>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</si>
  <si>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</si>
  <si>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</si>
  <si>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</si>
  <si>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</si>
  <si>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</si>
  <si>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</si>
  <si>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</si>
  <si>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Voltage</t>
  </si>
  <si>
    <t>Not required</t>
  </si>
  <si>
    <t>ASA805</t>
  </si>
  <si>
    <t>ASRE2405</t>
  </si>
  <si>
    <t>Table disaggregation (if needed)</t>
  </si>
  <si>
    <t>2.4.2 - ACTUAL GROSS CAPITAL EXPENDITURE – AS INCURRED</t>
  </si>
  <si>
    <t>2.4.1 - ACTUAL GROSS CAPITAL EXPENDITURE – AS COMMISSIONED</t>
  </si>
  <si>
    <t>8.6 INDICATIVE ASSET BASE ROLL FORWARD</t>
  </si>
  <si>
    <t>8.6.2 - INDICATIVE ASSET BASE AS COMMISSIONED</t>
  </si>
  <si>
    <t xml:space="preserve">7.6.1 - PRICE REDUCTION/RECOVERY </t>
  </si>
  <si>
    <t>7.7.1 - RELATED PARTY TRANSACTIONS</t>
  </si>
  <si>
    <t>8.8.1 - REVENUE REQUIREMENTS</t>
  </si>
  <si>
    <t>#</t>
  </si>
  <si>
    <t>≥0</t>
  </si>
  <si>
    <t>NULL</t>
  </si>
  <si>
    <t>Asset Replacement</t>
  </si>
  <si>
    <t>YYYY</t>
  </si>
  <si>
    <t>TNSP defined</t>
  </si>
  <si>
    <t>TNSP specified</t>
  </si>
  <si>
    <t>text
NULL valid</t>
  </si>
  <si>
    <t>Connection voltage</t>
  </si>
  <si>
    <t>Text</t>
  </si>
  <si>
    <t>Free Text</t>
  </si>
  <si>
    <t>Free text</t>
  </si>
  <si>
    <t>Non-rountine</t>
  </si>
  <si>
    <t>Category descriptors must align with categories in the PTRM for the relevant year and/or with previously submitted categories</t>
  </si>
  <si>
    <t>Reg accounts</t>
  </si>
  <si>
    <t>Categories consistent with previous year's reporting where applicable</t>
  </si>
  <si>
    <t>consistent with previous year where applicable</t>
  </si>
  <si>
    <t>≥0;≤1</t>
  </si>
  <si>
    <t>Regulatory accounts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</si>
  <si>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</si>
  <si>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</si>
  <si>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</si>
  <si>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</si>
  <si>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</si>
  <si>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</si>
  <si>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Planned - without</t>
  </si>
  <si>
    <t>Planned - with</t>
  </si>
  <si>
    <t>Unplanned - without</t>
  </si>
  <si>
    <t>Unpanned - with</t>
  </si>
  <si>
    <t>Unit of measure</t>
  </si>
  <si>
    <t>Regulatory 
accounts (PTS) Direct</t>
  </si>
  <si>
    <t>Regulatory 
accounts (PTS) Indirect</t>
  </si>
  <si>
    <t>2.4 Hist Capex by Asset Class</t>
  </si>
  <si>
    <t>9.1 DISAGG Inc</t>
  </si>
  <si>
    <t>9.2 RFS Inc</t>
  </si>
  <si>
    <t>7.6 PTS Price Redn</t>
  </si>
  <si>
    <t>7.7 INF Rel Part Trans</t>
  </si>
  <si>
    <t>7.5 Large projects</t>
  </si>
  <si>
    <t>8.8 Revenue Requirements</t>
  </si>
  <si>
    <t>8.6 Indicative Asset Base Roll Forward</t>
  </si>
  <si>
    <t xml:space="preserve">Calendar year </t>
  </si>
  <si>
    <t>If more rows needed, insert above this row</t>
  </si>
  <si>
    <t>Submission type</t>
  </si>
  <si>
    <t>Annual Information Order</t>
  </si>
  <si>
    <t>Assets added</t>
  </si>
  <si>
    <t>Expected commissioning date</t>
  </si>
  <si>
    <t>Project start date</t>
  </si>
  <si>
    <t>Regulatory Financial Statements 
(prescribed transmission services)</t>
  </si>
  <si>
    <t>Project details</t>
  </si>
  <si>
    <t>dd/mm/yyyy</t>
  </si>
  <si>
    <t>Capex $real</t>
  </si>
  <si>
    <t>na</t>
  </si>
  <si>
    <t>Opex</t>
  </si>
  <si>
    <t>Capex</t>
  </si>
  <si>
    <t>Asset details</t>
  </si>
  <si>
    <t>Asset name</t>
  </si>
  <si>
    <t>2.3c Material Projects</t>
  </si>
  <si>
    <t>Motor vehicles</t>
  </si>
  <si>
    <t>Categories specified must align with the categories used in the previous regulatory year, or an explanation for new categories provided.</t>
  </si>
  <si>
    <t>Substation reactive plant</t>
  </si>
  <si>
    <t>Assurance requirements by table</t>
  </si>
  <si>
    <t>EB RIN 3.2.3 PROVISIONS</t>
  </si>
  <si>
    <t>TREV0301</t>
  </si>
  <si>
    <t>TREV0302</t>
  </si>
  <si>
    <t>TREV0312</t>
  </si>
  <si>
    <t>TREV03</t>
  </si>
  <si>
    <t>TOPEX03A</t>
  </si>
  <si>
    <t>TOPEX0301A</t>
  </si>
  <si>
    <t>TOPEX0302A</t>
  </si>
  <si>
    <t>TOPEX0303A</t>
  </si>
  <si>
    <t>TOPEX0304A</t>
  </si>
  <si>
    <t>TOPEX0305A</t>
  </si>
  <si>
    <t>TOPEX0306A</t>
  </si>
  <si>
    <t>TOPEX0307A</t>
  </si>
  <si>
    <t>TOPEX0308A</t>
  </si>
  <si>
    <t>TOPEX0309A</t>
  </si>
  <si>
    <t>TOPEX0310A</t>
  </si>
  <si>
    <t>TOPEX0311A</t>
  </si>
  <si>
    <t>TOPEX0312A</t>
  </si>
  <si>
    <t>TOPEX0313A</t>
  </si>
  <si>
    <t>TOPEX0314A</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</si>
  <si>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</si>
  <si>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</si>
  <si>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</si>
  <si>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</si>
  <si>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</si>
  <si>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</si>
  <si>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</si>
  <si>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</si>
  <si>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</si>
  <si>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</si>
  <si>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</si>
  <si>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</si>
  <si>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</si>
  <si>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</si>
  <si>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</si>
  <si>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</si>
  <si>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</si>
  <si>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</si>
  <si>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</si>
  <si>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</si>
  <si>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</si>
  <si>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</si>
  <si>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</si>
  <si>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</si>
  <si>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</si>
  <si>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</si>
  <si>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</si>
  <si>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</si>
  <si>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</si>
  <si>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</si>
  <si>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TPA0101</t>
  </si>
  <si>
    <t>TPA0102</t>
  </si>
  <si>
    <t>TPA0103</t>
  </si>
  <si>
    <t>TPA0104</t>
  </si>
  <si>
    <t>TPA0105</t>
  </si>
  <si>
    <t>TPA0106</t>
  </si>
  <si>
    <t>TPA0107</t>
  </si>
  <si>
    <t>TPA0108</t>
  </si>
  <si>
    <t>TPA0109</t>
  </si>
  <si>
    <t>TPA0110</t>
  </si>
  <si>
    <t>TPA0111</t>
  </si>
  <si>
    <t>TPA0112</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</si>
  <si>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</si>
  <si>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</si>
  <si>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</si>
  <si>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</si>
  <si>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</si>
  <si>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</si>
  <si>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</si>
  <si>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</si>
  <si>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</si>
  <si>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</si>
  <si>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</si>
  <si>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</si>
  <si>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</si>
  <si>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</si>
  <si>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</si>
  <si>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</si>
  <si>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</si>
  <si>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</si>
  <si>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</si>
  <si>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</si>
  <si>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</si>
  <si>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</si>
  <si>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</si>
  <si>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</si>
  <si>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</si>
  <si>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</si>
  <si>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</si>
  <si>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</si>
  <si>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</si>
  <si>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</si>
  <si>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</si>
  <si>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</si>
  <si>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</si>
  <si>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</si>
  <si>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TQS0101</t>
  </si>
  <si>
    <t>TQS0102</t>
  </si>
  <si>
    <t>TQS0103</t>
  </si>
  <si>
    <t>TQS0104</t>
  </si>
  <si>
    <t>TQS0105</t>
  </si>
  <si>
    <t>TQS0106</t>
  </si>
  <si>
    <t>TQS0119</t>
  </si>
  <si>
    <t>TQS0120</t>
  </si>
  <si>
    <t>TQS0121</t>
  </si>
  <si>
    <t>TQS02</t>
  </si>
  <si>
    <t>TQS03</t>
  </si>
  <si>
    <t>TREV0110</t>
  </si>
  <si>
    <t>TREV01</t>
  </si>
  <si>
    <t>EB RIN 3.6 QUALITY OF SERVICES</t>
  </si>
  <si>
    <t>7.5 LARGE PROJECTS</t>
  </si>
  <si>
    <t>8.8 REVENUE REQUIREMENTS</t>
  </si>
  <si>
    <t>CA RIN 2.3c MATERIAL PROJECTS (AUGEX)</t>
  </si>
  <si>
    <t>Info Guideline 7.6 PTS Price Redn</t>
  </si>
  <si>
    <t>Info Guideline 7.7 Inf Rel Part Trans</t>
  </si>
  <si>
    <t>8.6.1 - INDICATIVE ASSET BASE PARTIALLY AS INCURRED</t>
  </si>
  <si>
    <t>Prescribed transmission services
Direct expenditure</t>
  </si>
  <si>
    <t>CHECKS AND TOTALS</t>
  </si>
  <si>
    <t>NETWORK OVERHEADS EXPENDITURE</t>
  </si>
  <si>
    <t>Operating expenditure - Regulatory accounts (PTS)</t>
  </si>
  <si>
    <t>Capital expenditure  - Regulatory accounts (PTS)</t>
  </si>
  <si>
    <t>CORPORATE OVERHEADS EXPENDITURE</t>
  </si>
  <si>
    <t>Easement levy  - Regulatory accounts (PTS)</t>
  </si>
  <si>
    <t>Other corporate overheads  - Regulatory accounts (PTS)</t>
  </si>
  <si>
    <t>Total Opex - regulatory accounts - Expenditure summary</t>
  </si>
  <si>
    <t>under/ over</t>
  </si>
  <si>
    <t>Information &amp; Communications Technology</t>
  </si>
  <si>
    <t>Transmission line maintenance</t>
  </si>
  <si>
    <t>Substations equipment &amp; property maintenance</t>
  </si>
  <si>
    <t>SCADA &amp; network control maintenance</t>
  </si>
  <si>
    <t>Protection systems maintenance</t>
  </si>
  <si>
    <t>Other maintenance activity</t>
  </si>
  <si>
    <t>Other voltages - NSP specified</t>
  </si>
  <si>
    <r>
      <t>NULL</t>
    </r>
    <r>
      <rPr>
        <sz val="8"/>
        <color theme="1"/>
        <rFont val="Calibri"/>
        <family val="2"/>
        <scheme val="minor"/>
      </rPr>
      <t xml:space="preserve"> if</t>
    </r>
  </si>
  <si>
    <t>Total operating expenditure</t>
  </si>
  <si>
    <t>Total capital expenditure</t>
  </si>
  <si>
    <t>7.5.1 - LARGE PROJECT EXPENDITURE</t>
  </si>
  <si>
    <t>Sheet 2.1</t>
  </si>
  <si>
    <t>Other source</t>
  </si>
  <si>
    <t>Variance</t>
  </si>
  <si>
    <t>Explanation for variance &gt;1</t>
  </si>
  <si>
    <t>nil</t>
  </si>
  <si>
    <r>
      <rPr>
        <strike/>
        <sz val="8"/>
        <color theme="1"/>
        <rFont val="Calibri"/>
        <family val="2"/>
        <scheme val="minor"/>
      </rPr>
      <t>NULL</t>
    </r>
    <r>
      <rPr>
        <sz val="8"/>
        <color theme="1"/>
        <rFont val="Calibri"/>
        <family val="2"/>
        <scheme val="minor"/>
      </rPr>
      <t xml:space="preserve"> if</t>
    </r>
  </si>
  <si>
    <t>TNSP's Connection Project Name</t>
  </si>
  <si>
    <t>Sheet 2.7</t>
  </si>
  <si>
    <t>DC06 - Operating expenditure | regulatory accounts (PTS)</t>
  </si>
  <si>
    <t>Maintenance expenditure</t>
  </si>
  <si>
    <t>DC02 - Operational Outputs | Asset replacement activities as commissioned</t>
  </si>
  <si>
    <t>Asset replacement activities</t>
  </si>
  <si>
    <t>Sheet 2.8</t>
  </si>
  <si>
    <t>DC06 - Operating expenditure | audited statutory accounts</t>
  </si>
  <si>
    <t>DC06 - Operating expenditure | regulatory accounts</t>
  </si>
  <si>
    <t>DC07 - Capital expenditure | audited statutory accounts</t>
  </si>
  <si>
    <t>DC07 - Capital expenditure | regulatory accounts (PTS)</t>
  </si>
  <si>
    <t>Overheads expenditure</t>
  </si>
  <si>
    <t>Direct + Indirect</t>
  </si>
  <si>
    <t>DC03 - Network metrics | Network assets - volume</t>
  </si>
  <si>
    <t>Installed assets - quantity currently in commission by financial year</t>
  </si>
  <si>
    <t>DC09 - Revenue and financial statements | Regulatory accounts (PTS)</t>
  </si>
  <si>
    <t>Disaggregated revenue</t>
  </si>
  <si>
    <t>DC09 - Revenue and financial statements | Provisions</t>
  </si>
  <si>
    <t>Total provisions</t>
  </si>
  <si>
    <t>44 kV</t>
  </si>
  <si>
    <t>TPA0113</t>
  </si>
  <si>
    <t>TPA0313</t>
  </si>
  <si>
    <t>TPA0413</t>
  </si>
  <si>
    <t>Disposals</t>
  </si>
  <si>
    <t>Total</t>
  </si>
  <si>
    <t>Immediate expensing</t>
  </si>
  <si>
    <r>
      <t xml:space="preserve">NULL </t>
    </r>
    <r>
      <rPr>
        <sz val="8"/>
        <color theme="1"/>
        <rFont val="Calibri"/>
        <family val="2"/>
        <scheme val="minor"/>
      </rPr>
      <t>if</t>
    </r>
  </si>
  <si>
    <t>Project Name</t>
  </si>
  <si>
    <t>Movements</t>
  </si>
  <si>
    <t>NCIPAP PROJECTS - AS INCURRED</t>
  </si>
  <si>
    <t>NCIPAP PROJECTS - AS COMMISSIONED</t>
  </si>
  <si>
    <t>TNSP specified capital expenditure category</t>
  </si>
  <si>
    <t>TNSP specified category</t>
  </si>
  <si>
    <t>Sheet 8.5</t>
  </si>
  <si>
    <r>
      <t>NULL</t>
    </r>
    <r>
      <rPr>
        <sz val="7"/>
        <color theme="2" tint="-0.749992370372631"/>
        <rFont val="Calibri"/>
        <family val="2"/>
        <scheme val="minor"/>
      </rPr>
      <t xml:space="preserve"> if</t>
    </r>
  </si>
  <si>
    <t>DC09 - Revenue and financial statements | Audited statutory accounts</t>
  </si>
  <si>
    <t>Income statement</t>
  </si>
  <si>
    <t>DC09 - Revenue and financial statements | Other financial information</t>
  </si>
  <si>
    <t>Price reduction / recovery</t>
  </si>
  <si>
    <r>
      <t>NULL</t>
    </r>
    <r>
      <rPr>
        <sz val="7"/>
        <color theme="1"/>
        <rFont val="Calibri"/>
        <family val="2"/>
        <scheme val="minor"/>
      </rPr>
      <t xml:space="preserve"> if</t>
    </r>
  </si>
  <si>
    <t>DC05 - Service Performance | Market impact component</t>
  </si>
  <si>
    <t>Market impact parameter - calendar year</t>
  </si>
  <si>
    <t>DC06 - Operating expenditure | large projects</t>
  </si>
  <si>
    <t>Large Projects</t>
  </si>
  <si>
    <t xml:space="preserve">DC08 - Asset base values | regulatory accounts (PTS) </t>
  </si>
  <si>
    <r>
      <t xml:space="preserve">Asset base by asset group - </t>
    </r>
    <r>
      <rPr>
        <sz val="10"/>
        <rFont val="Calibri"/>
        <family val="2"/>
        <scheme val="minor"/>
      </rPr>
      <t>partially as incurred</t>
    </r>
  </si>
  <si>
    <r>
      <t xml:space="preserve">Asset base by asset group - </t>
    </r>
    <r>
      <rPr>
        <sz val="10"/>
        <rFont val="Calibri"/>
        <family val="2"/>
        <scheme val="minor"/>
      </rPr>
      <t>as commissioned</t>
    </r>
  </si>
  <si>
    <t>Audited statutory accounts</t>
  </si>
  <si>
    <t>Concepts</t>
  </si>
  <si>
    <t>Additional disclosures</t>
  </si>
  <si>
    <t>NSP additional information</t>
  </si>
  <si>
    <t>Validation rules</t>
  </si>
  <si>
    <t># = Value must be numerical.</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</si>
  <si>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</si>
  <si>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</si>
  <si>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</si>
  <si>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</si>
  <si>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</si>
  <si>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</si>
  <si>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</si>
  <si>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</si>
  <si>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t>Cross checks in this workbook</t>
  </si>
  <si>
    <t>Source 1</t>
  </si>
  <si>
    <t>Source 2</t>
  </si>
  <si>
    <t xml:space="preserve">2.1.2 - Prescribed Transmission Service Opex </t>
  </si>
  <si>
    <t>2.1.1 - Prescribed Transmission Services Capex (as Incurred)</t>
  </si>
  <si>
    <t>2.2.1 - Replacement Expenditure, Volumes and Asset Failures by Asset Category</t>
  </si>
  <si>
    <t>2.3c Material projects (Augex)</t>
  </si>
  <si>
    <t xml:space="preserve">Unit of measure </t>
  </si>
  <si>
    <t>free text</t>
  </si>
  <si>
    <t>start date</t>
  </si>
  <si>
    <t>UOM</t>
  </si>
  <si>
    <t>Exp comm date</t>
  </si>
  <si>
    <t>DC07 - Capital expenditure | Capex by purpose</t>
  </si>
  <si>
    <t>Total gross capex - as incurred</t>
  </si>
  <si>
    <t>DC06 - Operating expenditure | Regulatory accounts</t>
  </si>
  <si>
    <t>Opex by purpose</t>
  </si>
  <si>
    <t>Replacement capex by asset category as commissioned</t>
  </si>
  <si>
    <t>DC07 - Capital expenditure | Material projects</t>
  </si>
  <si>
    <t>Augex asset data - lines</t>
  </si>
  <si>
    <t>DC02 - Operational Outputs | Other outputs</t>
  </si>
  <si>
    <t>Asset augmentation activities as commissioned</t>
  </si>
  <si>
    <t>DC07 - Capital expenditure | Capex by asset class</t>
  </si>
  <si>
    <t>Capex - as commissioned</t>
  </si>
  <si>
    <t>Capex - as incurred</t>
  </si>
  <si>
    <t>DC02 - Operational outputs | Connections (transmission)</t>
  </si>
  <si>
    <t>Description of connection projects</t>
  </si>
  <si>
    <t>DC06 - Operating expenditure |Regulatory accounts (PTS)</t>
  </si>
  <si>
    <t>DC07 - Capital expenditure |capex by purpose</t>
  </si>
  <si>
    <t>Non-Network Expenditure</t>
  </si>
  <si>
    <t>DC03 - Network metrics | Length</t>
  </si>
  <si>
    <t>Length data</t>
  </si>
  <si>
    <t>DC03 - Network metrics | Capacity</t>
  </si>
  <si>
    <t>Circuit capacity</t>
  </si>
  <si>
    <t>DC05 - Service Performance | Service component performance</t>
  </si>
  <si>
    <t>Service component performance</t>
  </si>
  <si>
    <t>Market impact component</t>
  </si>
  <si>
    <t>DC05 - Service Performance | System losses</t>
  </si>
  <si>
    <t>Related party transactions</t>
  </si>
  <si>
    <t xml:space="preserve">DC06 - Operating expenditure | Audited statutory accounts </t>
  </si>
  <si>
    <t>DC06 - Operating expenditure | Regulatory accounts (PTS)</t>
  </si>
  <si>
    <t>Income statement - expenditure</t>
  </si>
  <si>
    <t>PTS</t>
  </si>
  <si>
    <t>Negotiated</t>
  </si>
  <si>
    <t>non-negotiated</t>
  </si>
  <si>
    <t>Underground / Overhead line type</t>
  </si>
  <si>
    <r>
      <rPr>
        <strike/>
        <sz val="7"/>
        <color theme="1"/>
        <rFont val="Calibri"/>
        <family val="2"/>
        <scheme val="minor"/>
      </rPr>
      <t>NULL</t>
    </r>
    <r>
      <rPr>
        <sz val="7"/>
        <color theme="1"/>
        <rFont val="Calibri"/>
        <family val="2"/>
        <scheme val="minor"/>
      </rPr>
      <t xml:space="preserve"> if</t>
    </r>
  </si>
  <si>
    <t>Recurrent ICT total</t>
  </si>
  <si>
    <t>Non-recurrent ICT total</t>
  </si>
  <si>
    <t xml:space="preserve">Recurrent ICT </t>
  </si>
  <si>
    <t>Non-recurrent ICT</t>
  </si>
  <si>
    <t>Text choice</t>
  </si>
  <si>
    <t>TOPEX01</t>
  </si>
  <si>
    <t>Protected SOCI</t>
  </si>
  <si>
    <t>NSW Electricity Networks Operations Pty Ltd trading as Transgrid</t>
  </si>
  <si>
    <t>RIO</t>
  </si>
  <si>
    <t>2.3c.2 Material Projects</t>
  </si>
  <si>
    <t>Regulatory Financial Statements (PTS)</t>
  </si>
  <si>
    <t>2.6.1 - Non-Network Expenditure</t>
  </si>
  <si>
    <t>2.10.1 - Network Overheads Expenditure</t>
  </si>
  <si>
    <t>2.10.2 - Corporate Overheads Expenditure</t>
  </si>
  <si>
    <t>5.2.1 - Asset Age Profile</t>
  </si>
  <si>
    <t>3.1.3 Revenue (Penalties) Allowed (Deducted) Through Incentive Schemes</t>
  </si>
  <si>
    <t>3.2.3 - Provisions</t>
  </si>
  <si>
    <t xml:space="preserve">3.5.1 - Transmission System Capacities </t>
  </si>
  <si>
    <t>3.6.1 - Service Component</t>
  </si>
  <si>
    <t>3.6.2 - Market Impact Component</t>
  </si>
  <si>
    <t>3.6.3 - System Losses</t>
  </si>
  <si>
    <t xml:space="preserve">7.6.1 - Price Reduction/Recovery </t>
  </si>
  <si>
    <t>7.7.1 - Related Party Transactions</t>
  </si>
  <si>
    <t>7.9.4 - Market Impact Component</t>
  </si>
  <si>
    <t>8.8.1 - Revenue Requirements</t>
  </si>
  <si>
    <t>2.5.2 - Description of Connection Projects</t>
  </si>
  <si>
    <t>2.7.2 - Expenditure Metrics by Zone</t>
  </si>
  <si>
    <t>2.8.1 - Descriptor Metrics for Routine and Non-Routine Maintenance</t>
  </si>
  <si>
    <t>2.8.2 - Cost Metrics for Routine and Non-Routine Maintenance</t>
  </si>
  <si>
    <t>2.4.1 - Actual Gross Capital Expenditure – as Commissioned</t>
  </si>
  <si>
    <t>2.4.2 - Actual Gross Capital Expenditure – as Incurred</t>
  </si>
  <si>
    <t>7.5.1 - Large Project Expenditure</t>
  </si>
  <si>
    <t>8.6.1 - Indicative Asset Base Partially as Incurred</t>
  </si>
  <si>
    <t>8.6.2 - Indicative Asset Base as Commissioned</t>
  </si>
  <si>
    <t>8.5 Opex</t>
  </si>
  <si>
    <t>7.7 Rel Part Trans</t>
  </si>
  <si>
    <t>Adjusted Allowed Revenue</t>
  </si>
  <si>
    <t>Revenue From Prescribed Services</t>
  </si>
  <si>
    <t>Budgeted Revenue From Customers</t>
  </si>
  <si>
    <t>Revenue Recoveries</t>
  </si>
  <si>
    <t>Revenue Unders / Overs</t>
  </si>
  <si>
    <t>Revenue Reconciliation (T-2)</t>
  </si>
  <si>
    <t>Total Provisions</t>
  </si>
  <si>
    <t>Business Specified Provisions</t>
  </si>
  <si>
    <t xml:space="preserve">Non-regulated </t>
  </si>
  <si>
    <t>Total assets in commission</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</si>
  <si>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</si>
  <si>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≥0 = Value must be greater than or equal to zero, any negative value must be explained in the basis of preparation.</t>
  </si>
  <si>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</si>
  <si>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Yes</t>
  </si>
  <si>
    <t>dms_Cost_Allocation_Agreement_List</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</si>
  <si>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</si>
  <si>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</si>
  <si>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</si>
  <si>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Reporting Year</t>
  </si>
  <si>
    <t>Submission Details</t>
  </si>
  <si>
    <t>Amended data:</t>
  </si>
  <si>
    <t>Amendment Reason</t>
  </si>
  <si>
    <t>2.4 Capex by Asset Class</t>
  </si>
  <si>
    <t>Type of service
(Prescribed/ Negotiated/ Unregulated)</t>
  </si>
  <si>
    <t>Related Parties</t>
  </si>
  <si>
    <r>
      <t>8.5.1 - OPERATING EXPENDITURE -</t>
    </r>
    <r>
      <rPr>
        <b/>
        <sz val="10"/>
        <color rgb="FFFF0000"/>
        <rFont val="Calibri"/>
        <family val="2"/>
        <scheme val="minor"/>
      </rPr>
      <t xml:space="preserve"> AUDITED STATUTORY ACCOUNTS</t>
    </r>
  </si>
  <si>
    <t>Audited Statutory Accounts</t>
  </si>
  <si>
    <t>8.5.2 - OPERATING EXPENDITURE - REGULATORY ACCOUNTS</t>
  </si>
  <si>
    <t>Total Operating expenditure</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</si>
  <si>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</si>
  <si>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 xml:space="preserve">Info Guideline 2.4 Capex by Asset Class </t>
  </si>
  <si>
    <t>2.7.2 - EXPENDITURE METRICS</t>
  </si>
  <si>
    <t>Info Guideline 8.5 - Operating Expenditure</t>
  </si>
  <si>
    <t>Info Guideline 9.1 - Income Statement - Audited Statutory Accounts</t>
  </si>
  <si>
    <t>9.1.1 - INCOME STATEMENT - AUDITED STATUTORY ACCOUNTS</t>
  </si>
  <si>
    <r>
      <t xml:space="preserve">Info Guideline 9.2 - </t>
    </r>
    <r>
      <rPr>
        <b/>
        <sz val="14"/>
        <color theme="0"/>
        <rFont val="Calibri"/>
        <family val="2"/>
        <scheme val="minor"/>
      </rPr>
      <t>Income Statement - Regulatory Accounts</t>
    </r>
  </si>
  <si>
    <t>9.2.1 - INCOME STATEMENT - REGULATORY ACCOUNTS</t>
  </si>
  <si>
    <t>9.1 Income Statement - Audited Statutory Accounts</t>
  </si>
  <si>
    <t>9.1.1 - Income Statement - Audited Statutory Accounts</t>
  </si>
  <si>
    <t>9.2 Income Statement - Regulatory Accounts</t>
  </si>
  <si>
    <t>9.2.1 - Income Statement - Regulatory Accounts</t>
  </si>
  <si>
    <t>8.5.2 - Operating Expenditure - Regulatory Accounts</t>
  </si>
  <si>
    <t>8.5.1 - Operating Expenditure - Audited Statutory Accounts</t>
  </si>
  <si>
    <t>Assets upgraded</t>
  </si>
  <si>
    <t xml:space="preserve">2.3c.2 - MATERIAL AUGMENTATION PROJECTS </t>
  </si>
  <si>
    <t>Unique ID</t>
  </si>
  <si>
    <t>dms_UID_list</t>
  </si>
  <si>
    <t>AIO</t>
  </si>
  <si>
    <t>Annual Information Orders</t>
  </si>
  <si>
    <t>dms_AIO</t>
  </si>
  <si>
    <t>ETTVIC100</t>
  </si>
  <si>
    <t>ETTVIC200</t>
  </si>
  <si>
    <t>ETINQL100</t>
  </si>
  <si>
    <t>AER0000001</t>
  </si>
  <si>
    <t>ETINSA100</t>
  </si>
  <si>
    <t>ETTSTH100</t>
  </si>
  <si>
    <t>ETTQLD100</t>
  </si>
  <si>
    <t>ETTTAS100</t>
  </si>
  <si>
    <t>ETTNSW100</t>
  </si>
  <si>
    <t>dms_050201_INT_UOM (for interconnectors only) - AIO</t>
  </si>
  <si>
    <t>CA &amp; RESET &amp; AIO RINS 
TNSP ONLY</t>
  </si>
  <si>
    <r>
      <t xml:space="preserve">NULL </t>
    </r>
    <r>
      <rPr>
        <sz val="7"/>
        <color theme="1"/>
        <rFont val="Calibri"/>
        <family val="2"/>
        <scheme val="minor"/>
      </rPr>
      <t>if</t>
    </r>
  </si>
  <si>
    <t xml:space="preserve">Year connection project due to be completed </t>
  </si>
  <si>
    <r>
      <rPr>
        <strike/>
        <sz val="7"/>
        <color theme="2" tint="-0.749992370372631"/>
        <rFont val="Calibri"/>
        <family val="2"/>
        <scheme val="minor"/>
      </rPr>
      <t>NULL</t>
    </r>
    <r>
      <rPr>
        <sz val="7"/>
        <color theme="2" tint="-0.749992370372631"/>
        <rFont val="Calibri"/>
        <family val="2"/>
        <scheme val="minor"/>
      </rPr>
      <t xml:space="preserve"> if</t>
    </r>
  </si>
  <si>
    <t>Total Opex - prescribed transmission services</t>
  </si>
  <si>
    <t>(e.g. KM, MVA)</t>
  </si>
  <si>
    <t>Unit of measure - e.g. $ or $real or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</si>
</sst>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0000"/>
    <numFmt numFmtId="172" formatCode="#,##0.0000"/>
    <numFmt numFmtId="173" formatCode="0000"/>
    <numFmt numFmtId="174" formatCode="mmmm\ yyyy"/>
    <numFmt numFmtId="175" formatCode="dd/mm/yyyy"/>
  </numFmts>
  <fonts count="180">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16"/>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i/>
      <sz val="10"/>
      <color indexed="8"/>
      <name val="Calibri"/>
      <family val="2"/>
      <scheme val="minor"/>
    </font>
    <font>
      <b/>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34998626667073579"/>
      <name val="Calibri"/>
      <family val="2"/>
      <scheme val="minor"/>
    </font>
    <font>
      <b/>
      <sz val="10"/>
      <color theme="0" tint="-0.34998626667073579"/>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sz val="10"/>
      <color theme="4" tint="-0.499984740745262"/>
      <name val="Calibri"/>
      <family val="2"/>
      <scheme val="minor"/>
    </font>
    <font>
      <u/>
      <sz val="11"/>
      <color theme="10"/>
      <name val="Calibri"/>
      <family val="2"/>
      <scheme val="minor"/>
    </font>
    <font>
      <b/>
      <sz val="10"/>
      <name val="Calibri"/>
      <family val="2"/>
    </font>
    <font>
      <b/>
      <sz val="9"/>
      <name val="Calibri"/>
      <family val="2"/>
      <scheme val="minor"/>
    </font>
    <font>
      <b/>
      <sz val="11"/>
      <color indexed="8"/>
      <name val="Calibri"/>
      <family val="2"/>
      <scheme val="minor"/>
    </font>
    <font>
      <sz val="8"/>
      <name val="Calibri"/>
      <family val="2"/>
    </font>
    <font>
      <sz val="8"/>
      <color theme="1"/>
      <name val="Calibri"/>
      <family val="2"/>
    </font>
    <font>
      <strike/>
      <sz val="8"/>
      <color theme="1"/>
      <name val="Calibri"/>
      <family val="2"/>
      <scheme val="minor"/>
    </font>
    <font>
      <sz val="7"/>
      <color theme="1"/>
      <name val="Calibri"/>
      <family val="2"/>
    </font>
    <font>
      <strike/>
      <sz val="7"/>
      <color theme="1"/>
      <name val="Calibri"/>
      <family val="2"/>
      <scheme val="minor"/>
    </font>
    <font>
      <sz val="7"/>
      <color theme="2" tint="-0.749992370372631"/>
      <name val="Calibri"/>
      <family val="2"/>
      <scheme val="minor"/>
    </font>
    <font>
      <strike/>
      <sz val="7"/>
      <color theme="2" tint="-0.749992370372631"/>
      <name val="Calibri"/>
      <family val="2"/>
      <scheme val="minor"/>
    </font>
    <font>
      <sz val="7"/>
      <color theme="2" tint="-0.749992370372631"/>
      <name val="Calibri"/>
      <family val="2"/>
    </font>
    <font>
      <b/>
      <sz val="12"/>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color rgb="FF000000"/>
      <name val="Calibri"/>
      <family val="2"/>
    </font>
    <font>
      <sz val="10"/>
      <color rgb="FF000000"/>
      <name val="Calibri"/>
      <family val="2"/>
    </font>
    <font>
      <sz val="10"/>
      <name val="Calibri"/>
      <family val="2"/>
    </font>
    <font>
      <sz val="7"/>
      <name val="Calibri"/>
      <family val="2"/>
      <scheme val="minor"/>
    </font>
    <font>
      <b/>
      <sz val="10"/>
      <color rgb="FFFFFFFF"/>
      <name val="Calibri"/>
      <family val="2"/>
      <scheme val="minor"/>
    </font>
    <font>
      <b/>
      <sz val="10"/>
      <color theme="1"/>
      <name val="Calibri"/>
      <family val="2"/>
    </font>
    <font>
      <i/>
      <sz val="12"/>
      <color rgb="FFFF0000"/>
      <name val="Calibri"/>
      <family val="2"/>
      <scheme val="minor"/>
    </font>
    <font>
      <b/>
      <sz val="20"/>
      <color theme="0"/>
      <name val="Calibri"/>
      <family val="2"/>
      <scheme val="minor"/>
    </font>
    <font>
      <b/>
      <sz val="24"/>
      <color theme="0"/>
      <name val="Calibri"/>
      <family val="2"/>
      <scheme val="minor"/>
    </font>
    <font>
      <sz val="10"/>
      <color rgb="FFFF0000"/>
      <name val="Arial Narrow"/>
      <family val="2"/>
    </font>
  </fonts>
  <fills count="9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theme="0" tint="-0.14999847407452621"/>
        <bgColor rgb="FFF6F6F6"/>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074650"/>
        <bgColor indexed="64"/>
      </patternFill>
    </fill>
    <fill>
      <patternFill patternType="solid">
        <fgColor rgb="FF4B2D88"/>
        <bgColor indexed="64"/>
      </patternFill>
    </fill>
    <fill>
      <patternFill patternType="solid">
        <fgColor rgb="FF9572B2"/>
        <bgColor indexed="64"/>
      </patternFill>
    </fill>
    <fill>
      <patternFill patternType="solid">
        <fgColor rgb="FF6B98BF"/>
        <bgColor indexed="64"/>
      </patternFill>
    </fill>
    <fill>
      <patternFill patternType="solid">
        <fgColor rgb="FF006BA8"/>
        <bgColor indexed="64"/>
      </patternFill>
    </fill>
    <fill>
      <patternFill patternType="solid">
        <fgColor rgb="FF009292"/>
        <bgColor rgb="FF000000"/>
      </patternFill>
    </fill>
    <fill>
      <patternFill patternType="solid">
        <fgColor rgb="FF4B2D88"/>
        <bgColor rgb="FF000000"/>
      </patternFill>
    </fill>
    <fill>
      <patternFill patternType="solid">
        <fgColor theme="1" tint="0.34998626667073579"/>
        <bgColor indexed="64"/>
      </patternFill>
    </fill>
    <fill>
      <patternFill patternType="solid">
        <fgColor rgb="FFD2E4DE"/>
        <bgColor indexed="64"/>
      </patternFill>
    </fill>
  </fills>
  <borders count="493">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medium">
        <color indexed="64"/>
      </left>
      <right/>
      <top style="thin">
        <color theme="4" tint="0.3999755851924192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tint="-0.14996795556505021"/>
      </right>
      <top style="thin">
        <color theme="0" tint="-0.14996795556505021"/>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34998626667073579"/>
      </top>
      <bottom style="thin">
        <color theme="0" tint="-0.14996795556505021"/>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3743705557422"/>
      </left>
      <right style="thin">
        <color theme="0" tint="-0.34998626667073579"/>
      </right>
      <top/>
      <bottom style="thin">
        <color theme="0" tint="-0.14993743705557422"/>
      </bottom>
      <diagonal/>
    </border>
    <border>
      <left style="thin">
        <color theme="0" tint="-0.14993743705557422"/>
      </left>
      <right style="thin">
        <color indexed="64"/>
      </right>
      <top style="thin">
        <color theme="0" tint="-0.14990691854609822"/>
      </top>
      <bottom style="thin">
        <color indexed="64"/>
      </bottom>
      <diagonal/>
    </border>
    <border>
      <left style="thin">
        <color theme="0" tint="-0.14993743705557422"/>
      </left>
      <right style="thin">
        <color theme="0" tint="-0.14993743705557422"/>
      </right>
      <top/>
      <bottom style="thin">
        <color theme="0" tint="-0.34998626667073579"/>
      </bottom>
      <diagonal/>
    </border>
    <border>
      <left style="thin">
        <color theme="0" tint="-0.14993743705557422"/>
      </left>
      <right style="thin">
        <color theme="0" tint="-0.34998626667073579"/>
      </right>
      <top/>
      <bottom style="thin">
        <color theme="0" tint="-0.34998626667073579"/>
      </bottom>
      <diagonal/>
    </border>
    <border>
      <left style="thin">
        <color theme="0" tint="-0.34998626667073579"/>
      </left>
      <right style="thin">
        <color theme="0" tint="-0.14993743705557422"/>
      </right>
      <top/>
      <bottom style="thin">
        <color theme="0" tint="-0.34998626667073579"/>
      </bottom>
      <diagonal/>
    </border>
    <border>
      <left/>
      <right style="thin">
        <color theme="0" tint="-0.14996795556505021"/>
      </right>
      <top style="thin">
        <color indexed="64"/>
      </top>
      <bottom style="thin">
        <color theme="0" tint="-0.14996795556505021"/>
      </bottom>
      <diagonal/>
    </border>
    <border>
      <left style="thin">
        <color theme="0" tint="-0.14993743705557422"/>
      </left>
      <right style="thin">
        <color theme="0" tint="-0.14993743705557422"/>
      </right>
      <top/>
      <bottom style="thin">
        <color theme="0" tint="-0.14993743705557422"/>
      </bottom>
      <diagonal/>
    </border>
    <border>
      <left style="thin">
        <color theme="0" tint="-0.34998626667073579"/>
      </left>
      <right style="thin">
        <color theme="0" tint="-0.14990691854609822"/>
      </right>
      <top style="thin">
        <color theme="0" tint="-0.34998626667073579"/>
      </top>
      <bottom style="thin">
        <color theme="0" tint="-0.14990691854609822"/>
      </bottom>
      <diagonal/>
    </border>
    <border>
      <left style="thin">
        <color theme="0" tint="-0.14990691854609822"/>
      </left>
      <right style="thin">
        <color theme="0" tint="-0.14990691854609822"/>
      </right>
      <top style="thin">
        <color theme="0" tint="-0.34998626667073579"/>
      </top>
      <bottom style="thin">
        <color theme="0" tint="-0.14990691854609822"/>
      </bottom>
      <diagonal/>
    </border>
    <border>
      <left style="thin">
        <color theme="0" tint="-0.14990691854609822"/>
      </left>
      <right style="thin">
        <color theme="0" tint="-0.34998626667073579"/>
      </right>
      <top style="thin">
        <color theme="0" tint="-0.34998626667073579"/>
      </top>
      <bottom style="thin">
        <color theme="0" tint="-0.14990691854609822"/>
      </bottom>
      <diagonal/>
    </border>
    <border>
      <left style="thin">
        <color theme="0" tint="-0.14996795556505021"/>
      </left>
      <right style="thin">
        <color theme="0" tint="-0.14993743705557422"/>
      </right>
      <top style="thin">
        <color indexed="64"/>
      </top>
      <bottom style="thin">
        <color theme="0" tint="-0.14996795556505021"/>
      </bottom>
      <diagonal/>
    </border>
    <border>
      <left style="thin">
        <color theme="0" tint="-0.14993743705557422"/>
      </left>
      <right style="thin">
        <color theme="0" tint="-0.14993743705557422"/>
      </right>
      <top style="thin">
        <color indexed="64"/>
      </top>
      <bottom style="thin">
        <color theme="0" tint="-0.14996795556505021"/>
      </bottom>
      <diagonal/>
    </border>
    <border>
      <left style="thin">
        <color theme="0" tint="-0.34998626667073579"/>
      </left>
      <right style="thin">
        <color theme="0" tint="-0.14993743705557422"/>
      </right>
      <top/>
      <bottom style="thin">
        <color theme="0" tint="-0.14993743705557422"/>
      </bottom>
      <diagonal/>
    </border>
    <border>
      <left style="thin">
        <color theme="0" tint="-0.14990691854609822"/>
      </left>
      <right/>
      <top style="thin">
        <color theme="0" tint="-0.34998626667073579"/>
      </top>
      <bottom style="thin">
        <color theme="0" tint="-0.14990691854609822"/>
      </bottom>
      <diagonal/>
    </border>
    <border>
      <left style="thin">
        <color theme="0" tint="-0.14993743705557422"/>
      </left>
      <right/>
      <top style="thin">
        <color theme="0" tint="-0.34998626667073579"/>
      </top>
      <bottom style="thin">
        <color theme="0" tint="-0.14993743705557422"/>
      </bottom>
      <diagonal/>
    </border>
    <border>
      <left style="thin">
        <color theme="0" tint="-0.14993743705557422"/>
      </left>
      <right/>
      <top/>
      <bottom style="thin">
        <color theme="0" tint="-0.14993743705557422"/>
      </bottom>
      <diagonal/>
    </border>
    <border>
      <left style="thin">
        <color theme="0" tint="-0.14993743705557422"/>
      </left>
      <right/>
      <top/>
      <bottom style="thin">
        <color theme="0" tint="-0.34998626667073579"/>
      </bottom>
      <diagonal/>
    </border>
    <border>
      <left/>
      <right style="thin">
        <color theme="0" tint="-0.14990691854609822"/>
      </right>
      <top style="thin">
        <color theme="0" tint="-0.34998626667073579"/>
      </top>
      <bottom style="thin">
        <color theme="0" tint="-0.14990691854609822"/>
      </bottom>
      <diagonal/>
    </border>
    <border>
      <left/>
      <right style="thin">
        <color theme="0" tint="-0.14993743705557422"/>
      </right>
      <top style="thin">
        <color theme="0" tint="-0.34998626667073579"/>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3743705557422"/>
      </right>
      <top/>
      <bottom style="thin">
        <color theme="0" tint="-0.34998626667073579"/>
      </bottom>
      <diagonal/>
    </border>
    <border>
      <left/>
      <right style="thin">
        <color theme="0" tint="-0.14990691854609822"/>
      </right>
      <top style="thin">
        <color theme="0" tint="-0.14990691854609822"/>
      </top>
      <bottom/>
      <diagonal/>
    </border>
    <border>
      <left style="thin">
        <color theme="0" tint="-0.14990691854609822"/>
      </left>
      <right style="thin">
        <color theme="0" tint="-0.34998626667073579"/>
      </right>
      <top style="thin">
        <color theme="0" tint="-0.14990691854609822"/>
      </top>
      <bottom/>
      <diagonal/>
    </border>
    <border>
      <left style="thin">
        <color theme="0" tint="-0.34998626667073579"/>
      </left>
      <right style="thin">
        <color theme="0" tint="-0.14990691854609822"/>
      </right>
      <top style="thin">
        <color theme="0" tint="-0.14990691854609822"/>
      </top>
      <bottom/>
      <diagonal/>
    </border>
    <border>
      <left style="thin">
        <color theme="0" tint="-0.14990691854609822"/>
      </left>
      <right style="thin">
        <color theme="0" tint="-0.14990691854609822"/>
      </right>
      <top style="thin">
        <color theme="0" tint="-0.14990691854609822"/>
      </top>
      <bottom/>
      <diagonal/>
    </border>
    <border>
      <left style="thin">
        <color theme="0" tint="-0.14990691854609822"/>
      </left>
      <right/>
      <top style="thin">
        <color theme="0" tint="-0.14990691854609822"/>
      </top>
      <bottom/>
      <diagonal/>
    </border>
    <border>
      <left style="thin">
        <color theme="0" tint="-0.14996795556505021"/>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theme="0" tint="-0.24994659260841701"/>
      </left>
      <right style="thin">
        <color auto="1"/>
      </right>
      <top/>
      <bottom style="thin">
        <color theme="0" tint="-0.24994659260841701"/>
      </bottom>
      <diagonal/>
    </border>
    <border>
      <left/>
      <right style="thin">
        <color theme="0" tint="-0.24994659260841701"/>
      </right>
      <top style="thin">
        <color theme="0" tint="-0.24994659260841701"/>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theme="0" tint="-0.14993743705557422"/>
      </right>
      <top style="thin">
        <color indexed="23"/>
      </top>
      <bottom/>
      <diagonal/>
    </border>
    <border>
      <left/>
      <right style="thin">
        <color theme="0" tint="-0.14993743705557422"/>
      </right>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right/>
      <top/>
      <bottom style="thin">
        <color auto="1"/>
      </bottom>
      <diagonal/>
    </border>
    <border>
      <left style="thin">
        <color theme="0" tint="-0.14996795556505021"/>
      </left>
      <right style="thin">
        <color theme="0" tint="-0.34998626667073579"/>
      </right>
      <top style="thin">
        <color theme="0" tint="-0.14996795556505021"/>
      </top>
      <bottom/>
      <diagonal/>
    </border>
    <border>
      <left style="thin">
        <color indexed="64"/>
      </left>
      <right style="thin">
        <color indexed="64"/>
      </right>
      <top style="thin">
        <color indexed="64"/>
      </top>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24994659260841701"/>
      </left>
      <right style="thin">
        <color auto="1"/>
      </right>
      <top style="thin">
        <color indexed="64"/>
      </top>
      <bottom style="thin">
        <color theme="0" tint="-0.24994659260841701"/>
      </bottom>
      <diagonal/>
    </border>
    <border>
      <left style="thin">
        <color theme="0" tint="-0.14993743705557422"/>
      </left>
      <right style="thin">
        <color indexed="23"/>
      </right>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23"/>
      </left>
      <right style="thin">
        <color indexed="23"/>
      </right>
      <top style="thin">
        <color theme="0" tint="-0.14993743705557422"/>
      </top>
      <bottom style="thin">
        <color rgb="FFA6A6A6"/>
      </bottom>
      <diagonal/>
    </border>
    <border>
      <left style="thin">
        <color indexed="23"/>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indexed="23"/>
      </right>
      <top style="thin">
        <color theme="0" tint="-0.14993743705557422"/>
      </top>
      <bottom style="thin">
        <color rgb="FFA6A6A6"/>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top style="thin">
        <color indexed="64"/>
      </top>
      <bottom/>
      <diagonal/>
    </border>
    <border>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theme="0" tint="-0.14993743705557422"/>
      </right>
      <top style="thin">
        <color theme="0" tint="-0.14993743705557422"/>
      </top>
      <bottom style="thin">
        <color auto="1"/>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theme="0" tint="-0.14993743705557422"/>
      </right>
      <top style="thin">
        <color theme="0" tint="-0.14993743705557422"/>
      </top>
      <bottom style="thin">
        <color indexed="23"/>
      </bottom>
      <diagonal/>
    </border>
    <border>
      <left/>
      <right/>
      <top style="thin">
        <color indexed="64"/>
      </top>
      <bottom style="thin">
        <color theme="0" tint="-0.14996795556505021"/>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right style="thin">
        <color theme="0" tint="-0.14993743705557422"/>
      </right>
      <top style="thin">
        <color indexed="23"/>
      </top>
      <bottom style="thin">
        <color indexed="64"/>
      </bottom>
      <diagonal/>
    </border>
    <border>
      <left/>
      <right style="thin">
        <color theme="0" tint="-0.14993743705557422"/>
      </right>
      <top style="thin">
        <color indexed="64"/>
      </top>
      <bottom style="thin">
        <color indexed="64"/>
      </bottom>
      <diagonal/>
    </border>
    <border>
      <left style="thin">
        <color indexed="64"/>
      </left>
      <right style="thin">
        <color theme="0" tint="-0.14993743705557422"/>
      </right>
      <top/>
      <bottom style="thin">
        <color indexed="64"/>
      </bottom>
      <diagonal/>
    </border>
    <border>
      <left style="thin">
        <color theme="0" tint="-0.14993743705557422"/>
      </left>
      <right style="thin">
        <color theme="0" tint="-0.14993743705557422"/>
      </right>
      <top/>
      <bottom style="thin">
        <color indexed="64"/>
      </bottom>
      <diagonal/>
    </border>
    <border>
      <left style="thin">
        <color theme="0" tint="-0.14993743705557422"/>
      </left>
      <right style="thin">
        <color indexed="64"/>
      </right>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top/>
      <bottom style="thin">
        <color theme="0" tint="-0.14993743705557422"/>
      </bottom>
      <diagonal/>
    </border>
    <border>
      <left style="thin">
        <color theme="0" tint="-0.14996795556505021"/>
      </left>
      <right style="thin">
        <color theme="0" tint="-0.34998626667073579"/>
      </right>
      <top style="thin">
        <color theme="0" tint="-0.14996795556505021"/>
      </top>
      <bottom style="thin">
        <color indexed="64"/>
      </bottom>
      <diagonal/>
    </border>
    <border>
      <left/>
      <right style="thin">
        <color theme="0" tint="-0.34998626667073579"/>
      </right>
      <top style="thin">
        <color indexed="23"/>
      </top>
      <bottom style="thin">
        <color theme="0" tint="-0.14993743705557422"/>
      </bottom>
      <diagonal/>
    </border>
    <border>
      <left style="thin">
        <color theme="0" tint="-0.14993743705557422"/>
      </left>
      <right style="thin">
        <color theme="0" tint="-0.34998626667073579"/>
      </right>
      <top style="thin">
        <color theme="0" tint="-0.14993743705557422"/>
      </top>
      <bottom style="thin">
        <color indexed="23"/>
      </bottom>
      <diagonal/>
    </border>
    <border>
      <left/>
      <right style="thin">
        <color theme="0" tint="-0.34998626667073579"/>
      </right>
      <top style="thin">
        <color indexed="23"/>
      </top>
      <bottom/>
      <diagonal/>
    </border>
    <border>
      <left style="thin">
        <color theme="0" tint="-0.14993743705557422"/>
      </left>
      <right/>
      <top style="thin">
        <color theme="0" tint="-0.14996795556505021"/>
      </top>
      <bottom style="thin">
        <color indexed="23"/>
      </bottom>
      <diagonal/>
    </border>
    <border>
      <left/>
      <right style="thin">
        <color theme="0" tint="-0.34998626667073579"/>
      </right>
      <top style="thin">
        <color theme="0" tint="-0.14996795556505021"/>
      </top>
      <bottom style="thin">
        <color indexed="23"/>
      </bottom>
      <diagonal/>
    </border>
    <border>
      <left style="thin">
        <color theme="0" tint="-0.14993743705557422"/>
      </left>
      <right style="thin">
        <color theme="0" tint="-0.34998626667073579"/>
      </right>
      <top style="thin">
        <color theme="0" tint="-0.14993743705557422"/>
      </top>
      <bottom/>
      <diagonal/>
    </border>
    <border>
      <left style="thin">
        <color theme="0" tint="-0.14993743705557422"/>
      </left>
      <right style="thin">
        <color theme="0" tint="-0.34998626667073579"/>
      </right>
      <top style="thin">
        <color theme="0" tint="-0.14993743705557422"/>
      </top>
      <bottom style="thin">
        <color rgb="FFA6A6A6"/>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indexed="23"/>
      </left>
      <right/>
      <top/>
      <bottom style="thin">
        <color theme="0" tint="-0.14993743705557422"/>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0691854609822"/>
      </top>
      <bottom style="thin">
        <color rgb="FFA6A6A6"/>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0691854609822"/>
      </top>
      <bottom style="thin">
        <color rgb="FFA6A6A6"/>
      </bottom>
      <diagonal/>
    </border>
    <border>
      <left style="thin">
        <color theme="0" tint="-0.34998626667073579"/>
      </left>
      <right/>
      <top style="thin">
        <color theme="0" tint="-0.14996795556505021"/>
      </top>
      <bottom style="thin">
        <color rgb="FFA6A6A6"/>
      </bottom>
      <diagonal/>
    </border>
    <border>
      <left/>
      <right/>
      <top style="thin">
        <color theme="0" tint="-0.14996795556505021"/>
      </top>
      <bottom style="thin">
        <color rgb="FFA6A6A6"/>
      </bottom>
      <diagonal/>
    </border>
    <border>
      <left/>
      <right style="thin">
        <color theme="0" tint="-0.34998626667073579"/>
      </right>
      <top style="thin">
        <color theme="0" tint="-0.14996795556505021"/>
      </top>
      <bottom style="thin">
        <color rgb="FFA6A6A6"/>
      </bottom>
      <diagonal/>
    </border>
    <border>
      <left style="thin">
        <color theme="0" tint="-0.14993743705557422"/>
      </left>
      <right style="thin">
        <color theme="0" tint="-0.14993743705557422"/>
      </right>
      <top style="thin">
        <color auto="1"/>
      </top>
      <bottom style="thin">
        <color theme="0" tint="-0.14993743705557422"/>
      </bottom>
      <diagonal/>
    </border>
    <border>
      <left style="thin">
        <color theme="0" tint="-0.14993743705557422"/>
      </left>
      <right style="thin">
        <color auto="1"/>
      </right>
      <top style="thin">
        <color auto="1"/>
      </top>
      <bottom style="thin">
        <color theme="0" tint="-0.14993743705557422"/>
      </bottom>
      <diagonal/>
    </border>
    <border>
      <left style="thin">
        <color indexed="23"/>
      </left>
      <right style="thin">
        <color theme="0" tint="-0.14993743705557422"/>
      </right>
      <top style="thin">
        <color indexed="23"/>
      </top>
      <bottom/>
      <diagonal/>
    </border>
    <border>
      <left style="thin">
        <color theme="0" tint="-0.14993743705557422"/>
      </left>
      <right style="thin">
        <color theme="0" tint="-0.14993743705557422"/>
      </right>
      <top style="thin">
        <color indexed="23"/>
      </top>
      <bottom/>
      <diagonal/>
    </border>
    <border>
      <left style="thin">
        <color theme="0" tint="-0.14993743705557422"/>
      </left>
      <right style="thin">
        <color indexed="23"/>
      </right>
      <top style="thin">
        <color indexed="23"/>
      </top>
      <bottom/>
      <diagonal/>
    </border>
    <border>
      <left style="thin">
        <color theme="0" tint="-0.14993743705557422"/>
      </left>
      <right/>
      <top style="thin">
        <color indexed="23"/>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34998626667073579"/>
      </left>
      <right style="thin">
        <color theme="0" tint="-0.14996795556505021"/>
      </right>
      <top/>
      <bottom style="thin">
        <color rgb="FFA6A6A6"/>
      </bottom>
      <diagonal/>
    </border>
    <border>
      <left style="thin">
        <color theme="0" tint="-0.14996795556505021"/>
      </left>
      <right style="thin">
        <color theme="0" tint="-0.14996795556505021"/>
      </right>
      <top/>
      <bottom style="thin">
        <color rgb="FFA6A6A6"/>
      </bottom>
      <diagonal/>
    </border>
    <border>
      <left style="thin">
        <color theme="0" tint="-0.14996795556505021"/>
      </left>
      <right style="thin">
        <color theme="0" tint="-0.34998626667073579"/>
      </right>
      <top/>
      <bottom style="thin">
        <color rgb="FFA6A6A6"/>
      </bottom>
      <diagonal/>
    </border>
    <border>
      <left style="thin">
        <color theme="0" tint="-0.14993743705557422"/>
      </left>
      <right/>
      <top style="thin">
        <color indexed="23"/>
      </top>
      <bottom style="thin">
        <color indexed="64"/>
      </bottom>
      <diagonal/>
    </border>
    <border>
      <left style="thin">
        <color theme="0" tint="-0.14996795556505021"/>
      </left>
      <right/>
      <top style="thin">
        <color theme="0" tint="-0.14996795556505021"/>
      </top>
      <bottom style="thin">
        <color indexed="64"/>
      </bottom>
      <diagonal/>
    </border>
    <border>
      <left style="medium">
        <color indexed="64"/>
      </left>
      <right/>
      <top style="medium">
        <color indexed="64"/>
      </top>
      <bottom style="thin">
        <color theme="4" tint="0.39997558519241921"/>
      </bottom>
      <diagonal/>
    </border>
    <border>
      <left style="medium">
        <color indexed="64"/>
      </left>
      <right style="medium">
        <color indexed="64"/>
      </right>
      <top style="medium">
        <color indexed="64"/>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theme="0" tint="-0.14993743705557422"/>
      </right>
      <top/>
      <bottom/>
      <diagonal/>
    </border>
    <border>
      <left style="thin">
        <color theme="0" tint="-0.14993743705557422"/>
      </left>
      <right style="thin">
        <color theme="0" tint="-0.14993743705557422"/>
      </right>
      <top/>
      <bottom/>
      <diagonal/>
    </border>
    <border>
      <left style="thin">
        <color theme="0" tint="-0.14993743705557422"/>
      </left>
      <right style="thin">
        <color indexed="64"/>
      </right>
      <top/>
      <bottom/>
      <diagonal/>
    </border>
    <border>
      <left style="medium">
        <color indexed="64"/>
      </left>
      <right style="thin">
        <color theme="0" tint="-0.14993743705557422"/>
      </right>
      <top style="medium">
        <color indexed="64"/>
      </top>
      <bottom style="thin">
        <color theme="0" tint="-0.14993743705557422"/>
      </bottom>
      <diagonal/>
    </border>
    <border>
      <left style="thin">
        <color theme="0" tint="-0.14993743705557422"/>
      </left>
      <right style="thin">
        <color theme="0" tint="-0.14993743705557422"/>
      </right>
      <top style="medium">
        <color indexed="64"/>
      </top>
      <bottom style="thin">
        <color theme="0" tint="-0.14993743705557422"/>
      </bottom>
      <diagonal/>
    </border>
    <border>
      <left style="thin">
        <color theme="0" tint="-0.14993743705557422"/>
      </left>
      <right style="medium">
        <color indexed="64"/>
      </right>
      <top style="medium">
        <color indexed="64"/>
      </top>
      <bottom style="thin">
        <color theme="0" tint="-0.14993743705557422"/>
      </bottom>
      <diagonal/>
    </border>
    <border>
      <left style="medium">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indexed="64"/>
      </right>
      <top style="thin">
        <color theme="0" tint="-0.14993743705557422"/>
      </top>
      <bottom style="thin">
        <color theme="0" tint="-0.14993743705557422"/>
      </bottom>
      <diagonal/>
    </border>
    <border>
      <left style="medium">
        <color indexed="64"/>
      </left>
      <right style="thin">
        <color theme="0" tint="-0.14993743705557422"/>
      </right>
      <top style="thin">
        <color theme="0" tint="-0.14993743705557422"/>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style="thin">
        <color theme="0" tint="-0.14993743705557422"/>
      </left>
      <right style="medium">
        <color indexed="64"/>
      </right>
      <top style="thin">
        <color theme="0" tint="-0.14993743705557422"/>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4">
    <xf numFmtId="0" fontId="0" fillId="0" borderId="0"/>
    <xf numFmtId="49" fontId="14" fillId="2" borderId="0">
      <alignment vertical="center"/>
    </xf>
    <xf numFmtId="0" fontId="14" fillId="10" borderId="0">
      <alignment vertical="center"/>
    </xf>
    <xf numFmtId="0" fontId="27" fillId="10" borderId="0">
      <alignment horizontal="left" vertical="center"/>
      <protection locked="0"/>
    </xf>
    <xf numFmtId="0" fontId="17" fillId="2" borderId="0">
      <alignment vertical="center"/>
      <protection locked="0"/>
    </xf>
    <xf numFmtId="167" fontId="21" fillId="4" borderId="21" applyFill="0" applyBorder="0">
      <alignment horizontal="right" indent="2"/>
      <protection locked="0"/>
    </xf>
    <xf numFmtId="168" fontId="32" fillId="58" borderId="10" applyBorder="0">
      <alignment horizontal="right" vertical="center"/>
      <protection locked="0"/>
    </xf>
    <xf numFmtId="0" fontId="94" fillId="0" borderId="0">
      <alignment vertical="center"/>
    </xf>
    <xf numFmtId="169" fontId="2" fillId="20" borderId="53" applyFill="0" applyBorder="0">
      <alignment vertical="top" wrapText="1"/>
    </xf>
    <xf numFmtId="49" fontId="8" fillId="4" borderId="70" applyAlignment="0">
      <alignment horizontal="left" vertical="center" wrapText="1"/>
      <protection locked="0"/>
    </xf>
    <xf numFmtId="0" fontId="19" fillId="0" borderId="218">
      <alignment horizontal="left" vertical="center" indent="1"/>
    </xf>
    <xf numFmtId="167" fontId="31" fillId="21" borderId="80" applyBorder="0">
      <alignment horizontal="right"/>
      <protection locked="0"/>
    </xf>
    <xf numFmtId="0" fontId="46" fillId="24" borderId="0" applyAlignment="0">
      <alignment horizontal="left" vertical="center"/>
    </xf>
    <xf numFmtId="0" fontId="27" fillId="10" borderId="0">
      <alignment horizontal="left" vertical="center"/>
      <protection locked="0"/>
    </xf>
    <xf numFmtId="167" fontId="31" fillId="4" borderId="55" applyBorder="0">
      <alignment horizontal="right"/>
      <protection locked="0"/>
    </xf>
    <xf numFmtId="49" fontId="2" fillId="36" borderId="70" applyNumberFormat="0" applyFont="0" applyBorder="0" applyAlignment="0" applyProtection="0">
      <alignment horizontal="left" vertical="center" wrapText="1"/>
      <protection locked="0"/>
    </xf>
    <xf numFmtId="10" fontId="31" fillId="21" borderId="80" applyBorder="0">
      <alignment horizontal="right"/>
      <protection locked="0"/>
    </xf>
    <xf numFmtId="0" fontId="93" fillId="0" borderId="0">
      <alignment vertical="center"/>
    </xf>
    <xf numFmtId="49" fontId="82" fillId="0" borderId="62" applyProtection="0"/>
    <xf numFmtId="49" fontId="99" fillId="0" borderId="0">
      <alignment vertical="center"/>
    </xf>
    <xf numFmtId="0" fontId="42" fillId="39" borderId="40" applyBorder="0">
      <alignment horizontal="left" vertical="center"/>
    </xf>
    <xf numFmtId="49" fontId="8" fillId="5" borderId="70" applyAlignment="0" applyProtection="0">
      <alignment horizontal="left" vertical="center" wrapText="1"/>
      <protection locked="0"/>
    </xf>
    <xf numFmtId="168" fontId="32" fillId="67" borderId="54">
      <alignment horizontal="right" vertical="center"/>
      <protection locked="0"/>
    </xf>
    <xf numFmtId="0" fontId="91" fillId="66" borderId="0">
      <alignment horizontal="center" vertical="center" wrapText="1"/>
    </xf>
    <xf numFmtId="0" fontId="12" fillId="9" borderId="119">
      <alignment horizontal="right" vertical="center" wrapText="1" indent="1"/>
    </xf>
    <xf numFmtId="0" fontId="12" fillId="18" borderId="119">
      <alignment horizontal="right" vertical="center" wrapText="1" indent="1"/>
    </xf>
    <xf numFmtId="49" fontId="12" fillId="15" borderId="101" applyBorder="0">
      <alignment horizontal="center" vertical="center" wrapText="1"/>
    </xf>
    <xf numFmtId="0" fontId="12" fillId="16" borderId="6" applyBorder="0">
      <alignment horizontal="right" vertical="center" wrapText="1" indent="1"/>
    </xf>
    <xf numFmtId="0" fontId="12" fillId="40" borderId="6" applyBorder="0">
      <alignment horizontal="right" vertical="center" wrapText="1" indent="1"/>
    </xf>
    <xf numFmtId="0" fontId="83" fillId="25" borderId="0">
      <alignment horizontal="right" indent="1" shrinkToFit="1"/>
    </xf>
    <xf numFmtId="0" fontId="89" fillId="0" borderId="216" applyNumberFormat="0" applyFill="0" applyAlignment="0" applyProtection="0"/>
    <xf numFmtId="0" fontId="11" fillId="68" borderId="0" applyNumberFormat="0" applyFont="0" applyBorder="0" applyAlignment="0" applyProtection="0"/>
    <xf numFmtId="49" fontId="34" fillId="64" borderId="0">
      <alignment horizontal="center" vertical="center" wrapText="1"/>
    </xf>
    <xf numFmtId="0" fontId="88" fillId="61" borderId="215" applyNumberFormat="0" applyFont="0" applyBorder="0" applyAlignment="0" applyProtection="0">
      <alignment vertical="center"/>
    </xf>
    <xf numFmtId="0" fontId="8" fillId="0" borderId="104">
      <alignment horizontal="left" vertical="center" wrapText="1" indent="1"/>
    </xf>
    <xf numFmtId="0" fontId="3" fillId="2" borderId="0">
      <alignment vertical="center"/>
      <protection locked="0"/>
    </xf>
    <xf numFmtId="0" fontId="8" fillId="0" borderId="0"/>
    <xf numFmtId="0" fontId="121" fillId="23" borderId="0">
      <alignment vertical="center"/>
      <protection locked="0"/>
    </xf>
    <xf numFmtId="0" fontId="8" fillId="0" borderId="0"/>
    <xf numFmtId="0" fontId="1" fillId="0" borderId="0"/>
    <xf numFmtId="0" fontId="8" fillId="0" borderId="0"/>
    <xf numFmtId="167" fontId="21" fillId="21" borderId="235" applyFill="0" applyBorder="0">
      <alignment horizontal="right" indent="2"/>
      <protection locked="0"/>
    </xf>
    <xf numFmtId="0" fontId="8" fillId="0" borderId="0"/>
    <xf numFmtId="0" fontId="8" fillId="0" borderId="0" applyFill="0"/>
    <xf numFmtId="0" fontId="123" fillId="0" borderId="0"/>
    <xf numFmtId="0" fontId="87" fillId="0" borderId="0"/>
    <xf numFmtId="164" fontId="1" fillId="0" borderId="0" applyFont="0" applyFill="0" applyBorder="0" applyAlignment="0" applyProtection="0"/>
    <xf numFmtId="164" fontId="1" fillId="0" borderId="0" applyFont="0" applyFill="0" applyBorder="0" applyAlignment="0" applyProtection="0"/>
    <xf numFmtId="0" fontId="87" fillId="0" borderId="0"/>
    <xf numFmtId="0" fontId="153" fillId="0" borderId="0" applyNumberFormat="0" applyFill="0" applyBorder="0" applyAlignment="0" applyProtection="0"/>
    <xf numFmtId="0" fontId="169" fillId="0" borderId="374" applyProtection="0"/>
    <xf numFmtId="0" fontId="1" fillId="0" borderId="0"/>
    <xf numFmtId="0" fontId="94" fillId="0" borderId="0">
      <alignment vertical="center"/>
    </xf>
    <xf numFmtId="0" fontId="87" fillId="0" borderId="0"/>
  </cellStyleXfs>
  <cellXfs count="2213">
    <xf numFmtId="0" fontId="0" fillId="0" borderId="0" xfId="0"/>
    <xf numFmtId="0" fontId="0" fillId="3" borderId="0" xfId="0" applyFill="1"/>
    <xf numFmtId="0" fontId="0" fillId="0" borderId="0" xfId="0" applyAlignment="1">
      <alignment vertical="center"/>
    </xf>
    <xf numFmtId="0" fontId="14" fillId="10" borderId="0" xfId="2">
      <alignment vertical="center"/>
    </xf>
    <xf numFmtId="0" fontId="21" fillId="3" borderId="0" xfId="0" applyFont="1" applyFill="1"/>
    <xf numFmtId="0" fontId="21" fillId="3" borderId="0" xfId="0" applyFont="1" applyFill="1" applyAlignment="1">
      <alignment vertical="center"/>
    </xf>
    <xf numFmtId="0" fontId="0" fillId="0" borderId="0" xfId="0" quotePrefix="1"/>
    <xf numFmtId="0" fontId="28" fillId="13" borderId="0" xfId="0" applyFont="1" applyFill="1" applyAlignment="1">
      <alignment vertical="center"/>
    </xf>
    <xf numFmtId="0" fontId="0" fillId="3" borderId="0" xfId="0" applyFill="1" applyAlignment="1">
      <alignment vertical="center"/>
    </xf>
    <xf numFmtId="0" fontId="29" fillId="13" borderId="0" xfId="0" applyFont="1" applyFill="1" applyAlignment="1">
      <alignment vertical="center"/>
    </xf>
    <xf numFmtId="0" fontId="30" fillId="2" borderId="0" xfId="4" applyFont="1">
      <alignment vertical="center"/>
      <protection locked="0"/>
    </xf>
    <xf numFmtId="0" fontId="31" fillId="3" borderId="0" xfId="0" applyFont="1" applyFill="1"/>
    <xf numFmtId="0" fontId="5" fillId="3" borderId="0" xfId="0" applyFont="1" applyFill="1" applyAlignment="1">
      <alignment vertical="center"/>
    </xf>
    <xf numFmtId="0" fontId="38" fillId="3" borderId="0" xfId="0" applyFont="1" applyFill="1"/>
    <xf numFmtId="0" fontId="0" fillId="0" borderId="7" xfId="0" applyBorder="1"/>
    <xf numFmtId="0" fontId="6"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38" fillId="3" borderId="0" xfId="0" applyFont="1" applyFill="1" applyAlignment="1">
      <alignment horizontal="left" vertical="center"/>
    </xf>
    <xf numFmtId="0" fontId="28" fillId="2" borderId="0" xfId="0" applyFont="1" applyFill="1" applyAlignment="1">
      <alignment vertical="center" wrapText="1"/>
    </xf>
    <xf numFmtId="0" fontId="54" fillId="29" borderId="0" xfId="0" applyFont="1" applyFill="1" applyAlignment="1">
      <alignment vertical="center"/>
    </xf>
    <xf numFmtId="0" fontId="0" fillId="29" borderId="0" xfId="0" applyFill="1"/>
    <xf numFmtId="0" fontId="3" fillId="31" borderId="1" xfId="0" applyFont="1" applyFill="1" applyBorder="1" applyAlignment="1">
      <alignment vertical="top" wrapText="1"/>
    </xf>
    <xf numFmtId="0" fontId="36" fillId="31" borderId="1" xfId="0" applyFont="1" applyFill="1" applyBorder="1" applyAlignment="1">
      <alignment horizontal="center" vertical="top" wrapText="1"/>
    </xf>
    <xf numFmtId="0" fontId="36" fillId="31" borderId="14" xfId="0" applyFont="1" applyFill="1" applyBorder="1" applyAlignment="1">
      <alignment horizontal="center" vertical="top" wrapText="1"/>
    </xf>
    <xf numFmtId="0" fontId="0" fillId="0" borderId="0" xfId="0" applyAlignment="1">
      <alignment vertical="top" wrapText="1"/>
    </xf>
    <xf numFmtId="0" fontId="21" fillId="9" borderId="1" xfId="0" applyFont="1" applyFill="1" applyBorder="1" applyAlignment="1">
      <alignment vertical="top"/>
    </xf>
    <xf numFmtId="0" fontId="8" fillId="34" borderId="116" xfId="0" applyFont="1" applyFill="1" applyBorder="1" applyAlignment="1">
      <alignment vertical="top"/>
    </xf>
    <xf numFmtId="0" fontId="55" fillId="5" borderId="1" xfId="0" applyFont="1" applyFill="1" applyBorder="1" applyAlignment="1">
      <alignment horizontal="center"/>
    </xf>
    <xf numFmtId="0" fontId="55" fillId="5" borderId="116" xfId="0" applyFont="1" applyFill="1" applyBorder="1" applyAlignment="1">
      <alignment horizontal="center"/>
    </xf>
    <xf numFmtId="0" fontId="55" fillId="5" borderId="25" xfId="0" applyFont="1" applyFill="1" applyBorder="1" applyAlignment="1">
      <alignment horizontal="center"/>
    </xf>
    <xf numFmtId="0" fontId="21" fillId="9" borderId="117" xfId="0" applyFont="1" applyFill="1" applyBorder="1" applyAlignment="1">
      <alignment vertical="top"/>
    </xf>
    <xf numFmtId="0" fontId="8" fillId="34" borderId="118" xfId="0" applyFont="1" applyFill="1" applyBorder="1" applyAlignment="1">
      <alignment vertical="top"/>
    </xf>
    <xf numFmtId="0" fontId="55" fillId="5" borderId="117" xfId="0" applyFont="1" applyFill="1" applyBorder="1" applyAlignment="1">
      <alignment horizontal="center"/>
    </xf>
    <xf numFmtId="0" fontId="55" fillId="5" borderId="118" xfId="0" applyFont="1" applyFill="1" applyBorder="1" applyAlignment="1">
      <alignment horizontal="center"/>
    </xf>
    <xf numFmtId="0" fontId="55" fillId="5" borderId="38" xfId="0" applyFont="1" applyFill="1" applyBorder="1" applyAlignment="1">
      <alignment horizontal="center"/>
    </xf>
    <xf numFmtId="0" fontId="21" fillId="15" borderId="117" xfId="0" applyFont="1" applyFill="1" applyBorder="1" applyAlignment="1">
      <alignment vertical="top"/>
    </xf>
    <xf numFmtId="0" fontId="8" fillId="35" borderId="118" xfId="0" applyFont="1" applyFill="1" applyBorder="1" applyAlignment="1">
      <alignment vertical="top"/>
    </xf>
    <xf numFmtId="0" fontId="8" fillId="15" borderId="118" xfId="0" applyFont="1" applyFill="1" applyBorder="1" applyAlignment="1">
      <alignment vertical="top"/>
    </xf>
    <xf numFmtId="0" fontId="8" fillId="9" borderId="118" xfId="0" applyFont="1" applyFill="1" applyBorder="1" applyAlignment="1">
      <alignment vertical="top"/>
    </xf>
    <xf numFmtId="0" fontId="21" fillId="9" borderId="36" xfId="0" applyFont="1" applyFill="1" applyBorder="1" applyAlignment="1">
      <alignment vertical="top"/>
    </xf>
    <xf numFmtId="0" fontId="8" fillId="9" borderId="78" xfId="0" applyFont="1" applyFill="1" applyBorder="1" applyAlignment="1">
      <alignment vertical="top"/>
    </xf>
    <xf numFmtId="0" fontId="55" fillId="5" borderId="36" xfId="0" applyFont="1" applyFill="1" applyBorder="1" applyAlignment="1">
      <alignment horizontal="center"/>
    </xf>
    <xf numFmtId="0" fontId="55" fillId="5" borderId="78" xfId="0" applyFont="1" applyFill="1" applyBorder="1" applyAlignment="1">
      <alignment horizontal="center"/>
    </xf>
    <xf numFmtId="0" fontId="55" fillId="5" borderId="30" xfId="0" applyFont="1" applyFill="1" applyBorder="1" applyAlignment="1">
      <alignment horizontal="center"/>
    </xf>
    <xf numFmtId="0" fontId="0" fillId="36" borderId="0" xfId="0" applyFill="1"/>
    <xf numFmtId="0" fontId="56" fillId="37" borderId="0" xfId="0" applyFont="1" applyFill="1"/>
    <xf numFmtId="0" fontId="5" fillId="0" borderId="0" xfId="0" applyFont="1"/>
    <xf numFmtId="0" fontId="36" fillId="0" borderId="0" xfId="0" applyFont="1"/>
    <xf numFmtId="0" fontId="8" fillId="0" borderId="0" xfId="0" quotePrefix="1" applyFont="1"/>
    <xf numFmtId="0" fontId="8" fillId="0" borderId="0" xfId="0" applyFont="1"/>
    <xf numFmtId="0" fontId="93" fillId="0" borderId="0" xfId="17">
      <alignment vertical="center"/>
    </xf>
    <xf numFmtId="0" fontId="94" fillId="0" borderId="0" xfId="7">
      <alignment vertical="center"/>
    </xf>
    <xf numFmtId="49" fontId="82" fillId="0" borderId="0" xfId="18" applyBorder="1"/>
    <xf numFmtId="49" fontId="99" fillId="0" borderId="0" xfId="19">
      <alignment vertical="center"/>
    </xf>
    <xf numFmtId="0" fontId="42" fillId="39" borderId="0" xfId="20" applyBorder="1">
      <alignment horizontal="left" vertical="center"/>
    </xf>
    <xf numFmtId="167" fontId="31" fillId="21" borderId="0" xfId="11" applyBorder="1">
      <alignment horizontal="right"/>
      <protection locked="0"/>
    </xf>
    <xf numFmtId="10" fontId="31" fillId="21" borderId="0" xfId="16" applyBorder="1">
      <alignment horizontal="right"/>
      <protection locked="0"/>
    </xf>
    <xf numFmtId="0" fontId="19" fillId="0" borderId="218" xfId="10">
      <alignment horizontal="left" vertical="center" indent="1"/>
    </xf>
    <xf numFmtId="49" fontId="8" fillId="4" borderId="70" xfId="9" applyAlignment="1">
      <protection locked="0"/>
    </xf>
    <xf numFmtId="49" fontId="8" fillId="5" borderId="70" xfId="21" applyAlignment="1" applyProtection="1"/>
    <xf numFmtId="168" fontId="32" fillId="58" borderId="10" xfId="6">
      <alignment horizontal="right" vertical="center"/>
      <protection locked="0"/>
    </xf>
    <xf numFmtId="168" fontId="32" fillId="67" borderId="54" xfId="22">
      <alignment horizontal="right" vertical="center"/>
      <protection locked="0"/>
    </xf>
    <xf numFmtId="0" fontId="91" fillId="66" borderId="74" xfId="23" applyBorder="1" applyAlignment="1">
      <alignment vertical="center" wrapText="1"/>
    </xf>
    <xf numFmtId="0" fontId="12" fillId="9" borderId="119" xfId="24">
      <alignment horizontal="right" vertical="center" wrapText="1" indent="1"/>
    </xf>
    <xf numFmtId="0" fontId="12" fillId="18" borderId="119" xfId="25">
      <alignment horizontal="right" vertical="center" wrapText="1" indent="1"/>
    </xf>
    <xf numFmtId="49" fontId="12" fillId="15" borderId="39" xfId="26" applyBorder="1" applyAlignment="1">
      <alignment vertical="center" wrapText="1"/>
    </xf>
    <xf numFmtId="0" fontId="12" fillId="16" borderId="119" xfId="27" applyBorder="1">
      <alignment horizontal="right" vertical="center" wrapText="1" indent="1"/>
    </xf>
    <xf numFmtId="0" fontId="12" fillId="40" borderId="119" xfId="28" applyBorder="1">
      <alignment horizontal="right" vertical="center" wrapText="1" indent="1"/>
    </xf>
    <xf numFmtId="0" fontId="0" fillId="0" borderId="0" xfId="0" quotePrefix="1" applyAlignment="1">
      <alignment horizontal="center" vertical="top"/>
    </xf>
    <xf numFmtId="0" fontId="57" fillId="41" borderId="0" xfId="0" applyFont="1" applyFill="1" applyAlignment="1">
      <alignment horizontal="left"/>
    </xf>
    <xf numFmtId="0" fontId="22" fillId="29" borderId="25"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1" fillId="18" borderId="120" xfId="0" quotePrefix="1" applyFont="1" applyFill="1" applyBorder="1"/>
    <xf numFmtId="0" fontId="21" fillId="18" borderId="120" xfId="0" applyFont="1" applyFill="1" applyBorder="1"/>
    <xf numFmtId="0" fontId="21" fillId="18" borderId="115" xfId="0" applyFont="1" applyFill="1" applyBorder="1"/>
    <xf numFmtId="0" fontId="0" fillId="0" borderId="0" xfId="0" applyAlignment="1">
      <alignment horizontal="left"/>
    </xf>
    <xf numFmtId="0" fontId="21" fillId="18" borderId="35" xfId="0" applyFont="1" applyFill="1" applyBorder="1"/>
    <xf numFmtId="0" fontId="21" fillId="18" borderId="28" xfId="0" applyFont="1" applyFill="1" applyBorder="1"/>
    <xf numFmtId="0" fontId="21" fillId="0" borderId="37" xfId="0" applyFont="1" applyBorder="1"/>
    <xf numFmtId="0" fontId="21" fillId="0" borderId="30" xfId="0" applyFont="1" applyBorder="1"/>
    <xf numFmtId="49" fontId="21" fillId="3" borderId="0" xfId="0" applyNumberFormat="1" applyFont="1" applyFill="1"/>
    <xf numFmtId="0" fontId="21" fillId="12" borderId="23" xfId="0" applyFont="1" applyFill="1" applyBorder="1" applyAlignment="1">
      <alignment horizontal="left" vertical="top" wrapText="1"/>
    </xf>
    <xf numFmtId="0" fontId="21" fillId="18" borderId="26" xfId="0" applyFont="1" applyFill="1" applyBorder="1"/>
    <xf numFmtId="0" fontId="21" fillId="18" borderId="21" xfId="0" applyFont="1" applyFill="1" applyBorder="1"/>
    <xf numFmtId="0" fontId="21" fillId="18" borderId="77" xfId="0" applyFont="1" applyFill="1" applyBorder="1"/>
    <xf numFmtId="0" fontId="21" fillId="18" borderId="59" xfId="0" applyFont="1" applyFill="1" applyBorder="1"/>
    <xf numFmtId="1" fontId="21" fillId="3" borderId="0" xfId="0" applyNumberFormat="1" applyFont="1" applyFill="1"/>
    <xf numFmtId="0" fontId="21" fillId="18" borderId="30" xfId="0" applyFont="1" applyFill="1" applyBorder="1"/>
    <xf numFmtId="0" fontId="59" fillId="0" borderId="0" xfId="0" applyFont="1"/>
    <xf numFmtId="1" fontId="60" fillId="3" borderId="0" xfId="0" applyNumberFormat="1" applyFont="1" applyFill="1"/>
    <xf numFmtId="0" fontId="5" fillId="12" borderId="25" xfId="0" applyFont="1" applyFill="1" applyBorder="1" applyAlignment="1">
      <alignment horizontal="left" vertical="top" wrapText="1"/>
    </xf>
    <xf numFmtId="0" fontId="25" fillId="12" borderId="25" xfId="0" applyFont="1" applyFill="1" applyBorder="1" applyAlignment="1">
      <alignment horizontal="left" vertical="top" wrapText="1"/>
    </xf>
    <xf numFmtId="0" fontId="25" fillId="7" borderId="25" xfId="0" applyFont="1" applyFill="1" applyBorder="1" applyAlignment="1">
      <alignment horizontal="left" vertical="center" wrapText="1"/>
    </xf>
    <xf numFmtId="0" fontId="25" fillId="7" borderId="25" xfId="0" applyFont="1" applyFill="1" applyBorder="1" applyAlignment="1">
      <alignment horizontal="center" vertical="center" wrapText="1"/>
    </xf>
    <xf numFmtId="0" fontId="36" fillId="7" borderId="25" xfId="0" applyFont="1" applyFill="1" applyBorder="1" applyAlignment="1">
      <alignment horizontal="center" vertical="center" wrapText="1"/>
    </xf>
    <xf numFmtId="0" fontId="36" fillId="12" borderId="9" xfId="0" applyFont="1" applyFill="1" applyBorder="1" applyAlignment="1">
      <alignment horizontal="centerContinuous" vertical="center" wrapText="1"/>
    </xf>
    <xf numFmtId="0" fontId="36" fillId="12" borderId="11" xfId="0" applyFont="1" applyFill="1" applyBorder="1" applyAlignment="1">
      <alignment horizontal="centerContinuous" vertical="center" wrapText="1"/>
    </xf>
    <xf numFmtId="0" fontId="0" fillId="22" borderId="74" xfId="0" applyFill="1" applyBorder="1"/>
    <xf numFmtId="0" fontId="0" fillId="22" borderId="75" xfId="0" applyFill="1" applyBorder="1" applyProtection="1">
      <protection locked="0"/>
    </xf>
    <xf numFmtId="49" fontId="0" fillId="22" borderId="75" xfId="0" applyNumberFormat="1" applyFill="1" applyBorder="1"/>
    <xf numFmtId="0" fontId="0" fillId="22" borderId="75" xfId="0" applyFill="1" applyBorder="1" applyAlignment="1">
      <alignment vertical="center"/>
    </xf>
    <xf numFmtId="49" fontId="0" fillId="22" borderId="112" xfId="0" applyNumberFormat="1" applyFill="1" applyBorder="1"/>
    <xf numFmtId="0" fontId="8" fillId="43" borderId="74" xfId="0" applyFont="1" applyFill="1" applyBorder="1" applyAlignment="1">
      <alignment horizontal="left"/>
    </xf>
    <xf numFmtId="0" fontId="31" fillId="7" borderId="75" xfId="0" applyFont="1" applyFill="1" applyBorder="1"/>
    <xf numFmtId="0" fontId="0" fillId="7" borderId="90" xfId="0" applyFill="1" applyBorder="1" applyAlignment="1">
      <alignment horizontal="left" vertical="center"/>
    </xf>
    <xf numFmtId="0" fontId="0" fillId="0" borderId="57" xfId="0" applyBorder="1" applyAlignment="1">
      <alignment horizontal="left" vertical="center"/>
    </xf>
    <xf numFmtId="0" fontId="31" fillId="18" borderId="75" xfId="0" applyFont="1" applyFill="1" applyBorder="1"/>
    <xf numFmtId="0" fontId="0" fillId="22" borderId="67" xfId="0" applyFill="1" applyBorder="1"/>
    <xf numFmtId="0" fontId="0" fillId="22" borderId="70" xfId="0" applyFill="1" applyBorder="1" applyProtection="1">
      <protection locked="0"/>
    </xf>
    <xf numFmtId="0" fontId="0" fillId="22" borderId="70" xfId="0" applyFill="1" applyBorder="1"/>
    <xf numFmtId="0" fontId="0" fillId="22" borderId="76" xfId="0" applyFill="1" applyBorder="1"/>
    <xf numFmtId="0" fontId="8" fillId="43" borderId="67" xfId="0" applyFont="1" applyFill="1" applyBorder="1" applyAlignment="1">
      <alignment horizontal="left"/>
    </xf>
    <xf numFmtId="0" fontId="31" fillId="7" borderId="70" xfId="0" applyFont="1" applyFill="1" applyBorder="1"/>
    <xf numFmtId="0" fontId="0" fillId="7" borderId="94" xfId="0" applyFill="1" applyBorder="1" applyAlignment="1">
      <alignment horizontal="left" vertical="center"/>
    </xf>
    <xf numFmtId="0" fontId="0" fillId="0" borderId="79" xfId="0" applyBorder="1" applyAlignment="1">
      <alignment horizontal="left" vertical="center"/>
    </xf>
    <xf numFmtId="0" fontId="31" fillId="18" borderId="70" xfId="0" applyFont="1" applyFill="1" applyBorder="1"/>
    <xf numFmtId="0" fontId="0" fillId="22" borderId="70" xfId="0" applyFill="1" applyBorder="1" applyAlignment="1">
      <alignment vertical="center"/>
    </xf>
    <xf numFmtId="0" fontId="0" fillId="22" borderId="76" xfId="0" applyFill="1" applyBorder="1" applyAlignment="1">
      <alignment vertical="center"/>
    </xf>
    <xf numFmtId="0" fontId="0" fillId="7" borderId="121" xfId="0" applyFill="1" applyBorder="1"/>
    <xf numFmtId="0" fontId="0" fillId="0" borderId="87" xfId="0" applyBorder="1"/>
    <xf numFmtId="0" fontId="0" fillId="7" borderId="92" xfId="0" applyFill="1" applyBorder="1"/>
    <xf numFmtId="0" fontId="0" fillId="0" borderId="88" xfId="0" applyBorder="1"/>
    <xf numFmtId="0" fontId="0" fillId="0" borderId="67" xfId="0" applyBorder="1"/>
    <xf numFmtId="0" fontId="0" fillId="0" borderId="70" xfId="0" applyBorder="1"/>
    <xf numFmtId="0" fontId="0" fillId="7" borderId="92" xfId="0" applyFill="1" applyBorder="1" applyAlignment="1">
      <alignment horizontal="left" vertical="center"/>
    </xf>
    <xf numFmtId="1" fontId="21" fillId="3" borderId="70" xfId="0" applyNumberFormat="1" applyFont="1" applyFill="1" applyBorder="1"/>
    <xf numFmtId="0" fontId="0" fillId="7" borderId="94" xfId="0" applyFill="1" applyBorder="1"/>
    <xf numFmtId="0" fontId="0" fillId="0" borderId="76" xfId="0" applyBorder="1"/>
    <xf numFmtId="0" fontId="0" fillId="7" borderId="122" xfId="0" applyFill="1" applyBorder="1" applyAlignment="1">
      <alignment horizontal="left" vertical="center"/>
    </xf>
    <xf numFmtId="0" fontId="0" fillId="3" borderId="83" xfId="0" applyFill="1" applyBorder="1" applyAlignment="1">
      <alignment vertical="center"/>
    </xf>
    <xf numFmtId="0" fontId="0" fillId="0" borderId="63" xfId="0" applyBorder="1" applyAlignment="1">
      <alignment horizontal="left" vertical="center"/>
    </xf>
    <xf numFmtId="0" fontId="21" fillId="3" borderId="70" xfId="0" applyFont="1" applyFill="1" applyBorder="1"/>
    <xf numFmtId="0" fontId="0" fillId="7" borderId="96" xfId="0" applyFill="1" applyBorder="1" applyAlignment="1">
      <alignment horizontal="left" vertical="center"/>
    </xf>
    <xf numFmtId="0" fontId="0" fillId="3" borderId="91" xfId="0" applyFill="1" applyBorder="1" applyAlignment="1">
      <alignment vertical="center"/>
    </xf>
    <xf numFmtId="0" fontId="0" fillId="2" borderId="5" xfId="0" applyFill="1" applyBorder="1"/>
    <xf numFmtId="0" fontId="0" fillId="7" borderId="96" xfId="0" applyFill="1" applyBorder="1"/>
    <xf numFmtId="0" fontId="0" fillId="3" borderId="57" xfId="0" applyFill="1" applyBorder="1" applyAlignment="1">
      <alignment horizontal="left" vertical="center"/>
    </xf>
    <xf numFmtId="0" fontId="0" fillId="3" borderId="87" xfId="0" applyFill="1" applyBorder="1" applyAlignment="1">
      <alignment horizontal="left" vertical="center"/>
    </xf>
    <xf numFmtId="0" fontId="0" fillId="3" borderId="16" xfId="0" applyFill="1" applyBorder="1" applyAlignment="1">
      <alignment vertical="center"/>
    </xf>
    <xf numFmtId="0" fontId="0" fillId="0" borderId="89" xfId="0" applyBorder="1"/>
    <xf numFmtId="0" fontId="0" fillId="3" borderId="79" xfId="0" applyFill="1" applyBorder="1" applyAlignment="1">
      <alignment horizontal="left" vertical="center"/>
    </xf>
    <xf numFmtId="0" fontId="0" fillId="3" borderId="63" xfId="0" applyFill="1" applyBorder="1" applyAlignment="1">
      <alignment horizontal="left" vertical="center"/>
    </xf>
    <xf numFmtId="0" fontId="0" fillId="0" borderId="70" xfId="0" applyBorder="1" applyAlignment="1">
      <alignment vertical="center"/>
    </xf>
    <xf numFmtId="0" fontId="0" fillId="3" borderId="16" xfId="0" applyFill="1" applyBorder="1" applyAlignment="1">
      <alignment vertical="top"/>
    </xf>
    <xf numFmtId="0" fontId="0" fillId="3" borderId="89" xfId="0" applyFill="1" applyBorder="1" applyAlignment="1">
      <alignment horizontal="left" vertical="center"/>
    </xf>
    <xf numFmtId="0" fontId="0" fillId="3" borderId="92" xfId="0" applyFill="1" applyBorder="1" applyAlignment="1">
      <alignment horizontal="left" vertical="center"/>
    </xf>
    <xf numFmtId="0" fontId="0" fillId="0" borderId="71" xfId="0" applyBorder="1"/>
    <xf numFmtId="0" fontId="0" fillId="0" borderId="73" xfId="0" applyBorder="1"/>
    <xf numFmtId="0" fontId="0" fillId="0" borderId="78" xfId="0" applyBorder="1"/>
    <xf numFmtId="0" fontId="0" fillId="0" borderId="73" xfId="0" applyBorder="1" applyAlignment="1">
      <alignment vertical="center"/>
    </xf>
    <xf numFmtId="0" fontId="0" fillId="3" borderId="99" xfId="0" applyFill="1" applyBorder="1" applyAlignment="1">
      <alignment horizontal="left" vertical="center"/>
    </xf>
    <xf numFmtId="0" fontId="0" fillId="3" borderId="83" xfId="0" applyFill="1" applyBorder="1" applyAlignment="1">
      <alignment vertical="top"/>
    </xf>
    <xf numFmtId="0" fontId="0" fillId="3" borderId="115" xfId="0" applyFill="1" applyBorder="1" applyAlignment="1">
      <alignment vertical="center"/>
    </xf>
    <xf numFmtId="0" fontId="0" fillId="3" borderId="28" xfId="0" applyFill="1" applyBorder="1" applyAlignment="1">
      <alignment vertical="center"/>
    </xf>
    <xf numFmtId="0" fontId="0" fillId="3" borderId="30" xfId="0" applyFill="1" applyBorder="1" applyAlignment="1">
      <alignment vertical="center"/>
    </xf>
    <xf numFmtId="0" fontId="0" fillId="2" borderId="8" xfId="0" applyFill="1" applyBorder="1"/>
    <xf numFmtId="49" fontId="0" fillId="22" borderId="90" xfId="0" applyNumberFormat="1" applyFill="1" applyBorder="1"/>
    <xf numFmtId="0" fontId="0" fillId="22" borderId="92" xfId="0" applyFill="1" applyBorder="1"/>
    <xf numFmtId="0" fontId="0" fillId="22" borderId="92" xfId="0" applyFill="1" applyBorder="1" applyAlignment="1">
      <alignment vertical="center"/>
    </xf>
    <xf numFmtId="0" fontId="0" fillId="0" borderId="92" xfId="0" applyBorder="1" applyAlignment="1">
      <alignment vertical="center"/>
    </xf>
    <xf numFmtId="0" fontId="0" fillId="22" borderId="73" xfId="0" applyFill="1" applyBorder="1"/>
    <xf numFmtId="0" fontId="0" fillId="0" borderId="99" xfId="0" applyBorder="1" applyAlignment="1">
      <alignment vertical="center"/>
    </xf>
    <xf numFmtId="0" fontId="62" fillId="41" borderId="0" xfId="0" applyFont="1" applyFill="1" applyAlignment="1">
      <alignment horizontal="left"/>
    </xf>
    <xf numFmtId="0" fontId="0" fillId="41" borderId="0" xfId="0" applyFill="1"/>
    <xf numFmtId="0" fontId="0" fillId="0" borderId="7" xfId="0" applyBorder="1" applyAlignment="1">
      <alignment vertical="center"/>
    </xf>
    <xf numFmtId="0" fontId="36" fillId="15" borderId="123" xfId="0" applyFont="1" applyFill="1" applyBorder="1" applyAlignment="1">
      <alignment vertical="center" wrapText="1"/>
    </xf>
    <xf numFmtId="0" fontId="36" fillId="42" borderId="124" xfId="0" applyFont="1" applyFill="1" applyBorder="1" applyAlignment="1">
      <alignment vertical="center" wrapText="1"/>
    </xf>
    <xf numFmtId="0" fontId="36" fillId="42" borderId="124" xfId="0" applyFont="1" applyFill="1" applyBorder="1" applyAlignment="1">
      <alignment horizontal="left" vertical="center" wrapText="1"/>
    </xf>
    <xf numFmtId="0" fontId="36" fillId="15" borderId="124" xfId="0" applyFont="1" applyFill="1" applyBorder="1" applyAlignment="1">
      <alignment vertical="center" wrapText="1"/>
    </xf>
    <xf numFmtId="0" fontId="36" fillId="15" borderId="125"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3" fillId="22" borderId="74" xfId="0" applyFont="1" applyFill="1" applyBorder="1" applyAlignment="1">
      <alignment wrapText="1"/>
    </xf>
    <xf numFmtId="0" fontId="8" fillId="22" borderId="75" xfId="0" applyFont="1" applyFill="1" applyBorder="1" applyAlignment="1">
      <alignment wrapText="1"/>
    </xf>
    <xf numFmtId="0" fontId="44" fillId="22" borderId="75" xfId="0" applyFont="1" applyFill="1" applyBorder="1" applyAlignment="1">
      <alignment vertical="center"/>
    </xf>
    <xf numFmtId="0" fontId="64" fillId="22" borderId="75" xfId="0" applyFont="1" applyFill="1" applyBorder="1" applyAlignment="1">
      <alignment vertical="center" wrapText="1"/>
    </xf>
    <xf numFmtId="0" fontId="64" fillId="22" borderId="90" xfId="0" applyFont="1" applyFill="1" applyBorder="1" applyAlignment="1">
      <alignment vertical="center" wrapText="1"/>
    </xf>
    <xf numFmtId="0" fontId="44" fillId="22" borderId="74" xfId="0" applyFont="1" applyFill="1" applyBorder="1" applyAlignment="1">
      <alignment vertical="center"/>
    </xf>
    <xf numFmtId="0" fontId="44" fillId="22" borderId="90" xfId="0" applyFont="1" applyFill="1" applyBorder="1" applyAlignment="1">
      <alignment vertical="center"/>
    </xf>
    <xf numFmtId="0" fontId="63" fillId="22" borderId="67" xfId="0" applyFont="1" applyFill="1" applyBorder="1" applyAlignment="1">
      <alignment wrapText="1"/>
    </xf>
    <xf numFmtId="0" fontId="8" fillId="22" borderId="70" xfId="0" applyFont="1" applyFill="1" applyBorder="1" applyAlignment="1">
      <alignment wrapText="1"/>
    </xf>
    <xf numFmtId="0" fontId="44" fillId="22" borderId="70" xfId="0" applyFont="1" applyFill="1" applyBorder="1" applyAlignment="1">
      <alignment vertical="center"/>
    </xf>
    <xf numFmtId="0" fontId="64" fillId="22" borderId="70" xfId="0" applyFont="1" applyFill="1" applyBorder="1" applyAlignment="1">
      <alignment vertical="center" wrapText="1"/>
    </xf>
    <xf numFmtId="0" fontId="64" fillId="22" borderId="92" xfId="0" applyFont="1" applyFill="1" applyBorder="1" applyAlignment="1">
      <alignment vertical="center" wrapText="1"/>
    </xf>
    <xf numFmtId="0" fontId="44" fillId="22" borderId="67" xfId="0" applyFont="1" applyFill="1" applyBorder="1" applyAlignment="1">
      <alignment vertical="center"/>
    </xf>
    <xf numFmtId="0" fontId="44" fillId="22" borderId="92" xfId="0" applyFont="1" applyFill="1" applyBorder="1" applyAlignment="1">
      <alignment vertical="center"/>
    </xf>
    <xf numFmtId="0" fontId="44" fillId="0" borderId="92" xfId="0" applyFont="1" applyBorder="1" applyAlignment="1">
      <alignment vertical="center"/>
    </xf>
    <xf numFmtId="0" fontId="8" fillId="0" borderId="70" xfId="0" applyFont="1" applyBorder="1"/>
    <xf numFmtId="0" fontId="8" fillId="0" borderId="92" xfId="0" applyFont="1" applyBorder="1"/>
    <xf numFmtId="0" fontId="44" fillId="0" borderId="67" xfId="0" applyFont="1" applyBorder="1" applyAlignment="1">
      <alignment vertical="center"/>
    </xf>
    <xf numFmtId="0" fontId="44" fillId="0" borderId="70" xfId="0" applyFont="1" applyBorder="1" applyAlignment="1">
      <alignment vertical="center"/>
    </xf>
    <xf numFmtId="0" fontId="8" fillId="0" borderId="70" xfId="0" applyFont="1" applyBorder="1" applyAlignment="1">
      <alignment vertical="center"/>
    </xf>
    <xf numFmtId="0" fontId="8" fillId="0" borderId="67" xfId="0" applyFont="1" applyBorder="1" applyAlignment="1">
      <alignment vertical="center"/>
    </xf>
    <xf numFmtId="0" fontId="8" fillId="0" borderId="71" xfId="0" applyFont="1" applyBorder="1" applyAlignment="1">
      <alignment vertical="center"/>
    </xf>
    <xf numFmtId="0" fontId="8" fillId="22" borderId="73" xfId="0" applyFont="1" applyFill="1" applyBorder="1" applyAlignment="1">
      <alignment wrapText="1"/>
    </xf>
    <xf numFmtId="0" fontId="8" fillId="0" borderId="73" xfId="0" applyFont="1" applyBorder="1" applyAlignment="1">
      <alignment vertical="center"/>
    </xf>
    <xf numFmtId="0" fontId="8" fillId="0" borderId="73" xfId="0" applyFont="1" applyBorder="1"/>
    <xf numFmtId="0" fontId="8" fillId="0" borderId="99" xfId="0" applyFont="1" applyBorder="1"/>
    <xf numFmtId="0" fontId="44" fillId="0" borderId="71" xfId="0" applyFont="1" applyBorder="1" applyAlignment="1">
      <alignment vertical="center"/>
    </xf>
    <xf numFmtId="0" fontId="44" fillId="0" borderId="73" xfId="0" applyFont="1" applyBorder="1" applyAlignment="1">
      <alignment vertical="center"/>
    </xf>
    <xf numFmtId="0" fontId="44" fillId="0" borderId="99"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6" fillId="42" borderId="23" xfId="0" applyFont="1" applyFill="1" applyBorder="1" applyAlignment="1">
      <alignment vertical="center" wrapText="1"/>
    </xf>
    <xf numFmtId="0" fontId="11" fillId="22" borderId="115" xfId="0" applyFont="1" applyFill="1" applyBorder="1" applyAlignment="1">
      <alignment horizontal="center" vertical="top" wrapText="1"/>
    </xf>
    <xf numFmtId="0" fontId="11" fillId="22" borderId="28" xfId="0" applyFont="1" applyFill="1" applyBorder="1" applyAlignment="1">
      <alignment horizontal="center" vertical="top" wrapText="1"/>
    </xf>
    <xf numFmtId="0" fontId="21" fillId="22" borderId="30" xfId="0" applyFont="1" applyFill="1" applyBorder="1" applyAlignment="1">
      <alignment horizontal="center" vertical="center"/>
    </xf>
    <xf numFmtId="0" fontId="36" fillId="15" borderId="126" xfId="0" applyFont="1" applyFill="1" applyBorder="1" applyAlignment="1">
      <alignment vertical="center" wrapText="1"/>
    </xf>
    <xf numFmtId="0" fontId="44" fillId="22" borderId="26" xfId="0" applyFont="1" applyFill="1" applyBorder="1" applyAlignment="1">
      <alignment horizontal="center" vertical="center"/>
    </xf>
    <xf numFmtId="0" fontId="44" fillId="22" borderId="28" xfId="0" applyFont="1" applyFill="1" applyBorder="1" applyAlignment="1">
      <alignment horizontal="center" vertical="center"/>
    </xf>
    <xf numFmtId="0" fontId="44" fillId="22" borderId="30" xfId="0" applyFont="1" applyFill="1" applyBorder="1" applyAlignment="1">
      <alignment horizontal="center" vertical="center"/>
    </xf>
    <xf numFmtId="0" fontId="24" fillId="44" borderId="128" xfId="0" applyFont="1" applyFill="1" applyBorder="1" applyAlignment="1">
      <alignment horizontal="center" vertical="center" wrapText="1"/>
    </xf>
    <xf numFmtId="0" fontId="24" fillId="44" borderId="129" xfId="0" applyFont="1" applyFill="1" applyBorder="1" applyAlignment="1">
      <alignment horizontal="center" vertical="center" wrapText="1"/>
    </xf>
    <xf numFmtId="0" fontId="24" fillId="44" borderId="130" xfId="0" applyFont="1" applyFill="1" applyBorder="1" applyAlignment="1">
      <alignment horizontal="center" vertical="center" wrapText="1"/>
    </xf>
    <xf numFmtId="0" fontId="0" fillId="18" borderId="4" xfId="0" applyFill="1" applyBorder="1" applyAlignment="1">
      <alignment horizontal="center"/>
    </xf>
    <xf numFmtId="0" fontId="0" fillId="18" borderId="0" xfId="0" applyFill="1" applyAlignment="1">
      <alignment horizontal="center"/>
    </xf>
    <xf numFmtId="0" fontId="0" fillId="18" borderId="19" xfId="0" applyFill="1" applyBorder="1" applyAlignment="1">
      <alignment horizontal="center" vertical="center" wrapText="1"/>
    </xf>
    <xf numFmtId="0" fontId="0" fillId="18" borderId="132" xfId="0" applyFill="1" applyBorder="1" applyAlignment="1">
      <alignment horizontal="center" vertical="center" wrapText="1"/>
    </xf>
    <xf numFmtId="0" fontId="0" fillId="18" borderId="67" xfId="0" applyFill="1" applyBorder="1" applyAlignment="1">
      <alignment horizontal="center" vertical="center" wrapText="1"/>
    </xf>
    <xf numFmtId="0" fontId="0" fillId="18" borderId="70" xfId="0" applyFill="1" applyBorder="1" applyAlignment="1">
      <alignment horizontal="center" vertical="center" wrapText="1"/>
    </xf>
    <xf numFmtId="0" fontId="0" fillId="0" borderId="133" xfId="0" applyBorder="1"/>
    <xf numFmtId="0" fontId="0" fillId="0" borderId="67" xfId="0" applyBorder="1" applyAlignment="1">
      <alignment vertical="center"/>
    </xf>
    <xf numFmtId="0" fontId="0" fillId="18" borderId="73" xfId="0" applyFill="1" applyBorder="1" applyAlignment="1">
      <alignment horizontal="center" vertical="center" wrapText="1"/>
    </xf>
    <xf numFmtId="0" fontId="0" fillId="0" borderId="134" xfId="0" applyBorder="1"/>
    <xf numFmtId="0" fontId="59" fillId="0" borderId="135" xfId="0" applyFont="1" applyBorder="1"/>
    <xf numFmtId="0" fontId="0" fillId="0" borderId="136" xfId="0" applyBorder="1"/>
    <xf numFmtId="0" fontId="3" fillId="45" borderId="0" xfId="0" applyFont="1" applyFill="1" applyAlignment="1">
      <alignment horizontal="centerContinuous"/>
    </xf>
    <xf numFmtId="0" fontId="24" fillId="44" borderId="137" xfId="0" applyFont="1" applyFill="1" applyBorder="1" applyAlignment="1">
      <alignment horizontal="center" vertical="center" wrapText="1"/>
    </xf>
    <xf numFmtId="0" fontId="24" fillId="44" borderId="138" xfId="0" applyFont="1" applyFill="1" applyBorder="1" applyAlignment="1">
      <alignment horizontal="center" vertical="center" wrapText="1"/>
    </xf>
    <xf numFmtId="0" fontId="24" fillId="44" borderId="139" xfId="0" applyFont="1" applyFill="1" applyBorder="1" applyAlignment="1">
      <alignment horizontal="center" vertical="center" wrapText="1"/>
    </xf>
    <xf numFmtId="0" fontId="0" fillId="18" borderId="141" xfId="0" applyFill="1" applyBorder="1" applyAlignment="1">
      <alignment horizontal="center"/>
    </xf>
    <xf numFmtId="0" fontId="0" fillId="0" borderId="19" xfId="0" applyBorder="1"/>
    <xf numFmtId="0" fontId="0" fillId="18" borderId="142" xfId="0" applyFill="1" applyBorder="1" applyAlignment="1">
      <alignment horizontal="center" vertical="center" wrapText="1"/>
    </xf>
    <xf numFmtId="0" fontId="0" fillId="18" borderId="143" xfId="0" applyFill="1" applyBorder="1" applyAlignment="1">
      <alignment horizontal="center"/>
    </xf>
    <xf numFmtId="0" fontId="0" fillId="18" borderId="144" xfId="0" applyFill="1" applyBorder="1" applyAlignment="1">
      <alignment horizontal="center" vertical="center" wrapText="1"/>
    </xf>
    <xf numFmtId="0" fontId="0" fillId="0" borderId="144" xfId="0" applyBorder="1"/>
    <xf numFmtId="0" fontId="0" fillId="18" borderId="146" xfId="0" applyFill="1" applyBorder="1" applyAlignment="1">
      <alignment horizontal="center"/>
    </xf>
    <xf numFmtId="0" fontId="0" fillId="0" borderId="147" xfId="0" applyBorder="1"/>
    <xf numFmtId="0" fontId="0" fillId="0" borderId="148" xfId="0" applyBorder="1"/>
    <xf numFmtId="0" fontId="0" fillId="0" borderId="149" xfId="0" applyBorder="1"/>
    <xf numFmtId="0" fontId="24" fillId="44" borderId="23" xfId="0" applyFont="1" applyFill="1" applyBorder="1" applyAlignment="1">
      <alignment horizontal="center" vertical="center" wrapText="1"/>
    </xf>
    <xf numFmtId="0" fontId="0" fillId="18" borderId="28" xfId="0" applyFill="1" applyBorder="1" applyAlignment="1">
      <alignment horizontal="center"/>
    </xf>
    <xf numFmtId="0" fontId="0" fillId="18" borderId="30" xfId="0" applyFill="1" applyBorder="1" applyAlignment="1">
      <alignment horizontal="center"/>
    </xf>
    <xf numFmtId="0" fontId="24" fillId="46" borderId="13" xfId="0" applyFont="1" applyFill="1" applyBorder="1" applyAlignment="1">
      <alignment vertical="center" wrapText="1"/>
    </xf>
    <xf numFmtId="0" fontId="24" fillId="46" borderId="150" xfId="0" applyFont="1" applyFill="1" applyBorder="1" applyAlignment="1">
      <alignment vertical="center" wrapText="1"/>
    </xf>
    <xf numFmtId="0" fontId="24" fillId="46" borderId="151" xfId="0" applyFont="1" applyFill="1" applyBorder="1" applyAlignment="1">
      <alignment vertical="center" wrapText="1"/>
    </xf>
    <xf numFmtId="0" fontId="0" fillId="47" borderId="74" xfId="0" applyFill="1" applyBorder="1" applyAlignment="1">
      <alignment horizontal="center" vertical="center" wrapText="1"/>
    </xf>
    <xf numFmtId="0" fontId="0" fillId="47" borderId="75" xfId="0" applyFill="1" applyBorder="1" applyAlignment="1">
      <alignment horizontal="center" vertical="center" wrapText="1"/>
    </xf>
    <xf numFmtId="0" fontId="0" fillId="0" borderId="75" xfId="0" applyBorder="1"/>
    <xf numFmtId="0" fontId="0" fillId="0" borderId="90" xfId="0" applyBorder="1"/>
    <xf numFmtId="0" fontId="0" fillId="47" borderId="67" xfId="0" applyFill="1" applyBorder="1" applyAlignment="1">
      <alignment horizontal="center" vertical="center" wrapText="1"/>
    </xf>
    <xf numFmtId="0" fontId="0" fillId="47" borderId="70" xfId="0" applyFill="1" applyBorder="1" applyAlignment="1">
      <alignment horizontal="center" vertical="center" wrapText="1"/>
    </xf>
    <xf numFmtId="0" fontId="0" fillId="0" borderId="92" xfId="0" applyBorder="1"/>
    <xf numFmtId="0" fontId="0" fillId="47" borderId="71" xfId="0" applyFill="1" applyBorder="1" applyAlignment="1">
      <alignment horizontal="center" vertical="center" wrapText="1"/>
    </xf>
    <xf numFmtId="0" fontId="0" fillId="0" borderId="99" xfId="0" applyBorder="1"/>
    <xf numFmtId="0" fontId="36" fillId="48" borderId="110" xfId="0" applyFont="1" applyFill="1" applyBorder="1" applyAlignment="1">
      <alignment horizontal="center" vertical="center" wrapText="1"/>
    </xf>
    <xf numFmtId="0" fontId="36" fillId="48" borderId="152" xfId="0" applyFont="1" applyFill="1" applyBorder="1" applyAlignment="1">
      <alignment horizontal="center" vertical="center" wrapText="1"/>
    </xf>
    <xf numFmtId="0" fontId="36" fillId="48" borderId="111"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6" fillId="48" borderId="106" xfId="0" applyFont="1" applyFill="1" applyBorder="1" applyAlignment="1">
      <alignment horizontal="center" vertical="center" wrapText="1"/>
    </xf>
    <xf numFmtId="0" fontId="36" fillId="48" borderId="153" xfId="0" applyFont="1" applyFill="1" applyBorder="1" applyAlignment="1">
      <alignment horizontal="center" vertical="center" wrapText="1"/>
    </xf>
    <xf numFmtId="0" fontId="5" fillId="48" borderId="154" xfId="0" applyFont="1" applyFill="1" applyBorder="1" applyAlignment="1">
      <alignment vertical="center"/>
    </xf>
    <xf numFmtId="0" fontId="0" fillId="6" borderId="74" xfId="0" applyFill="1" applyBorder="1" applyAlignment="1">
      <alignment horizontal="left" vertical="center" wrapText="1"/>
    </xf>
    <xf numFmtId="0" fontId="0" fillId="6" borderId="75" xfId="0" applyFill="1" applyBorder="1" applyAlignment="1">
      <alignment horizontal="left"/>
    </xf>
    <xf numFmtId="0" fontId="0" fillId="6" borderId="90" xfId="0" applyFill="1" applyBorder="1" applyAlignment="1">
      <alignment horizontal="left"/>
    </xf>
    <xf numFmtId="0" fontId="0" fillId="6" borderId="67" xfId="0" applyFill="1" applyBorder="1" applyAlignment="1">
      <alignment horizontal="left" vertical="center" wrapText="1"/>
    </xf>
    <xf numFmtId="0" fontId="0" fillId="6" borderId="70" xfId="0" applyFill="1" applyBorder="1" applyAlignment="1">
      <alignment horizontal="left" vertical="top"/>
    </xf>
    <xf numFmtId="0" fontId="0" fillId="0" borderId="92" xfId="0" applyBorder="1" applyAlignment="1">
      <alignment horizontal="left"/>
    </xf>
    <xf numFmtId="0" fontId="0" fillId="6" borderId="71" xfId="0" applyFill="1" applyBorder="1" applyAlignment="1">
      <alignment horizontal="left" vertical="center" wrapText="1"/>
    </xf>
    <xf numFmtId="0" fontId="0" fillId="0" borderId="73" xfId="0" applyBorder="1" applyAlignment="1">
      <alignment horizontal="left" vertical="top"/>
    </xf>
    <xf numFmtId="0" fontId="0" fillId="0" borderId="99" xfId="0" applyBorder="1" applyAlignment="1">
      <alignment horizontal="left"/>
    </xf>
    <xf numFmtId="0" fontId="36" fillId="6" borderId="9" xfId="0" applyFont="1" applyFill="1" applyBorder="1" applyAlignment="1">
      <alignment vertical="center"/>
    </xf>
    <xf numFmtId="0" fontId="36" fillId="6" borderId="10" xfId="0" applyFont="1" applyFill="1" applyBorder="1" applyAlignment="1">
      <alignment vertical="center"/>
    </xf>
    <xf numFmtId="0" fontId="36" fillId="6" borderId="11" xfId="0" applyFont="1" applyFill="1" applyBorder="1" applyAlignment="1">
      <alignment vertical="center"/>
    </xf>
    <xf numFmtId="0" fontId="36" fillId="0" borderId="0" xfId="0" applyFont="1" applyAlignment="1">
      <alignment vertical="center"/>
    </xf>
    <xf numFmtId="0" fontId="8" fillId="0" borderId="0" xfId="0" applyFont="1" applyAlignment="1">
      <alignment horizontal="left" indent="3"/>
    </xf>
    <xf numFmtId="0" fontId="66" fillId="0" borderId="110" xfId="0" applyFont="1" applyBorder="1" applyAlignment="1">
      <alignment horizontal="center" vertical="center" wrapText="1"/>
    </xf>
    <xf numFmtId="0" fontId="66" fillId="0" borderId="152" xfId="0" applyFont="1" applyBorder="1" applyAlignment="1">
      <alignment horizontal="center" vertical="center" wrapText="1"/>
    </xf>
    <xf numFmtId="0" fontId="66" fillId="0" borderId="111" xfId="0" applyFont="1" applyBorder="1" applyAlignment="1">
      <alignment horizontal="center" vertical="center" wrapText="1"/>
    </xf>
    <xf numFmtId="0" fontId="67" fillId="0" borderId="0" xfId="0" applyFont="1" applyAlignment="1">
      <alignment vertical="center"/>
    </xf>
    <xf numFmtId="3" fontId="36" fillId="7" borderId="65" xfId="0" applyNumberFormat="1" applyFont="1" applyFill="1" applyBorder="1" applyAlignment="1">
      <alignment horizontal="left" vertical="center" wrapText="1"/>
    </xf>
    <xf numFmtId="3" fontId="36" fillId="7" borderId="52" xfId="0" applyNumberFormat="1" applyFont="1" applyFill="1" applyBorder="1" applyAlignment="1" applyProtection="1">
      <alignment horizontal="left" vertical="center" wrapText="1"/>
      <protection locked="0"/>
    </xf>
    <xf numFmtId="171" fontId="36" fillId="7" borderId="52" xfId="0" applyNumberFormat="1" applyFont="1" applyFill="1" applyBorder="1" applyAlignment="1" applyProtection="1">
      <alignment horizontal="left" vertical="center" wrapText="1"/>
      <protection locked="0"/>
    </xf>
    <xf numFmtId="171" fontId="36" fillId="7" borderId="100" xfId="0" applyNumberFormat="1" applyFont="1" applyFill="1" applyBorder="1" applyAlignment="1" applyProtection="1">
      <alignment horizontal="left" vertical="center" wrapText="1"/>
      <protection locked="0"/>
    </xf>
    <xf numFmtId="0" fontId="66" fillId="0" borderId="1" xfId="0" applyFont="1" applyBorder="1" applyAlignment="1">
      <alignment horizontal="center" vertical="center" wrapText="1"/>
    </xf>
    <xf numFmtId="0" fontId="66" fillId="0" borderId="2" xfId="0" applyFont="1" applyBorder="1" applyAlignment="1">
      <alignment horizontal="center" vertical="center" wrapText="1"/>
    </xf>
    <xf numFmtId="0" fontId="66" fillId="0" borderId="3" xfId="0" applyFont="1" applyBorder="1" applyAlignment="1">
      <alignment horizontal="center" vertical="center" wrapText="1"/>
    </xf>
    <xf numFmtId="0" fontId="34" fillId="15" borderId="24" xfId="0" applyFont="1" applyFill="1" applyBorder="1" applyAlignment="1">
      <alignment horizontal="center" vertical="center" wrapText="1"/>
    </xf>
    <xf numFmtId="0" fontId="36" fillId="15" borderId="12" xfId="0" applyFont="1" applyFill="1" applyBorder="1" applyAlignment="1">
      <alignment horizontal="center" vertical="center" wrapText="1"/>
    </xf>
    <xf numFmtId="14" fontId="0" fillId="15" borderId="23" xfId="0" applyNumberFormat="1" applyFill="1" applyBorder="1" applyAlignment="1">
      <alignment horizontal="left" vertical="center"/>
    </xf>
    <xf numFmtId="0" fontId="66" fillId="0" borderId="9" xfId="0" applyFont="1" applyBorder="1" applyAlignment="1">
      <alignment horizontal="center" vertical="center"/>
    </xf>
    <xf numFmtId="0" fontId="66" fillId="0" borderId="10" xfId="0" applyFont="1" applyBorder="1" applyAlignment="1">
      <alignment horizontal="center" vertical="center"/>
    </xf>
    <xf numFmtId="0" fontId="66" fillId="0" borderId="11" xfId="0" applyFont="1" applyBorder="1" applyAlignment="1">
      <alignment horizontal="center" vertical="center"/>
    </xf>
    <xf numFmtId="14" fontId="36" fillId="15" borderId="23" xfId="0" applyNumberFormat="1" applyFont="1" applyFill="1" applyBorder="1" applyAlignment="1">
      <alignment horizontal="left" vertical="center"/>
    </xf>
    <xf numFmtId="14" fontId="36" fillId="15" borderId="23" xfId="0" applyNumberFormat="1" applyFont="1" applyFill="1" applyBorder="1" applyAlignment="1">
      <alignment vertical="center"/>
    </xf>
    <xf numFmtId="0" fontId="36" fillId="42" borderId="0" xfId="0" applyFont="1" applyFill="1" applyAlignment="1">
      <alignment horizontal="right" vertical="center" wrapText="1"/>
    </xf>
    <xf numFmtId="0" fontId="68" fillId="0" borderId="9" xfId="0" applyFont="1" applyBorder="1" applyAlignment="1">
      <alignment horizontal="right" vertical="center"/>
    </xf>
    <xf numFmtId="0" fontId="36" fillId="22" borderId="24" xfId="0" applyFont="1" applyFill="1" applyBorder="1" applyAlignment="1">
      <alignment horizontal="center" vertical="center" wrapText="1"/>
    </xf>
    <xf numFmtId="0" fontId="36" fillId="15" borderId="109" xfId="0" applyFont="1" applyFill="1" applyBorder="1" applyAlignment="1">
      <alignment horizontal="center" vertical="center" wrapText="1"/>
    </xf>
    <xf numFmtId="0" fontId="69" fillId="49" borderId="0" xfId="0" applyFont="1" applyFill="1" applyAlignment="1">
      <alignment vertical="center"/>
    </xf>
    <xf numFmtId="0" fontId="5" fillId="49" borderId="0" xfId="0" applyFont="1" applyFill="1" applyAlignment="1">
      <alignment vertical="center"/>
    </xf>
    <xf numFmtId="0" fontId="48" fillId="0" borderId="0" xfId="0" applyFont="1"/>
    <xf numFmtId="0" fontId="68" fillId="0" borderId="23" xfId="0" applyFont="1" applyBorder="1" applyAlignment="1">
      <alignment horizontal="right"/>
    </xf>
    <xf numFmtId="172" fontId="36" fillId="15" borderId="81" xfId="0" applyNumberFormat="1" applyFont="1" applyFill="1" applyBorder="1" applyAlignment="1">
      <alignment horizontal="center" vertical="center" wrapText="1"/>
    </xf>
    <xf numFmtId="172" fontId="36" fillId="15" borderId="64" xfId="0" applyNumberFormat="1" applyFont="1" applyFill="1" applyBorder="1" applyAlignment="1">
      <alignment horizontal="center" vertical="center" wrapText="1"/>
    </xf>
    <xf numFmtId="172" fontId="36" fillId="22" borderId="64" xfId="0" applyNumberFormat="1" applyFont="1" applyFill="1" applyBorder="1" applyAlignment="1">
      <alignment horizontal="left" vertical="center" wrapText="1"/>
    </xf>
    <xf numFmtId="172" fontId="36" fillId="22"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5" borderId="0" xfId="0" applyFont="1" applyFill="1" applyAlignment="1">
      <alignment vertical="top"/>
    </xf>
    <xf numFmtId="0" fontId="0" fillId="0" borderId="5" xfId="0" applyBorder="1" applyAlignment="1">
      <alignment vertical="center"/>
    </xf>
    <xf numFmtId="172" fontId="36" fillId="22" borderId="155" xfId="0" applyNumberFormat="1" applyFont="1" applyFill="1" applyBorder="1" applyAlignment="1">
      <alignment horizontal="center" vertical="center" wrapText="1"/>
    </xf>
    <xf numFmtId="172" fontId="36" fillId="22" borderId="152" xfId="0" applyNumberFormat="1" applyFont="1" applyFill="1" applyBorder="1" applyAlignment="1">
      <alignment horizontal="center" vertical="center" wrapText="1"/>
    </xf>
    <xf numFmtId="172" fontId="36" fillId="22" borderId="152" xfId="0" applyNumberFormat="1" applyFont="1" applyFill="1" applyBorder="1" applyAlignment="1">
      <alignment horizontal="left" vertical="center" wrapText="1"/>
    </xf>
    <xf numFmtId="172" fontId="36" fillId="22" borderId="111" xfId="0" applyNumberFormat="1" applyFont="1" applyFill="1" applyBorder="1" applyAlignment="1">
      <alignment horizontal="center" vertical="center" wrapText="1"/>
    </xf>
    <xf numFmtId="0" fontId="8" fillId="25" borderId="0" xfId="0" applyFont="1" applyFill="1"/>
    <xf numFmtId="172" fontId="70" fillId="3" borderId="155" xfId="0" applyNumberFormat="1" applyFont="1" applyFill="1" applyBorder="1"/>
    <xf numFmtId="172" fontId="70" fillId="3" borderId="152" xfId="0" applyNumberFormat="1" applyFont="1" applyFill="1" applyBorder="1"/>
    <xf numFmtId="0" fontId="0" fillId="0" borderId="111" xfId="0" applyBorder="1"/>
    <xf numFmtId="0" fontId="0" fillId="0" borderId="0" xfId="0" applyAlignment="1">
      <alignment horizontal="right" indent="1"/>
    </xf>
    <xf numFmtId="0" fontId="71" fillId="0" borderId="0" xfId="0" applyFont="1" applyAlignment="1">
      <alignment vertical="center"/>
    </xf>
    <xf numFmtId="0" fontId="69" fillId="22" borderId="0" xfId="0" applyFont="1" applyFill="1"/>
    <xf numFmtId="0" fontId="71" fillId="22"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49" fillId="22" borderId="0" xfId="0" applyFont="1" applyFill="1" applyAlignment="1">
      <alignment vertical="top"/>
    </xf>
    <xf numFmtId="0" fontId="21" fillId="3" borderId="0" xfId="0" applyFont="1" applyFill="1" applyAlignment="1">
      <alignment horizontal="center"/>
    </xf>
    <xf numFmtId="0" fontId="69" fillId="0" borderId="0" xfId="0" applyFont="1"/>
    <xf numFmtId="0" fontId="21" fillId="3" borderId="0" xfId="0" applyFont="1" applyFill="1" applyAlignment="1">
      <alignment horizontal="left"/>
    </xf>
    <xf numFmtId="0" fontId="11" fillId="50" borderId="0" xfId="0" applyFont="1" applyFill="1" applyAlignment="1">
      <alignment vertical="top"/>
    </xf>
    <xf numFmtId="0" fontId="11" fillId="50" borderId="0" xfId="0" applyFont="1" applyFill="1" applyAlignment="1">
      <alignment horizontal="left" vertical="top"/>
    </xf>
    <xf numFmtId="0" fontId="43" fillId="12" borderId="0" xfId="0" applyFont="1" applyFill="1" applyAlignment="1">
      <alignment horizontal="centerContinuous"/>
    </xf>
    <xf numFmtId="0" fontId="36" fillId="18" borderId="1" xfId="0" applyFont="1" applyFill="1" applyBorder="1" applyAlignment="1">
      <alignment horizontal="centerContinuous"/>
    </xf>
    <xf numFmtId="0" fontId="36" fillId="18" borderId="2" xfId="0" applyFont="1" applyFill="1" applyBorder="1" applyAlignment="1">
      <alignment horizontal="centerContinuous"/>
    </xf>
    <xf numFmtId="0" fontId="5" fillId="18" borderId="3" xfId="0" applyFont="1" applyFill="1" applyBorder="1" applyAlignment="1">
      <alignment horizontal="centerContinuous"/>
    </xf>
    <xf numFmtId="0" fontId="34" fillId="11" borderId="25" xfId="0" applyFont="1" applyFill="1" applyBorder="1" applyAlignment="1">
      <alignment horizontal="centerContinuous"/>
    </xf>
    <xf numFmtId="0" fontId="5" fillId="30" borderId="1" xfId="0" applyFont="1" applyFill="1" applyBorder="1" applyAlignment="1">
      <alignment horizontal="centerContinuous"/>
    </xf>
    <xf numFmtId="0" fontId="5" fillId="30" borderId="2" xfId="0" applyFont="1" applyFill="1" applyBorder="1" applyAlignment="1">
      <alignment horizontal="centerContinuous"/>
    </xf>
    <xf numFmtId="0" fontId="5" fillId="30" borderId="3" xfId="0" applyFont="1" applyFill="1" applyBorder="1" applyAlignment="1">
      <alignment horizontal="centerContinuous"/>
    </xf>
    <xf numFmtId="0" fontId="36" fillId="6" borderId="0" xfId="0" applyFont="1" applyFill="1" applyAlignment="1">
      <alignment horizontal="centerContinuous"/>
    </xf>
    <xf numFmtId="14" fontId="0" fillId="0" borderId="0" xfId="0" applyNumberFormat="1" applyAlignment="1">
      <alignment vertical="center" wrapText="1"/>
    </xf>
    <xf numFmtId="0" fontId="72" fillId="8" borderId="1" xfId="0" applyFont="1" applyFill="1" applyBorder="1" applyAlignment="1">
      <alignment vertical="center" wrapText="1"/>
    </xf>
    <xf numFmtId="0" fontId="72" fillId="8" borderId="14" xfId="0" applyFont="1" applyFill="1" applyBorder="1" applyAlignment="1">
      <alignment vertical="center" wrapText="1"/>
    </xf>
    <xf numFmtId="49" fontId="72" fillId="8" borderId="14" xfId="0" applyNumberFormat="1" applyFont="1" applyFill="1" applyBorder="1" applyAlignment="1">
      <alignment vertical="center" wrapText="1"/>
    </xf>
    <xf numFmtId="0" fontId="36" fillId="49" borderId="1" xfId="0" applyFont="1" applyFill="1" applyBorder="1" applyAlignment="1">
      <alignment horizontal="left" vertical="center" wrapText="1"/>
    </xf>
    <xf numFmtId="0" fontId="36" fillId="49" borderId="14" xfId="0" applyFont="1" applyFill="1" applyBorder="1" applyAlignment="1">
      <alignment horizontal="center" vertical="center" wrapText="1"/>
    </xf>
    <xf numFmtId="0" fontId="24" fillId="51" borderId="14" xfId="0" applyFont="1" applyFill="1" applyBorder="1" applyAlignment="1">
      <alignment horizontal="center" vertical="center" wrapText="1"/>
    </xf>
    <xf numFmtId="1" fontId="24" fillId="51" borderId="14" xfId="0" applyNumberFormat="1" applyFont="1" applyFill="1" applyBorder="1" applyAlignment="1">
      <alignment horizontal="center" vertical="center" wrapText="1"/>
    </xf>
    <xf numFmtId="0" fontId="36" fillId="31" borderId="1" xfId="0" applyFont="1" applyFill="1" applyBorder="1" applyAlignment="1">
      <alignment horizontal="center" vertical="center" wrapText="1"/>
    </xf>
    <xf numFmtId="0" fontId="36" fillId="31" borderId="116" xfId="0" applyFont="1" applyFill="1" applyBorder="1" applyAlignment="1">
      <alignment horizontal="center" vertical="center" wrapText="1"/>
    </xf>
    <xf numFmtId="0" fontId="36" fillId="22" borderId="14" xfId="0" applyFont="1" applyFill="1" applyBorder="1" applyAlignment="1">
      <alignment vertical="center" wrapText="1"/>
    </xf>
    <xf numFmtId="0" fontId="36" fillId="22" borderId="116" xfId="0" applyFont="1" applyFill="1" applyBorder="1" applyAlignment="1">
      <alignment vertical="center" wrapText="1"/>
    </xf>
    <xf numFmtId="0" fontId="36" fillId="15" borderId="116" xfId="0" applyFont="1" applyFill="1" applyBorder="1" applyAlignment="1">
      <alignment vertical="center" wrapText="1"/>
    </xf>
    <xf numFmtId="0" fontId="36" fillId="33" borderId="2" xfId="0" applyFont="1" applyFill="1" applyBorder="1" applyAlignment="1">
      <alignment vertical="center" wrapText="1"/>
    </xf>
    <xf numFmtId="0" fontId="36" fillId="33" borderId="1" xfId="0" applyFont="1" applyFill="1" applyBorder="1" applyAlignment="1">
      <alignment vertical="center" wrapText="1"/>
    </xf>
    <xf numFmtId="0" fontId="36" fillId="6" borderId="116" xfId="0" applyFont="1" applyFill="1" applyBorder="1" applyAlignment="1">
      <alignment vertical="center" wrapText="1"/>
    </xf>
    <xf numFmtId="0" fontId="21" fillId="3" borderId="82" xfId="0" applyFont="1" applyFill="1" applyBorder="1" applyAlignment="1">
      <alignment vertical="top"/>
    </xf>
    <xf numFmtId="166" fontId="8" fillId="3" borderId="156" xfId="0" applyNumberFormat="1" applyFont="1" applyFill="1" applyBorder="1" applyAlignment="1">
      <alignment horizontal="right" vertical="top" indent="1"/>
    </xf>
    <xf numFmtId="0" fontId="8" fillId="52" borderId="117" xfId="0" applyFont="1" applyFill="1" applyBorder="1" applyAlignment="1">
      <alignment horizontal="left" vertical="top"/>
    </xf>
    <xf numFmtId="0" fontId="8" fillId="52" borderId="118" xfId="0" applyFont="1" applyFill="1" applyBorder="1" applyAlignment="1">
      <alignment vertical="top"/>
    </xf>
    <xf numFmtId="0" fontId="33" fillId="3" borderId="118" xfId="0" applyFont="1" applyFill="1" applyBorder="1" applyAlignment="1">
      <alignment vertical="top"/>
    </xf>
    <xf numFmtId="0" fontId="33" fillId="3" borderId="118" xfId="0" applyFont="1" applyFill="1" applyBorder="1" applyAlignment="1">
      <alignment horizontal="center" vertical="top"/>
    </xf>
    <xf numFmtId="0" fontId="8" fillId="52" borderId="117" xfId="0" applyFont="1" applyFill="1" applyBorder="1" applyAlignment="1">
      <alignment horizontal="center" vertical="top"/>
    </xf>
    <xf numFmtId="1" fontId="8" fillId="52" borderId="118" xfId="0" applyNumberFormat="1" applyFont="1" applyFill="1" applyBorder="1" applyAlignment="1">
      <alignment horizontal="center" vertical="top"/>
    </xf>
    <xf numFmtId="1" fontId="8" fillId="52" borderId="157" xfId="0" applyNumberFormat="1" applyFont="1" applyFill="1" applyBorder="1" applyAlignment="1">
      <alignment horizontal="center" vertical="top"/>
    </xf>
    <xf numFmtId="0" fontId="8" fillId="52" borderId="157" xfId="0" applyFont="1" applyFill="1" applyBorder="1" applyAlignment="1">
      <alignment horizontal="center" vertical="top"/>
    </xf>
    <xf numFmtId="0" fontId="8" fillId="52" borderId="117" xfId="0" applyFont="1" applyFill="1" applyBorder="1" applyAlignment="1">
      <alignment vertical="center"/>
    </xf>
    <xf numFmtId="0" fontId="8" fillId="52" borderId="118" xfId="0" applyFont="1" applyFill="1" applyBorder="1" applyAlignment="1">
      <alignment vertical="center"/>
    </xf>
    <xf numFmtId="173" fontId="8" fillId="52" borderId="118" xfId="0" applyNumberFormat="1" applyFont="1" applyFill="1" applyBorder="1" applyAlignment="1">
      <alignment horizontal="center" vertical="center"/>
    </xf>
    <xf numFmtId="0" fontId="73" fillId="52" borderId="117" xfId="0" applyFont="1" applyFill="1" applyBorder="1"/>
    <xf numFmtId="0" fontId="73" fillId="52" borderId="118" xfId="0" applyFont="1" applyFill="1" applyBorder="1"/>
    <xf numFmtId="0" fontId="8" fillId="52" borderId="118" xfId="0" applyFont="1" applyFill="1" applyBorder="1"/>
    <xf numFmtId="0" fontId="8" fillId="52" borderId="118" xfId="0" applyFont="1" applyFill="1" applyBorder="1" applyAlignment="1">
      <alignment horizontal="center"/>
    </xf>
    <xf numFmtId="0" fontId="8" fillId="53" borderId="117" xfId="0" applyFont="1" applyFill="1" applyBorder="1" applyAlignment="1">
      <alignment horizontal="center" vertical="top"/>
    </xf>
    <xf numFmtId="1" fontId="8" fillId="53" borderId="118" xfId="0" applyNumberFormat="1" applyFont="1" applyFill="1" applyBorder="1" applyAlignment="1">
      <alignment horizontal="center" vertical="top"/>
    </xf>
    <xf numFmtId="1" fontId="8" fillId="53" borderId="157" xfId="0" applyNumberFormat="1" applyFont="1" applyFill="1" applyBorder="1" applyAlignment="1">
      <alignment horizontal="center" vertical="top"/>
    </xf>
    <xf numFmtId="0" fontId="8" fillId="53" borderId="118" xfId="0" applyFont="1" applyFill="1" applyBorder="1" applyAlignment="1">
      <alignment vertical="center"/>
    </xf>
    <xf numFmtId="0" fontId="21" fillId="12" borderId="82" xfId="0" applyFont="1" applyFill="1" applyBorder="1" applyAlignment="1">
      <alignment vertical="top"/>
    </xf>
    <xf numFmtId="166" fontId="8" fillId="12" borderId="156" xfId="0" applyNumberFormat="1" applyFont="1" applyFill="1" applyBorder="1" applyAlignment="1">
      <alignment horizontal="right" vertical="top" indent="1"/>
    </xf>
    <xf numFmtId="0" fontId="0" fillId="12" borderId="117" xfId="0" applyFill="1" applyBorder="1" applyAlignment="1">
      <alignment horizontal="left" vertical="top"/>
    </xf>
    <xf numFmtId="0" fontId="8" fillId="12" borderId="118" xfId="0" applyFont="1" applyFill="1" applyBorder="1" applyAlignment="1">
      <alignment vertical="top"/>
    </xf>
    <xf numFmtId="0" fontId="33" fillId="12" borderId="118" xfId="0" applyFont="1" applyFill="1" applyBorder="1" applyAlignment="1">
      <alignment vertical="top"/>
    </xf>
    <xf numFmtId="0" fontId="33" fillId="12" borderId="118" xfId="0" applyFont="1" applyFill="1" applyBorder="1" applyAlignment="1">
      <alignment horizontal="center" vertical="top"/>
    </xf>
    <xf numFmtId="0" fontId="8" fillId="12" borderId="157" xfId="0" applyFont="1" applyFill="1" applyBorder="1" applyAlignment="1">
      <alignment horizontal="center" vertical="top"/>
    </xf>
    <xf numFmtId="0" fontId="8" fillId="12" borderId="117" xfId="0" applyFont="1" applyFill="1" applyBorder="1" applyAlignment="1">
      <alignment vertical="center"/>
    </xf>
    <xf numFmtId="0" fontId="8" fillId="12" borderId="118" xfId="0" applyFont="1" applyFill="1" applyBorder="1" applyAlignment="1">
      <alignment vertical="center"/>
    </xf>
    <xf numFmtId="173" fontId="8" fillId="12" borderId="118" xfId="0" applyNumberFormat="1" applyFont="1" applyFill="1" applyBorder="1" applyAlignment="1">
      <alignment horizontal="center" vertical="center"/>
    </xf>
    <xf numFmtId="0" fontId="0" fillId="52" borderId="118" xfId="0" applyFill="1" applyBorder="1" applyAlignment="1">
      <alignment vertical="center"/>
    </xf>
    <xf numFmtId="173" fontId="8" fillId="52" borderId="118" xfId="0" applyNumberFormat="1" applyFont="1" applyFill="1" applyBorder="1" applyAlignment="1">
      <alignment horizontal="center"/>
    </xf>
    <xf numFmtId="0" fontId="21" fillId="3" borderId="82" xfId="0" applyFont="1" applyFill="1" applyBorder="1" applyAlignment="1">
      <alignment vertical="top" wrapText="1"/>
    </xf>
    <xf numFmtId="0" fontId="21" fillId="3" borderId="58" xfId="0" applyFont="1" applyFill="1" applyBorder="1" applyAlignment="1">
      <alignment vertical="top"/>
    </xf>
    <xf numFmtId="166" fontId="8" fillId="3" borderId="158" xfId="0" applyNumberFormat="1" applyFont="1" applyFill="1" applyBorder="1" applyAlignment="1">
      <alignment horizontal="right" vertical="top" indent="1"/>
    </xf>
    <xf numFmtId="0" fontId="8" fillId="52" borderId="36" xfId="0" applyFont="1" applyFill="1" applyBorder="1" applyAlignment="1">
      <alignment horizontal="left" vertical="top"/>
    </xf>
    <xf numFmtId="0" fontId="8" fillId="52" borderId="78" xfId="0" applyFont="1" applyFill="1" applyBorder="1" applyAlignment="1">
      <alignment vertical="top"/>
    </xf>
    <xf numFmtId="0" fontId="33" fillId="3" borderId="78" xfId="0" applyFont="1" applyFill="1" applyBorder="1" applyAlignment="1">
      <alignment vertical="top"/>
    </xf>
    <xf numFmtId="0" fontId="33" fillId="3" borderId="78" xfId="0" applyFont="1" applyFill="1" applyBorder="1" applyAlignment="1">
      <alignment horizontal="center" vertical="top"/>
    </xf>
    <xf numFmtId="0" fontId="8" fillId="52" borderId="36" xfId="0" applyFont="1" applyFill="1" applyBorder="1" applyAlignment="1">
      <alignment horizontal="center" vertical="top"/>
    </xf>
    <xf numFmtId="1" fontId="8" fillId="52" borderId="78" xfId="0" applyNumberFormat="1" applyFont="1" applyFill="1" applyBorder="1" applyAlignment="1">
      <alignment horizontal="center" vertical="top"/>
    </xf>
    <xf numFmtId="1" fontId="8" fillId="52" borderId="31" xfId="0" applyNumberFormat="1" applyFont="1" applyFill="1" applyBorder="1" applyAlignment="1">
      <alignment horizontal="center" vertical="top"/>
    </xf>
    <xf numFmtId="0" fontId="8" fillId="52" borderId="31" xfId="0" applyFont="1" applyFill="1" applyBorder="1" applyAlignment="1">
      <alignment horizontal="center" vertical="top"/>
    </xf>
    <xf numFmtId="0" fontId="8" fillId="52" borderId="36" xfId="0" applyFont="1" applyFill="1" applyBorder="1" applyAlignment="1">
      <alignment vertical="center"/>
    </xf>
    <xf numFmtId="0" fontId="8" fillId="52" borderId="78" xfId="0" applyFont="1" applyFill="1" applyBorder="1" applyAlignment="1">
      <alignment vertical="center"/>
    </xf>
    <xf numFmtId="173" fontId="8" fillId="52" borderId="78" xfId="0" applyNumberFormat="1" applyFont="1" applyFill="1" applyBorder="1" applyAlignment="1">
      <alignment horizontal="center" vertical="center"/>
    </xf>
    <xf numFmtId="0" fontId="73" fillId="52" borderId="36" xfId="0" applyFont="1" applyFill="1" applyBorder="1"/>
    <xf numFmtId="0" fontId="73" fillId="52" borderId="78" xfId="0" applyFont="1" applyFill="1" applyBorder="1"/>
    <xf numFmtId="0" fontId="8" fillId="52" borderId="78" xfId="0" applyFont="1" applyFill="1" applyBorder="1"/>
    <xf numFmtId="0" fontId="8" fillId="52" borderId="78" xfId="0" applyFont="1" applyFill="1" applyBorder="1" applyAlignment="1">
      <alignment horizontal="center"/>
    </xf>
    <xf numFmtId="0" fontId="12" fillId="54" borderId="159" xfId="0" applyFont="1" applyFill="1" applyBorder="1" applyAlignment="1">
      <alignment vertical="center" wrapText="1"/>
    </xf>
    <xf numFmtId="0" fontId="12" fillId="54" borderId="160" xfId="0" applyFont="1" applyFill="1" applyBorder="1" applyAlignment="1">
      <alignment vertical="center" wrapText="1"/>
    </xf>
    <xf numFmtId="49" fontId="12" fillId="54" borderId="2" xfId="0" applyNumberFormat="1" applyFont="1" applyFill="1" applyBorder="1" applyAlignment="1">
      <alignment vertical="center" wrapText="1"/>
    </xf>
    <xf numFmtId="49" fontId="12" fillId="54" borderId="161" xfId="0" applyNumberFormat="1" applyFont="1" applyFill="1" applyBorder="1" applyAlignment="1">
      <alignment vertical="center" wrapText="1"/>
    </xf>
    <xf numFmtId="1" fontId="21" fillId="3" borderId="0" xfId="0" applyNumberFormat="1" applyFont="1" applyFill="1" applyAlignment="1">
      <alignment vertical="center"/>
    </xf>
    <xf numFmtId="0" fontId="21" fillId="54" borderId="25" xfId="0" applyFont="1" applyFill="1" applyBorder="1" applyAlignment="1">
      <alignment vertical="center"/>
    </xf>
    <xf numFmtId="49" fontId="21" fillId="54" borderId="159" xfId="0" applyNumberFormat="1" applyFont="1" applyFill="1" applyBorder="1"/>
    <xf numFmtId="49" fontId="33" fillId="54" borderId="159" xfId="0" applyNumberFormat="1" applyFont="1" applyFill="1" applyBorder="1"/>
    <xf numFmtId="0" fontId="0" fillId="54" borderId="38" xfId="0" applyFill="1" applyBorder="1"/>
    <xf numFmtId="0" fontId="21" fillId="54" borderId="38" xfId="0" applyFont="1" applyFill="1" applyBorder="1" applyAlignment="1">
      <alignment vertical="center"/>
    </xf>
    <xf numFmtId="49" fontId="21" fillId="54" borderId="162" xfId="0" applyNumberFormat="1" applyFont="1" applyFill="1" applyBorder="1"/>
    <xf numFmtId="49" fontId="33" fillId="54" borderId="162" xfId="0" applyNumberFormat="1" applyFont="1" applyFill="1" applyBorder="1"/>
    <xf numFmtId="0" fontId="21" fillId="54" borderId="30" xfId="0" applyFont="1" applyFill="1" applyBorder="1" applyAlignment="1">
      <alignment vertical="center"/>
    </xf>
    <xf numFmtId="0" fontId="0" fillId="0" borderId="0" xfId="0" quotePrefix="1" applyAlignment="1">
      <alignment horizontal="left"/>
    </xf>
    <xf numFmtId="1" fontId="25" fillId="3" borderId="0" xfId="0" applyNumberFormat="1" applyFont="1" applyFill="1" applyAlignment="1">
      <alignment horizontal="center"/>
    </xf>
    <xf numFmtId="0" fontId="36"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3" borderId="74" xfId="0" applyNumberFormat="1" applyFont="1" applyFill="1" applyBorder="1" applyAlignment="1">
      <alignment horizontal="center"/>
    </xf>
    <xf numFmtId="49" fontId="0" fillId="7" borderId="90" xfId="0" applyNumberFormat="1" applyFill="1" applyBorder="1" applyAlignment="1">
      <alignment horizontal="center"/>
    </xf>
    <xf numFmtId="0" fontId="0" fillId="0" borderId="27" xfId="0" applyBorder="1" applyAlignment="1">
      <alignment horizontal="right"/>
    </xf>
    <xf numFmtId="0" fontId="0" fillId="9" borderId="26" xfId="0" applyFill="1" applyBorder="1" applyAlignment="1">
      <alignment horizontal="left"/>
    </xf>
    <xf numFmtId="0" fontId="26" fillId="55" borderId="10" xfId="0" applyFont="1" applyFill="1" applyBorder="1" applyAlignment="1">
      <alignment horizontal="center"/>
    </xf>
    <xf numFmtId="49" fontId="8" fillId="43" borderId="67" xfId="0" applyNumberFormat="1" applyFont="1" applyFill="1" applyBorder="1" applyAlignment="1">
      <alignment horizontal="center"/>
    </xf>
    <xf numFmtId="49" fontId="0" fillId="7" borderId="92" xfId="0" applyNumberFormat="1" applyFill="1" applyBorder="1" applyAlignment="1">
      <alignment horizontal="center"/>
    </xf>
    <xf numFmtId="0" fontId="0" fillId="0" borderId="29" xfId="0" applyBorder="1" applyAlignment="1">
      <alignment horizontal="right"/>
    </xf>
    <xf numFmtId="0" fontId="0" fillId="9" borderId="28" xfId="0" applyFill="1" applyBorder="1" applyAlignment="1">
      <alignment horizontal="left"/>
    </xf>
    <xf numFmtId="0" fontId="0" fillId="9" borderId="28" xfId="0" quotePrefix="1" applyFill="1" applyBorder="1" applyAlignment="1">
      <alignment horizontal="left"/>
    </xf>
    <xf numFmtId="0" fontId="0" fillId="0" borderId="32" xfId="0" applyBorder="1" applyAlignment="1">
      <alignment horizontal="right"/>
    </xf>
    <xf numFmtId="0" fontId="0" fillId="0" borderId="31" xfId="0" applyBorder="1" applyAlignment="1">
      <alignment horizontal="right"/>
    </xf>
    <xf numFmtId="0" fontId="0" fillId="9" borderId="30" xfId="0" quotePrefix="1" applyFill="1" applyBorder="1" applyAlignment="1">
      <alignment horizontal="left"/>
    </xf>
    <xf numFmtId="0" fontId="0" fillId="0" borderId="74" xfId="0" applyBorder="1"/>
    <xf numFmtId="0" fontId="5" fillId="0" borderId="90" xfId="0" applyFont="1" applyBorder="1"/>
    <xf numFmtId="0" fontId="0" fillId="0" borderId="67" xfId="0" applyBorder="1" applyAlignment="1">
      <alignment horizontal="right"/>
    </xf>
    <xf numFmtId="0" fontId="0" fillId="22" borderId="92" xfId="0" quotePrefix="1" applyFill="1" applyBorder="1" applyAlignment="1">
      <alignment horizontal="left"/>
    </xf>
    <xf numFmtId="0" fontId="21" fillId="3" borderId="0" xfId="0" quotePrefix="1" applyFont="1" applyFill="1" applyAlignment="1">
      <alignment horizontal="left"/>
    </xf>
    <xf numFmtId="0" fontId="0" fillId="0" borderId="71" xfId="0" applyBorder="1" applyAlignment="1">
      <alignment horizontal="right"/>
    </xf>
    <xf numFmtId="0" fontId="0" fillId="22" borderId="99" xfId="0" quotePrefix="1" applyFill="1" applyBorder="1" applyAlignment="1">
      <alignment horizontal="left"/>
    </xf>
    <xf numFmtId="49" fontId="8" fillId="43" borderId="71" xfId="0" applyNumberFormat="1" applyFont="1" applyFill="1" applyBorder="1" applyAlignment="1">
      <alignment horizontal="center"/>
    </xf>
    <xf numFmtId="49" fontId="0" fillId="7" borderId="99" xfId="0" applyNumberFormat="1" applyFill="1" applyBorder="1" applyAlignment="1">
      <alignment horizontal="center"/>
    </xf>
    <xf numFmtId="0" fontId="0" fillId="0" borderId="0" xfId="0" quotePrefix="1" applyAlignment="1">
      <alignment horizontal="center"/>
    </xf>
    <xf numFmtId="0" fontId="74" fillId="30" borderId="0" xfId="0" applyFont="1" applyFill="1"/>
    <xf numFmtId="0" fontId="75" fillId="30" borderId="0" xfId="0" applyFont="1" applyFill="1" applyAlignment="1">
      <alignment horizontal="center"/>
    </xf>
    <xf numFmtId="0" fontId="76" fillId="30" borderId="0" xfId="0" quotePrefix="1" applyFont="1" applyFill="1"/>
    <xf numFmtId="0" fontId="21" fillId="30" borderId="0" xfId="0" applyFont="1" applyFill="1"/>
    <xf numFmtId="0" fontId="21" fillId="3" borderId="0" xfId="0" applyFont="1" applyFill="1" applyProtection="1">
      <protection locked="0"/>
    </xf>
    <xf numFmtId="0" fontId="47" fillId="0" borderId="1" xfId="0" applyFont="1" applyBorder="1" applyAlignment="1">
      <alignment horizontal="left"/>
    </xf>
    <xf numFmtId="0" fontId="0" fillId="0" borderId="2" xfId="0" applyBorder="1"/>
    <xf numFmtId="0" fontId="21" fillId="3" borderId="2" xfId="0" applyFont="1" applyFill="1" applyBorder="1"/>
    <xf numFmtId="0" fontId="0" fillId="0" borderId="3" xfId="0" applyBorder="1"/>
    <xf numFmtId="0" fontId="47" fillId="3" borderId="4" xfId="0" applyFont="1" applyFill="1" applyBorder="1"/>
    <xf numFmtId="0" fontId="21" fillId="3" borderId="5" xfId="0" applyFont="1" applyFill="1" applyBorder="1"/>
    <xf numFmtId="0" fontId="47" fillId="0" borderId="6" xfId="0" applyFont="1" applyBorder="1"/>
    <xf numFmtId="0" fontId="21" fillId="3" borderId="7" xfId="0" applyFont="1" applyFill="1" applyBorder="1"/>
    <xf numFmtId="0" fontId="21" fillId="3" borderId="8" xfId="0" applyFont="1" applyFill="1" applyBorder="1"/>
    <xf numFmtId="0" fontId="0" fillId="0" borderId="10" xfId="0" applyBorder="1"/>
    <xf numFmtId="0" fontId="0" fillId="0" borderId="63" xfId="0" applyBorder="1"/>
    <xf numFmtId="0" fontId="0" fillId="0" borderId="0" xfId="0" applyAlignment="1">
      <alignment horizontal="right"/>
    </xf>
    <xf numFmtId="0" fontId="0" fillId="18" borderId="32" xfId="0" applyFill="1" applyBorder="1"/>
    <xf numFmtId="0" fontId="0" fillId="18" borderId="89" xfId="0" applyFill="1" applyBorder="1"/>
    <xf numFmtId="0" fontId="0" fillId="18" borderId="29" xfId="0" applyFill="1" applyBorder="1"/>
    <xf numFmtId="0" fontId="0" fillId="18" borderId="79" xfId="0" applyFill="1" applyBorder="1"/>
    <xf numFmtId="0" fontId="77" fillId="18" borderId="29" xfId="0" applyFont="1" applyFill="1" applyBorder="1" applyAlignment="1">
      <alignment vertical="top"/>
    </xf>
    <xf numFmtId="0" fontId="77" fillId="18" borderId="79" xfId="0" applyFont="1" applyFill="1" applyBorder="1" applyAlignment="1">
      <alignment vertical="top"/>
    </xf>
    <xf numFmtId="0" fontId="70" fillId="18" borderId="70" xfId="0" applyFont="1" applyFill="1" applyBorder="1" applyAlignment="1">
      <alignment vertical="top"/>
    </xf>
    <xf numFmtId="0" fontId="0" fillId="18" borderId="31" xfId="0" applyFill="1" applyBorder="1"/>
    <xf numFmtId="0" fontId="0" fillId="18" borderId="60" xfId="0" applyFill="1" applyBorder="1"/>
    <xf numFmtId="0" fontId="63" fillId="38" borderId="126" xfId="0" applyFont="1" applyFill="1" applyBorder="1"/>
    <xf numFmtId="0" fontId="63" fillId="38" borderId="151" xfId="0" applyFont="1" applyFill="1" applyBorder="1"/>
    <xf numFmtId="0" fontId="0" fillId="18" borderId="75" xfId="0" applyFill="1" applyBorder="1" applyAlignment="1">
      <alignment vertical="center"/>
    </xf>
    <xf numFmtId="0" fontId="0" fillId="18" borderId="90" xfId="0" applyFill="1" applyBorder="1" applyAlignment="1">
      <alignment vertical="center"/>
    </xf>
    <xf numFmtId="0" fontId="0" fillId="18" borderId="70" xfId="0" applyFill="1" applyBorder="1" applyAlignment="1">
      <alignment vertical="center"/>
    </xf>
    <xf numFmtId="0" fontId="0" fillId="18" borderId="92" xfId="0" applyFill="1" applyBorder="1" applyAlignment="1">
      <alignment vertical="center"/>
    </xf>
    <xf numFmtId="0" fontId="0" fillId="18" borderId="70" xfId="0" applyFill="1" applyBorder="1"/>
    <xf numFmtId="0" fontId="0" fillId="18" borderId="92" xfId="0" applyFill="1" applyBorder="1"/>
    <xf numFmtId="0" fontId="0" fillId="18" borderId="73" xfId="0" applyFill="1" applyBorder="1"/>
    <xf numFmtId="0" fontId="0" fillId="18" borderId="99" xfId="0" applyFill="1" applyBorder="1"/>
    <xf numFmtId="0" fontId="63" fillId="38" borderId="165" xfId="0" applyFont="1" applyFill="1" applyBorder="1"/>
    <xf numFmtId="0" fontId="63" fillId="38" borderId="166" xfId="0" applyFont="1" applyFill="1" applyBorder="1"/>
    <xf numFmtId="0" fontId="0" fillId="18" borderId="29" xfId="0" applyFill="1" applyBorder="1" applyAlignment="1">
      <alignment vertical="center"/>
    </xf>
    <xf numFmtId="0" fontId="0" fillId="18" borderId="79" xfId="0" applyFill="1" applyBorder="1" applyAlignment="1">
      <alignment vertical="center"/>
    </xf>
    <xf numFmtId="0" fontId="0" fillId="32" borderId="41" xfId="0" applyFill="1" applyBorder="1"/>
    <xf numFmtId="0" fontId="0" fillId="32" borderId="42" xfId="0" applyFill="1" applyBorder="1"/>
    <xf numFmtId="0" fontId="0" fillId="32" borderId="0" xfId="0" applyFill="1"/>
    <xf numFmtId="0" fontId="0" fillId="32" borderId="5" xfId="0" applyFill="1" applyBorder="1"/>
    <xf numFmtId="0" fontId="0" fillId="32" borderId="32" xfId="0" applyFill="1" applyBorder="1"/>
    <xf numFmtId="0" fontId="0" fillId="32" borderId="89" xfId="0" applyFill="1" applyBorder="1"/>
    <xf numFmtId="0" fontId="0" fillId="32" borderId="29" xfId="0" applyFill="1" applyBorder="1"/>
    <xf numFmtId="0" fontId="0" fillId="32" borderId="79" xfId="0" applyFill="1" applyBorder="1"/>
    <xf numFmtId="0" fontId="0" fillId="32" borderId="86" xfId="0" applyFill="1" applyBorder="1"/>
    <xf numFmtId="0" fontId="0" fillId="32" borderId="87" xfId="0" applyFill="1" applyBorder="1"/>
    <xf numFmtId="0" fontId="0" fillId="32" borderId="157" xfId="0" applyFill="1" applyBorder="1"/>
    <xf numFmtId="0" fontId="0" fillId="32" borderId="169" xfId="0" applyFill="1" applyBorder="1"/>
    <xf numFmtId="0" fontId="0" fillId="32" borderId="31" xfId="0" applyFill="1" applyBorder="1"/>
    <xf numFmtId="0" fontId="0" fillId="32" borderId="60" xfId="0" applyFill="1" applyBorder="1"/>
    <xf numFmtId="0" fontId="0" fillId="33" borderId="172" xfId="0" applyFill="1" applyBorder="1"/>
    <xf numFmtId="0" fontId="0" fillId="33" borderId="173" xfId="0" applyFill="1" applyBorder="1"/>
    <xf numFmtId="0" fontId="0" fillId="33" borderId="32" xfId="0" applyFill="1" applyBorder="1" applyAlignment="1">
      <alignment vertical="center"/>
    </xf>
    <xf numFmtId="0" fontId="0" fillId="33" borderId="89" xfId="0" applyFill="1" applyBorder="1" applyAlignment="1">
      <alignment vertical="center"/>
    </xf>
    <xf numFmtId="0" fontId="0" fillId="33" borderId="29" xfId="0" applyFill="1" applyBorder="1" applyAlignment="1">
      <alignment vertical="center"/>
    </xf>
    <xf numFmtId="0" fontId="0" fillId="33" borderId="79" xfId="0" applyFill="1" applyBorder="1" applyAlignment="1">
      <alignment vertical="center"/>
    </xf>
    <xf numFmtId="0" fontId="0" fillId="33" borderId="0" xfId="0" applyFill="1"/>
    <xf numFmtId="0" fontId="0" fillId="33" borderId="5" xfId="0" applyFill="1" applyBorder="1"/>
    <xf numFmtId="0" fontId="63" fillId="38" borderId="168" xfId="0" applyFont="1" applyFill="1" applyBorder="1"/>
    <xf numFmtId="0" fontId="63" fillId="38" borderId="174" xfId="0" applyFont="1" applyFill="1" applyBorder="1"/>
    <xf numFmtId="0" fontId="70" fillId="33" borderId="32" xfId="0" applyFont="1" applyFill="1" applyBorder="1" applyAlignment="1">
      <alignment vertical="top"/>
    </xf>
    <xf numFmtId="0" fontId="0" fillId="33" borderId="32" xfId="0" applyFill="1" applyBorder="1"/>
    <xf numFmtId="0" fontId="0" fillId="33" borderId="89" xfId="0" applyFill="1" applyBorder="1"/>
    <xf numFmtId="0" fontId="21" fillId="33" borderId="0" xfId="0" applyFont="1" applyFill="1"/>
    <xf numFmtId="0" fontId="21" fillId="33" borderId="5" xfId="0" applyFont="1" applyFill="1" applyBorder="1"/>
    <xf numFmtId="0" fontId="70" fillId="33" borderId="89" xfId="0" applyFont="1" applyFill="1" applyBorder="1" applyAlignment="1">
      <alignment vertical="top"/>
    </xf>
    <xf numFmtId="0" fontId="70" fillId="33" borderId="86" xfId="0" applyFont="1" applyFill="1" applyBorder="1" applyAlignment="1">
      <alignment vertical="top"/>
    </xf>
    <xf numFmtId="0" fontId="70" fillId="33" borderId="87" xfId="0" applyFont="1" applyFill="1" applyBorder="1" applyAlignment="1">
      <alignment vertical="top"/>
    </xf>
    <xf numFmtId="0" fontId="0" fillId="33" borderId="29" xfId="0" applyFill="1" applyBorder="1"/>
    <xf numFmtId="0" fontId="0" fillId="33" borderId="79" xfId="0" applyFill="1" applyBorder="1"/>
    <xf numFmtId="0" fontId="21" fillId="33" borderId="62" xfId="0" applyFont="1" applyFill="1" applyBorder="1"/>
    <xf numFmtId="0" fontId="21" fillId="33" borderId="63" xfId="0" applyFont="1" applyFill="1" applyBorder="1"/>
    <xf numFmtId="0" fontId="70" fillId="18" borderId="0" xfId="0" applyFont="1" applyFill="1" applyAlignment="1">
      <alignment vertical="top"/>
    </xf>
    <xf numFmtId="0" fontId="70" fillId="18" borderId="5" xfId="0" applyFont="1" applyFill="1" applyBorder="1" applyAlignment="1">
      <alignment vertical="top"/>
    </xf>
    <xf numFmtId="0" fontId="70" fillId="18" borderId="62" xfId="0" applyFont="1" applyFill="1" applyBorder="1" applyAlignment="1">
      <alignment vertical="top"/>
    </xf>
    <xf numFmtId="0" fontId="70" fillId="18" borderId="63" xfId="0" applyFont="1" applyFill="1" applyBorder="1" applyAlignment="1">
      <alignment vertical="top"/>
    </xf>
    <xf numFmtId="0" fontId="21" fillId="18" borderId="0" xfId="0" applyFont="1" applyFill="1" applyAlignment="1">
      <alignment vertical="top"/>
    </xf>
    <xf numFmtId="0" fontId="21" fillId="18" borderId="5" xfId="0" applyFont="1" applyFill="1" applyBorder="1" applyAlignment="1">
      <alignment vertical="top"/>
    </xf>
    <xf numFmtId="0" fontId="21" fillId="18" borderId="182" xfId="0" applyFont="1" applyFill="1" applyBorder="1" applyAlignment="1">
      <alignment vertical="top"/>
    </xf>
    <xf numFmtId="0" fontId="21" fillId="18" borderId="183" xfId="0" applyFont="1" applyFill="1" applyBorder="1" applyAlignment="1">
      <alignment vertical="top"/>
    </xf>
    <xf numFmtId="0" fontId="21" fillId="18" borderId="0" xfId="0" applyFont="1" applyFill="1"/>
    <xf numFmtId="0" fontId="21" fillId="18" borderId="5" xfId="0" applyFont="1" applyFill="1" applyBorder="1"/>
    <xf numFmtId="0" fontId="21" fillId="18" borderId="62" xfId="0" applyFont="1" applyFill="1" applyBorder="1" applyAlignment="1">
      <alignment vertical="top"/>
    </xf>
    <xf numFmtId="0" fontId="21" fillId="18" borderId="63" xfId="0" applyFont="1" applyFill="1" applyBorder="1" applyAlignment="1">
      <alignment vertical="top"/>
    </xf>
    <xf numFmtId="0" fontId="21" fillId="18" borderId="7" xfId="0" applyFont="1" applyFill="1" applyBorder="1" applyAlignment="1">
      <alignment vertical="top"/>
    </xf>
    <xf numFmtId="0" fontId="21" fillId="18" borderId="8" xfId="0" applyFont="1" applyFill="1" applyBorder="1" applyAlignment="1">
      <alignment vertical="top"/>
    </xf>
    <xf numFmtId="0" fontId="21" fillId="18" borderId="186" xfId="0" applyFont="1" applyFill="1" applyBorder="1" applyAlignment="1">
      <alignment vertical="top"/>
    </xf>
    <xf numFmtId="0" fontId="21" fillId="18" borderId="187" xfId="0" applyFont="1" applyFill="1" applyBorder="1" applyAlignment="1">
      <alignment vertical="top"/>
    </xf>
    <xf numFmtId="0" fontId="21" fillId="2" borderId="0" xfId="0" applyFont="1" applyFill="1" applyAlignment="1">
      <alignment vertical="top"/>
    </xf>
    <xf numFmtId="0" fontId="21" fillId="2" borderId="5" xfId="0" applyFont="1" applyFill="1" applyBorder="1" applyAlignment="1">
      <alignment vertical="top"/>
    </xf>
    <xf numFmtId="0" fontId="21" fillId="18" borderId="192" xfId="0" applyFont="1" applyFill="1" applyBorder="1" applyAlignment="1">
      <alignment vertical="top"/>
    </xf>
    <xf numFmtId="0" fontId="21" fillId="18" borderId="193" xfId="0" applyFont="1" applyFill="1" applyBorder="1" applyAlignment="1">
      <alignment vertical="top"/>
    </xf>
    <xf numFmtId="0" fontId="21" fillId="18" borderId="107" xfId="0" applyFont="1" applyFill="1" applyBorder="1" applyAlignment="1">
      <alignment vertical="top"/>
    </xf>
    <xf numFmtId="0" fontId="21" fillId="18" borderId="49" xfId="0" applyFont="1" applyFill="1" applyBorder="1" applyAlignment="1">
      <alignment vertical="top"/>
    </xf>
    <xf numFmtId="0" fontId="70" fillId="18" borderId="19" xfId="0" applyFont="1" applyFill="1" applyBorder="1" applyAlignment="1">
      <alignment vertical="top"/>
    </xf>
    <xf numFmtId="0" fontId="70" fillId="18" borderId="96" xfId="0" applyFont="1" applyFill="1" applyBorder="1" applyAlignment="1">
      <alignment vertical="top"/>
    </xf>
    <xf numFmtId="0" fontId="70" fillId="18" borderId="92" xfId="0" applyFont="1" applyFill="1" applyBorder="1" applyAlignment="1">
      <alignment vertical="top"/>
    </xf>
    <xf numFmtId="0" fontId="70" fillId="18" borderId="198" xfId="0" applyFont="1" applyFill="1" applyBorder="1" applyAlignment="1">
      <alignment vertical="top"/>
    </xf>
    <xf numFmtId="0" fontId="70" fillId="18" borderId="199" xfId="0" applyFont="1" applyFill="1" applyBorder="1" applyAlignment="1">
      <alignment vertical="top"/>
    </xf>
    <xf numFmtId="0" fontId="70" fillId="18" borderId="184" xfId="0" applyFont="1" applyFill="1" applyBorder="1" applyAlignment="1">
      <alignment vertical="top"/>
    </xf>
    <xf numFmtId="0" fontId="70" fillId="18" borderId="200" xfId="0" applyFont="1" applyFill="1" applyBorder="1" applyAlignment="1">
      <alignment vertical="top"/>
    </xf>
    <xf numFmtId="0" fontId="63" fillId="56" borderId="168" xfId="0" applyFont="1" applyFill="1" applyBorder="1"/>
    <xf numFmtId="0" fontId="63" fillId="56" borderId="174" xfId="0" applyFont="1" applyFill="1" applyBorder="1"/>
    <xf numFmtId="0" fontId="77" fillId="18" borderId="10" xfId="0" applyFont="1" applyFill="1" applyBorder="1" applyAlignment="1">
      <alignment vertical="top"/>
    </xf>
    <xf numFmtId="0" fontId="77" fillId="18" borderId="11" xfId="0" applyFont="1" applyFill="1" applyBorder="1" applyAlignment="1">
      <alignment vertical="top"/>
    </xf>
    <xf numFmtId="0" fontId="63" fillId="56" borderId="124" xfId="0" applyFont="1" applyFill="1" applyBorder="1"/>
    <xf numFmtId="0" fontId="78" fillId="56" borderId="125" xfId="0" applyFont="1" applyFill="1" applyBorder="1"/>
    <xf numFmtId="0" fontId="79" fillId="57" borderId="203" xfId="0" applyFont="1" applyFill="1" applyBorder="1" applyAlignment="1">
      <alignment vertical="top"/>
    </xf>
    <xf numFmtId="0" fontId="79" fillId="57" borderId="204" xfId="0" applyFont="1" applyFill="1" applyBorder="1" applyAlignment="1">
      <alignment vertical="top"/>
    </xf>
    <xf numFmtId="0" fontId="8" fillId="57" borderId="206" xfId="0" applyFont="1" applyFill="1" applyBorder="1" applyAlignment="1">
      <alignment vertical="top"/>
    </xf>
    <xf numFmtId="0" fontId="8" fillId="57" borderId="207" xfId="0" applyFont="1" applyFill="1" applyBorder="1" applyAlignment="1">
      <alignment vertical="top"/>
    </xf>
    <xf numFmtId="0" fontId="79" fillId="57" borderId="206" xfId="0" applyFont="1" applyFill="1" applyBorder="1" applyAlignment="1">
      <alignment vertical="top"/>
    </xf>
    <xf numFmtId="0" fontId="79" fillId="57" borderId="207" xfId="0" applyFont="1" applyFill="1" applyBorder="1" applyAlignment="1">
      <alignment vertical="top"/>
    </xf>
    <xf numFmtId="0" fontId="79" fillId="57" borderId="209" xfId="0" applyFont="1" applyFill="1" applyBorder="1" applyAlignment="1">
      <alignment vertical="top"/>
    </xf>
    <xf numFmtId="0" fontId="79" fillId="57" borderId="210" xfId="0" applyFont="1" applyFill="1" applyBorder="1" applyAlignment="1">
      <alignment vertical="top"/>
    </xf>
    <xf numFmtId="0" fontId="79" fillId="57" borderId="212" xfId="0" applyFont="1" applyFill="1" applyBorder="1" applyAlignment="1">
      <alignment vertical="top"/>
    </xf>
    <xf numFmtId="0" fontId="79" fillId="57" borderId="213" xfId="0" applyFont="1" applyFill="1" applyBorder="1" applyAlignment="1">
      <alignment vertical="top"/>
    </xf>
    <xf numFmtId="0" fontId="52" fillId="3" borderId="0" xfId="0" applyFont="1" applyFill="1" applyProtection="1">
      <protection hidden="1"/>
    </xf>
    <xf numFmtId="0" fontId="81" fillId="0" borderId="0" xfId="0" applyFont="1"/>
    <xf numFmtId="0" fontId="0" fillId="3" borderId="0" xfId="0" applyFill="1" applyAlignment="1">
      <alignment horizontal="center"/>
    </xf>
    <xf numFmtId="0" fontId="52" fillId="3" borderId="0" xfId="0" applyFont="1" applyFill="1"/>
    <xf numFmtId="0" fontId="45" fillId="0" borderId="0" xfId="0" applyFont="1"/>
    <xf numFmtId="0" fontId="45" fillId="3" borderId="0" xfId="0" applyFont="1" applyFill="1"/>
    <xf numFmtId="0" fontId="92" fillId="3" borderId="0" xfId="0" applyFont="1" applyFill="1"/>
    <xf numFmtId="0" fontId="96" fillId="3" borderId="0" xfId="0" applyFont="1" applyFill="1" applyAlignment="1">
      <alignment horizontal="right" indent="1"/>
    </xf>
    <xf numFmtId="0" fontId="18" fillId="3" borderId="0" xfId="0" applyFont="1" applyFill="1" applyAlignment="1">
      <alignment horizontal="right" indent="1"/>
    </xf>
    <xf numFmtId="0" fontId="52" fillId="0" borderId="217" xfId="0" applyFont="1" applyBorder="1" applyAlignment="1">
      <alignment horizontal="center" vertical="center" wrapText="1"/>
    </xf>
    <xf numFmtId="0" fontId="52" fillId="0" borderId="70" xfId="0" applyFont="1" applyBorder="1" applyAlignment="1">
      <alignment horizontal="center" vertical="center" wrapText="1"/>
    </xf>
    <xf numFmtId="0" fontId="52" fillId="0" borderId="113" xfId="0" applyFont="1" applyBorder="1" applyAlignment="1">
      <alignment horizontal="center" vertical="center" wrapText="1"/>
    </xf>
    <xf numFmtId="0" fontId="97" fillId="3" borderId="0" xfId="0" applyFont="1" applyFill="1" applyAlignment="1">
      <alignment horizontal="right" indent="1"/>
    </xf>
    <xf numFmtId="0" fontId="43" fillId="3" borderId="0" xfId="0" applyFont="1" applyFill="1"/>
    <xf numFmtId="0" fontId="98" fillId="3" borderId="0" xfId="0" applyFont="1" applyFill="1" applyAlignment="1">
      <alignment horizontal="right" indent="1"/>
    </xf>
    <xf numFmtId="0" fontId="98" fillId="3" borderId="0" xfId="0" applyFont="1" applyFill="1" applyAlignment="1">
      <alignment horizontal="right" vertical="center" indent="1"/>
    </xf>
    <xf numFmtId="0" fontId="9" fillId="18" borderId="4" xfId="0" applyFont="1" applyFill="1" applyBorder="1" applyAlignment="1" applyProtection="1">
      <alignment horizontal="left" indent="2"/>
      <protection locked="0"/>
    </xf>
    <xf numFmtId="0" fontId="13" fillId="12" borderId="0" xfId="0" applyFont="1" applyFill="1" applyAlignment="1" applyProtection="1">
      <alignment horizontal="left"/>
      <protection locked="0"/>
    </xf>
    <xf numFmtId="0" fontId="100" fillId="12" borderId="0" xfId="0" applyFont="1" applyFill="1" applyAlignment="1" applyProtection="1">
      <alignment horizontal="left"/>
      <protection locked="0"/>
    </xf>
    <xf numFmtId="0" fontId="100" fillId="18" borderId="0" xfId="0" applyFont="1" applyFill="1" applyAlignment="1" applyProtection="1">
      <alignment horizontal="left"/>
      <protection locked="0"/>
    </xf>
    <xf numFmtId="0" fontId="92" fillId="18" borderId="0" xfId="0" applyFont="1" applyFill="1" applyAlignment="1" applyProtection="1">
      <alignment horizontal="left"/>
      <protection locked="0"/>
    </xf>
    <xf numFmtId="0" fontId="92" fillId="18" borderId="5" xfId="0" applyFont="1" applyFill="1" applyBorder="1" applyAlignment="1" applyProtection="1">
      <alignment horizontal="left"/>
      <protection locked="0"/>
    </xf>
    <xf numFmtId="0" fontId="9" fillId="18" borderId="48" xfId="0" applyFont="1" applyFill="1" applyBorder="1" applyAlignment="1" applyProtection="1">
      <alignment horizontal="left" indent="2"/>
      <protection locked="0"/>
    </xf>
    <xf numFmtId="0" fontId="13" fillId="5" borderId="107" xfId="0" applyFont="1" applyFill="1" applyBorder="1" applyAlignment="1" applyProtection="1">
      <alignment horizontal="left"/>
      <protection locked="0"/>
    </xf>
    <xf numFmtId="0" fontId="100" fillId="18" borderId="107" xfId="0" applyFont="1" applyFill="1" applyBorder="1" applyAlignment="1" applyProtection="1">
      <alignment horizontal="left"/>
      <protection locked="0"/>
    </xf>
    <xf numFmtId="0" fontId="101" fillId="18" borderId="107" xfId="0" applyFont="1" applyFill="1" applyBorder="1" applyAlignment="1" applyProtection="1">
      <alignment horizontal="left" vertical="top"/>
      <protection locked="0"/>
    </xf>
    <xf numFmtId="0" fontId="92" fillId="18" borderId="107" xfId="0" applyFont="1" applyFill="1" applyBorder="1" applyAlignment="1" applyProtection="1">
      <alignment horizontal="left"/>
      <protection locked="0"/>
    </xf>
    <xf numFmtId="0" fontId="92" fillId="18"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1" fillId="18" borderId="0" xfId="0" applyFont="1" applyFill="1" applyAlignment="1" applyProtection="1">
      <alignment horizontal="left" vertical="top"/>
      <protection locked="0"/>
    </xf>
    <xf numFmtId="0" fontId="102" fillId="18" borderId="0" xfId="0" applyFont="1" applyFill="1" applyAlignment="1" applyProtection="1">
      <alignment horizontal="left" wrapText="1"/>
      <protection locked="0"/>
    </xf>
    <xf numFmtId="0" fontId="102" fillId="18" borderId="5" xfId="0" applyFont="1" applyFill="1" applyBorder="1" applyAlignment="1" applyProtection="1">
      <alignment horizontal="left" wrapText="1"/>
      <protection locked="0"/>
    </xf>
    <xf numFmtId="0" fontId="9" fillId="18" borderId="4" xfId="0" applyFont="1" applyFill="1" applyBorder="1" applyAlignment="1" applyProtection="1">
      <alignment horizontal="left" vertical="center" indent="2"/>
      <protection locked="0"/>
    </xf>
    <xf numFmtId="0" fontId="100" fillId="18" borderId="0" xfId="0" applyFont="1" applyFill="1" applyAlignment="1" applyProtection="1">
      <alignment horizontal="left" vertical="center"/>
      <protection locked="0"/>
    </xf>
    <xf numFmtId="0" fontId="9" fillId="18"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03" fillId="18" borderId="7" xfId="0" applyFont="1" applyFill="1" applyBorder="1" applyAlignment="1" applyProtection="1">
      <alignment horizontal="left"/>
      <protection locked="0"/>
    </xf>
    <xf numFmtId="0" fontId="101" fillId="18" borderId="7" xfId="0" applyFont="1" applyFill="1" applyBorder="1" applyAlignment="1" applyProtection="1">
      <alignment horizontal="left" vertical="top"/>
      <protection locked="0"/>
    </xf>
    <xf numFmtId="0" fontId="100" fillId="18" borderId="7" xfId="0" applyFont="1" applyFill="1" applyBorder="1" applyAlignment="1" applyProtection="1">
      <alignment horizontal="left" vertical="top"/>
      <protection locked="0"/>
    </xf>
    <xf numFmtId="0" fontId="100" fillId="18" borderId="8" xfId="0" applyFont="1" applyFill="1" applyBorder="1" applyAlignment="1" applyProtection="1">
      <alignment horizontal="left" vertical="top"/>
      <protection locked="0"/>
    </xf>
    <xf numFmtId="0" fontId="9" fillId="18" borderId="110" xfId="0" applyFont="1" applyFill="1" applyBorder="1" applyAlignment="1">
      <alignment horizontal="left" indent="2"/>
    </xf>
    <xf numFmtId="0" fontId="9" fillId="4" borderId="152" xfId="0" applyFont="1" applyFill="1" applyBorder="1" applyAlignment="1" applyProtection="1">
      <alignment horizontal="center"/>
      <protection locked="0"/>
    </xf>
    <xf numFmtId="0" fontId="92" fillId="18" borderId="152" xfId="0" applyFont="1" applyFill="1" applyBorder="1"/>
    <xf numFmtId="0" fontId="92" fillId="18" borderId="111" xfId="0" applyFont="1" applyFill="1" applyBorder="1"/>
    <xf numFmtId="0" fontId="9" fillId="18" borderId="18" xfId="0" applyFont="1" applyFill="1" applyBorder="1" applyAlignment="1">
      <alignment horizontal="left" vertical="top" indent="2"/>
    </xf>
    <xf numFmtId="0" fontId="9" fillId="18" borderId="19" xfId="0" applyFont="1" applyFill="1" applyBorder="1" applyAlignment="1">
      <alignment horizontal="center" vertical="top"/>
    </xf>
    <xf numFmtId="0" fontId="100" fillId="18" borderId="19" xfId="0" quotePrefix="1" applyFont="1" applyFill="1" applyBorder="1" applyAlignment="1">
      <alignment vertical="top"/>
    </xf>
    <xf numFmtId="0" fontId="100" fillId="18" borderId="20" xfId="0" quotePrefix="1" applyFont="1" applyFill="1" applyBorder="1" applyAlignment="1">
      <alignment vertical="top"/>
    </xf>
    <xf numFmtId="0" fontId="100" fillId="18" borderId="32" xfId="0" applyFont="1" applyFill="1" applyBorder="1" applyAlignment="1">
      <alignment vertical="top"/>
    </xf>
    <xf numFmtId="0" fontId="9" fillId="18" borderId="69" xfId="0" applyFont="1" applyFill="1" applyBorder="1" applyAlignment="1">
      <alignment horizontal="left" vertical="top" indent="2"/>
    </xf>
    <xf numFmtId="0" fontId="13" fillId="18" borderId="70" xfId="0" applyFont="1" applyFill="1" applyBorder="1" applyAlignment="1">
      <alignment horizontal="center" vertical="top"/>
    </xf>
    <xf numFmtId="0" fontId="100" fillId="18" borderId="70" xfId="0" quotePrefix="1" applyFont="1" applyFill="1" applyBorder="1" applyAlignment="1">
      <alignment vertical="top"/>
    </xf>
    <xf numFmtId="0" fontId="100" fillId="18" borderId="76" xfId="0" quotePrefix="1" applyFont="1" applyFill="1" applyBorder="1" applyAlignment="1">
      <alignment vertical="top"/>
    </xf>
    <xf numFmtId="0" fontId="100" fillId="18" borderId="29" xfId="0" applyFont="1" applyFill="1" applyBorder="1" applyAlignment="1">
      <alignment vertical="top"/>
    </xf>
    <xf numFmtId="0" fontId="9" fillId="18" borderId="70" xfId="0" applyFont="1" applyFill="1" applyBorder="1" applyAlignment="1">
      <alignment horizontal="center" vertical="top"/>
    </xf>
    <xf numFmtId="0" fontId="9" fillId="18" borderId="70" xfId="0" quotePrefix="1" applyFont="1" applyFill="1" applyBorder="1" applyAlignment="1">
      <alignment horizontal="center" vertical="center"/>
    </xf>
    <xf numFmtId="0" fontId="20" fillId="18" borderId="76" xfId="0" quotePrefix="1" applyFont="1" applyFill="1" applyBorder="1" applyAlignment="1">
      <alignment horizontal="left" vertical="top" indent="4"/>
    </xf>
    <xf numFmtId="0" fontId="104" fillId="18" borderId="29" xfId="0" applyFont="1" applyFill="1" applyBorder="1" applyAlignment="1">
      <alignment vertical="top"/>
    </xf>
    <xf numFmtId="0" fontId="100" fillId="18" borderId="70" xfId="0" applyFont="1" applyFill="1" applyBorder="1" applyAlignment="1">
      <alignment vertical="top"/>
    </xf>
    <xf numFmtId="0" fontId="105" fillId="18" borderId="76" xfId="0" applyFont="1" applyFill="1" applyBorder="1" applyAlignment="1">
      <alignment horizontal="left" vertical="top" indent="3"/>
    </xf>
    <xf numFmtId="0" fontId="9" fillId="18" borderId="72" xfId="0" applyFont="1" applyFill="1" applyBorder="1" applyAlignment="1">
      <alignment horizontal="left" vertical="top" indent="2"/>
    </xf>
    <xf numFmtId="0" fontId="9" fillId="18" borderId="73" xfId="0" applyFont="1" applyFill="1" applyBorder="1" applyAlignment="1">
      <alignment horizontal="center" vertical="top"/>
    </xf>
    <xf numFmtId="0" fontId="100" fillId="18" borderId="73" xfId="0" quotePrefix="1" applyFont="1" applyFill="1" applyBorder="1" applyAlignment="1">
      <alignment vertical="top"/>
    </xf>
    <xf numFmtId="0" fontId="100" fillId="18" borderId="78" xfId="0" quotePrefix="1" applyFont="1" applyFill="1" applyBorder="1" applyAlignment="1">
      <alignment vertical="top"/>
    </xf>
    <xf numFmtId="0" fontId="100" fillId="18" borderId="31" xfId="0" applyFont="1" applyFill="1" applyBorder="1" applyAlignment="1">
      <alignment vertical="top"/>
    </xf>
    <xf numFmtId="0" fontId="106" fillId="38" borderId="163" xfId="0" applyFont="1" applyFill="1" applyBorder="1"/>
    <xf numFmtId="0" fontId="107" fillId="38" borderId="124" xfId="0" applyFont="1" applyFill="1" applyBorder="1"/>
    <xf numFmtId="0" fontId="107" fillId="38" borderId="126" xfId="0" applyFont="1" applyFill="1" applyBorder="1"/>
    <xf numFmtId="0" fontId="108" fillId="38" borderId="126" xfId="0" applyFont="1" applyFill="1" applyBorder="1"/>
    <xf numFmtId="0" fontId="9" fillId="18" borderId="66" xfId="0" applyFont="1" applyFill="1" applyBorder="1" applyAlignment="1" applyProtection="1">
      <alignment horizontal="left" vertical="center"/>
      <protection locked="0"/>
    </xf>
    <xf numFmtId="0" fontId="9" fillId="18" borderId="19" xfId="0" quotePrefix="1" applyFont="1" applyFill="1" applyBorder="1" applyAlignment="1">
      <alignment horizontal="center" vertical="center"/>
    </xf>
    <xf numFmtId="0" fontId="45" fillId="18" borderId="19" xfId="0" applyFont="1" applyFill="1" applyBorder="1" applyAlignment="1">
      <alignment vertical="center"/>
    </xf>
    <xf numFmtId="0" fontId="45" fillId="18" borderId="75" xfId="0" applyFont="1" applyFill="1" applyBorder="1" applyAlignment="1">
      <alignment vertical="center"/>
    </xf>
    <xf numFmtId="0" fontId="9" fillId="18" borderId="67" xfId="0" applyFont="1" applyFill="1" applyBorder="1" applyAlignment="1">
      <alignment horizontal="left" vertical="center"/>
    </xf>
    <xf numFmtId="0" fontId="100" fillId="18" borderId="70" xfId="0" applyFont="1" applyFill="1" applyBorder="1" applyAlignment="1">
      <alignment vertical="center"/>
    </xf>
    <xf numFmtId="0" fontId="100" fillId="18" borderId="70" xfId="0" quotePrefix="1" applyFont="1" applyFill="1" applyBorder="1" applyAlignment="1">
      <alignment vertical="center"/>
    </xf>
    <xf numFmtId="0" fontId="9" fillId="18" borderId="67" xfId="0" applyFont="1" applyFill="1" applyBorder="1" applyAlignment="1">
      <alignment horizontal="left" vertical="top" indent="1"/>
    </xf>
    <xf numFmtId="0" fontId="9" fillId="18" borderId="70" xfId="0" quotePrefix="1" applyFont="1" applyFill="1" applyBorder="1" applyAlignment="1">
      <alignment horizontal="center" vertical="top"/>
    </xf>
    <xf numFmtId="0" fontId="9" fillId="18" borderId="71" xfId="0" applyFont="1" applyFill="1" applyBorder="1" applyAlignment="1">
      <alignment horizontal="left" vertical="top" indent="1"/>
    </xf>
    <xf numFmtId="0" fontId="9" fillId="18" borderId="73" xfId="0" quotePrefix="1" applyFont="1" applyFill="1" applyBorder="1" applyAlignment="1">
      <alignment horizontal="center" vertical="top"/>
    </xf>
    <xf numFmtId="0" fontId="100" fillId="18" borderId="73" xfId="0" applyFont="1" applyFill="1" applyBorder="1" applyAlignment="1">
      <alignment vertical="top"/>
    </xf>
    <xf numFmtId="0" fontId="106" fillId="38" borderId="164" xfId="0" applyFont="1" applyFill="1" applyBorder="1"/>
    <xf numFmtId="0" fontId="107" fillId="38" borderId="165" xfId="0" applyFont="1" applyFill="1" applyBorder="1"/>
    <xf numFmtId="0" fontId="108" fillId="38" borderId="165" xfId="0" applyFont="1" applyFill="1" applyBorder="1"/>
    <xf numFmtId="0" fontId="9" fillId="18" borderId="67" xfId="0" applyFont="1" applyFill="1" applyBorder="1" applyAlignment="1">
      <alignment horizontal="left" vertical="center" indent="2"/>
    </xf>
    <xf numFmtId="0" fontId="9" fillId="18" borderId="70" xfId="0" applyFont="1" applyFill="1" applyBorder="1" applyAlignment="1">
      <alignment horizontal="center" vertical="center"/>
    </xf>
    <xf numFmtId="0" fontId="100" fillId="18" borderId="76" xfId="0" quotePrefix="1" applyFont="1" applyFill="1" applyBorder="1" applyAlignment="1">
      <alignment vertical="center"/>
    </xf>
    <xf numFmtId="0" fontId="100" fillId="18" borderId="29" xfId="0" applyFont="1" applyFill="1" applyBorder="1" applyAlignment="1">
      <alignment vertical="center"/>
    </xf>
    <xf numFmtId="0" fontId="106" fillId="38" borderId="167" xfId="0" applyFont="1" applyFill="1" applyBorder="1"/>
    <xf numFmtId="0" fontId="107" fillId="38" borderId="168" xfId="0" applyFont="1" applyFill="1" applyBorder="1"/>
    <xf numFmtId="0" fontId="45" fillId="32" borderId="1" xfId="0" applyFont="1" applyFill="1" applyBorder="1" applyAlignment="1">
      <alignment horizontal="left" indent="1"/>
    </xf>
    <xf numFmtId="0" fontId="109" fillId="9" borderId="1" xfId="0" applyFont="1" applyFill="1" applyBorder="1" applyAlignment="1">
      <alignment horizontal="center"/>
    </xf>
    <xf numFmtId="0" fontId="45" fillId="32" borderId="40" xfId="0" applyFont="1" applyFill="1" applyBorder="1" applyAlignment="1">
      <alignment horizontal="left"/>
    </xf>
    <xf numFmtId="0" fontId="45" fillId="32" borderId="41" xfId="0" applyFont="1" applyFill="1" applyBorder="1"/>
    <xf numFmtId="0" fontId="45" fillId="32" borderId="4" xfId="0" applyFont="1" applyFill="1" applyBorder="1" applyAlignment="1">
      <alignment horizontal="left" indent="1"/>
    </xf>
    <xf numFmtId="0" fontId="109" fillId="9" borderId="4" xfId="0" applyFont="1" applyFill="1" applyBorder="1" applyAlignment="1">
      <alignment horizontal="center"/>
    </xf>
    <xf numFmtId="0" fontId="45" fillId="32" borderId="4" xfId="0" applyFont="1" applyFill="1" applyBorder="1" applyAlignment="1">
      <alignment horizontal="left"/>
    </xf>
    <xf numFmtId="0" fontId="45" fillId="32" borderId="0" xfId="0" applyFont="1" applyFill="1"/>
    <xf numFmtId="0" fontId="45" fillId="32" borderId="84" xfId="0" applyFont="1" applyFill="1" applyBorder="1" applyAlignment="1">
      <alignment horizontal="left" indent="1"/>
    </xf>
    <xf numFmtId="0" fontId="45" fillId="9" borderId="84" xfId="0" quotePrefix="1" applyFont="1" applyFill="1" applyBorder="1" applyAlignment="1">
      <alignment horizontal="center"/>
    </xf>
    <xf numFmtId="0" fontId="45" fillId="32" borderId="33" xfId="0" applyFont="1" applyFill="1" applyBorder="1" applyAlignment="1">
      <alignment horizontal="left"/>
    </xf>
    <xf numFmtId="0" fontId="45" fillId="32" borderId="32" xfId="0" applyFont="1" applyFill="1" applyBorder="1"/>
    <xf numFmtId="0" fontId="45" fillId="32" borderId="34" xfId="0" applyFont="1" applyFill="1" applyBorder="1" applyAlignment="1">
      <alignment horizontal="left" indent="1"/>
    </xf>
    <xf numFmtId="0" fontId="45" fillId="9" borderId="34" xfId="0" applyFont="1" applyFill="1" applyBorder="1" applyAlignment="1">
      <alignment horizontal="center"/>
    </xf>
    <xf numFmtId="0" fontId="45" fillId="32" borderId="34" xfId="0" applyFont="1" applyFill="1" applyBorder="1" applyAlignment="1">
      <alignment horizontal="left"/>
    </xf>
    <xf numFmtId="0" fontId="45" fillId="32" borderId="29" xfId="0" applyFont="1" applyFill="1" applyBorder="1"/>
    <xf numFmtId="0" fontId="45" fillId="32" borderId="117" xfId="0" applyFont="1" applyFill="1" applyBorder="1" applyAlignment="1">
      <alignment horizontal="left" indent="1"/>
    </xf>
    <xf numFmtId="0" fontId="45" fillId="9" borderId="117" xfId="0" applyFont="1" applyFill="1" applyBorder="1" applyAlignment="1">
      <alignment horizontal="center"/>
    </xf>
    <xf numFmtId="0" fontId="45" fillId="32" borderId="85" xfId="0" applyFont="1" applyFill="1" applyBorder="1" applyAlignment="1">
      <alignment horizontal="left"/>
    </xf>
    <xf numFmtId="0" fontId="45" fillId="32" borderId="86" xfId="0" applyFont="1" applyFill="1" applyBorder="1"/>
    <xf numFmtId="0" fontId="45" fillId="9" borderId="84" xfId="0" applyFont="1" applyFill="1" applyBorder="1" applyAlignment="1">
      <alignment horizontal="center"/>
    </xf>
    <xf numFmtId="0" fontId="45" fillId="32" borderId="85" xfId="0" applyFont="1" applyFill="1" applyBorder="1" applyAlignment="1">
      <alignment horizontal="left" indent="1"/>
    </xf>
    <xf numFmtId="0" fontId="45" fillId="9" borderId="85" xfId="0" applyFont="1" applyFill="1" applyBorder="1" applyAlignment="1">
      <alignment horizontal="center"/>
    </xf>
    <xf numFmtId="0" fontId="109" fillId="9" borderId="85" xfId="0" applyFont="1" applyFill="1" applyBorder="1" applyAlignment="1">
      <alignment horizontal="center"/>
    </xf>
    <xf numFmtId="0" fontId="45" fillId="9" borderId="4" xfId="0" applyFont="1" applyFill="1" applyBorder="1" applyAlignment="1">
      <alignment horizontal="center"/>
    </xf>
    <xf numFmtId="0" fontId="45" fillId="32" borderId="44" xfId="0" applyFont="1" applyFill="1" applyBorder="1" applyAlignment="1">
      <alignment horizontal="left"/>
    </xf>
    <xf numFmtId="0" fontId="45" fillId="32" borderId="45" xfId="0" applyFont="1" applyFill="1" applyBorder="1"/>
    <xf numFmtId="0" fontId="45" fillId="32" borderId="157" xfId="0" applyFont="1" applyFill="1" applyBorder="1"/>
    <xf numFmtId="0" fontId="45" fillId="32" borderId="50" xfId="0" applyFont="1" applyFill="1" applyBorder="1" applyAlignment="1">
      <alignment horizontal="left" indent="1"/>
    </xf>
    <xf numFmtId="0" fontId="45" fillId="9" borderId="50" xfId="0" applyFont="1" applyFill="1" applyBorder="1" applyAlignment="1">
      <alignment horizontal="center"/>
    </xf>
    <xf numFmtId="0" fontId="45" fillId="32" borderId="33" xfId="0" applyFont="1" applyFill="1" applyBorder="1" applyAlignment="1">
      <alignment horizontal="left" indent="1"/>
    </xf>
    <xf numFmtId="0" fontId="45" fillId="9" borderId="33" xfId="0" applyFont="1" applyFill="1" applyBorder="1" applyAlignment="1">
      <alignment horizontal="center"/>
    </xf>
    <xf numFmtId="0" fontId="45" fillId="32" borderId="29" xfId="0" quotePrefix="1" applyFont="1" applyFill="1" applyBorder="1"/>
    <xf numFmtId="0" fontId="45" fillId="32" borderId="36" xfId="0" applyFont="1" applyFill="1" applyBorder="1" applyAlignment="1">
      <alignment horizontal="left" indent="1"/>
    </xf>
    <xf numFmtId="0" fontId="45" fillId="9" borderId="36" xfId="0" applyFont="1" applyFill="1" applyBorder="1" applyAlignment="1">
      <alignment horizontal="center"/>
    </xf>
    <xf numFmtId="0" fontId="45" fillId="32" borderId="36" xfId="0" applyFont="1" applyFill="1" applyBorder="1" applyAlignment="1">
      <alignment horizontal="left"/>
    </xf>
    <xf numFmtId="0" fontId="45" fillId="32" borderId="31" xfId="0" applyFont="1" applyFill="1" applyBorder="1"/>
    <xf numFmtId="0" fontId="13" fillId="33" borderId="66" xfId="0" applyFont="1" applyFill="1" applyBorder="1" applyAlignment="1">
      <alignment horizontal="left"/>
    </xf>
    <xf numFmtId="0" fontId="20" fillId="33" borderId="70" xfId="0" quotePrefix="1" applyFont="1" applyFill="1" applyBorder="1" applyAlignment="1">
      <alignment horizontal="center" vertical="center"/>
    </xf>
    <xf numFmtId="0" fontId="100" fillId="33" borderId="170" xfId="0" quotePrefix="1" applyFont="1" applyFill="1" applyBorder="1" applyAlignment="1">
      <alignment vertical="top"/>
    </xf>
    <xf numFmtId="0" fontId="100" fillId="33" borderId="171" xfId="0" quotePrefix="1" applyFont="1" applyFill="1" applyBorder="1" applyAlignment="1">
      <alignment vertical="top"/>
    </xf>
    <xf numFmtId="0" fontId="100" fillId="33" borderId="172" xfId="0" applyFont="1" applyFill="1" applyBorder="1" applyAlignment="1">
      <alignment vertical="top"/>
    </xf>
    <xf numFmtId="0" fontId="9" fillId="33" borderId="66" xfId="0" applyFont="1" applyFill="1" applyBorder="1" applyAlignment="1">
      <alignment horizontal="left" vertical="top" indent="4"/>
    </xf>
    <xf numFmtId="0" fontId="9" fillId="33" borderId="70" xfId="0" applyFont="1" applyFill="1" applyBorder="1" applyAlignment="1">
      <alignment horizontal="center" vertical="top"/>
    </xf>
    <xf numFmtId="0" fontId="100" fillId="33" borderId="19" xfId="0" quotePrefix="1" applyFont="1" applyFill="1" applyBorder="1" applyAlignment="1">
      <alignment vertical="center"/>
    </xf>
    <xf numFmtId="0" fontId="105" fillId="33" borderId="20" xfId="0" applyFont="1" applyFill="1" applyBorder="1" applyAlignment="1">
      <alignment horizontal="left" vertical="center"/>
    </xf>
    <xf numFmtId="0" fontId="100" fillId="33" borderId="32" xfId="0" applyFont="1" applyFill="1" applyBorder="1" applyAlignment="1">
      <alignment vertical="center"/>
    </xf>
    <xf numFmtId="0" fontId="9" fillId="33" borderId="32" xfId="0" applyFont="1" applyFill="1" applyBorder="1" applyAlignment="1">
      <alignment horizontal="center" vertical="center" wrapText="1"/>
    </xf>
    <xf numFmtId="0" fontId="105" fillId="33" borderId="76" xfId="0" applyFont="1" applyFill="1" applyBorder="1" applyAlignment="1">
      <alignment horizontal="left" vertical="center"/>
    </xf>
    <xf numFmtId="0" fontId="100" fillId="33" borderId="29" xfId="0" applyFont="1" applyFill="1" applyBorder="1" applyAlignment="1">
      <alignment vertical="center"/>
    </xf>
    <xf numFmtId="0" fontId="9" fillId="33" borderId="102" xfId="0" applyFont="1" applyFill="1" applyBorder="1" applyAlignment="1">
      <alignment horizontal="left" vertical="top" indent="4"/>
    </xf>
    <xf numFmtId="0" fontId="9" fillId="33" borderId="19" xfId="0" applyFont="1" applyFill="1" applyBorder="1" applyAlignment="1">
      <alignment horizontal="center" vertical="top"/>
    </xf>
    <xf numFmtId="0" fontId="100" fillId="33" borderId="0" xfId="0" quotePrefix="1" applyFont="1" applyFill="1" applyAlignment="1">
      <alignment vertical="top"/>
    </xf>
    <xf numFmtId="0" fontId="100" fillId="33" borderId="0" xfId="0" applyFont="1" applyFill="1" applyAlignment="1">
      <alignment vertical="top"/>
    </xf>
    <xf numFmtId="0" fontId="108" fillId="38" borderId="168" xfId="0" applyFont="1" applyFill="1" applyBorder="1"/>
    <xf numFmtId="0" fontId="13" fillId="33" borderId="66" xfId="0" applyFont="1" applyFill="1" applyBorder="1" applyAlignment="1">
      <alignment horizontal="left" vertical="top"/>
    </xf>
    <xf numFmtId="0" fontId="9" fillId="33" borderId="0" xfId="0" applyFont="1" applyFill="1" applyAlignment="1">
      <alignment horizontal="center"/>
    </xf>
    <xf numFmtId="0" fontId="100" fillId="33" borderId="19" xfId="0" quotePrefix="1" applyFont="1" applyFill="1" applyBorder="1" applyAlignment="1">
      <alignment vertical="top"/>
    </xf>
    <xf numFmtId="0" fontId="100" fillId="33" borderId="20" xfId="0" quotePrefix="1" applyFont="1" applyFill="1" applyBorder="1" applyAlignment="1">
      <alignment vertical="top"/>
    </xf>
    <xf numFmtId="0" fontId="100" fillId="33" borderId="32" xfId="0" applyFont="1" applyFill="1" applyBorder="1" applyAlignment="1">
      <alignment vertical="top"/>
    </xf>
    <xf numFmtId="0" fontId="102" fillId="33" borderId="19" xfId="0" quotePrefix="1" applyFont="1" applyFill="1" applyBorder="1" applyAlignment="1">
      <alignment horizontal="center"/>
    </xf>
    <xf numFmtId="0" fontId="100" fillId="33" borderId="175" xfId="0" quotePrefix="1" applyFont="1" applyFill="1" applyBorder="1" applyAlignment="1">
      <alignment vertical="top"/>
    </xf>
    <xf numFmtId="0" fontId="92" fillId="33" borderId="0" xfId="0" applyFont="1" applyFill="1"/>
    <xf numFmtId="0" fontId="100" fillId="33" borderId="19" xfId="0" quotePrefix="1" applyFont="1" applyFill="1" applyBorder="1" applyAlignment="1">
      <alignment horizontal="left" vertical="top"/>
    </xf>
    <xf numFmtId="0" fontId="100" fillId="33" borderId="20" xfId="0" quotePrefix="1" applyFont="1" applyFill="1" applyBorder="1" applyAlignment="1">
      <alignment horizontal="left" vertical="top"/>
    </xf>
    <xf numFmtId="0" fontId="9" fillId="33" borderId="93" xfId="0" applyFont="1" applyFill="1" applyBorder="1" applyAlignment="1">
      <alignment horizontal="left" vertical="top" indent="4"/>
    </xf>
    <xf numFmtId="0" fontId="13" fillId="33" borderId="113" xfId="0" applyFont="1" applyFill="1" applyBorder="1" applyAlignment="1">
      <alignment horizontal="center" vertical="top"/>
    </xf>
    <xf numFmtId="0" fontId="100" fillId="33" borderId="113" xfId="0" quotePrefix="1" applyFont="1" applyFill="1" applyBorder="1" applyAlignment="1">
      <alignment vertical="top"/>
    </xf>
    <xf numFmtId="0" fontId="100" fillId="33" borderId="114" xfId="0" quotePrefix="1" applyFont="1" applyFill="1" applyBorder="1" applyAlignment="1">
      <alignment vertical="top"/>
    </xf>
    <xf numFmtId="0" fontId="100" fillId="33" borderId="86" xfId="0" applyFont="1" applyFill="1" applyBorder="1" applyAlignment="1">
      <alignment vertical="top"/>
    </xf>
    <xf numFmtId="0" fontId="13" fillId="33" borderId="176" xfId="0" applyFont="1" applyFill="1" applyBorder="1" applyAlignment="1">
      <alignment horizontal="left" vertical="top"/>
    </xf>
    <xf numFmtId="0" fontId="100" fillId="33" borderId="19" xfId="0" quotePrefix="1" applyFont="1" applyFill="1" applyBorder="1" applyAlignment="1">
      <alignment horizontal="center" vertical="top"/>
    </xf>
    <xf numFmtId="0" fontId="100" fillId="33" borderId="70" xfId="0" quotePrefix="1" applyFont="1" applyFill="1" applyBorder="1" applyAlignment="1">
      <alignment horizontal="center" vertical="top"/>
    </xf>
    <xf numFmtId="0" fontId="100" fillId="33" borderId="70" xfId="0" quotePrefix="1" applyFont="1" applyFill="1" applyBorder="1" applyAlignment="1">
      <alignment vertical="top"/>
    </xf>
    <xf numFmtId="0" fontId="100" fillId="33" borderId="76" xfId="0" quotePrefix="1" applyFont="1" applyFill="1" applyBorder="1" applyAlignment="1">
      <alignment vertical="top"/>
    </xf>
    <xf numFmtId="0" fontId="100" fillId="33" borderId="29" xfId="0" applyFont="1" applyFill="1" applyBorder="1" applyAlignment="1">
      <alignment vertical="top"/>
    </xf>
    <xf numFmtId="0" fontId="9" fillId="33" borderId="4" xfId="0" applyFont="1" applyFill="1" applyBorder="1" applyAlignment="1">
      <alignment horizontal="left" vertical="top" indent="4"/>
    </xf>
    <xf numFmtId="0" fontId="9" fillId="33" borderId="76" xfId="0" quotePrefix="1" applyFont="1" applyFill="1" applyBorder="1" applyAlignment="1">
      <alignment horizontal="center" vertical="top"/>
    </xf>
    <xf numFmtId="0" fontId="92" fillId="33" borderId="50" xfId="0" applyFont="1" applyFill="1" applyBorder="1" applyAlignment="1">
      <alignment horizontal="left" indent="4"/>
    </xf>
    <xf numFmtId="0" fontId="9" fillId="33" borderId="177" xfId="0" quotePrefix="1" applyFont="1" applyFill="1" applyBorder="1" applyAlignment="1">
      <alignment horizontal="center" vertical="top"/>
    </xf>
    <xf numFmtId="0" fontId="92" fillId="33" borderId="62" xfId="0" applyFont="1" applyFill="1" applyBorder="1"/>
    <xf numFmtId="0" fontId="9" fillId="33" borderId="19" xfId="0" quotePrefix="1" applyFont="1" applyFill="1" applyBorder="1" applyAlignment="1">
      <alignment horizontal="center" vertical="top"/>
    </xf>
    <xf numFmtId="0" fontId="9" fillId="33" borderId="113" xfId="0" applyFont="1" applyFill="1" applyBorder="1" applyAlignment="1">
      <alignment horizontal="center" vertical="top"/>
    </xf>
    <xf numFmtId="0" fontId="100" fillId="33" borderId="113" xfId="0" quotePrefix="1" applyFont="1" applyFill="1" applyBorder="1" applyAlignment="1">
      <alignment horizontal="left" vertical="top"/>
    </xf>
    <xf numFmtId="0" fontId="100" fillId="33" borderId="114" xfId="0" quotePrefix="1" applyFont="1" applyFill="1" applyBorder="1" applyAlignment="1">
      <alignment horizontal="left" vertical="top"/>
    </xf>
    <xf numFmtId="0" fontId="9" fillId="18" borderId="67" xfId="0" applyFont="1" applyFill="1" applyBorder="1" applyAlignment="1">
      <alignment vertical="center"/>
    </xf>
    <xf numFmtId="0" fontId="110" fillId="18" borderId="176" xfId="0" applyFont="1" applyFill="1" applyBorder="1" applyAlignment="1">
      <alignment horizontal="left" vertical="top" indent="1"/>
    </xf>
    <xf numFmtId="0" fontId="9" fillId="18" borderId="0" xfId="0" applyFont="1" applyFill="1" applyAlignment="1">
      <alignment horizontal="center" vertical="top" wrapText="1"/>
    </xf>
    <xf numFmtId="0" fontId="100" fillId="18" borderId="170" xfId="0" quotePrefix="1" applyFont="1" applyFill="1" applyBorder="1" applyAlignment="1">
      <alignment horizontal="left" vertical="top" indent="1"/>
    </xf>
    <xf numFmtId="0" fontId="100" fillId="18" borderId="0" xfId="0" applyFont="1" applyFill="1" applyAlignment="1">
      <alignment vertical="top"/>
    </xf>
    <xf numFmtId="0" fontId="100" fillId="18" borderId="170" xfId="0" quotePrefix="1" applyFont="1" applyFill="1" applyBorder="1" applyAlignment="1">
      <alignment horizontal="left" vertical="top"/>
    </xf>
    <xf numFmtId="0" fontId="110" fillId="18" borderId="176" xfId="0" applyFont="1" applyFill="1" applyBorder="1" applyAlignment="1">
      <alignment horizontal="left" vertical="top" indent="2"/>
    </xf>
    <xf numFmtId="0" fontId="100" fillId="18" borderId="175" xfId="0" quotePrefix="1" applyFont="1" applyFill="1" applyBorder="1" applyAlignment="1">
      <alignment horizontal="left" vertical="top"/>
    </xf>
    <xf numFmtId="0" fontId="13" fillId="18" borderId="19" xfId="0" quotePrefix="1" applyFont="1" applyFill="1" applyBorder="1" applyAlignment="1">
      <alignment horizontal="center" wrapText="1"/>
    </xf>
    <xf numFmtId="0" fontId="111" fillId="18" borderId="176" xfId="0" applyFont="1" applyFill="1" applyBorder="1" applyAlignment="1">
      <alignment horizontal="left" vertical="top" indent="2"/>
    </xf>
    <xf numFmtId="0" fontId="111" fillId="18" borderId="102" xfId="0" applyFont="1" applyFill="1" applyBorder="1" applyAlignment="1">
      <alignment horizontal="left" vertical="top" indent="2"/>
    </xf>
    <xf numFmtId="0" fontId="13" fillId="18" borderId="177" xfId="0" quotePrefix="1" applyFont="1" applyFill="1" applyBorder="1" applyAlignment="1">
      <alignment horizontal="center" wrapText="1"/>
    </xf>
    <xf numFmtId="0" fontId="100" fillId="18" borderId="177" xfId="0" quotePrefix="1" applyFont="1" applyFill="1" applyBorder="1" applyAlignment="1">
      <alignment horizontal="left" vertical="top" indent="1"/>
    </xf>
    <xf numFmtId="0" fontId="100" fillId="18" borderId="178" xfId="0" quotePrefix="1" applyFont="1" applyFill="1" applyBorder="1" applyAlignment="1">
      <alignment horizontal="left" vertical="top"/>
    </xf>
    <xf numFmtId="0" fontId="100" fillId="18" borderId="62" xfId="0" applyFont="1" applyFill="1" applyBorder="1" applyAlignment="1">
      <alignment vertical="top"/>
    </xf>
    <xf numFmtId="0" fontId="111" fillId="18" borderId="176" xfId="0" applyFont="1" applyFill="1" applyBorder="1" applyAlignment="1">
      <alignment horizontal="left" vertical="top" indent="1"/>
    </xf>
    <xf numFmtId="0" fontId="9" fillId="18" borderId="170" xfId="0" applyFont="1" applyFill="1" applyBorder="1" applyAlignment="1">
      <alignment horizontal="center" vertical="top"/>
    </xf>
    <xf numFmtId="0" fontId="100" fillId="18" borderId="170" xfId="0" quotePrefix="1" applyFont="1" applyFill="1" applyBorder="1" applyAlignment="1">
      <alignment vertical="top"/>
    </xf>
    <xf numFmtId="0" fontId="92" fillId="18" borderId="0" xfId="0" applyFont="1" applyFill="1" applyAlignment="1">
      <alignment vertical="top"/>
    </xf>
    <xf numFmtId="0" fontId="112" fillId="18" borderId="170" xfId="0" applyFont="1" applyFill="1" applyBorder="1" applyAlignment="1">
      <alignment horizontal="center" vertical="top" wrapText="1"/>
    </xf>
    <xf numFmtId="0" fontId="112" fillId="18" borderId="170" xfId="0" quotePrefix="1" applyFont="1" applyFill="1" applyBorder="1" applyAlignment="1">
      <alignment horizontal="left" vertical="top" indent="1"/>
    </xf>
    <xf numFmtId="0" fontId="114" fillId="18" borderId="175" xfId="0" quotePrefix="1" applyFont="1" applyFill="1" applyBorder="1" applyAlignment="1">
      <alignment horizontal="left" vertical="top" indent="2"/>
    </xf>
    <xf numFmtId="0" fontId="115" fillId="18" borderId="0" xfId="0" applyFont="1" applyFill="1" applyAlignment="1">
      <alignment vertical="top"/>
    </xf>
    <xf numFmtId="0" fontId="112" fillId="18" borderId="175" xfId="0" quotePrefix="1" applyFont="1" applyFill="1" applyBorder="1" applyAlignment="1">
      <alignment horizontal="left" vertical="top"/>
    </xf>
    <xf numFmtId="0" fontId="111" fillId="18" borderId="176" xfId="0" applyFont="1" applyFill="1" applyBorder="1" applyAlignment="1">
      <alignment horizontal="left" vertical="top" indent="4"/>
    </xf>
    <xf numFmtId="14" fontId="9" fillId="18" borderId="170" xfId="0" quotePrefix="1" applyNumberFormat="1" applyFont="1" applyFill="1" applyBorder="1" applyAlignment="1">
      <alignment horizontal="center" vertical="top" wrapText="1"/>
    </xf>
    <xf numFmtId="0" fontId="100" fillId="18" borderId="175" xfId="0" quotePrefix="1" applyFont="1" applyFill="1" applyBorder="1" applyAlignment="1">
      <alignment horizontal="center" vertical="center"/>
    </xf>
    <xf numFmtId="0" fontId="100" fillId="18" borderId="175" xfId="0" quotePrefix="1" applyFont="1" applyFill="1" applyBorder="1" applyAlignment="1">
      <alignment vertical="top"/>
    </xf>
    <xf numFmtId="0" fontId="111" fillId="18" borderId="179" xfId="0" applyFont="1" applyFill="1" applyBorder="1" applyAlignment="1">
      <alignment horizontal="left" vertical="top" indent="2"/>
    </xf>
    <xf numFmtId="0" fontId="13" fillId="18" borderId="180" xfId="0" quotePrefix="1" applyFont="1" applyFill="1" applyBorder="1" applyAlignment="1">
      <alignment horizontal="center" vertical="top"/>
    </xf>
    <xf numFmtId="0" fontId="100" fillId="18" borderId="180" xfId="0" quotePrefix="1" applyFont="1" applyFill="1" applyBorder="1" applyAlignment="1">
      <alignment vertical="top"/>
    </xf>
    <xf numFmtId="0" fontId="100" fillId="18" borderId="181" xfId="0" quotePrefix="1" applyFont="1" applyFill="1" applyBorder="1" applyAlignment="1">
      <alignment horizontal="left" vertical="top"/>
    </xf>
    <xf numFmtId="0" fontId="92" fillId="18" borderId="182" xfId="0" applyFont="1" applyFill="1" applyBorder="1" applyAlignment="1">
      <alignment vertical="top"/>
    </xf>
    <xf numFmtId="0" fontId="110" fillId="18" borderId="176" xfId="0" applyFont="1" applyFill="1" applyBorder="1" applyAlignment="1">
      <alignment horizontal="left"/>
    </xf>
    <xf numFmtId="0" fontId="10" fillId="18" borderId="170" xfId="0" quotePrefix="1" applyFont="1" applyFill="1" applyBorder="1" applyAlignment="1">
      <alignment horizontal="left"/>
    </xf>
    <xf numFmtId="0" fontId="100" fillId="18" borderId="170" xfId="0" quotePrefix="1" applyFont="1" applyFill="1" applyBorder="1"/>
    <xf numFmtId="0" fontId="100" fillId="18" borderId="175" xfId="0" quotePrefix="1" applyFont="1" applyFill="1" applyBorder="1" applyAlignment="1">
      <alignment horizontal="left"/>
    </xf>
    <xf numFmtId="0" fontId="92" fillId="18" borderId="0" xfId="0" applyFont="1" applyFill="1"/>
    <xf numFmtId="0" fontId="13" fillId="18" borderId="170" xfId="0" quotePrefix="1" applyFont="1" applyFill="1" applyBorder="1" applyAlignment="1">
      <alignment horizontal="center" vertical="top"/>
    </xf>
    <xf numFmtId="0" fontId="9" fillId="18" borderId="177" xfId="0" quotePrefix="1" applyFont="1" applyFill="1" applyBorder="1" applyAlignment="1">
      <alignment horizontal="center" vertical="top"/>
    </xf>
    <xf numFmtId="0" fontId="100" fillId="18" borderId="177" xfId="0" quotePrefix="1" applyFont="1" applyFill="1" applyBorder="1" applyAlignment="1">
      <alignment vertical="top"/>
    </xf>
    <xf numFmtId="0" fontId="100" fillId="18" borderId="114" xfId="0" quotePrefix="1" applyFont="1" applyFill="1" applyBorder="1" applyAlignment="1">
      <alignment horizontal="left" vertical="top"/>
    </xf>
    <xf numFmtId="0" fontId="92" fillId="18" borderId="62" xfId="0" applyFont="1" applyFill="1" applyBorder="1" applyAlignment="1">
      <alignment vertical="top"/>
    </xf>
    <xf numFmtId="0" fontId="9" fillId="18" borderId="170" xfId="0" quotePrefix="1" applyFont="1" applyFill="1" applyBorder="1" applyAlignment="1">
      <alignment horizontal="center" vertical="top"/>
    </xf>
    <xf numFmtId="0" fontId="112" fillId="18" borderId="170" xfId="0" quotePrefix="1" applyFont="1" applyFill="1" applyBorder="1" applyAlignment="1">
      <alignment horizontal="left" vertical="top" indent="3"/>
    </xf>
    <xf numFmtId="0" fontId="111" fillId="18" borderId="103" xfId="0" applyFont="1" applyFill="1" applyBorder="1" applyAlignment="1">
      <alignment horizontal="left" vertical="top" indent="2"/>
    </xf>
    <xf numFmtId="0" fontId="9" fillId="18" borderId="184" xfId="0" quotePrefix="1" applyFont="1" applyFill="1" applyBorder="1" applyAlignment="1">
      <alignment horizontal="center" vertical="top"/>
    </xf>
    <xf numFmtId="0" fontId="100" fillId="18" borderId="184" xfId="0" quotePrefix="1" applyFont="1" applyFill="1" applyBorder="1" applyAlignment="1">
      <alignment vertical="top"/>
    </xf>
    <xf numFmtId="0" fontId="100" fillId="18" borderId="184" xfId="0" quotePrefix="1" applyFont="1" applyFill="1" applyBorder="1" applyAlignment="1">
      <alignment horizontal="left" vertical="top"/>
    </xf>
    <xf numFmtId="0" fontId="92" fillId="18" borderId="7" xfId="0" applyFont="1" applyFill="1" applyBorder="1" applyAlignment="1">
      <alignment vertical="top"/>
    </xf>
    <xf numFmtId="0" fontId="110" fillId="18" borderId="185" xfId="0" applyFont="1" applyFill="1" applyBorder="1" applyAlignment="1">
      <alignment horizontal="left" vertical="top" indent="1"/>
    </xf>
    <xf numFmtId="0" fontId="92" fillId="18" borderId="186" xfId="0" applyFont="1" applyFill="1" applyBorder="1" applyAlignment="1">
      <alignment vertical="top"/>
    </xf>
    <xf numFmtId="0" fontId="105" fillId="18" borderId="175" xfId="0" applyFont="1" applyFill="1" applyBorder="1" applyAlignment="1">
      <alignment horizontal="left" vertical="top" indent="3"/>
    </xf>
    <xf numFmtId="0" fontId="100" fillId="18" borderId="175" xfId="0" quotePrefix="1" applyFont="1" applyFill="1" applyBorder="1" applyAlignment="1">
      <alignment horizontal="center" vertical="top"/>
    </xf>
    <xf numFmtId="0" fontId="100" fillId="18" borderId="188" xfId="0" quotePrefix="1" applyFont="1" applyFill="1" applyBorder="1" applyAlignment="1">
      <alignment horizontal="center" vertical="top"/>
    </xf>
    <xf numFmtId="0" fontId="100" fillId="18" borderId="188" xfId="0" quotePrefix="1" applyFont="1" applyFill="1" applyBorder="1" applyAlignment="1">
      <alignment horizontal="left" vertical="top"/>
    </xf>
    <xf numFmtId="0" fontId="100" fillId="18" borderId="7" xfId="0" quotePrefix="1" applyFont="1" applyFill="1" applyBorder="1" applyAlignment="1">
      <alignment horizontal="left" vertical="top" indent="1"/>
    </xf>
    <xf numFmtId="0" fontId="100" fillId="18" borderId="0" xfId="0" quotePrefix="1" applyFont="1" applyFill="1" applyAlignment="1">
      <alignment horizontal="left" vertical="top" indent="1"/>
    </xf>
    <xf numFmtId="0" fontId="116" fillId="18" borderId="175" xfId="0" quotePrefix="1" applyFont="1" applyFill="1" applyBorder="1" applyAlignment="1">
      <alignment vertical="top"/>
    </xf>
    <xf numFmtId="0" fontId="111"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0" fillId="2" borderId="0" xfId="0" quotePrefix="1" applyFont="1" applyFill="1" applyAlignment="1">
      <alignment vertical="top"/>
    </xf>
    <xf numFmtId="0" fontId="116" fillId="2" borderId="0" xfId="0" quotePrefix="1" applyFont="1" applyFill="1" applyAlignment="1">
      <alignment vertical="top"/>
    </xf>
    <xf numFmtId="0" fontId="92" fillId="2" borderId="0" xfId="0" applyFont="1" applyFill="1" applyAlignment="1">
      <alignment vertical="top"/>
    </xf>
    <xf numFmtId="0" fontId="9" fillId="18" borderId="189" xfId="0" applyFont="1" applyFill="1" applyBorder="1" applyAlignment="1">
      <alignment vertical="top"/>
    </xf>
    <xf numFmtId="0" fontId="9" fillId="18" borderId="190" xfId="0" applyFont="1" applyFill="1" applyBorder="1" applyAlignment="1">
      <alignment horizontal="center" vertical="top"/>
    </xf>
    <xf numFmtId="0" fontId="100" fillId="18" borderId="190" xfId="0" quotePrefix="1" applyFont="1" applyFill="1" applyBorder="1" applyAlignment="1">
      <alignment horizontal="left" vertical="top"/>
    </xf>
    <xf numFmtId="0" fontId="92" fillId="18" borderId="191" xfId="0" applyFont="1" applyFill="1" applyBorder="1" applyAlignment="1">
      <alignment vertical="top"/>
    </xf>
    <xf numFmtId="0" fontId="92" fillId="18" borderId="192" xfId="0" applyFont="1" applyFill="1" applyBorder="1" applyAlignment="1">
      <alignment vertical="top"/>
    </xf>
    <xf numFmtId="0" fontId="9" fillId="18" borderId="194" xfId="0" applyFont="1" applyFill="1" applyBorder="1" applyAlignment="1">
      <alignment vertical="top"/>
    </xf>
    <xf numFmtId="0" fontId="9" fillId="18" borderId="195" xfId="0" quotePrefix="1" applyFont="1" applyFill="1" applyBorder="1" applyAlignment="1">
      <alignment horizontal="center" vertical="top"/>
    </xf>
    <xf numFmtId="0" fontId="100" fillId="18" borderId="195" xfId="0" quotePrefix="1" applyFont="1" applyFill="1" applyBorder="1" applyAlignment="1">
      <alignment horizontal="left" vertical="top"/>
    </xf>
    <xf numFmtId="0" fontId="100" fillId="18" borderId="196" xfId="0" quotePrefix="1" applyFont="1" applyFill="1" applyBorder="1" applyAlignment="1">
      <alignment vertical="top"/>
    </xf>
    <xf numFmtId="0" fontId="92" fillId="18" borderId="107" xfId="0" applyFont="1" applyFill="1" applyBorder="1" applyAlignment="1">
      <alignment vertical="top"/>
    </xf>
    <xf numFmtId="0" fontId="9" fillId="18" borderId="66" xfId="0" applyFont="1" applyFill="1" applyBorder="1" applyAlignment="1">
      <alignment horizontal="left" vertical="top" indent="2"/>
    </xf>
    <xf numFmtId="0" fontId="100" fillId="18" borderId="19" xfId="0" applyFont="1" applyFill="1" applyBorder="1" applyAlignment="1">
      <alignment vertical="top"/>
    </xf>
    <xf numFmtId="0" fontId="9" fillId="18" borderId="67" xfId="0" applyFont="1" applyFill="1" applyBorder="1" applyAlignment="1">
      <alignment horizontal="left" vertical="top" indent="2"/>
    </xf>
    <xf numFmtId="0" fontId="9" fillId="18" borderId="197" xfId="0" applyFont="1" applyFill="1" applyBorder="1" applyAlignment="1">
      <alignment horizontal="left" vertical="top" indent="2"/>
    </xf>
    <xf numFmtId="0" fontId="9" fillId="18" borderId="198" xfId="0" applyFont="1" applyFill="1" applyBorder="1" applyAlignment="1">
      <alignment horizontal="center" vertical="top"/>
    </xf>
    <xf numFmtId="0" fontId="100" fillId="18" borderId="198" xfId="0" quotePrefix="1" applyFont="1" applyFill="1" applyBorder="1" applyAlignment="1">
      <alignment vertical="top"/>
    </xf>
    <xf numFmtId="0" fontId="100" fillId="18" borderId="198" xfId="0" applyFont="1" applyFill="1" applyBorder="1" applyAlignment="1">
      <alignment vertical="top"/>
    </xf>
    <xf numFmtId="0" fontId="9" fillId="18" borderId="103" xfId="0" applyFont="1" applyFill="1" applyBorder="1" applyAlignment="1">
      <alignment horizontal="left" vertical="top" indent="2"/>
    </xf>
    <xf numFmtId="0" fontId="9" fillId="18" borderId="184" xfId="0" applyFont="1" applyFill="1" applyBorder="1" applyAlignment="1">
      <alignment horizontal="center" vertical="top"/>
    </xf>
    <xf numFmtId="0" fontId="100" fillId="18" borderId="184" xfId="0" applyFont="1" applyFill="1" applyBorder="1" applyAlignment="1">
      <alignment vertical="top"/>
    </xf>
    <xf numFmtId="0" fontId="106" fillId="56" borderId="167" xfId="0" applyFont="1" applyFill="1" applyBorder="1"/>
    <xf numFmtId="0" fontId="107" fillId="56" borderId="168" xfId="0" applyFont="1" applyFill="1" applyBorder="1"/>
    <xf numFmtId="0" fontId="108" fillId="56" borderId="168" xfId="0" applyFont="1" applyFill="1" applyBorder="1"/>
    <xf numFmtId="0" fontId="9" fillId="18" borderId="110" xfId="0" applyFont="1" applyFill="1" applyBorder="1" applyAlignment="1">
      <alignment vertical="top"/>
    </xf>
    <xf numFmtId="0" fontId="92" fillId="18" borderId="152" xfId="0" quotePrefix="1" applyFont="1" applyFill="1" applyBorder="1" applyAlignment="1">
      <alignment horizontal="center" vertical="center"/>
    </xf>
    <xf numFmtId="0" fontId="100" fillId="18" borderId="152" xfId="0" quotePrefix="1" applyFont="1" applyFill="1" applyBorder="1" applyAlignment="1">
      <alignment vertical="top"/>
    </xf>
    <xf numFmtId="0" fontId="20" fillId="18" borderId="201" xfId="0" quotePrefix="1" applyFont="1" applyFill="1" applyBorder="1" applyAlignment="1">
      <alignment vertical="top"/>
    </xf>
    <xf numFmtId="0" fontId="104" fillId="18" borderId="10" xfId="0" applyFont="1" applyFill="1" applyBorder="1" applyAlignment="1">
      <alignment vertical="top"/>
    </xf>
    <xf numFmtId="0" fontId="9" fillId="18" borderId="67" xfId="0" applyFont="1" applyFill="1" applyBorder="1" applyAlignment="1">
      <alignment vertical="top"/>
    </xf>
    <xf numFmtId="0" fontId="92" fillId="18" borderId="70" xfId="0" quotePrefix="1" applyFont="1" applyFill="1" applyBorder="1" applyAlignment="1">
      <alignment horizontal="center" vertical="center"/>
    </xf>
    <xf numFmtId="0" fontId="104" fillId="18" borderId="76" xfId="0" quotePrefix="1" applyFont="1" applyFill="1" applyBorder="1" applyAlignment="1">
      <alignment vertical="top"/>
    </xf>
    <xf numFmtId="0" fontId="106" fillId="56" borderId="123" xfId="0" applyFont="1" applyFill="1" applyBorder="1"/>
    <xf numFmtId="0" fontId="107" fillId="56" borderId="124" xfId="0" applyFont="1" applyFill="1" applyBorder="1"/>
    <xf numFmtId="0" fontId="108" fillId="56" borderId="124" xfId="0" applyFont="1" applyFill="1" applyBorder="1"/>
    <xf numFmtId="0" fontId="9" fillId="57" borderId="202" xfId="0" applyFont="1" applyFill="1" applyBorder="1" applyAlignment="1">
      <alignment vertical="top"/>
    </xf>
    <xf numFmtId="0" fontId="117" fillId="57" borderId="203" xfId="0" quotePrefix="1" applyFont="1" applyFill="1" applyBorder="1" applyAlignment="1">
      <alignment vertical="top"/>
    </xf>
    <xf numFmtId="0" fontId="118" fillId="57" borderId="203" xfId="0" quotePrefix="1" applyFont="1" applyFill="1" applyBorder="1" applyAlignment="1">
      <alignment vertical="top"/>
    </xf>
    <xf numFmtId="0" fontId="118" fillId="57" borderId="203" xfId="0" applyFont="1" applyFill="1" applyBorder="1" applyAlignment="1">
      <alignment vertical="top"/>
    </xf>
    <xf numFmtId="0" fontId="9" fillId="57" borderId="205" xfId="0" applyFont="1" applyFill="1" applyBorder="1" applyAlignment="1">
      <alignment horizontal="left" vertical="top" indent="2"/>
    </xf>
    <xf numFmtId="0" fontId="13" fillId="57" borderId="206" xfId="0" applyFont="1" applyFill="1" applyBorder="1" applyAlignment="1">
      <alignment horizontal="center" vertical="top"/>
    </xf>
    <xf numFmtId="0" fontId="13" fillId="57" borderId="206" xfId="0" quotePrefix="1" applyFont="1" applyFill="1" applyBorder="1" applyAlignment="1">
      <alignment vertical="top"/>
    </xf>
    <xf numFmtId="0" fontId="9" fillId="57" borderId="206" xfId="0" quotePrefix="1" applyFont="1" applyFill="1" applyBorder="1" applyAlignment="1">
      <alignment vertical="top"/>
    </xf>
    <xf numFmtId="0" fontId="9" fillId="57" borderId="206" xfId="0" applyFont="1" applyFill="1" applyBorder="1" applyAlignment="1">
      <alignment vertical="top"/>
    </xf>
    <xf numFmtId="0" fontId="9" fillId="57" borderId="206" xfId="0" applyFont="1" applyFill="1" applyBorder="1" applyAlignment="1">
      <alignment horizontal="center" vertical="top"/>
    </xf>
    <xf numFmtId="0" fontId="117" fillId="57" borderId="206" xfId="0" quotePrefix="1" applyFont="1" applyFill="1" applyBorder="1" applyAlignment="1">
      <alignment vertical="top"/>
    </xf>
    <xf numFmtId="0" fontId="118" fillId="57" borderId="206" xfId="0" quotePrefix="1" applyFont="1" applyFill="1" applyBorder="1" applyAlignment="1">
      <alignment vertical="top"/>
    </xf>
    <xf numFmtId="0" fontId="118" fillId="57" borderId="206" xfId="0" applyFont="1" applyFill="1" applyBorder="1" applyAlignment="1">
      <alignment vertical="top"/>
    </xf>
    <xf numFmtId="0" fontId="9" fillId="57" borderId="208" xfId="0" applyFont="1" applyFill="1" applyBorder="1" applyAlignment="1">
      <alignment horizontal="left" vertical="top" indent="2"/>
    </xf>
    <xf numFmtId="0" fontId="9" fillId="57" borderId="209" xfId="0" applyFont="1" applyFill="1" applyBorder="1" applyAlignment="1">
      <alignment horizontal="center" vertical="top"/>
    </xf>
    <xf numFmtId="0" fontId="117" fillId="57" borderId="209" xfId="0" quotePrefix="1" applyFont="1" applyFill="1" applyBorder="1" applyAlignment="1">
      <alignment vertical="top"/>
    </xf>
    <xf numFmtId="0" fontId="118" fillId="57" borderId="209" xfId="0" quotePrefix="1" applyFont="1" applyFill="1" applyBorder="1" applyAlignment="1">
      <alignment vertical="top"/>
    </xf>
    <xf numFmtId="0" fontId="118" fillId="57" borderId="209" xfId="0" applyFont="1" applyFill="1" applyBorder="1" applyAlignment="1">
      <alignment vertical="top"/>
    </xf>
    <xf numFmtId="0" fontId="9" fillId="57" borderId="211" xfId="0" applyFont="1" applyFill="1" applyBorder="1" applyAlignment="1">
      <alignment horizontal="left" vertical="top" indent="2"/>
    </xf>
    <xf numFmtId="0" fontId="9" fillId="57" borderId="212" xfId="0" applyFont="1" applyFill="1" applyBorder="1" applyAlignment="1">
      <alignment horizontal="center" vertical="top"/>
    </xf>
    <xf numFmtId="0" fontId="117" fillId="57" borderId="212" xfId="0" quotePrefix="1" applyFont="1" applyFill="1" applyBorder="1" applyAlignment="1">
      <alignment vertical="top"/>
    </xf>
    <xf numFmtId="0" fontId="118" fillId="57" borderId="212" xfId="0" quotePrefix="1" applyFont="1" applyFill="1" applyBorder="1" applyAlignment="1">
      <alignment vertical="top"/>
    </xf>
    <xf numFmtId="0" fontId="118" fillId="57" borderId="212" xfId="0" applyFont="1" applyFill="1" applyBorder="1" applyAlignment="1">
      <alignment vertical="top"/>
    </xf>
    <xf numFmtId="0" fontId="0" fillId="30" borderId="7" xfId="0" quotePrefix="1" applyFill="1" applyBorder="1" applyAlignment="1">
      <alignment horizontal="left" vertical="top" wrapText="1"/>
    </xf>
    <xf numFmtId="0" fontId="0" fillId="30" borderId="7" xfId="0" applyFill="1" applyBorder="1" applyAlignment="1">
      <alignment horizontal="left" vertical="top" wrapText="1"/>
    </xf>
    <xf numFmtId="49" fontId="0" fillId="30" borderId="7" xfId="0" quotePrefix="1" applyNumberFormat="1" applyFill="1" applyBorder="1" applyAlignment="1">
      <alignment horizontal="left" vertical="top" wrapText="1"/>
    </xf>
    <xf numFmtId="0" fontId="0" fillId="30" borderId="8" xfId="0" applyFill="1" applyBorder="1" applyAlignment="1">
      <alignment horizontal="left" vertical="top" wrapText="1"/>
    </xf>
    <xf numFmtId="0" fontId="8" fillId="0" borderId="0" xfId="0" applyFont="1" applyAlignment="1">
      <alignment horizontal="left" wrapText="1"/>
    </xf>
    <xf numFmtId="0" fontId="34" fillId="32" borderId="2" xfId="0" applyFont="1" applyFill="1" applyBorder="1" applyAlignment="1">
      <alignment horizontal="center" wrapText="1"/>
    </xf>
    <xf numFmtId="0" fontId="34" fillId="33" borderId="2" xfId="0" applyFont="1" applyFill="1" applyBorder="1" applyAlignment="1">
      <alignment horizontal="center" wrapText="1"/>
    </xf>
    <xf numFmtId="0" fontId="34" fillId="28" borderId="2" xfId="0" applyFont="1" applyFill="1" applyBorder="1" applyAlignment="1">
      <alignment horizontal="center" wrapText="1"/>
    </xf>
    <xf numFmtId="0" fontId="36" fillId="27" borderId="2" xfId="0" applyFont="1" applyFill="1" applyBorder="1" applyAlignment="1">
      <alignment horizontal="center" wrapText="1"/>
    </xf>
    <xf numFmtId="0" fontId="36" fillId="31" borderId="2" xfId="0" applyFont="1" applyFill="1" applyBorder="1" applyAlignment="1">
      <alignment horizontal="center" wrapText="1"/>
    </xf>
    <xf numFmtId="0" fontId="36" fillId="17" borderId="2" xfId="0" applyFont="1" applyFill="1" applyBorder="1" applyAlignment="1">
      <alignment horizontal="center" wrapText="1"/>
    </xf>
    <xf numFmtId="0" fontId="36" fillId="17" borderId="1" xfId="0" applyFont="1" applyFill="1" applyBorder="1" applyAlignment="1">
      <alignment horizontal="center" wrapText="1"/>
    </xf>
    <xf numFmtId="0" fontId="36" fillId="17" borderId="25" xfId="0" applyFont="1" applyFill="1" applyBorder="1" applyAlignment="1">
      <alignment horizontal="center" wrapText="1"/>
    </xf>
    <xf numFmtId="0" fontId="119" fillId="3" borderId="0" xfId="0" applyFont="1" applyFill="1" applyAlignment="1">
      <alignment horizontal="right" indent="1"/>
    </xf>
    <xf numFmtId="0" fontId="120" fillId="3" borderId="0" xfId="0" applyFont="1" applyFill="1" applyAlignment="1">
      <alignment horizontal="right" indent="1"/>
    </xf>
    <xf numFmtId="0" fontId="81" fillId="3" borderId="0" xfId="0" applyFont="1" applyFill="1"/>
    <xf numFmtId="0" fontId="81" fillId="3" borderId="0" xfId="0" applyFont="1" applyFill="1" applyAlignment="1">
      <alignment vertical="center"/>
    </xf>
    <xf numFmtId="0" fontId="35" fillId="3" borderId="0" xfId="0" applyFont="1" applyFill="1" applyAlignment="1">
      <alignment horizontal="center" vertical="center"/>
    </xf>
    <xf numFmtId="0" fontId="3" fillId="2" borderId="0" xfId="4" applyFont="1">
      <alignment vertical="center"/>
      <protection locked="0"/>
    </xf>
    <xf numFmtId="0" fontId="38" fillId="2" borderId="0" xfId="0" applyFont="1" applyFill="1"/>
    <xf numFmtId="0" fontId="0" fillId="2" borderId="0" xfId="0" applyFill="1"/>
    <xf numFmtId="168" fontId="124" fillId="70" borderId="0" xfId="30" applyNumberFormat="1" applyFont="1" applyFill="1" applyBorder="1" applyAlignment="1">
      <alignment horizontal="right"/>
    </xf>
    <xf numFmtId="168" fontId="52" fillId="70" borderId="0" xfId="30" applyNumberFormat="1" applyFont="1" applyFill="1" applyBorder="1" applyAlignment="1">
      <alignment horizontal="center"/>
    </xf>
    <xf numFmtId="0" fontId="125" fillId="3" borderId="0" xfId="0" applyFont="1" applyFill="1" applyAlignment="1">
      <alignment horizontal="right" vertical="center"/>
    </xf>
    <xf numFmtId="0" fontId="35" fillId="3" borderId="0" xfId="0" applyFont="1" applyFill="1"/>
    <xf numFmtId="0" fontId="28" fillId="13" borderId="2" xfId="0" applyFont="1" applyFill="1" applyBorder="1" applyAlignment="1">
      <alignment vertical="center"/>
    </xf>
    <xf numFmtId="0" fontId="28" fillId="13" borderId="0" xfId="0" applyFont="1" applyFill="1" applyAlignment="1">
      <alignment horizontal="left" vertical="center"/>
    </xf>
    <xf numFmtId="0" fontId="28" fillId="10" borderId="0" xfId="3" applyFont="1">
      <alignment horizontal="left" vertical="center"/>
      <protection locked="0"/>
    </xf>
    <xf numFmtId="0" fontId="40" fillId="0" borderId="222" xfId="10" applyFont="1" applyBorder="1">
      <alignment horizontal="left" vertical="center" indent="1"/>
    </xf>
    <xf numFmtId="0" fontId="40" fillId="0" borderId="223" xfId="0" applyFont="1" applyBorder="1" applyAlignment="1">
      <alignment horizontal="center" vertical="center"/>
    </xf>
    <xf numFmtId="167" fontId="52" fillId="70" borderId="223" xfId="0" applyNumberFormat="1" applyFont="1" applyFill="1" applyBorder="1"/>
    <xf numFmtId="167" fontId="52" fillId="4" borderId="223" xfId="5" applyFont="1" applyFill="1" applyBorder="1">
      <alignment horizontal="right" indent="2"/>
      <protection locked="0"/>
    </xf>
    <xf numFmtId="167" fontId="52" fillId="3" borderId="234" xfId="5" applyFont="1" applyFill="1" applyBorder="1">
      <alignment horizontal="right" indent="2"/>
      <protection locked="0"/>
    </xf>
    <xf numFmtId="0" fontId="40" fillId="0" borderId="224" xfId="10" applyFont="1" applyBorder="1">
      <alignment horizontal="left" vertical="center" indent="1"/>
    </xf>
    <xf numFmtId="0" fontId="40" fillId="0" borderId="215" xfId="0" applyFont="1" applyBorder="1" applyAlignment="1">
      <alignment horizontal="center" vertical="center"/>
    </xf>
    <xf numFmtId="167" fontId="52" fillId="70" borderId="215" xfId="0" applyNumberFormat="1" applyFont="1" applyFill="1" applyBorder="1"/>
    <xf numFmtId="167" fontId="52" fillId="4" borderId="215" xfId="5" applyFont="1" applyFill="1" applyBorder="1">
      <alignment horizontal="right" indent="2"/>
      <protection locked="0"/>
    </xf>
    <xf numFmtId="167" fontId="52" fillId="3" borderId="225" xfId="5" applyFont="1" applyFill="1" applyBorder="1">
      <alignment horizontal="right" indent="2"/>
      <protection locked="0"/>
    </xf>
    <xf numFmtId="0" fontId="40" fillId="0" borderId="227" xfId="0" applyFont="1" applyBorder="1" applyAlignment="1">
      <alignment horizontal="center" vertical="center"/>
    </xf>
    <xf numFmtId="167" fontId="52" fillId="70" borderId="227" xfId="0" applyNumberFormat="1" applyFont="1" applyFill="1" applyBorder="1"/>
    <xf numFmtId="0" fontId="50" fillId="3" borderId="0" xfId="0" applyFont="1" applyFill="1"/>
    <xf numFmtId="167" fontId="52" fillId="70" borderId="0" xfId="0" applyNumberFormat="1" applyFont="1" applyFill="1"/>
    <xf numFmtId="0" fontId="128" fillId="13" borderId="2" xfId="0" applyFont="1" applyFill="1" applyBorder="1" applyAlignment="1">
      <alignment vertical="center"/>
    </xf>
    <xf numFmtId="0" fontId="128" fillId="13" borderId="0" xfId="0" applyFont="1" applyFill="1" applyAlignment="1">
      <alignment horizontal="left" vertical="center"/>
    </xf>
    <xf numFmtId="0" fontId="128" fillId="13" borderId="0" xfId="0" applyFont="1" applyFill="1" applyAlignment="1">
      <alignment vertical="center"/>
    </xf>
    <xf numFmtId="0" fontId="128" fillId="10" borderId="0" xfId="3" applyFont="1">
      <alignment horizontal="left" vertical="center"/>
      <protection locked="0"/>
    </xf>
    <xf numFmtId="167" fontId="52" fillId="70" borderId="215" xfId="5" quotePrefix="1" applyFont="1" applyFill="1" applyBorder="1" applyProtection="1">
      <alignment horizontal="right" indent="2"/>
    </xf>
    <xf numFmtId="167" fontId="52" fillId="3" borderId="225" xfId="5" quotePrefix="1" applyFont="1" applyFill="1" applyBorder="1">
      <alignment horizontal="right" indent="2"/>
      <protection locked="0"/>
    </xf>
    <xf numFmtId="167" fontId="52" fillId="70" borderId="225" xfId="5" quotePrefix="1" applyFont="1" applyFill="1" applyBorder="1" applyProtection="1">
      <alignment horizontal="right" indent="2"/>
    </xf>
    <xf numFmtId="167" fontId="52" fillId="14" borderId="227" xfId="5" applyFont="1" applyFill="1" applyBorder="1">
      <alignment horizontal="right" indent="2"/>
      <protection locked="0"/>
    </xf>
    <xf numFmtId="167" fontId="52" fillId="65" borderId="228" xfId="5" applyFont="1" applyFill="1" applyBorder="1">
      <alignment horizontal="right" indent="2"/>
      <protection locked="0"/>
    </xf>
    <xf numFmtId="167" fontId="52" fillId="3" borderId="0" xfId="5" applyFont="1" applyFill="1" applyBorder="1">
      <alignment horizontal="right" indent="2"/>
      <protection locked="0"/>
    </xf>
    <xf numFmtId="167" fontId="52" fillId="65" borderId="0" xfId="5" applyFont="1" applyFill="1" applyBorder="1">
      <alignment horizontal="right" indent="2"/>
      <protection locked="0"/>
    </xf>
    <xf numFmtId="167" fontId="52" fillId="3" borderId="0" xfId="5" quotePrefix="1" applyFont="1" applyFill="1" applyBorder="1">
      <alignment horizontal="right" indent="2"/>
      <protection locked="0"/>
    </xf>
    <xf numFmtId="0" fontId="28" fillId="3" borderId="0" xfId="3" applyFont="1" applyFill="1">
      <alignment horizontal="left" vertical="center"/>
      <protection locked="0"/>
    </xf>
    <xf numFmtId="0" fontId="126" fillId="3" borderId="0" xfId="0" applyFont="1" applyFill="1" applyAlignment="1">
      <alignment horizontal="center" vertical="center" wrapText="1"/>
    </xf>
    <xf numFmtId="168" fontId="35" fillId="3" borderId="0" xfId="30" applyNumberFormat="1" applyFont="1" applyFill="1" applyBorder="1"/>
    <xf numFmtId="167" fontId="52" fillId="3" borderId="0" xfId="5" quotePrefix="1" applyFont="1" applyFill="1" applyBorder="1" applyProtection="1">
      <alignment horizontal="right" indent="2"/>
    </xf>
    <xf numFmtId="0" fontId="90" fillId="13" borderId="0" xfId="0" applyFont="1" applyFill="1" applyAlignment="1">
      <alignment vertical="center"/>
    </xf>
    <xf numFmtId="0" fontId="52" fillId="2" borderId="0" xfId="0" applyFont="1" applyFill="1" applyAlignment="1">
      <alignment vertical="center"/>
    </xf>
    <xf numFmtId="0" fontId="52" fillId="3" borderId="0" xfId="0" applyFont="1" applyFill="1" applyAlignment="1" applyProtection="1">
      <alignment vertical="center"/>
      <protection hidden="1"/>
    </xf>
    <xf numFmtId="0" fontId="90" fillId="13" borderId="0" xfId="0" applyFont="1" applyFill="1" applyAlignment="1">
      <alignment horizontal="left" vertical="center"/>
    </xf>
    <xf numFmtId="0" fontId="130" fillId="2" borderId="0" xfId="0" applyFont="1" applyFill="1" applyAlignment="1">
      <alignment vertical="center"/>
    </xf>
    <xf numFmtId="0" fontId="45" fillId="3" borderId="0" xfId="0" applyFont="1" applyFill="1" applyProtection="1">
      <protection hidden="1"/>
    </xf>
    <xf numFmtId="0" fontId="0" fillId="3" borderId="0" xfId="0" applyFill="1" applyProtection="1">
      <protection hidden="1"/>
    </xf>
    <xf numFmtId="0" fontId="19" fillId="3" borderId="0" xfId="0" applyFont="1" applyFill="1" applyAlignment="1">
      <alignment horizontal="center" vertical="center" wrapText="1"/>
    </xf>
    <xf numFmtId="0" fontId="126" fillId="66" borderId="0" xfId="23" applyFont="1">
      <alignment horizontal="center" vertical="center" wrapText="1"/>
    </xf>
    <xf numFmtId="0" fontId="28" fillId="10" borderId="0" xfId="3" applyFont="1" applyProtection="1">
      <alignment horizontal="left" vertical="center"/>
    </xf>
    <xf numFmtId="0" fontId="84" fillId="0" borderId="0" xfId="0" applyFont="1"/>
    <xf numFmtId="0" fontId="40" fillId="25" borderId="217" xfId="0" applyFont="1" applyFill="1" applyBorder="1" applyAlignment="1">
      <alignment horizontal="center" vertical="center"/>
    </xf>
    <xf numFmtId="0" fontId="40" fillId="25" borderId="70" xfId="0" applyFont="1" applyFill="1" applyBorder="1" applyAlignment="1">
      <alignment horizontal="center" vertical="center"/>
    </xf>
    <xf numFmtId="0" fontId="40" fillId="25" borderId="113" xfId="0" applyFont="1" applyFill="1" applyBorder="1" applyAlignment="1">
      <alignment horizontal="center" vertical="center"/>
    </xf>
    <xf numFmtId="0" fontId="40" fillId="25" borderId="0" xfId="0" applyFont="1" applyFill="1" applyAlignment="1">
      <alignment horizontal="center" vertical="center"/>
    </xf>
    <xf numFmtId="0" fontId="40" fillId="25" borderId="195" xfId="0" applyFont="1" applyFill="1" applyBorder="1" applyAlignment="1">
      <alignment horizontal="center" vertical="center"/>
    </xf>
    <xf numFmtId="0" fontId="40" fillId="0" borderId="219" xfId="34" applyFont="1" applyBorder="1">
      <alignment horizontal="left" vertical="center" wrapText="1" indent="1"/>
    </xf>
    <xf numFmtId="0" fontId="40" fillId="0" borderId="98" xfId="34" applyFont="1" applyBorder="1" applyAlignment="1">
      <alignment horizontal="left" vertical="center" wrapText="1" indent="2"/>
    </xf>
    <xf numFmtId="0" fontId="0" fillId="26" borderId="0" xfId="0" applyFill="1"/>
    <xf numFmtId="0" fontId="0" fillId="3" borderId="0" xfId="0" applyFill="1" applyAlignment="1">
      <alignment horizontal="right" indent="1"/>
    </xf>
    <xf numFmtId="170" fontId="0" fillId="3" borderId="0" xfId="0" applyNumberFormat="1" applyFill="1"/>
    <xf numFmtId="0" fontId="40" fillId="0" borderId="97" xfId="34" applyFont="1" applyBorder="1">
      <alignment horizontal="left" vertical="center" wrapText="1" indent="1"/>
    </xf>
    <xf numFmtId="0" fontId="23" fillId="3" borderId="0" xfId="0" applyFont="1" applyFill="1"/>
    <xf numFmtId="0" fontId="0" fillId="3" borderId="0" xfId="0" applyFill="1" applyAlignment="1">
      <alignment vertical="center" wrapText="1"/>
    </xf>
    <xf numFmtId="0" fontId="96" fillId="3" borderId="0" xfId="0" applyFont="1" applyFill="1"/>
    <xf numFmtId="0" fontId="95" fillId="3" borderId="0" xfId="0" applyFont="1" applyFill="1"/>
    <xf numFmtId="0" fontId="52" fillId="3" borderId="0" xfId="0" applyFont="1" applyFill="1" applyAlignment="1">
      <alignment horizontal="center"/>
    </xf>
    <xf numFmtId="49" fontId="42" fillId="3" borderId="0" xfId="18" applyFont="1" applyFill="1" applyBorder="1"/>
    <xf numFmtId="0" fontId="126" fillId="63" borderId="0" xfId="0" applyFont="1" applyFill="1" applyAlignment="1">
      <alignment horizontal="center" vertical="center" wrapText="1"/>
    </xf>
    <xf numFmtId="0" fontId="28" fillId="3" borderId="0" xfId="0" applyFont="1" applyFill="1" applyAlignment="1">
      <alignment vertical="center"/>
    </xf>
    <xf numFmtId="0" fontId="37" fillId="3" borderId="0" xfId="0" applyFont="1" applyFill="1" applyAlignment="1">
      <alignment vertical="center"/>
    </xf>
    <xf numFmtId="0" fontId="40" fillId="3" borderId="0" xfId="0" applyFont="1" applyFill="1" applyAlignment="1">
      <alignment vertical="center"/>
    </xf>
    <xf numFmtId="0" fontId="126" fillId="63" borderId="64" xfId="0" applyFont="1" applyFill="1" applyBorder="1" applyAlignment="1">
      <alignment horizontal="center" vertical="center" wrapText="1"/>
    </xf>
    <xf numFmtId="0" fontId="40" fillId="3" borderId="0" xfId="0" applyFont="1" applyFill="1" applyAlignment="1">
      <alignment horizontal="center" vertical="center"/>
    </xf>
    <xf numFmtId="0" fontId="52" fillId="4" borderId="215" xfId="0" applyFont="1" applyFill="1" applyBorder="1" applyAlignment="1">
      <alignment vertical="top" wrapText="1"/>
    </xf>
    <xf numFmtId="167" fontId="52" fillId="7" borderId="0" xfId="5" applyFont="1" applyFill="1" applyBorder="1">
      <alignment horizontal="right" indent="2"/>
      <protection locked="0"/>
    </xf>
    <xf numFmtId="0" fontId="128" fillId="10" borderId="0" xfId="3" applyFont="1" applyProtection="1">
      <alignment horizontal="left" vertical="center"/>
    </xf>
    <xf numFmtId="0" fontId="40" fillId="3" borderId="0" xfId="0" applyFont="1" applyFill="1"/>
    <xf numFmtId="167" fontId="52" fillId="4" borderId="68" xfId="5" applyFont="1" applyFill="1" applyBorder="1">
      <alignment horizontal="right" indent="2"/>
      <protection locked="0"/>
    </xf>
    <xf numFmtId="167" fontId="52" fillId="4" borderId="214" xfId="5" applyFont="1" applyFill="1" applyBorder="1">
      <alignment horizontal="right" indent="2"/>
      <protection locked="0"/>
    </xf>
    <xf numFmtId="0" fontId="19" fillId="3" borderId="0" xfId="7" applyFont="1" applyFill="1">
      <alignment vertical="center"/>
    </xf>
    <xf numFmtId="49" fontId="85" fillId="3" borderId="0" xfId="32" applyFont="1" applyFill="1" applyAlignment="1">
      <alignment horizontal="centerContinuous" vertical="center" wrapText="1"/>
    </xf>
    <xf numFmtId="0" fontId="40" fillId="3" borderId="0" xfId="0" applyFont="1" applyFill="1" applyAlignment="1">
      <alignment horizontal="center" wrapText="1"/>
    </xf>
    <xf numFmtId="0" fontId="84" fillId="3" borderId="0" xfId="0" applyFont="1" applyFill="1"/>
    <xf numFmtId="0" fontId="128" fillId="2" borderId="0" xfId="0" applyFont="1" applyFill="1" applyAlignment="1">
      <alignment horizontal="left" vertical="center" wrapText="1"/>
    </xf>
    <xf numFmtId="167" fontId="52" fillId="4" borderId="70" xfId="5" applyFont="1" applyFill="1" applyBorder="1">
      <alignment horizontal="right" indent="2"/>
      <protection locked="0"/>
    </xf>
    <xf numFmtId="167" fontId="52" fillId="4" borderId="113" xfId="5" applyFont="1" applyFill="1" applyBorder="1">
      <alignment horizontal="right" indent="2"/>
      <protection locked="0"/>
    </xf>
    <xf numFmtId="167" fontId="40" fillId="21" borderId="108" xfId="11" applyFont="1" applyBorder="1">
      <alignment horizontal="right"/>
      <protection locked="0"/>
    </xf>
    <xf numFmtId="167" fontId="40" fillId="21" borderId="68" xfId="11" applyFont="1" applyBorder="1">
      <alignment horizontal="right"/>
      <protection locked="0"/>
    </xf>
    <xf numFmtId="167" fontId="40" fillId="21" borderId="214" xfId="11" applyFont="1" applyBorder="1">
      <alignment horizontal="right"/>
      <protection locked="0"/>
    </xf>
    <xf numFmtId="0" fontId="40" fillId="0" borderId="219" xfId="10" applyFont="1" applyBorder="1">
      <alignment horizontal="left" vertical="center" indent="1"/>
    </xf>
    <xf numFmtId="0" fontId="40" fillId="0" borderId="97" xfId="10" applyFont="1" applyBorder="1">
      <alignment horizontal="left" vertical="center" indent="1"/>
    </xf>
    <xf numFmtId="0" fontId="0" fillId="3" borderId="0" xfId="7" applyFont="1" applyFill="1">
      <alignment vertical="center"/>
    </xf>
    <xf numFmtId="0" fontId="124" fillId="3" borderId="0" xfId="0" applyFont="1" applyFill="1" applyAlignment="1">
      <alignment horizontal="right"/>
    </xf>
    <xf numFmtId="0" fontId="52" fillId="3" borderId="0" xfId="0" applyFont="1" applyFill="1" applyAlignment="1">
      <alignment vertical="center"/>
    </xf>
    <xf numFmtId="0" fontId="52" fillId="3" borderId="0" xfId="0" applyFont="1" applyFill="1" applyAlignment="1">
      <alignment horizontal="center" vertical="center"/>
    </xf>
    <xf numFmtId="49" fontId="42" fillId="71" borderId="0" xfId="32" applyFont="1" applyFill="1" applyAlignment="1">
      <alignment horizontal="left" vertical="center" wrapText="1"/>
    </xf>
    <xf numFmtId="0" fontId="40" fillId="71" borderId="0" xfId="0" applyFont="1" applyFill="1" applyAlignment="1">
      <alignment vertical="center" wrapText="1"/>
    </xf>
    <xf numFmtId="0" fontId="40" fillId="71" borderId="0" xfId="0" applyFont="1" applyFill="1"/>
    <xf numFmtId="0" fontId="30" fillId="2" borderId="0" xfId="35" applyFont="1">
      <alignment vertical="center"/>
      <protection locked="0"/>
    </xf>
    <xf numFmtId="0" fontId="23" fillId="3" borderId="0" xfId="0" applyFont="1" applyFill="1" applyAlignment="1">
      <alignment vertical="center"/>
    </xf>
    <xf numFmtId="0" fontId="30" fillId="3" borderId="0" xfId="4" applyFont="1" applyFill="1">
      <alignment vertical="center"/>
      <protection locked="0"/>
    </xf>
    <xf numFmtId="0" fontId="52" fillId="0" borderId="113" xfId="0" applyFont="1" applyBorder="1" applyAlignment="1">
      <alignment horizontal="center" vertical="center"/>
    </xf>
    <xf numFmtId="169" fontId="52" fillId="0" borderId="219" xfId="8" applyFont="1" applyFill="1" applyBorder="1" applyAlignment="1">
      <alignment horizontal="left" vertical="center" wrapText="1" indent="1"/>
    </xf>
    <xf numFmtId="0" fontId="40" fillId="3" borderId="217" xfId="0" applyFont="1" applyFill="1" applyBorder="1" applyAlignment="1">
      <alignment horizontal="center" vertical="center"/>
    </xf>
    <xf numFmtId="169" fontId="52" fillId="0" borderId="98" xfId="8" applyFont="1" applyFill="1" applyBorder="1" applyAlignment="1">
      <alignment horizontal="left" vertical="center" wrapText="1" indent="1"/>
    </xf>
    <xf numFmtId="0" fontId="40" fillId="3" borderId="70" xfId="0" applyFont="1" applyFill="1" applyBorder="1" applyAlignment="1">
      <alignment horizontal="center" vertical="center"/>
    </xf>
    <xf numFmtId="169" fontId="52" fillId="0" borderId="97" xfId="8" applyFont="1" applyFill="1" applyBorder="1" applyAlignment="1">
      <alignment horizontal="left" vertical="center" wrapText="1" indent="1"/>
    </xf>
    <xf numFmtId="0" fontId="40" fillId="3" borderId="113" xfId="0" applyFont="1" applyFill="1" applyBorder="1" applyAlignment="1">
      <alignment horizontal="center" vertical="center"/>
    </xf>
    <xf numFmtId="0" fontId="136" fillId="3" borderId="0" xfId="0" applyFont="1" applyFill="1" applyAlignment="1">
      <alignment horizontal="right" vertical="center"/>
    </xf>
    <xf numFmtId="0" fontId="35" fillId="3" borderId="0" xfId="0" applyFont="1" applyFill="1" applyAlignment="1">
      <alignment vertical="center"/>
    </xf>
    <xf numFmtId="0" fontId="136" fillId="3" borderId="0" xfId="0" applyFont="1" applyFill="1" applyAlignment="1">
      <alignment horizontal="right"/>
    </xf>
    <xf numFmtId="0" fontId="50" fillId="73" borderId="0" xfId="0" applyFont="1" applyFill="1"/>
    <xf numFmtId="0" fontId="35" fillId="73" borderId="0" xfId="0" applyFont="1" applyFill="1" applyAlignment="1">
      <alignment vertical="center"/>
    </xf>
    <xf numFmtId="0" fontId="52" fillId="73" borderId="0" xfId="0" applyFont="1" applyFill="1"/>
    <xf numFmtId="0" fontId="40" fillId="3" borderId="238" xfId="0" applyFont="1" applyFill="1" applyBorder="1" applyAlignment="1">
      <alignment horizontal="center"/>
    </xf>
    <xf numFmtId="0" fontId="40" fillId="3" borderId="233" xfId="0" applyFont="1" applyFill="1" applyBorder="1" applyAlignment="1">
      <alignment horizontal="center"/>
    </xf>
    <xf numFmtId="0" fontId="40" fillId="3" borderId="243" xfId="0" applyFont="1" applyFill="1" applyBorder="1" applyAlignment="1">
      <alignment horizontal="center"/>
    </xf>
    <xf numFmtId="164" fontId="52" fillId="64" borderId="0" xfId="46" applyFont="1" applyFill="1" applyBorder="1" applyAlignment="1">
      <alignment vertical="center"/>
    </xf>
    <xf numFmtId="0" fontId="52" fillId="3" borderId="0" xfId="0" applyFont="1" applyFill="1" applyAlignment="1">
      <alignment horizontal="right"/>
    </xf>
    <xf numFmtId="0" fontId="137" fillId="3" borderId="0" xfId="0" applyFont="1" applyFill="1" applyAlignment="1">
      <alignment horizontal="right" vertical="center" wrapText="1"/>
    </xf>
    <xf numFmtId="0" fontId="40" fillId="0" borderId="237" xfId="10" applyFont="1" applyBorder="1">
      <alignment horizontal="left" vertical="center" indent="1"/>
    </xf>
    <xf numFmtId="0" fontId="40" fillId="25" borderId="238" xfId="0" applyFont="1" applyFill="1" applyBorder="1" applyAlignment="1">
      <alignment horizontal="center" vertical="center"/>
    </xf>
    <xf numFmtId="167" fontId="40" fillId="21" borderId="238" xfId="11" applyFont="1" applyBorder="1">
      <alignment horizontal="right"/>
      <protection locked="0"/>
    </xf>
    <xf numFmtId="167" fontId="40" fillId="21" borderId="239" xfId="11" applyFont="1" applyBorder="1">
      <alignment horizontal="right"/>
      <protection locked="0"/>
    </xf>
    <xf numFmtId="0" fontId="40" fillId="0" borderId="240" xfId="10" applyFont="1" applyBorder="1">
      <alignment horizontal="left" vertical="center" indent="1"/>
    </xf>
    <xf numFmtId="0" fontId="40" fillId="25" borderId="233" xfId="0" applyFont="1" applyFill="1" applyBorder="1" applyAlignment="1">
      <alignment horizontal="center" vertical="center"/>
    </xf>
    <xf numFmtId="167" fontId="40" fillId="21" borderId="233" xfId="11" applyFont="1" applyBorder="1">
      <alignment horizontal="right"/>
      <protection locked="0"/>
    </xf>
    <xf numFmtId="167" fontId="40" fillId="21" borderId="241" xfId="11" applyFont="1" applyBorder="1">
      <alignment horizontal="right"/>
      <protection locked="0"/>
    </xf>
    <xf numFmtId="0" fontId="40" fillId="25" borderId="243" xfId="0" applyFont="1" applyFill="1" applyBorder="1" applyAlignment="1">
      <alignment horizontal="center" vertical="center"/>
    </xf>
    <xf numFmtId="167" fontId="40" fillId="21" borderId="243" xfId="11" applyFont="1" applyBorder="1">
      <alignment horizontal="right"/>
      <protection locked="0"/>
    </xf>
    <xf numFmtId="167" fontId="40" fillId="21" borderId="244" xfId="11" applyFont="1" applyBorder="1">
      <alignment horizontal="right"/>
      <protection locked="0"/>
    </xf>
    <xf numFmtId="0" fontId="128" fillId="2" borderId="0" xfId="0" applyFont="1" applyFill="1" applyAlignment="1">
      <alignment vertical="center"/>
    </xf>
    <xf numFmtId="0" fontId="128" fillId="2" borderId="0" xfId="0" applyFont="1" applyFill="1" applyAlignment="1">
      <alignment horizontal="left" vertical="center"/>
    </xf>
    <xf numFmtId="0" fontId="122" fillId="23" borderId="0" xfId="0" applyFont="1" applyFill="1"/>
    <xf numFmtId="0" fontId="122" fillId="24" borderId="0" xfId="12" applyFont="1" applyAlignment="1">
      <alignment horizontal="left" vertical="center"/>
    </xf>
    <xf numFmtId="0" fontId="122" fillId="24" borderId="0" xfId="12" applyFont="1" applyAlignment="1"/>
    <xf numFmtId="0" fontId="30" fillId="13" borderId="0" xfId="0" applyFont="1" applyFill="1" applyAlignment="1">
      <alignment vertical="center"/>
    </xf>
    <xf numFmtId="0" fontId="128" fillId="13" borderId="0" xfId="0" applyFont="1" applyFill="1" applyAlignment="1">
      <alignment horizontal="center" vertical="center"/>
    </xf>
    <xf numFmtId="0" fontId="23" fillId="2" borderId="0" xfId="0" applyFont="1" applyFill="1" applyAlignment="1">
      <alignment vertical="center"/>
    </xf>
    <xf numFmtId="0" fontId="128" fillId="2" borderId="0" xfId="0" applyFont="1" applyFill="1" applyAlignment="1">
      <alignment horizontal="center" vertical="center" wrapText="1"/>
    </xf>
    <xf numFmtId="0" fontId="128" fillId="2" borderId="0" xfId="0" applyFont="1" applyFill="1" applyAlignment="1">
      <alignment vertical="center" wrapText="1"/>
    </xf>
    <xf numFmtId="0" fontId="128" fillId="10" borderId="0" xfId="13" applyFont="1" applyProtection="1">
      <alignment horizontal="left" vertical="center"/>
    </xf>
    <xf numFmtId="0" fontId="128" fillId="10" borderId="0" xfId="3" applyFont="1" applyAlignment="1" applyProtection="1">
      <alignment horizontal="center" vertical="center"/>
    </xf>
    <xf numFmtId="0" fontId="23" fillId="2" borderId="0" xfId="0" applyFont="1" applyFill="1"/>
    <xf numFmtId="0" fontId="38" fillId="2" borderId="0" xfId="0" applyFont="1" applyFill="1" applyAlignment="1">
      <alignment vertical="center" wrapText="1"/>
    </xf>
    <xf numFmtId="0" fontId="128" fillId="10" borderId="0" xfId="0" applyFont="1" applyFill="1" applyAlignment="1">
      <alignment horizontal="left" vertical="center"/>
    </xf>
    <xf numFmtId="0" fontId="138" fillId="10" borderId="0" xfId="0" applyFont="1" applyFill="1" applyAlignment="1">
      <alignment vertical="center"/>
    </xf>
    <xf numFmtId="0" fontId="23" fillId="26" borderId="0" xfId="0" applyFont="1" applyFill="1"/>
    <xf numFmtId="0" fontId="31" fillId="3" borderId="0" xfId="0" applyFont="1" applyFill="1" applyAlignment="1">
      <alignment vertical="center" wrapText="1"/>
    </xf>
    <xf numFmtId="0" fontId="52" fillId="0" borderId="217" xfId="0" applyFont="1" applyBorder="1" applyAlignment="1">
      <alignment horizontal="center" vertical="center"/>
    </xf>
    <xf numFmtId="0" fontId="52" fillId="0" borderId="70" xfId="0" applyFont="1" applyBorder="1" applyAlignment="1">
      <alignment horizontal="center" vertical="center"/>
    </xf>
    <xf numFmtId="167" fontId="40" fillId="21" borderId="69" xfId="11" applyFont="1" applyBorder="1">
      <alignment horizontal="right"/>
      <protection locked="0"/>
    </xf>
    <xf numFmtId="167" fontId="40" fillId="21" borderId="70" xfId="11" applyFont="1" applyBorder="1">
      <alignment horizontal="right"/>
      <protection locked="0"/>
    </xf>
    <xf numFmtId="167" fontId="40" fillId="21" borderId="113" xfId="11" applyFont="1" applyBorder="1">
      <alignment horizontal="right"/>
      <protection locked="0"/>
    </xf>
    <xf numFmtId="0" fontId="31" fillId="3" borderId="0" xfId="0" applyFont="1" applyFill="1" applyAlignment="1">
      <alignment horizontal="left" vertical="center"/>
    </xf>
    <xf numFmtId="49" fontId="42" fillId="0" borderId="0" xfId="18" applyFont="1" applyBorder="1"/>
    <xf numFmtId="0" fontId="141" fillId="3" borderId="0" xfId="0" applyFont="1" applyFill="1" applyAlignment="1">
      <alignment horizontal="right" vertical="center"/>
    </xf>
    <xf numFmtId="167" fontId="40" fillId="21" borderId="217" xfId="11" applyFont="1" applyBorder="1">
      <alignment horizontal="right"/>
      <protection locked="0"/>
    </xf>
    <xf numFmtId="0" fontId="40" fillId="3" borderId="219" xfId="10" applyFont="1" applyFill="1" applyBorder="1">
      <alignment horizontal="left" vertical="center" indent="1"/>
    </xf>
    <xf numFmtId="0" fontId="6" fillId="2" borderId="0" xfId="0" applyFont="1" applyFill="1"/>
    <xf numFmtId="0" fontId="129" fillId="3" borderId="0" xfId="0" applyFont="1" applyFill="1"/>
    <xf numFmtId="0" fontId="126" fillId="66" borderId="56" xfId="23" applyFont="1" applyBorder="1">
      <alignment horizontal="center" vertical="center" wrapText="1"/>
    </xf>
    <xf numFmtId="0" fontId="126" fillId="66" borderId="47" xfId="23" applyFont="1" applyBorder="1">
      <alignment horizontal="center" vertical="center" wrapText="1"/>
    </xf>
    <xf numFmtId="0" fontId="40" fillId="3" borderId="238" xfId="0" applyFont="1" applyFill="1" applyBorder="1" applyAlignment="1">
      <alignment horizontal="center" vertical="center"/>
    </xf>
    <xf numFmtId="0" fontId="40" fillId="3" borderId="233" xfId="0" applyFont="1" applyFill="1" applyBorder="1" applyAlignment="1">
      <alignment horizontal="center" vertical="center"/>
    </xf>
    <xf numFmtId="0" fontId="139" fillId="3" borderId="233" xfId="0" applyFont="1" applyFill="1" applyBorder="1" applyAlignment="1">
      <alignment horizontal="center" vertical="center"/>
    </xf>
    <xf numFmtId="0" fontId="40" fillId="0" borderId="242" xfId="10" applyFont="1" applyBorder="1">
      <alignment horizontal="left" vertical="center" indent="1"/>
    </xf>
    <xf numFmtId="0" fontId="40" fillId="3" borderId="243" xfId="0" applyFont="1" applyFill="1" applyBorder="1" applyAlignment="1">
      <alignment horizontal="center" vertical="center"/>
    </xf>
    <xf numFmtId="49" fontId="42" fillId="3" borderId="62" xfId="18" applyFont="1" applyFill="1"/>
    <xf numFmtId="0" fontId="6" fillId="3" borderId="0" xfId="0" applyFont="1" applyFill="1"/>
    <xf numFmtId="0" fontId="40" fillId="3" borderId="0" xfId="38" applyFont="1" applyFill="1" applyAlignment="1">
      <alignment vertical="center" wrapText="1"/>
    </xf>
    <xf numFmtId="0" fontId="40" fillId="3" borderId="0" xfId="42" applyFont="1" applyFill="1"/>
    <xf numFmtId="169" fontId="39" fillId="3" borderId="0" xfId="38" applyNumberFormat="1" applyFont="1" applyFill="1" applyAlignment="1">
      <alignment horizontal="center"/>
    </xf>
    <xf numFmtId="0" fontId="140" fillId="23" borderId="0" xfId="37" applyFont="1" applyProtection="1">
      <alignment vertical="center"/>
    </xf>
    <xf numFmtId="0" fontId="3" fillId="2" borderId="0" xfId="43" applyFont="1" applyFill="1"/>
    <xf numFmtId="0" fontId="40" fillId="72" borderId="237" xfId="39" applyFont="1" applyFill="1" applyBorder="1" applyAlignment="1">
      <alignment vertical="center" wrapText="1"/>
    </xf>
    <xf numFmtId="0" fontId="40" fillId="72" borderId="242" xfId="39" applyFont="1" applyFill="1" applyBorder="1" applyAlignment="1">
      <alignment vertical="center" wrapText="1"/>
    </xf>
    <xf numFmtId="0" fontId="40" fillId="72" borderId="240" xfId="39" applyFont="1" applyFill="1" applyBorder="1" applyAlignment="1">
      <alignment horizontal="left" vertical="center" wrapText="1" indent="1"/>
    </xf>
    <xf numFmtId="0" fontId="42" fillId="72" borderId="237" xfId="39" applyFont="1" applyFill="1" applyBorder="1" applyAlignment="1">
      <alignment vertical="center" wrapText="1"/>
    </xf>
    <xf numFmtId="0" fontId="126" fillId="63" borderId="51" xfId="0" applyFont="1" applyFill="1" applyBorder="1" applyAlignment="1">
      <alignment horizontal="center" vertical="center" wrapText="1"/>
    </xf>
    <xf numFmtId="0" fontId="126" fillId="63" borderId="107" xfId="0" applyFont="1" applyFill="1" applyBorder="1" applyAlignment="1">
      <alignment horizontal="center" vertical="center" wrapText="1"/>
    </xf>
    <xf numFmtId="165" fontId="130" fillId="63" borderId="107" xfId="31" applyNumberFormat="1" applyFont="1" applyFill="1" applyBorder="1" applyAlignment="1">
      <alignment horizontal="center" vertical="center" wrapText="1"/>
    </xf>
    <xf numFmtId="165" fontId="130" fillId="63" borderId="81" xfId="31" applyNumberFormat="1" applyFont="1" applyFill="1" applyBorder="1" applyAlignment="1">
      <alignment horizontal="center" vertical="center" wrapText="1"/>
    </xf>
    <xf numFmtId="0" fontId="42" fillId="15" borderId="247" xfId="0" applyFont="1" applyFill="1" applyBorder="1" applyAlignment="1">
      <alignment horizontal="center" vertical="center"/>
    </xf>
    <xf numFmtId="0" fontId="42" fillId="15" borderId="245" xfId="0" applyFont="1" applyFill="1" applyBorder="1" applyAlignment="1">
      <alignment horizontal="center" vertical="center"/>
    </xf>
    <xf numFmtId="0" fontId="126" fillId="3" borderId="0" xfId="0" applyFont="1" applyFill="1"/>
    <xf numFmtId="0" fontId="50" fillId="3" borderId="0" xfId="0" applyFont="1" applyFill="1" applyAlignment="1">
      <alignment horizontal="center" vertical="center"/>
    </xf>
    <xf numFmtId="0" fontId="50" fillId="3" borderId="0" xfId="0" applyFont="1" applyFill="1" applyAlignment="1">
      <alignment horizontal="left" vertical="center" indent="1"/>
    </xf>
    <xf numFmtId="0" fontId="35" fillId="3" borderId="0" xfId="0" applyFont="1" applyFill="1" applyAlignment="1">
      <alignment horizontal="center"/>
    </xf>
    <xf numFmtId="0" fontId="40" fillId="3" borderId="0" xfId="7" applyFont="1" applyFill="1">
      <alignment vertical="center"/>
    </xf>
    <xf numFmtId="0" fontId="126" fillId="63" borderId="81" xfId="0" applyFont="1" applyFill="1" applyBorder="1" applyAlignment="1">
      <alignment horizontal="center" vertical="center" wrapText="1"/>
    </xf>
    <xf numFmtId="0" fontId="30" fillId="3" borderId="0" xfId="0" applyFont="1" applyFill="1"/>
    <xf numFmtId="0" fontId="6" fillId="3" borderId="0" xfId="0" applyFont="1" applyFill="1" applyAlignment="1">
      <alignment horizontal="left" vertical="center" indent="1"/>
    </xf>
    <xf numFmtId="0" fontId="40" fillId="72" borderId="0" xfId="0" applyFont="1" applyFill="1" applyAlignment="1">
      <alignment horizontal="center" vertical="center"/>
    </xf>
    <xf numFmtId="0" fontId="40" fillId="3" borderId="237" xfId="10" applyFont="1" applyFill="1" applyBorder="1">
      <alignment horizontal="left" vertical="center" indent="1"/>
    </xf>
    <xf numFmtId="0" fontId="40" fillId="0" borderId="229" xfId="10" applyFont="1" applyBorder="1">
      <alignment horizontal="left" vertical="center" indent="1"/>
    </xf>
    <xf numFmtId="0" fontId="40" fillId="0" borderId="231" xfId="10" applyFont="1" applyBorder="1">
      <alignment horizontal="left" vertical="center" indent="1"/>
    </xf>
    <xf numFmtId="0" fontId="40" fillId="0" borderId="51" xfId="10" applyFont="1" applyBorder="1">
      <alignment horizontal="left" vertical="center" indent="1"/>
    </xf>
    <xf numFmtId="167" fontId="40" fillId="21" borderId="220" xfId="11" applyFont="1" applyBorder="1">
      <alignment horizontal="right"/>
      <protection locked="0"/>
    </xf>
    <xf numFmtId="0" fontId="6" fillId="2" borderId="0" xfId="36" applyFont="1" applyFill="1" applyAlignment="1">
      <alignment vertical="center" wrapText="1"/>
    </xf>
    <xf numFmtId="0" fontId="136" fillId="3" borderId="45" xfId="0" applyFont="1" applyFill="1" applyBorder="1" applyAlignment="1">
      <alignment horizontal="right"/>
    </xf>
    <xf numFmtId="0" fontId="40" fillId="72" borderId="45" xfId="0" applyFont="1" applyFill="1" applyBorder="1" applyAlignment="1">
      <alignment horizontal="center" vertical="center"/>
    </xf>
    <xf numFmtId="49" fontId="142" fillId="3" borderId="0" xfId="18" applyFont="1" applyFill="1" applyBorder="1" applyAlignment="1">
      <alignment horizontal="right"/>
    </xf>
    <xf numFmtId="0" fontId="52" fillId="3" borderId="0" xfId="0" applyFont="1" applyFill="1" applyAlignment="1">
      <alignment horizontal="left"/>
    </xf>
    <xf numFmtId="0" fontId="40" fillId="4" borderId="237" xfId="10" applyFont="1" applyFill="1" applyBorder="1">
      <alignment horizontal="left" vertical="center" indent="1"/>
    </xf>
    <xf numFmtId="0" fontId="40" fillId="4" borderId="240" xfId="10" applyFont="1" applyFill="1" applyBorder="1">
      <alignment horizontal="left" vertical="center" indent="1"/>
    </xf>
    <xf numFmtId="0" fontId="40" fillId="4" borderId="242" xfId="10" applyFont="1" applyFill="1" applyBorder="1">
      <alignment horizontal="left" vertical="center" indent="1"/>
    </xf>
    <xf numFmtId="0" fontId="122" fillId="72" borderId="0" xfId="0" applyFont="1" applyFill="1"/>
    <xf numFmtId="0" fontId="122" fillId="72" borderId="0" xfId="12" applyFont="1" applyFill="1" applyAlignment="1"/>
    <xf numFmtId="0" fontId="40" fillId="0" borderId="230" xfId="10" applyFont="1" applyBorder="1">
      <alignment horizontal="left" vertical="center" indent="1"/>
    </xf>
    <xf numFmtId="0" fontId="134" fillId="0" borderId="230" xfId="10" applyFont="1" applyBorder="1" applyAlignment="1">
      <alignment horizontal="left" vertical="center" indent="3"/>
    </xf>
    <xf numFmtId="0" fontId="40" fillId="25" borderId="107" xfId="0" applyFont="1" applyFill="1" applyBorder="1" applyAlignment="1">
      <alignment horizontal="center" vertical="center"/>
    </xf>
    <xf numFmtId="0" fontId="134" fillId="3" borderId="0" xfId="10" applyFont="1" applyFill="1" applyBorder="1" applyAlignment="1">
      <alignment horizontal="left" vertical="center" indent="3"/>
    </xf>
    <xf numFmtId="0" fontId="134" fillId="0" borderId="240" xfId="10" applyFont="1" applyBorder="1" applyAlignment="1">
      <alignment horizontal="left" vertical="center" indent="3"/>
    </xf>
    <xf numFmtId="168" fontId="131" fillId="3" borderId="0" xfId="22" applyFont="1" applyFill="1" applyBorder="1">
      <alignment horizontal="right" vertical="center"/>
      <protection locked="0"/>
    </xf>
    <xf numFmtId="0" fontId="40" fillId="3" borderId="0" xfId="10" applyFont="1" applyFill="1" applyBorder="1">
      <alignment horizontal="left" vertical="center" indent="1"/>
    </xf>
    <xf numFmtId="0" fontId="35" fillId="3" borderId="62" xfId="0" applyFont="1" applyFill="1" applyBorder="1"/>
    <xf numFmtId="0" fontId="42" fillId="3" borderId="0" xfId="7" applyFont="1" applyFill="1">
      <alignment vertical="center"/>
    </xf>
    <xf numFmtId="167" fontId="40" fillId="4" borderId="108" xfId="14" applyFont="1" applyBorder="1">
      <alignment horizontal="right"/>
      <protection locked="0"/>
    </xf>
    <xf numFmtId="167" fontId="40" fillId="4" borderId="68" xfId="14" applyFont="1" applyBorder="1">
      <alignment horizontal="right"/>
      <protection locked="0"/>
    </xf>
    <xf numFmtId="0" fontId="52" fillId="3" borderId="219" xfId="0" applyFont="1" applyFill="1" applyBorder="1" applyAlignment="1">
      <alignment horizontal="left" vertical="center" wrapText="1" indent="1"/>
    </xf>
    <xf numFmtId="0" fontId="52" fillId="3" borderId="98" xfId="0" applyFont="1" applyFill="1" applyBorder="1" applyAlignment="1">
      <alignment horizontal="left" vertical="center" wrapText="1" indent="2"/>
    </xf>
    <xf numFmtId="0" fontId="52" fillId="3" borderId="97" xfId="0" applyFont="1" applyFill="1" applyBorder="1" applyAlignment="1">
      <alignment horizontal="left" vertical="center" wrapText="1" indent="1"/>
    </xf>
    <xf numFmtId="168" fontId="132" fillId="7" borderId="214" xfId="22" applyFont="1" applyFill="1" applyBorder="1">
      <alignment horizontal="right" vertical="center"/>
      <protection locked="0"/>
    </xf>
    <xf numFmtId="49" fontId="135" fillId="3" borderId="0" xfId="19" applyFont="1" applyFill="1">
      <alignment vertical="center"/>
    </xf>
    <xf numFmtId="0" fontId="143" fillId="3" borderId="0" xfId="0" applyFont="1" applyFill="1" applyAlignment="1">
      <alignment horizontal="right" indent="1"/>
    </xf>
    <xf numFmtId="0" fontId="4" fillId="3" borderId="0" xfId="0" applyFont="1" applyFill="1"/>
    <xf numFmtId="49" fontId="42" fillId="3" borderId="0" xfId="18" applyFont="1" applyFill="1" applyBorder="1" applyProtection="1">
      <protection locked="0"/>
    </xf>
    <xf numFmtId="49" fontId="35" fillId="3" borderId="0" xfId="15" applyFont="1" applyFill="1" applyBorder="1" applyAlignment="1">
      <alignment vertical="top"/>
      <protection locked="0"/>
    </xf>
    <xf numFmtId="0" fontId="40" fillId="3" borderId="0" xfId="34" applyFont="1" applyFill="1" applyBorder="1">
      <alignment horizontal="left" vertical="center" wrapText="1" indent="1"/>
    </xf>
    <xf numFmtId="0" fontId="52" fillId="3" borderId="0" xfId="0" applyFont="1" applyFill="1" applyAlignment="1">
      <alignment horizontal="center" vertical="center" wrapText="1"/>
    </xf>
    <xf numFmtId="0" fontId="4" fillId="3" borderId="0" xfId="0" applyFont="1" applyFill="1" applyAlignment="1">
      <alignment vertical="center"/>
    </xf>
    <xf numFmtId="49" fontId="42" fillId="0" borderId="0" xfId="18" applyFont="1" applyBorder="1" applyProtection="1"/>
    <xf numFmtId="0" fontId="97" fillId="3" borderId="0" xfId="0" applyFont="1" applyFill="1"/>
    <xf numFmtId="49" fontId="42" fillId="3" borderId="0" xfId="18" applyFont="1" applyFill="1" applyBorder="1" applyProtection="1"/>
    <xf numFmtId="0" fontId="1" fillId="3" borderId="0" xfId="0" applyFont="1" applyFill="1" applyAlignment="1">
      <alignment vertical="center"/>
    </xf>
    <xf numFmtId="0" fontId="1" fillId="26" borderId="0" xfId="0" applyFont="1" applyFill="1" applyAlignment="1">
      <alignment vertical="center"/>
    </xf>
    <xf numFmtId="164" fontId="40" fillId="3" borderId="113" xfId="47" applyFont="1" applyFill="1" applyBorder="1" applyAlignment="1" applyProtection="1">
      <alignment horizontal="center" vertical="center"/>
    </xf>
    <xf numFmtId="164" fontId="40" fillId="3" borderId="214" xfId="47" applyFont="1" applyFill="1" applyBorder="1" applyAlignment="1" applyProtection="1">
      <alignment horizontal="center" vertical="center"/>
    </xf>
    <xf numFmtId="0" fontId="132" fillId="3" borderId="0" xfId="0" applyFont="1" applyFill="1" applyAlignment="1">
      <alignment horizontal="left" vertical="center"/>
    </xf>
    <xf numFmtId="0" fontId="40" fillId="3" borderId="0" xfId="34" applyFont="1" applyFill="1" applyBorder="1" applyAlignment="1">
      <alignment horizontal="center" vertical="center" wrapText="1"/>
    </xf>
    <xf numFmtId="0" fontId="19" fillId="3" borderId="0" xfId="34" applyFont="1" applyFill="1" applyBorder="1">
      <alignment horizontal="left" vertical="center" wrapText="1" indent="1"/>
    </xf>
    <xf numFmtId="0" fontId="40" fillId="3" borderId="195" xfId="34" applyFont="1" applyFill="1" applyBorder="1" applyAlignment="1">
      <alignment horizontal="center" vertical="center" wrapText="1"/>
    </xf>
    <xf numFmtId="0" fontId="40" fillId="3" borderId="221" xfId="34" applyFont="1" applyFill="1" applyBorder="1">
      <alignment horizontal="left" vertical="center" wrapText="1" indent="1"/>
    </xf>
    <xf numFmtId="0" fontId="144" fillId="3" borderId="0" xfId="0" applyFont="1" applyFill="1" applyAlignment="1">
      <alignment horizontal="right" vertical="center" indent="1"/>
    </xf>
    <xf numFmtId="0" fontId="132" fillId="3" borderId="221" xfId="0" applyFont="1" applyFill="1" applyBorder="1" applyAlignment="1">
      <alignment horizontal="left" vertical="center"/>
    </xf>
    <xf numFmtId="0" fontId="52" fillId="3" borderId="195" xfId="0" applyFont="1" applyFill="1" applyBorder="1"/>
    <xf numFmtId="0" fontId="3" fillId="2" borderId="0" xfId="0" applyFont="1" applyFill="1" applyAlignment="1">
      <alignment horizontal="left" vertical="center"/>
    </xf>
    <xf numFmtId="0" fontId="4" fillId="3" borderId="0" xfId="0" applyFont="1" applyFill="1" applyAlignment="1">
      <alignment horizontal="left" vertical="center" indent="1"/>
    </xf>
    <xf numFmtId="0" fontId="15" fillId="3" borderId="5" xfId="0" applyFont="1" applyFill="1" applyBorder="1"/>
    <xf numFmtId="0" fontId="15" fillId="3" borderId="5" xfId="0" applyFont="1" applyFill="1" applyBorder="1" applyAlignment="1">
      <alignment vertical="center"/>
    </xf>
    <xf numFmtId="0" fontId="16" fillId="3" borderId="5" xfId="0" applyFont="1" applyFill="1" applyBorder="1" applyAlignment="1">
      <alignment vertical="center"/>
    </xf>
    <xf numFmtId="0" fontId="0" fillId="3" borderId="5" xfId="0" applyFill="1" applyBorder="1"/>
    <xf numFmtId="0" fontId="145" fillId="3" borderId="5" xfId="0" applyFont="1" applyFill="1" applyBorder="1" applyAlignment="1">
      <alignment vertical="center"/>
    </xf>
    <xf numFmtId="0" fontId="15" fillId="3" borderId="8" xfId="0" applyFont="1" applyFill="1" applyBorder="1" applyAlignment="1">
      <alignment vertical="center"/>
    </xf>
    <xf numFmtId="0" fontId="15" fillId="3" borderId="4" xfId="0" applyFont="1" applyFill="1" applyBorder="1"/>
    <xf numFmtId="0" fontId="15" fillId="3" borderId="4" xfId="0" applyFont="1" applyFill="1" applyBorder="1" applyAlignment="1">
      <alignment vertical="center"/>
    </xf>
    <xf numFmtId="0" fontId="16" fillId="3" borderId="4" xfId="0" applyFont="1" applyFill="1" applyBorder="1" applyAlignment="1">
      <alignment vertical="center"/>
    </xf>
    <xf numFmtId="0" fontId="0" fillId="3" borderId="4" xfId="0" applyFill="1" applyBorder="1"/>
    <xf numFmtId="0" fontId="145" fillId="3" borderId="4" xfId="0" applyFont="1" applyFill="1" applyBorder="1" applyAlignment="1">
      <alignment vertical="center"/>
    </xf>
    <xf numFmtId="0" fontId="15" fillId="3" borderId="6" xfId="0" applyFont="1" applyFill="1" applyBorder="1" applyAlignment="1">
      <alignment vertical="center"/>
    </xf>
    <xf numFmtId="0" fontId="5" fillId="70" borderId="0" xfId="0" applyFont="1" applyFill="1" applyAlignment="1">
      <alignment horizontal="right" vertical="center" indent="2"/>
    </xf>
    <xf numFmtId="0" fontId="15" fillId="3" borderId="7" xfId="0" applyFont="1" applyFill="1" applyBorder="1" applyAlignment="1">
      <alignment vertical="center"/>
    </xf>
    <xf numFmtId="0" fontId="52" fillId="3" borderId="219" xfId="0" applyFont="1" applyFill="1" applyBorder="1"/>
    <xf numFmtId="0" fontId="52" fillId="3" borderId="98" xfId="0" applyFont="1" applyFill="1" applyBorder="1"/>
    <xf numFmtId="0" fontId="52" fillId="3" borderId="70" xfId="0" applyFont="1" applyFill="1" applyBorder="1"/>
    <xf numFmtId="0" fontId="52" fillId="3" borderId="97" xfId="0" applyFont="1" applyFill="1" applyBorder="1"/>
    <xf numFmtId="0" fontId="52" fillId="3" borderId="113" xfId="0" applyFont="1" applyFill="1" applyBorder="1"/>
    <xf numFmtId="2" fontId="52" fillId="0" borderId="70" xfId="0" applyNumberFormat="1" applyFont="1" applyBorder="1" applyAlignment="1">
      <alignment horizontal="right" vertical="top" wrapText="1"/>
    </xf>
    <xf numFmtId="2" fontId="52" fillId="3" borderId="70" xfId="0" applyNumberFormat="1" applyFont="1" applyFill="1" applyBorder="1" applyAlignment="1">
      <alignment horizontal="right"/>
    </xf>
    <xf numFmtId="2" fontId="52" fillId="0" borderId="217" xfId="0" applyNumberFormat="1" applyFont="1" applyBorder="1" applyAlignment="1">
      <alignment horizontal="right" vertical="top" wrapText="1"/>
    </xf>
    <xf numFmtId="2" fontId="52" fillId="0" borderId="113" xfId="0" applyNumberFormat="1" applyFont="1" applyBorder="1" applyAlignment="1">
      <alignment horizontal="right" vertical="top" wrapText="1"/>
    </xf>
    <xf numFmtId="2" fontId="52" fillId="3" borderId="113" xfId="0" applyNumberFormat="1" applyFont="1" applyFill="1" applyBorder="1" applyAlignment="1">
      <alignment horizontal="right"/>
    </xf>
    <xf numFmtId="165" fontId="90" fillId="74" borderId="61" xfId="44" applyNumberFormat="1" applyFont="1" applyFill="1" applyBorder="1" applyAlignment="1">
      <alignment horizontal="center" vertical="center" wrapText="1"/>
    </xf>
    <xf numFmtId="164" fontId="40" fillId="3" borderId="70" xfId="47" applyFont="1" applyFill="1" applyBorder="1" applyAlignment="1" applyProtection="1">
      <alignment horizontal="center" vertical="center"/>
    </xf>
    <xf numFmtId="164" fontId="40" fillId="3" borderId="68" xfId="47" applyFont="1" applyFill="1" applyBorder="1" applyAlignment="1" applyProtection="1">
      <alignment horizontal="center" vertical="center"/>
    </xf>
    <xf numFmtId="0" fontId="35" fillId="3" borderId="219" xfId="0" applyFont="1" applyFill="1" applyBorder="1" applyAlignment="1">
      <alignment horizontal="right" vertical="center"/>
    </xf>
    <xf numFmtId="0" fontId="35" fillId="3" borderId="217" xfId="0" applyFont="1" applyFill="1" applyBorder="1" applyAlignment="1">
      <alignment horizontal="center" vertical="center"/>
    </xf>
    <xf numFmtId="0" fontId="35" fillId="3" borderId="108" xfId="0" applyFont="1" applyFill="1" applyBorder="1" applyAlignment="1">
      <alignment horizontal="center" vertical="center"/>
    </xf>
    <xf numFmtId="0" fontId="40" fillId="3" borderId="98" xfId="0" applyFont="1" applyFill="1" applyBorder="1" applyAlignment="1">
      <alignment horizontal="right" vertical="center" wrapText="1"/>
    </xf>
    <xf numFmtId="0" fontId="40" fillId="3" borderId="97" xfId="0" applyFont="1" applyFill="1" applyBorder="1" applyAlignment="1">
      <alignment horizontal="right" vertical="center" wrapText="1"/>
    </xf>
    <xf numFmtId="0" fontId="40" fillId="21" borderId="217" xfId="0" applyFont="1" applyFill="1" applyBorder="1" applyAlignment="1">
      <alignment horizontal="center" vertical="center"/>
    </xf>
    <xf numFmtId="0" fontId="40" fillId="21" borderId="70" xfId="0" applyFont="1" applyFill="1" applyBorder="1" applyAlignment="1">
      <alignment horizontal="center" vertical="center"/>
    </xf>
    <xf numFmtId="0" fontId="40" fillId="21" borderId="113" xfId="0" applyFont="1" applyFill="1" applyBorder="1" applyAlignment="1">
      <alignment horizontal="center" vertical="center"/>
    </xf>
    <xf numFmtId="0" fontId="148" fillId="3" borderId="0" xfId="0" applyFont="1" applyFill="1"/>
    <xf numFmtId="0" fontId="127" fillId="3" borderId="0" xfId="0" applyFont="1" applyFill="1" applyAlignment="1">
      <alignment horizontal="center" vertical="center"/>
    </xf>
    <xf numFmtId="0" fontId="127" fillId="3" borderId="0" xfId="0" applyFont="1" applyFill="1" applyAlignment="1">
      <alignment horizontal="left" vertical="center" indent="1"/>
    </xf>
    <xf numFmtId="0" fontId="0" fillId="75" borderId="215" xfId="0" applyFill="1" applyBorder="1" applyAlignment="1">
      <alignment horizontal="center" vertical="center"/>
    </xf>
    <xf numFmtId="0" fontId="0" fillId="3" borderId="215" xfId="0" applyFill="1" applyBorder="1" applyAlignment="1">
      <alignment horizontal="center" vertical="center"/>
    </xf>
    <xf numFmtId="0" fontId="0" fillId="3" borderId="253" xfId="0" applyFill="1" applyBorder="1" applyAlignment="1">
      <alignment horizontal="center" vertical="center"/>
    </xf>
    <xf numFmtId="0" fontId="0" fillId="75" borderId="253" xfId="0" applyFill="1" applyBorder="1" applyAlignment="1">
      <alignment horizontal="center" vertical="center"/>
    </xf>
    <xf numFmtId="0" fontId="0" fillId="75" borderId="254" xfId="0" applyFill="1" applyBorder="1" applyAlignment="1">
      <alignment horizontal="center" vertical="center"/>
    </xf>
    <xf numFmtId="0" fontId="0" fillId="75" borderId="255" xfId="0" applyFill="1" applyBorder="1" applyAlignment="1">
      <alignment horizontal="center" vertical="center"/>
    </xf>
    <xf numFmtId="0" fontId="0" fillId="75" borderId="256" xfId="0" applyFill="1" applyBorder="1" applyAlignment="1">
      <alignment horizontal="center" vertical="center"/>
    </xf>
    <xf numFmtId="0" fontId="0" fillId="3" borderId="233" xfId="0" applyFill="1" applyBorder="1" applyAlignment="1">
      <alignment horizontal="center" vertical="center"/>
    </xf>
    <xf numFmtId="0" fontId="0" fillId="75" borderId="233" xfId="0" applyFill="1" applyBorder="1" applyAlignment="1">
      <alignment horizontal="center" vertical="center"/>
    </xf>
    <xf numFmtId="0" fontId="0" fillId="75" borderId="252" xfId="0" applyFill="1" applyBorder="1" applyAlignment="1">
      <alignment horizontal="center" vertical="center"/>
    </xf>
    <xf numFmtId="0" fontId="0" fillId="3" borderId="215" xfId="0" applyFill="1" applyBorder="1"/>
    <xf numFmtId="0" fontId="133" fillId="7" borderId="268" xfId="0" applyFont="1" applyFill="1" applyBorder="1" applyAlignment="1">
      <alignment horizontal="center" vertical="center" wrapText="1"/>
    </xf>
    <xf numFmtId="0" fontId="0" fillId="75" borderId="258" xfId="0" applyFill="1" applyBorder="1" applyAlignment="1">
      <alignment horizontal="center" vertical="center"/>
    </xf>
    <xf numFmtId="0" fontId="0" fillId="75" borderId="262" xfId="0" applyFill="1" applyBorder="1" applyAlignment="1">
      <alignment horizontal="center" vertical="center"/>
    </xf>
    <xf numFmtId="0" fontId="0" fillId="75" borderId="257" xfId="0" applyFill="1" applyBorder="1" applyAlignment="1">
      <alignment horizontal="center" vertical="center"/>
    </xf>
    <xf numFmtId="0" fontId="149" fillId="0" borderId="274" xfId="0" applyFont="1" applyBorder="1" applyAlignment="1">
      <alignment horizontal="center" vertical="center"/>
    </xf>
    <xf numFmtId="0" fontId="150" fillId="3" borderId="0" xfId="0" applyFont="1" applyFill="1" applyAlignment="1">
      <alignment horizontal="center" vertical="center" textRotation="90" wrapText="1"/>
    </xf>
    <xf numFmtId="0" fontId="40" fillId="3" borderId="0" xfId="0" applyFont="1" applyFill="1" applyAlignment="1" applyProtection="1">
      <alignment horizontal="center"/>
      <protection hidden="1"/>
    </xf>
    <xf numFmtId="0" fontId="133" fillId="3" borderId="0" xfId="0" applyFont="1" applyFill="1" applyAlignment="1">
      <alignment vertical="center" wrapText="1"/>
    </xf>
    <xf numFmtId="0" fontId="0" fillId="75" borderId="285" xfId="0" applyFill="1" applyBorder="1" applyAlignment="1">
      <alignment horizontal="center" vertical="center"/>
    </xf>
    <xf numFmtId="0" fontId="133" fillId="3" borderId="0" xfId="0" applyFont="1" applyFill="1" applyAlignment="1">
      <alignment vertical="top" wrapText="1"/>
    </xf>
    <xf numFmtId="0" fontId="0" fillId="3" borderId="252" xfId="0" applyFill="1" applyBorder="1" applyAlignment="1">
      <alignment horizontal="center" vertical="center"/>
    </xf>
    <xf numFmtId="0" fontId="0" fillId="3" borderId="255" xfId="0" applyFill="1" applyBorder="1" applyAlignment="1">
      <alignment horizontal="center" vertical="center"/>
    </xf>
    <xf numFmtId="0" fontId="0" fillId="3" borderId="262" xfId="0" applyFill="1" applyBorder="1" applyAlignment="1">
      <alignment horizontal="center" vertical="center"/>
    </xf>
    <xf numFmtId="0" fontId="0" fillId="75" borderId="292" xfId="0" applyFill="1" applyBorder="1" applyAlignment="1">
      <alignment horizontal="center" vertical="center"/>
    </xf>
    <xf numFmtId="0" fontId="0" fillId="75" borderId="236" xfId="0" applyFill="1" applyBorder="1" applyAlignment="1">
      <alignment horizontal="center" vertical="center"/>
    </xf>
    <xf numFmtId="0" fontId="149" fillId="0" borderId="286" xfId="0" applyFont="1" applyBorder="1" applyAlignment="1">
      <alignment horizontal="center" vertical="center"/>
    </xf>
    <xf numFmtId="0" fontId="133" fillId="7" borderId="299" xfId="0" applyFont="1" applyFill="1" applyBorder="1" applyAlignment="1">
      <alignment horizontal="center" vertical="center" wrapText="1"/>
    </xf>
    <xf numFmtId="0" fontId="133" fillId="7" borderId="300" xfId="0" applyFont="1" applyFill="1" applyBorder="1" applyAlignment="1">
      <alignment horizontal="center" vertical="center" wrapText="1"/>
    </xf>
    <xf numFmtId="0" fontId="133" fillId="3" borderId="215" xfId="0" applyFont="1" applyFill="1" applyBorder="1" applyAlignment="1">
      <alignment wrapText="1"/>
    </xf>
    <xf numFmtId="0" fontId="6" fillId="3" borderId="0" xfId="36" applyFont="1" applyFill="1" applyAlignment="1">
      <alignment vertical="center" wrapText="1"/>
    </xf>
    <xf numFmtId="0" fontId="0" fillId="3" borderId="233" xfId="0" applyFill="1" applyBorder="1"/>
    <xf numFmtId="0" fontId="0" fillId="75" borderId="301" xfId="0" applyFill="1" applyBorder="1" applyAlignment="1">
      <alignment horizontal="center" vertical="center"/>
    </xf>
    <xf numFmtId="0" fontId="0" fillId="75" borderId="302" xfId="0" applyFill="1" applyBorder="1" applyAlignment="1">
      <alignment horizontal="center" vertical="center"/>
    </xf>
    <xf numFmtId="0" fontId="0" fillId="75" borderId="303"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52" fillId="0" borderId="226" xfId="10" applyFont="1" applyBorder="1">
      <alignment horizontal="left" vertical="center" indent="1"/>
    </xf>
    <xf numFmtId="0" fontId="39" fillId="3" borderId="0" xfId="0" applyFont="1" applyFill="1" applyProtection="1">
      <protection hidden="1"/>
    </xf>
    <xf numFmtId="0" fontId="152" fillId="3" borderId="0" xfId="0" applyFont="1" applyFill="1" applyAlignment="1">
      <alignment horizontal="right" indent="1"/>
    </xf>
    <xf numFmtId="0" fontId="152" fillId="3" borderId="217" xfId="0" applyFont="1" applyFill="1" applyBorder="1" applyAlignment="1">
      <alignment horizontal="right" wrapText="1"/>
    </xf>
    <xf numFmtId="0" fontId="152" fillId="3" borderId="108" xfId="0" applyFont="1" applyFill="1" applyBorder="1" applyAlignment="1">
      <alignment horizontal="right" wrapText="1"/>
    </xf>
    <xf numFmtId="0" fontId="152" fillId="3" borderId="70" xfId="0" applyFont="1" applyFill="1" applyBorder="1" applyAlignment="1">
      <alignment horizontal="right" wrapText="1"/>
    </xf>
    <xf numFmtId="0" fontId="152" fillId="3" borderId="68" xfId="0" applyFont="1" applyFill="1" applyBorder="1" applyAlignment="1">
      <alignment horizontal="right" wrapText="1"/>
    </xf>
    <xf numFmtId="0" fontId="152" fillId="3" borderId="113" xfId="0" applyFont="1" applyFill="1" applyBorder="1" applyAlignment="1">
      <alignment horizontal="right" wrapText="1"/>
    </xf>
    <xf numFmtId="0" fontId="152" fillId="3" borderId="214" xfId="0" applyFont="1" applyFill="1" applyBorder="1" applyAlignment="1">
      <alignment horizontal="right" wrapText="1"/>
    </xf>
    <xf numFmtId="0" fontId="126" fillId="63" borderId="45" xfId="0" applyFont="1" applyFill="1" applyBorder="1" applyAlignment="1">
      <alignment horizontal="center" vertical="center" wrapText="1"/>
    </xf>
    <xf numFmtId="0" fontId="39" fillId="3" borderId="0" xfId="0" applyFont="1" applyFill="1" applyAlignment="1" applyProtection="1">
      <alignment wrapText="1"/>
      <protection hidden="1"/>
    </xf>
    <xf numFmtId="165" fontId="130" fillId="63" borderId="45" xfId="31" applyNumberFormat="1" applyFont="1" applyFill="1" applyBorder="1" applyAlignment="1">
      <alignment horizontal="center" vertical="center" wrapText="1"/>
    </xf>
    <xf numFmtId="0" fontId="35" fillId="3" borderId="0" xfId="0" applyFont="1" applyFill="1" applyAlignment="1">
      <alignment horizontal="center" vertical="center" wrapText="1"/>
    </xf>
    <xf numFmtId="0" fontId="52" fillId="3" borderId="253" xfId="0" applyFont="1" applyFill="1" applyBorder="1"/>
    <xf numFmtId="0" fontId="52" fillId="3" borderId="255" xfId="0" applyFont="1" applyFill="1" applyBorder="1"/>
    <xf numFmtId="0" fontId="126" fillId="66" borderId="64" xfId="23" applyFont="1" applyBorder="1">
      <alignment horizontal="center" vertical="center" wrapText="1"/>
    </xf>
    <xf numFmtId="167" fontId="40" fillId="76" borderId="238" xfId="11" applyFont="1" applyFill="1" applyBorder="1">
      <alignment horizontal="right"/>
      <protection locked="0"/>
    </xf>
    <xf numFmtId="167" fontId="40" fillId="76" borderId="233" xfId="11" applyFont="1" applyFill="1" applyBorder="1">
      <alignment horizontal="right"/>
      <protection locked="0"/>
    </xf>
    <xf numFmtId="167" fontId="40" fillId="76" borderId="243" xfId="11" applyFont="1" applyFill="1" applyBorder="1">
      <alignment horizontal="right"/>
      <protection locked="0"/>
    </xf>
    <xf numFmtId="0" fontId="126" fillId="63" borderId="227" xfId="0" applyFont="1" applyFill="1" applyBorder="1" applyAlignment="1">
      <alignment horizontal="center" vertical="center" wrapText="1"/>
    </xf>
    <xf numFmtId="0" fontId="40" fillId="25" borderId="250" xfId="0" applyFont="1" applyFill="1" applyBorder="1" applyAlignment="1">
      <alignment horizontal="center" vertical="center"/>
    </xf>
    <xf numFmtId="0" fontId="40" fillId="25" borderId="314" xfId="0" applyFont="1" applyFill="1" applyBorder="1" applyAlignment="1">
      <alignment horizontal="center" vertical="center"/>
    </xf>
    <xf numFmtId="0" fontId="40" fillId="25" borderId="318" xfId="0" applyFont="1" applyFill="1" applyBorder="1" applyAlignment="1">
      <alignment horizontal="center" vertical="center"/>
    </xf>
    <xf numFmtId="0" fontId="126" fillId="63" borderId="47" xfId="0" applyFont="1" applyFill="1" applyBorder="1" applyAlignment="1">
      <alignment horizontal="center" vertical="center" wrapText="1"/>
    </xf>
    <xf numFmtId="49" fontId="40" fillId="4" borderId="222" xfId="9" applyFont="1" applyBorder="1" applyAlignment="1">
      <alignment horizontal="left" vertical="center" indent="1"/>
      <protection locked="0"/>
    </xf>
    <xf numFmtId="49" fontId="40" fillId="4" borderId="224" xfId="9" applyFont="1" applyBorder="1" applyAlignment="1">
      <alignment horizontal="left" vertical="center" indent="1"/>
      <protection locked="0"/>
    </xf>
    <xf numFmtId="49" fontId="40" fillId="4" borderId="226" xfId="9" applyFont="1" applyBorder="1" applyAlignment="1">
      <alignment horizontal="left" vertical="center" indent="1"/>
      <protection locked="0"/>
    </xf>
    <xf numFmtId="0" fontId="0" fillId="75" borderId="260" xfId="0" applyFill="1" applyBorder="1" applyAlignment="1">
      <alignment horizontal="center" vertical="center"/>
    </xf>
    <xf numFmtId="0" fontId="52" fillId="4" borderId="223" xfId="0" applyFont="1" applyFill="1" applyBorder="1" applyAlignment="1">
      <alignment vertical="top" wrapText="1"/>
    </xf>
    <xf numFmtId="0" fontId="52" fillId="4" borderId="225" xfId="0" applyFont="1" applyFill="1" applyBorder="1" applyAlignment="1">
      <alignment vertical="top" wrapText="1"/>
    </xf>
    <xf numFmtId="0" fontId="52" fillId="4" borderId="227" xfId="0" applyFont="1" applyFill="1" applyBorder="1" applyAlignment="1">
      <alignment vertical="top" wrapText="1"/>
    </xf>
    <xf numFmtId="0" fontId="52" fillId="4" borderId="228" xfId="0" applyFont="1" applyFill="1" applyBorder="1" applyAlignment="1">
      <alignment vertical="top" wrapText="1"/>
    </xf>
    <xf numFmtId="0" fontId="42" fillId="72" borderId="242" xfId="39" applyFont="1" applyFill="1" applyBorder="1" applyAlignment="1">
      <alignment vertical="center" wrapText="1"/>
    </xf>
    <xf numFmtId="0" fontId="0" fillId="3" borderId="227" xfId="0" applyFill="1" applyBorder="1"/>
    <xf numFmtId="0" fontId="52" fillId="4" borderId="215" xfId="0" applyFont="1" applyFill="1" applyBorder="1" applyAlignment="1">
      <alignment horizontal="left" vertical="top" wrapText="1" indent="2"/>
    </xf>
    <xf numFmtId="0" fontId="52" fillId="4" borderId="234" xfId="0" applyFont="1" applyFill="1" applyBorder="1" applyAlignment="1">
      <alignment vertical="top" wrapText="1"/>
    </xf>
    <xf numFmtId="0" fontId="52" fillId="4" borderId="222" xfId="0" applyFont="1" applyFill="1" applyBorder="1" applyAlignment="1">
      <alignment horizontal="left" vertical="top" wrapText="1" indent="2"/>
    </xf>
    <xf numFmtId="0" fontId="52" fillId="4" borderId="324" xfId="0" applyFont="1" applyFill="1" applyBorder="1" applyAlignment="1">
      <alignment horizontal="left" vertical="top" wrapText="1" indent="2"/>
    </xf>
    <xf numFmtId="0" fontId="52" fillId="4" borderId="223" xfId="0" applyFont="1" applyFill="1" applyBorder="1" applyAlignment="1">
      <alignment horizontal="left" vertical="top" wrapText="1" indent="2"/>
    </xf>
    <xf numFmtId="0" fontId="0" fillId="3" borderId="224" xfId="0" applyFill="1" applyBorder="1"/>
    <xf numFmtId="0" fontId="0" fillId="3" borderId="226" xfId="0" applyFill="1" applyBorder="1"/>
    <xf numFmtId="0" fontId="52" fillId="4" borderId="227" xfId="0" applyFont="1" applyFill="1" applyBorder="1" applyAlignment="1">
      <alignment horizontal="left" vertical="top" wrapText="1" indent="2"/>
    </xf>
    <xf numFmtId="0" fontId="0" fillId="75" borderId="259" xfId="0" applyFill="1" applyBorder="1" applyAlignment="1">
      <alignment horizontal="center" vertical="center"/>
    </xf>
    <xf numFmtId="175" fontId="52" fillId="4" borderId="329" xfId="0" applyNumberFormat="1" applyFont="1" applyFill="1" applyBorder="1" applyAlignment="1">
      <alignment horizontal="center" vertical="center"/>
    </xf>
    <xf numFmtId="175" fontId="52" fillId="4" borderId="330" xfId="0" applyNumberFormat="1" applyFont="1" applyFill="1" applyBorder="1" applyAlignment="1">
      <alignment horizontal="center" vertical="center"/>
    </xf>
    <xf numFmtId="0" fontId="0" fillId="3" borderId="325" xfId="0" applyFill="1" applyBorder="1" applyAlignment="1">
      <alignment horizontal="center" vertical="center"/>
    </xf>
    <xf numFmtId="0" fontId="0" fillId="3" borderId="321" xfId="0" applyFill="1" applyBorder="1" applyAlignment="1">
      <alignment horizontal="center" vertical="center"/>
    </xf>
    <xf numFmtId="0" fontId="0" fillId="3" borderId="331" xfId="0" applyFill="1" applyBorder="1" applyAlignment="1">
      <alignment horizontal="center"/>
    </xf>
    <xf numFmtId="0" fontId="0" fillId="3" borderId="323" xfId="0" applyFill="1" applyBorder="1" applyAlignment="1">
      <alignment horizontal="center"/>
    </xf>
    <xf numFmtId="0" fontId="0" fillId="75" borderId="333" xfId="0" applyFill="1" applyBorder="1" applyAlignment="1">
      <alignment horizontal="center" vertical="center"/>
    </xf>
    <xf numFmtId="0" fontId="0" fillId="3" borderId="334" xfId="0" applyFill="1" applyBorder="1" applyAlignment="1">
      <alignment horizontal="center" vertical="center"/>
    </xf>
    <xf numFmtId="0" fontId="0" fillId="3" borderId="335" xfId="0" applyFill="1" applyBorder="1" applyAlignment="1">
      <alignment horizontal="center" vertical="center"/>
    </xf>
    <xf numFmtId="0" fontId="0" fillId="75" borderId="337" xfId="0" applyFill="1" applyBorder="1" applyAlignment="1">
      <alignment horizontal="center" vertical="center"/>
    </xf>
    <xf numFmtId="0" fontId="0" fillId="75" borderId="291" xfId="0" applyFill="1" applyBorder="1" applyAlignment="1">
      <alignment horizontal="center" vertical="center"/>
    </xf>
    <xf numFmtId="0" fontId="0" fillId="3" borderId="338" xfId="0" applyFill="1" applyBorder="1" applyAlignment="1">
      <alignment horizontal="center" vertical="center"/>
    </xf>
    <xf numFmtId="0" fontId="0" fillId="3" borderId="339" xfId="0" applyFill="1" applyBorder="1" applyAlignment="1">
      <alignment horizontal="center" vertical="center"/>
    </xf>
    <xf numFmtId="0" fontId="0" fillId="3" borderId="331" xfId="0" applyFill="1" applyBorder="1" applyAlignment="1">
      <alignment horizontal="center" vertical="center"/>
    </xf>
    <xf numFmtId="0" fontId="0" fillId="3" borderId="319" xfId="0" applyFill="1" applyBorder="1" applyAlignment="1">
      <alignment horizontal="center" vertical="center"/>
    </xf>
    <xf numFmtId="0" fontId="0" fillId="3" borderId="323" xfId="0" applyFill="1" applyBorder="1" applyAlignment="1">
      <alignment horizontal="center" vertical="center"/>
    </xf>
    <xf numFmtId="0" fontId="0" fillId="3" borderId="322" xfId="0" applyFill="1" applyBorder="1" applyAlignment="1">
      <alignment horizontal="center" vertical="center"/>
    </xf>
    <xf numFmtId="0" fontId="40" fillId="3" borderId="260" xfId="0" applyFont="1" applyFill="1" applyBorder="1" applyAlignment="1">
      <alignment vertical="center"/>
    </xf>
    <xf numFmtId="0" fontId="40" fillId="3" borderId="319" xfId="0" applyFont="1" applyFill="1" applyBorder="1" applyAlignment="1">
      <alignment vertical="center"/>
    </xf>
    <xf numFmtId="0" fontId="40" fillId="3" borderId="322" xfId="0" applyFont="1" applyFill="1" applyBorder="1" applyAlignment="1">
      <alignment vertical="center"/>
    </xf>
    <xf numFmtId="0" fontId="40" fillId="3" borderId="331" xfId="0" applyFont="1" applyFill="1" applyBorder="1" applyAlignment="1">
      <alignment horizontal="center" vertical="center"/>
    </xf>
    <xf numFmtId="0" fontId="40" fillId="3" borderId="323" xfId="0" applyFont="1" applyFill="1" applyBorder="1" applyAlignment="1">
      <alignment horizontal="center" vertical="center"/>
    </xf>
    <xf numFmtId="0" fontId="0" fillId="75" borderId="291" xfId="0" applyFill="1" applyBorder="1" applyAlignment="1">
      <alignment horizontal="center"/>
    </xf>
    <xf numFmtId="0" fontId="40" fillId="75" borderId="291" xfId="0" applyFont="1" applyFill="1" applyBorder="1" applyAlignment="1">
      <alignment horizontal="center" vertical="center"/>
    </xf>
    <xf numFmtId="0" fontId="0" fillId="75" borderId="254" xfId="0" applyFill="1" applyBorder="1" applyAlignment="1">
      <alignment horizontal="center"/>
    </xf>
    <xf numFmtId="0" fontId="0" fillId="75" borderId="256" xfId="0" applyFill="1" applyBorder="1" applyAlignment="1">
      <alignment horizontal="center"/>
    </xf>
    <xf numFmtId="0" fontId="0" fillId="75" borderId="257" xfId="0" applyFill="1" applyBorder="1" applyAlignment="1">
      <alignment horizontal="center"/>
    </xf>
    <xf numFmtId="0" fontId="52" fillId="3" borderId="295" xfId="0" applyFont="1" applyFill="1" applyBorder="1"/>
    <xf numFmtId="0" fontId="52" fillId="3" borderId="296" xfId="0" applyFont="1" applyFill="1" applyBorder="1"/>
    <xf numFmtId="0" fontId="52" fillId="3" borderId="285" xfId="0" applyFont="1" applyFill="1" applyBorder="1"/>
    <xf numFmtId="0" fontId="52" fillId="3" borderId="312" xfId="0" applyFont="1" applyFill="1" applyBorder="1"/>
    <xf numFmtId="0" fontId="30" fillId="2" borderId="2" xfId="1" applyNumberFormat="1" applyFont="1" applyBorder="1" applyAlignment="1">
      <alignment horizontal="centerContinuous" vertical="center"/>
    </xf>
    <xf numFmtId="0" fontId="30" fillId="2" borderId="0" xfId="1" applyNumberFormat="1" applyFont="1" applyAlignment="1">
      <alignment horizontal="centerContinuous" vertical="center"/>
    </xf>
    <xf numFmtId="0" fontId="30" fillId="2" borderId="7" xfId="1" applyNumberFormat="1" applyFont="1" applyBorder="1" applyAlignment="1">
      <alignment horizontal="centerContinuous" vertical="center"/>
    </xf>
    <xf numFmtId="174" fontId="153" fillId="70" borderId="0" xfId="49" quotePrefix="1" applyNumberFormat="1" applyFill="1" applyBorder="1" applyAlignment="1">
      <alignment horizontal="left" vertical="center"/>
    </xf>
    <xf numFmtId="0" fontId="147" fillId="3" borderId="0" xfId="0" applyFont="1" applyFill="1" applyAlignment="1">
      <alignment vertical="center"/>
    </xf>
    <xf numFmtId="0" fontId="153" fillId="70" borderId="0" xfId="49" applyFill="1" applyAlignment="1">
      <alignment vertical="center"/>
    </xf>
    <xf numFmtId="167" fontId="40" fillId="21" borderId="232" xfId="11" applyFont="1" applyBorder="1">
      <alignment horizontal="right"/>
      <protection locked="0"/>
    </xf>
    <xf numFmtId="167" fontId="40" fillId="21" borderId="348" xfId="11" applyFont="1" applyBorder="1">
      <alignment horizontal="right"/>
      <protection locked="0"/>
    </xf>
    <xf numFmtId="167" fontId="52" fillId="4" borderId="347" xfId="5" applyFont="1" applyFill="1" applyBorder="1">
      <alignment horizontal="right" indent="2"/>
      <protection locked="0"/>
    </xf>
    <xf numFmtId="167" fontId="35" fillId="0" borderId="0" xfId="5" applyFont="1" applyFill="1" applyBorder="1" applyAlignment="1">
      <protection locked="0"/>
    </xf>
    <xf numFmtId="0" fontId="126" fillId="63" borderId="61" xfId="0" applyFont="1" applyFill="1" applyBorder="1" applyAlignment="1">
      <alignment horizontal="centerContinuous" vertical="center" wrapText="1"/>
    </xf>
    <xf numFmtId="165" fontId="42" fillId="3" borderId="64" xfId="31" applyNumberFormat="1" applyFont="1" applyFill="1" applyBorder="1" applyAlignment="1">
      <alignment horizontal="centerContinuous" vertical="center" wrapText="1"/>
    </xf>
    <xf numFmtId="167" fontId="52" fillId="4" borderId="19" xfId="5" applyFont="1" applyFill="1" applyBorder="1">
      <alignment horizontal="right" indent="2"/>
      <protection locked="0"/>
    </xf>
    <xf numFmtId="0" fontId="42" fillId="3" borderId="221" xfId="0" applyFont="1" applyFill="1" applyBorder="1" applyAlignment="1">
      <alignment horizontal="center" vertical="center" wrapText="1"/>
    </xf>
    <xf numFmtId="0" fontId="42" fillId="3" borderId="220" xfId="0" applyFont="1" applyFill="1" applyBorder="1" applyAlignment="1">
      <alignment horizontal="center" vertical="center" wrapText="1"/>
    </xf>
    <xf numFmtId="0" fontId="152" fillId="3" borderId="0" xfId="0" applyFont="1" applyFill="1" applyAlignment="1">
      <alignment horizontal="right" wrapText="1" indent="1"/>
    </xf>
    <xf numFmtId="0" fontId="15" fillId="3" borderId="7" xfId="0" applyFont="1" applyFill="1" applyBorder="1"/>
    <xf numFmtId="174" fontId="0" fillId="70" borderId="0" xfId="0" quotePrefix="1" applyNumberFormat="1" applyFill="1" applyAlignment="1">
      <alignment horizontal="left" vertical="center"/>
    </xf>
    <xf numFmtId="0" fontId="0" fillId="70" borderId="0" xfId="0" applyFill="1"/>
    <xf numFmtId="0" fontId="0" fillId="70" borderId="0" xfId="0" applyFill="1" applyAlignment="1" applyProtection="1">
      <alignment wrapText="1"/>
      <protection locked="0"/>
    </xf>
    <xf numFmtId="0" fontId="52" fillId="3" borderId="0" xfId="0" applyFont="1" applyFill="1" applyAlignment="1" applyProtection="1">
      <alignment horizontal="center" vertical="center"/>
      <protection hidden="1"/>
    </xf>
    <xf numFmtId="0" fontId="91" fillId="77" borderId="0" xfId="0" applyFont="1" applyFill="1" applyAlignment="1">
      <alignment vertical="center"/>
    </xf>
    <xf numFmtId="0" fontId="3" fillId="77" borderId="0" xfId="0" applyFont="1" applyFill="1"/>
    <xf numFmtId="49" fontId="154" fillId="70" borderId="0" xfId="18" applyFont="1" applyFill="1" applyBorder="1" applyAlignment="1">
      <alignment vertical="center"/>
    </xf>
    <xf numFmtId="0" fontId="52" fillId="70" borderId="0" xfId="0" applyFont="1" applyFill="1"/>
    <xf numFmtId="0" fontId="40" fillId="3" borderId="0" xfId="10" applyFont="1" applyFill="1" applyBorder="1" applyAlignment="1">
      <alignment horizontal="center" vertical="center"/>
    </xf>
    <xf numFmtId="0" fontId="40" fillId="72" borderId="238" xfId="39" applyFont="1" applyFill="1" applyBorder="1" applyAlignment="1">
      <alignment horizontal="center" vertical="center"/>
    </xf>
    <xf numFmtId="0" fontId="40" fillId="72" borderId="243" xfId="39" applyFont="1" applyFill="1" applyBorder="1" applyAlignment="1">
      <alignment horizontal="center" vertical="center"/>
    </xf>
    <xf numFmtId="0" fontId="40" fillId="3" borderId="0" xfId="42" applyFont="1" applyFill="1" applyAlignment="1">
      <alignment horizontal="center"/>
    </xf>
    <xf numFmtId="0" fontId="3" fillId="2" borderId="0" xfId="43" applyFont="1" applyFill="1" applyAlignment="1" applyProtection="1">
      <alignment horizontal="center"/>
      <protection locked="0"/>
    </xf>
    <xf numFmtId="0" fontId="40" fillId="72" borderId="233" xfId="39" applyFont="1" applyFill="1" applyBorder="1" applyAlignment="1">
      <alignment horizontal="center" vertical="center"/>
    </xf>
    <xf numFmtId="0" fontId="0" fillId="75" borderId="350" xfId="0" applyFill="1" applyBorder="1" applyAlignment="1">
      <alignment horizontal="center" vertical="center"/>
    </xf>
    <xf numFmtId="0" fontId="0" fillId="75" borderId="351" xfId="0" applyFill="1" applyBorder="1" applyAlignment="1">
      <alignment horizontal="center" vertical="center"/>
    </xf>
    <xf numFmtId="0" fontId="0" fillId="75" borderId="353" xfId="0" applyFill="1" applyBorder="1" applyAlignment="1">
      <alignment horizontal="center" vertical="center"/>
    </xf>
    <xf numFmtId="0" fontId="0" fillId="75" borderId="355" xfId="0" applyFill="1" applyBorder="1" applyAlignment="1">
      <alignment horizontal="center" vertical="center"/>
    </xf>
    <xf numFmtId="0" fontId="0" fillId="75" borderId="356" xfId="0" applyFill="1" applyBorder="1" applyAlignment="1">
      <alignment horizontal="center" vertical="center"/>
    </xf>
    <xf numFmtId="0" fontId="0" fillId="75" borderId="349" xfId="0" applyFill="1" applyBorder="1" applyAlignment="1">
      <alignment horizontal="center" vertical="center"/>
    </xf>
    <xf numFmtId="0" fontId="0" fillId="3" borderId="351" xfId="0" applyFill="1" applyBorder="1" applyAlignment="1">
      <alignment horizontal="center" vertical="center"/>
    </xf>
    <xf numFmtId="0" fontId="0" fillId="75" borderId="352" xfId="0" applyFill="1" applyBorder="1" applyAlignment="1">
      <alignment horizontal="center" vertical="center"/>
    </xf>
    <xf numFmtId="0" fontId="0" fillId="3" borderId="353" xfId="0" applyFill="1" applyBorder="1" applyAlignment="1">
      <alignment horizontal="center" vertical="center"/>
    </xf>
    <xf numFmtId="0" fontId="0" fillId="75" borderId="354" xfId="0" applyFill="1" applyBorder="1" applyAlignment="1">
      <alignment horizontal="center" vertical="center"/>
    </xf>
    <xf numFmtId="0" fontId="0" fillId="3" borderId="352" xfId="0" applyFill="1" applyBorder="1"/>
    <xf numFmtId="0" fontId="0" fillId="3" borderId="353" xfId="0" applyFill="1" applyBorder="1"/>
    <xf numFmtId="0" fontId="0" fillId="3" borderId="355" xfId="0" applyFill="1" applyBorder="1" applyAlignment="1">
      <alignment horizontal="center" vertical="center"/>
    </xf>
    <xf numFmtId="0" fontId="0" fillId="3" borderId="356" xfId="0" applyFill="1" applyBorder="1" applyAlignment="1">
      <alignment horizontal="center" vertical="center"/>
    </xf>
    <xf numFmtId="0" fontId="40" fillId="25" borderId="233" xfId="0" applyFont="1" applyFill="1" applyBorder="1" applyAlignment="1">
      <alignment horizontal="center"/>
    </xf>
    <xf numFmtId="0" fontId="40" fillId="0" borderId="237" xfId="0" applyFont="1" applyBorder="1" applyAlignment="1">
      <alignment wrapText="1"/>
    </xf>
    <xf numFmtId="167" fontId="52" fillId="4" borderId="241" xfId="5" applyFont="1" applyFill="1" applyBorder="1">
      <alignment horizontal="right" indent="2"/>
      <protection locked="0"/>
    </xf>
    <xf numFmtId="0" fontId="40" fillId="25" borderId="243" xfId="0" applyFont="1" applyFill="1" applyBorder="1" applyAlignment="1">
      <alignment horizontal="center"/>
    </xf>
    <xf numFmtId="167" fontId="52" fillId="4" borderId="244" xfId="5" applyFont="1" applyFill="1" applyBorder="1">
      <alignment horizontal="right" indent="2"/>
      <protection locked="0"/>
    </xf>
    <xf numFmtId="167" fontId="52" fillId="7" borderId="239" xfId="5" applyFont="1" applyFill="1" applyBorder="1" applyAlignment="1">
      <alignment horizontal="right" vertical="center"/>
      <protection locked="0"/>
    </xf>
    <xf numFmtId="167" fontId="52" fillId="4" borderId="241" xfId="5" applyFont="1" applyFill="1" applyBorder="1" applyAlignment="1">
      <alignment horizontal="right" vertical="center"/>
      <protection locked="0"/>
    </xf>
    <xf numFmtId="0" fontId="40" fillId="0" borderId="240" xfId="0" applyFont="1" applyBorder="1" applyAlignment="1">
      <alignment vertical="center"/>
    </xf>
    <xf numFmtId="0" fontId="40" fillId="0" borderId="242" xfId="0" applyFont="1" applyBorder="1" applyAlignment="1">
      <alignment vertical="center"/>
    </xf>
    <xf numFmtId="167" fontId="52" fillId="4" borderId="244" xfId="5" applyFont="1" applyFill="1" applyBorder="1" applyAlignment="1">
      <alignment horizontal="right" vertical="center"/>
      <protection locked="0"/>
    </xf>
    <xf numFmtId="0" fontId="0" fillId="75" borderId="366" xfId="0" applyFill="1" applyBorder="1" applyAlignment="1">
      <alignment horizontal="center" vertical="center"/>
    </xf>
    <xf numFmtId="0" fontId="0" fillId="75" borderId="367" xfId="0" applyFill="1" applyBorder="1" applyAlignment="1">
      <alignment horizontal="center" vertical="center"/>
    </xf>
    <xf numFmtId="0" fontId="0" fillId="75" borderId="368" xfId="0" applyFill="1" applyBorder="1" applyAlignment="1">
      <alignment horizontal="center" vertical="center"/>
    </xf>
    <xf numFmtId="0" fontId="126" fillId="66" borderId="369" xfId="23" applyFont="1" applyBorder="1">
      <alignment horizontal="center" vertical="center" wrapText="1"/>
    </xf>
    <xf numFmtId="0" fontId="0" fillId="3" borderId="367" xfId="0" applyFill="1" applyBorder="1" applyAlignment="1">
      <alignment horizontal="center" vertical="center"/>
    </xf>
    <xf numFmtId="0" fontId="0" fillId="3" borderId="368" xfId="0" applyFill="1" applyBorder="1" applyAlignment="1">
      <alignment horizontal="center" vertical="center"/>
    </xf>
    <xf numFmtId="0" fontId="0" fillId="3" borderId="352" xfId="0" applyFill="1" applyBorder="1" applyAlignment="1">
      <alignment horizontal="center" vertical="center"/>
    </xf>
    <xf numFmtId="0" fontId="45" fillId="3" borderId="0" xfId="0" applyFont="1" applyFill="1" applyAlignment="1">
      <alignment wrapText="1"/>
    </xf>
    <xf numFmtId="0" fontId="3" fillId="2" borderId="0" xfId="35" applyProtection="1">
      <alignment vertical="center"/>
    </xf>
    <xf numFmtId="0" fontId="156" fillId="7" borderId="0" xfId="0" applyFont="1" applyFill="1" applyAlignment="1">
      <alignment horizontal="left" vertical="center"/>
    </xf>
    <xf numFmtId="0" fontId="126" fillId="77" borderId="0" xfId="0" applyFont="1" applyFill="1" applyAlignment="1">
      <alignment vertical="center"/>
    </xf>
    <xf numFmtId="0" fontId="0" fillId="75" borderId="284" xfId="0" applyFill="1" applyBorder="1" applyAlignment="1">
      <alignment horizontal="center" vertical="center"/>
    </xf>
    <xf numFmtId="0" fontId="0" fillId="75" borderId="248" xfId="0" applyFill="1" applyBorder="1" applyAlignment="1">
      <alignment horizontal="center" vertical="center"/>
    </xf>
    <xf numFmtId="0" fontId="52" fillId="0" borderId="233" xfId="0" applyFont="1" applyBorder="1" applyAlignment="1">
      <alignment horizontal="center" vertical="center" wrapText="1"/>
    </xf>
    <xf numFmtId="0" fontId="0" fillId="0" borderId="375" xfId="0" applyBorder="1" applyAlignment="1">
      <alignment horizontal="center" vertical="center"/>
    </xf>
    <xf numFmtId="0" fontId="0" fillId="0" borderId="255" xfId="0" applyBorder="1" applyAlignment="1">
      <alignment horizontal="center" vertical="center"/>
    </xf>
    <xf numFmtId="0" fontId="0" fillId="0" borderId="353" xfId="0" applyBorder="1" applyAlignment="1">
      <alignment horizontal="center" vertical="center"/>
    </xf>
    <xf numFmtId="0" fontId="0" fillId="0" borderId="356" xfId="0" applyBorder="1" applyAlignment="1">
      <alignment horizontal="center" vertical="center"/>
    </xf>
    <xf numFmtId="0" fontId="126" fillId="66" borderId="376" xfId="23" applyFont="1" applyBorder="1">
      <alignment horizontal="center" vertical="center" wrapText="1"/>
    </xf>
    <xf numFmtId="0" fontId="52" fillId="0" borderId="238" xfId="0" applyFont="1" applyBorder="1" applyAlignment="1">
      <alignment horizontal="center" vertical="center" wrapText="1"/>
    </xf>
    <xf numFmtId="0" fontId="52" fillId="0" borderId="243" xfId="0" applyFont="1" applyBorder="1" applyAlignment="1">
      <alignment horizontal="center" vertical="center" wrapText="1"/>
    </xf>
    <xf numFmtId="0" fontId="40" fillId="0" borderId="237" xfId="10" applyFont="1" applyBorder="1" applyAlignment="1">
      <alignment horizontal="left" vertical="center" wrapText="1" indent="1"/>
    </xf>
    <xf numFmtId="0" fontId="40" fillId="0" borderId="240" xfId="10" applyFont="1" applyBorder="1" applyAlignment="1">
      <alignment horizontal="left" vertical="center" wrapText="1" indent="1"/>
    </xf>
    <xf numFmtId="0" fontId="0" fillId="3" borderId="357" xfId="0" applyFill="1" applyBorder="1"/>
    <xf numFmtId="0" fontId="0" fillId="3" borderId="358" xfId="0" applyFill="1" applyBorder="1"/>
    <xf numFmtId="0" fontId="0" fillId="3" borderId="359" xfId="0" applyFill="1" applyBorder="1"/>
    <xf numFmtId="0" fontId="0" fillId="3" borderId="360" xfId="0" applyFill="1" applyBorder="1"/>
    <xf numFmtId="0" fontId="0" fillId="3" borderId="361" xfId="0" applyFill="1" applyBorder="1"/>
    <xf numFmtId="0" fontId="133" fillId="0" borderId="282" xfId="0" applyFont="1" applyBorder="1" applyAlignment="1">
      <alignment horizontal="center" vertical="center"/>
    </xf>
    <xf numFmtId="0" fontId="133" fillId="3" borderId="293" xfId="0" applyFont="1" applyFill="1" applyBorder="1" applyAlignment="1">
      <alignment horizontal="center" vertical="center"/>
    </xf>
    <xf numFmtId="0" fontId="0" fillId="3" borderId="0" xfId="0" applyFill="1" applyAlignment="1">
      <alignment horizontal="center" vertical="center"/>
    </xf>
    <xf numFmtId="0" fontId="83" fillId="25" borderId="0" xfId="29">
      <alignment horizontal="right" indent="1" shrinkToFit="1"/>
    </xf>
    <xf numFmtId="0" fontId="52" fillId="3" borderId="0" xfId="0" applyFont="1" applyFill="1" applyAlignment="1">
      <alignment horizontal="center" vertical="center" textRotation="90" wrapText="1"/>
    </xf>
    <xf numFmtId="0" fontId="39" fillId="3" borderId="0" xfId="0" applyFont="1" applyFill="1" applyAlignment="1" applyProtection="1">
      <alignment horizontal="right" vertical="center"/>
      <protection hidden="1"/>
    </xf>
    <xf numFmtId="0" fontId="0" fillId="3" borderId="238" xfId="0" applyFill="1" applyBorder="1"/>
    <xf numFmtId="167" fontId="52" fillId="7" borderId="239" xfId="5" applyFont="1" applyFill="1" applyBorder="1">
      <alignment horizontal="right" indent="2"/>
      <protection locked="0"/>
    </xf>
    <xf numFmtId="164" fontId="40" fillId="21" borderId="69" xfId="47" applyFont="1" applyFill="1" applyBorder="1" applyAlignment="1" applyProtection="1">
      <alignment horizontal="right"/>
      <protection locked="0"/>
    </xf>
    <xf numFmtId="164" fontId="40" fillId="21" borderId="70" xfId="47" applyFont="1" applyFill="1" applyBorder="1" applyAlignment="1" applyProtection="1">
      <alignment horizontal="right"/>
      <protection locked="0"/>
    </xf>
    <xf numFmtId="164" fontId="40" fillId="21" borderId="68" xfId="47" applyFont="1" applyFill="1" applyBorder="1" applyAlignment="1" applyProtection="1">
      <alignment horizontal="right"/>
      <protection locked="0"/>
    </xf>
    <xf numFmtId="49" fontId="35" fillId="4" borderId="0" xfId="15" applyFont="1" applyFill="1" applyBorder="1" applyAlignment="1">
      <alignment vertical="center"/>
      <protection locked="0"/>
    </xf>
    <xf numFmtId="0" fontId="0" fillId="3" borderId="0" xfId="0" applyFill="1" applyAlignment="1">
      <alignment horizontal="left" vertical="top" wrapText="1"/>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5" applyAlignment="1">
      <alignment horizontal="left" vertical="center"/>
      <protection locked="0"/>
    </xf>
    <xf numFmtId="49" fontId="99" fillId="3" borderId="0" xfId="19" applyFill="1">
      <alignment vertical="center"/>
    </xf>
    <xf numFmtId="0" fontId="0" fillId="3" borderId="0" xfId="0" applyFill="1" applyAlignment="1">
      <alignment horizontal="right" vertical="top" indent="1"/>
    </xf>
    <xf numFmtId="0" fontId="86" fillId="3" borderId="0" xfId="0" applyFont="1" applyFill="1" applyAlignment="1">
      <alignment horizontal="right" indent="1"/>
    </xf>
    <xf numFmtId="0" fontId="0" fillId="3" borderId="377" xfId="0" applyFill="1" applyBorder="1"/>
    <xf numFmtId="0" fontId="0" fillId="3" borderId="378" xfId="0" applyFill="1" applyBorder="1"/>
    <xf numFmtId="0" fontId="0" fillId="75" borderId="379" xfId="0" applyFill="1" applyBorder="1" applyAlignment="1">
      <alignment horizontal="center" vertical="center"/>
    </xf>
    <xf numFmtId="0" fontId="133" fillId="0" borderId="297" xfId="0" applyFont="1" applyBorder="1" applyAlignment="1">
      <alignment horizontal="center" vertical="center"/>
    </xf>
    <xf numFmtId="0" fontId="52" fillId="3" borderId="382" xfId="0" applyFont="1" applyFill="1" applyBorder="1" applyAlignment="1">
      <alignment horizontal="center"/>
    </xf>
    <xf numFmtId="0" fontId="52" fillId="3" borderId="383" xfId="0" applyFont="1" applyFill="1" applyBorder="1" applyAlignment="1">
      <alignment horizontal="center"/>
    </xf>
    <xf numFmtId="0" fontId="155" fillId="3" borderId="0" xfId="0" applyFont="1" applyFill="1" applyAlignment="1">
      <alignment horizontal="right"/>
    </xf>
    <xf numFmtId="0" fontId="5" fillId="3" borderId="0" xfId="0" applyFont="1" applyFill="1" applyAlignment="1">
      <alignment horizontal="center"/>
    </xf>
    <xf numFmtId="0" fontId="52" fillId="3" borderId="233" xfId="0" applyFont="1" applyFill="1" applyBorder="1" applyAlignment="1" applyProtection="1">
      <alignment horizontal="center" vertical="center"/>
      <protection hidden="1"/>
    </xf>
    <xf numFmtId="0" fontId="52" fillId="3" borderId="238" xfId="0" applyFont="1" applyFill="1" applyBorder="1" applyAlignment="1" applyProtection="1">
      <alignment horizontal="center" vertical="center"/>
      <protection hidden="1"/>
    </xf>
    <xf numFmtId="0" fontId="52" fillId="3" borderId="243" xfId="0" applyFont="1" applyFill="1" applyBorder="1" applyAlignment="1" applyProtection="1">
      <alignment horizontal="center" vertical="center"/>
      <protection hidden="1"/>
    </xf>
    <xf numFmtId="0" fontId="40" fillId="78" borderId="240" xfId="10" applyFont="1" applyFill="1" applyBorder="1" applyAlignment="1">
      <alignment horizontal="left" vertical="center" indent="2"/>
    </xf>
    <xf numFmtId="0" fontId="40" fillId="78" borderId="242" xfId="10" applyFont="1" applyFill="1" applyBorder="1" applyAlignment="1">
      <alignment horizontal="left" vertical="center" indent="2"/>
    </xf>
    <xf numFmtId="0" fontId="0" fillId="3" borderId="0" xfId="0" applyFill="1" applyAlignment="1">
      <alignment horizontal="left"/>
    </xf>
    <xf numFmtId="0" fontId="0" fillId="3" borderId="0" xfId="0" applyFill="1" applyAlignment="1">
      <alignment horizontal="right"/>
    </xf>
    <xf numFmtId="0" fontId="126" fillId="3" borderId="0" xfId="0" applyFont="1" applyFill="1" applyAlignment="1">
      <alignment horizontal="right"/>
    </xf>
    <xf numFmtId="0" fontId="50" fillId="3" borderId="0" xfId="0" applyFont="1" applyFill="1" applyAlignment="1">
      <alignment horizontal="right" vertical="center" indent="1"/>
    </xf>
    <xf numFmtId="0" fontId="50" fillId="3" borderId="0" xfId="0" applyFont="1" applyFill="1" applyAlignment="1">
      <alignment horizontal="right" vertical="center"/>
    </xf>
    <xf numFmtId="0" fontId="50" fillId="3" borderId="0" xfId="0" applyFont="1" applyFill="1" applyAlignment="1">
      <alignment horizontal="right"/>
    </xf>
    <xf numFmtId="0" fontId="6" fillId="3" borderId="0" xfId="0" applyFont="1" applyFill="1" applyAlignment="1">
      <alignment horizontal="right"/>
    </xf>
    <xf numFmtId="0" fontId="158" fillId="3" borderId="293" xfId="0" applyFont="1" applyFill="1" applyBorder="1" applyAlignment="1">
      <alignment horizontal="center" vertical="center"/>
    </xf>
    <xf numFmtId="0" fontId="158" fillId="0" borderId="282" xfId="0" applyFont="1" applyBorder="1" applyAlignment="1">
      <alignment horizontal="center" vertical="center"/>
    </xf>
    <xf numFmtId="0" fontId="3" fillId="2" borderId="0" xfId="0" applyFont="1" applyFill="1" applyAlignment="1">
      <alignment vertical="center"/>
    </xf>
    <xf numFmtId="0" fontId="0" fillId="75" borderId="370" xfId="0" applyFill="1" applyBorder="1" applyAlignment="1">
      <alignment horizontal="center" vertical="center"/>
    </xf>
    <xf numFmtId="0" fontId="0" fillId="75" borderId="371" xfId="0" applyFill="1" applyBorder="1" applyAlignment="1">
      <alignment horizontal="center" vertical="center"/>
    </xf>
    <xf numFmtId="0" fontId="0" fillId="75" borderId="372" xfId="0" applyFill="1" applyBorder="1" applyAlignment="1">
      <alignment horizontal="center" vertical="center"/>
    </xf>
    <xf numFmtId="0" fontId="0" fillId="3" borderId="371" xfId="0" applyFill="1" applyBorder="1" applyAlignment="1">
      <alignment horizontal="center" vertical="center"/>
    </xf>
    <xf numFmtId="0" fontId="0" fillId="3" borderId="373" xfId="0" applyFill="1" applyBorder="1" applyAlignment="1">
      <alignment horizontal="center" vertical="center"/>
    </xf>
    <xf numFmtId="167" fontId="52" fillId="3" borderId="0" xfId="47" applyNumberFormat="1" applyFont="1" applyFill="1" applyAlignment="1">
      <alignment vertical="center"/>
    </xf>
    <xf numFmtId="167" fontId="52" fillId="75" borderId="0" xfId="0" applyNumberFormat="1" applyFont="1" applyFill="1" applyAlignment="1">
      <alignment vertical="center"/>
    </xf>
    <xf numFmtId="0" fontId="42" fillId="0" borderId="0" xfId="0" applyFont="1"/>
    <xf numFmtId="167" fontId="52" fillId="79" borderId="241" xfId="5" applyFont="1" applyFill="1" applyBorder="1">
      <alignment horizontal="right" indent="2"/>
      <protection locked="0"/>
    </xf>
    <xf numFmtId="0" fontId="42" fillId="3" borderId="369" xfId="0" applyFont="1" applyFill="1" applyBorder="1" applyAlignment="1">
      <alignment horizontal="center" vertical="center" wrapText="1"/>
    </xf>
    <xf numFmtId="0" fontId="158" fillId="0" borderId="257" xfId="0" applyFont="1" applyBorder="1" applyAlignment="1">
      <alignment horizontal="center" vertical="center"/>
    </xf>
    <xf numFmtId="0" fontId="158" fillId="3" borderId="258" xfId="0" applyFont="1" applyFill="1" applyBorder="1" applyAlignment="1">
      <alignment horizontal="center" vertical="center"/>
    </xf>
    <xf numFmtId="0" fontId="159" fillId="3" borderId="262" xfId="0" applyFont="1" applyFill="1" applyBorder="1" applyAlignment="1">
      <alignment horizontal="center" vertical="center" wrapText="1"/>
    </xf>
    <xf numFmtId="0" fontId="35" fillId="19" borderId="0" xfId="0" applyFont="1" applyFill="1" applyAlignment="1">
      <alignment vertical="center"/>
    </xf>
    <xf numFmtId="0" fontId="5" fillId="19" borderId="0" xfId="0" applyFont="1" applyFill="1" applyAlignment="1">
      <alignment vertical="center"/>
    </xf>
    <xf numFmtId="0" fontId="52" fillId="69" borderId="0" xfId="7" applyFont="1" applyFill="1">
      <alignment vertical="center"/>
    </xf>
    <xf numFmtId="0" fontId="0" fillId="69" borderId="0" xfId="7" applyFont="1" applyFill="1">
      <alignment vertical="center"/>
    </xf>
    <xf numFmtId="0" fontId="3" fillId="2" borderId="390" xfId="4" applyFont="1" applyBorder="1">
      <alignment vertical="center"/>
      <protection locked="0"/>
    </xf>
    <xf numFmtId="0" fontId="3" fillId="2" borderId="389" xfId="4" applyFont="1" applyBorder="1">
      <alignment vertical="center"/>
      <protection locked="0"/>
    </xf>
    <xf numFmtId="0" fontId="5" fillId="19" borderId="0" xfId="0" applyFont="1" applyFill="1"/>
    <xf numFmtId="0" fontId="40" fillId="3" borderId="0" xfId="10" applyFont="1" applyFill="1" applyBorder="1" applyAlignment="1">
      <alignment horizontal="left" vertical="center"/>
    </xf>
    <xf numFmtId="0" fontId="5" fillId="19" borderId="0" xfId="0" applyFont="1" applyFill="1" applyAlignment="1">
      <alignment horizontal="center"/>
    </xf>
    <xf numFmtId="0" fontId="0" fillId="3" borderId="236" xfId="0" applyFill="1" applyBorder="1" applyAlignment="1">
      <alignment horizontal="center" vertical="center"/>
    </xf>
    <xf numFmtId="0" fontId="0" fillId="3" borderId="312" xfId="0" applyFill="1" applyBorder="1" applyAlignment="1">
      <alignment horizontal="center" vertical="center"/>
    </xf>
    <xf numFmtId="0" fontId="0" fillId="75" borderId="298" xfId="0" applyFill="1" applyBorder="1" applyAlignment="1">
      <alignment horizontal="center" vertical="center"/>
    </xf>
    <xf numFmtId="0" fontId="0" fillId="3" borderId="295" xfId="0" applyFill="1" applyBorder="1" applyAlignment="1">
      <alignment horizontal="center" vertical="center"/>
    </xf>
    <xf numFmtId="0" fontId="0" fillId="75" borderId="251" xfId="0" applyFill="1" applyBorder="1" applyAlignment="1">
      <alignment horizontal="center" vertical="center"/>
    </xf>
    <xf numFmtId="0" fontId="0" fillId="3" borderId="296" xfId="0" applyFill="1" applyBorder="1" applyAlignment="1">
      <alignment horizontal="center" vertical="center"/>
    </xf>
    <xf numFmtId="0" fontId="0" fillId="75" borderId="272" xfId="0" applyFill="1" applyBorder="1" applyAlignment="1">
      <alignment horizontal="center" vertical="center"/>
    </xf>
    <xf numFmtId="0" fontId="160" fillId="3" borderId="257" xfId="0" applyFont="1" applyFill="1" applyBorder="1" applyAlignment="1">
      <alignment horizontal="center" vertical="center"/>
    </xf>
    <xf numFmtId="0" fontId="160" fillId="3" borderId="258" xfId="0" applyFont="1" applyFill="1" applyBorder="1" applyAlignment="1">
      <alignment horizontal="center" vertical="center"/>
    </xf>
    <xf numFmtId="0" fontId="160" fillId="3" borderId="267" xfId="0" applyFont="1" applyFill="1" applyBorder="1" applyAlignment="1">
      <alignment horizontal="center" vertical="center"/>
    </xf>
    <xf numFmtId="0" fontId="133" fillId="3" borderId="294" xfId="0" applyFont="1" applyFill="1" applyBorder="1" applyAlignment="1">
      <alignment horizontal="center" vertical="center" wrapText="1"/>
    </xf>
    <xf numFmtId="0" fontId="159" fillId="3" borderId="294" xfId="0" applyFont="1" applyFill="1" applyBorder="1" applyAlignment="1">
      <alignment horizontal="center" vertical="center" wrapText="1"/>
    </xf>
    <xf numFmtId="0" fontId="42" fillId="19" borderId="0" xfId="0" applyFont="1" applyFill="1" applyAlignment="1">
      <alignment vertical="center"/>
    </xf>
    <xf numFmtId="0" fontId="133" fillId="0" borderId="370" xfId="0" applyFont="1" applyBorder="1" applyAlignment="1">
      <alignment horizontal="center" vertical="center"/>
    </xf>
    <xf numFmtId="0" fontId="133" fillId="3" borderId="371" xfId="0" applyFont="1" applyFill="1" applyBorder="1" applyAlignment="1">
      <alignment horizontal="center" vertical="center"/>
    </xf>
    <xf numFmtId="0" fontId="159" fillId="3" borderId="372" xfId="0" applyFont="1" applyFill="1" applyBorder="1" applyAlignment="1">
      <alignment horizontal="center" vertical="center" wrapText="1"/>
    </xf>
    <xf numFmtId="0" fontId="133" fillId="3" borderId="370" xfId="0" applyFont="1" applyFill="1" applyBorder="1" applyAlignment="1">
      <alignment horizontal="center" vertical="center"/>
    </xf>
    <xf numFmtId="0" fontId="0" fillId="3" borderId="366" xfId="0" applyFill="1" applyBorder="1" applyAlignment="1">
      <alignment horizontal="center" vertical="center"/>
    </xf>
    <xf numFmtId="0" fontId="159" fillId="3" borderId="371" xfId="0" applyFont="1" applyFill="1" applyBorder="1" applyAlignment="1">
      <alignment horizontal="center" vertical="center" wrapText="1"/>
    </xf>
    <xf numFmtId="0" fontId="133" fillId="7" borderId="387" xfId="0" applyFont="1" applyFill="1" applyBorder="1" applyAlignment="1">
      <alignment horizontal="center" vertical="center" wrapText="1"/>
    </xf>
    <xf numFmtId="0" fontId="52" fillId="3" borderId="391" xfId="0" applyFont="1" applyFill="1" applyBorder="1" applyAlignment="1">
      <alignment horizontal="center"/>
    </xf>
    <xf numFmtId="0" fontId="52" fillId="3" borderId="393" xfId="0" applyFont="1" applyFill="1" applyBorder="1" applyAlignment="1">
      <alignment horizontal="center"/>
    </xf>
    <xf numFmtId="0" fontId="0" fillId="75" borderId="394" xfId="0" applyFill="1" applyBorder="1" applyAlignment="1">
      <alignment horizontal="center" vertical="center"/>
    </xf>
    <xf numFmtId="0" fontId="0" fillId="75" borderId="396" xfId="0" applyFill="1" applyBorder="1" applyAlignment="1">
      <alignment horizontal="center" vertical="center"/>
    </xf>
    <xf numFmtId="49" fontId="40" fillId="4" borderId="237" xfId="9" applyFont="1" applyBorder="1" applyAlignment="1">
      <alignment horizontal="left" vertical="center" indent="1"/>
      <protection locked="0"/>
    </xf>
    <xf numFmtId="49" fontId="40" fillId="4" borderId="240" xfId="9" applyFont="1" applyBorder="1" applyAlignment="1">
      <alignment horizontal="left" vertical="center" indent="1"/>
      <protection locked="0"/>
    </xf>
    <xf numFmtId="49" fontId="40" fillId="4" borderId="242" xfId="9" applyFont="1" applyBorder="1" applyAlignment="1">
      <alignment horizontal="left" vertical="center" indent="1"/>
      <protection locked="0"/>
    </xf>
    <xf numFmtId="0" fontId="126" fillId="3" borderId="403" xfId="0" applyFont="1" applyFill="1" applyBorder="1" applyAlignment="1">
      <alignment horizontal="center" vertical="center" wrapText="1"/>
    </xf>
    <xf numFmtId="0" fontId="126" fillId="3" borderId="404" xfId="0" applyFont="1" applyFill="1" applyBorder="1" applyAlignment="1">
      <alignment horizontal="center" vertical="center" wrapText="1"/>
    </xf>
    <xf numFmtId="0" fontId="151" fillId="0" borderId="282" xfId="0" applyFont="1" applyBorder="1" applyAlignment="1">
      <alignment horizontal="center" vertical="center"/>
    </xf>
    <xf numFmtId="0" fontId="151" fillId="3" borderId="293" xfId="0" applyFont="1" applyFill="1" applyBorder="1" applyAlignment="1">
      <alignment horizontal="center" vertical="center"/>
    </xf>
    <xf numFmtId="0" fontId="126" fillId="63" borderId="410" xfId="0" applyFont="1" applyFill="1" applyBorder="1" applyAlignment="1">
      <alignment horizontal="center" vertical="center" wrapText="1"/>
    </xf>
    <xf numFmtId="0" fontId="126" fillId="63" borderId="411" xfId="0" applyFont="1" applyFill="1" applyBorder="1" applyAlignment="1">
      <alignment horizontal="center" vertical="center" wrapText="1"/>
    </xf>
    <xf numFmtId="0" fontId="40" fillId="70" borderId="237" xfId="9" applyNumberFormat="1" applyFont="1" applyFill="1" applyBorder="1" applyAlignment="1">
      <alignment horizontal="left" vertical="center" indent="1"/>
      <protection locked="0"/>
    </xf>
    <xf numFmtId="0" fontId="40" fillId="70" borderId="240" xfId="9" applyNumberFormat="1" applyFont="1" applyFill="1" applyBorder="1" applyAlignment="1">
      <alignment horizontal="left" vertical="center" indent="1"/>
      <protection locked="0"/>
    </xf>
    <xf numFmtId="0" fontId="40" fillId="70" borderId="242" xfId="9" applyNumberFormat="1" applyFont="1" applyFill="1" applyBorder="1" applyAlignment="1">
      <alignment horizontal="left" vertical="center" indent="1"/>
      <protection locked="0"/>
    </xf>
    <xf numFmtId="0" fontId="164" fillId="0" borderId="405" xfId="0" applyFont="1" applyBorder="1" applyAlignment="1">
      <alignment horizontal="center" vertical="center"/>
    </xf>
    <xf numFmtId="0" fontId="164" fillId="0" borderId="283" xfId="0" applyFont="1" applyBorder="1" applyAlignment="1">
      <alignment horizontal="center" vertical="center"/>
    </xf>
    <xf numFmtId="0" fontId="164" fillId="3" borderId="293" xfId="0" applyFont="1" applyFill="1" applyBorder="1" applyAlignment="1">
      <alignment horizontal="center" vertical="center"/>
    </xf>
    <xf numFmtId="0" fontId="163" fillId="3" borderId="294" xfId="0" applyFont="1" applyFill="1" applyBorder="1" applyAlignment="1">
      <alignment horizontal="center" vertical="center" wrapText="1"/>
    </xf>
    <xf numFmtId="0" fontId="163" fillId="3" borderId="286" xfId="0" applyFont="1" applyFill="1" applyBorder="1" applyAlignment="1">
      <alignment horizontal="center" vertical="center" wrapText="1"/>
    </xf>
    <xf numFmtId="0" fontId="164" fillId="3" borderId="406" xfId="0" applyFont="1" applyFill="1" applyBorder="1" applyAlignment="1">
      <alignment horizontal="center" vertical="center"/>
    </xf>
    <xf numFmtId="0" fontId="163" fillId="3" borderId="407" xfId="0" applyFont="1" applyFill="1" applyBorder="1" applyAlignment="1">
      <alignment horizontal="center" vertical="center" wrapText="1"/>
    </xf>
    <xf numFmtId="0" fontId="159" fillId="3" borderId="287" xfId="0" applyFont="1" applyFill="1" applyBorder="1" applyAlignment="1">
      <alignment horizontal="center" vertical="center" wrapText="1"/>
    </xf>
    <xf numFmtId="0" fontId="164" fillId="0" borderId="282" xfId="0" applyFont="1" applyBorder="1" applyAlignment="1">
      <alignment horizontal="center" vertical="center"/>
    </xf>
    <xf numFmtId="0" fontId="1" fillId="69" borderId="0" xfId="7" applyFont="1" applyFill="1">
      <alignment vertical="center"/>
    </xf>
    <xf numFmtId="0" fontId="133" fillId="3" borderId="405" xfId="0" applyFont="1" applyFill="1" applyBorder="1" applyAlignment="1">
      <alignment horizontal="center" vertical="center"/>
    </xf>
    <xf numFmtId="0" fontId="159" fillId="3" borderId="407" xfId="0" applyFont="1" applyFill="1" applyBorder="1" applyAlignment="1">
      <alignment horizontal="center" vertical="center" wrapText="1"/>
    </xf>
    <xf numFmtId="0" fontId="158" fillId="0" borderId="405" xfId="0" applyFont="1" applyBorder="1" applyAlignment="1">
      <alignment horizontal="center" vertical="center"/>
    </xf>
    <xf numFmtId="0" fontId="158" fillId="3" borderId="406" xfId="0" applyFont="1" applyFill="1" applyBorder="1" applyAlignment="1">
      <alignment horizontal="center" vertical="center"/>
    </xf>
    <xf numFmtId="0" fontId="0" fillId="3" borderId="408" xfId="0" applyFill="1" applyBorder="1"/>
    <xf numFmtId="0" fontId="0" fillId="3" borderId="409" xfId="0" applyFill="1" applyBorder="1"/>
    <xf numFmtId="0" fontId="0" fillId="3" borderId="354" xfId="0" applyFill="1" applyBorder="1"/>
    <xf numFmtId="0" fontId="0" fillId="3" borderId="356" xfId="0" applyFill="1" applyBorder="1"/>
    <xf numFmtId="0" fontId="0" fillId="3" borderId="405" xfId="0" applyFill="1" applyBorder="1"/>
    <xf numFmtId="0" fontId="0" fillId="3" borderId="407" xfId="0" applyFill="1" applyBorder="1"/>
    <xf numFmtId="0" fontId="30" fillId="2" borderId="1" xfId="1" quotePrefix="1" applyNumberFormat="1" applyFont="1" applyBorder="1" applyAlignment="1">
      <alignment horizontal="centerContinuous" vertical="center"/>
    </xf>
    <xf numFmtId="0" fontId="30" fillId="2" borderId="3" xfId="1" applyNumberFormat="1" applyFont="1" applyBorder="1" applyAlignment="1">
      <alignment horizontal="centerContinuous" vertical="center"/>
    </xf>
    <xf numFmtId="0" fontId="30" fillId="2" borderId="4" xfId="1" quotePrefix="1" applyNumberFormat="1" applyFont="1" applyBorder="1" applyAlignment="1">
      <alignment horizontal="centerContinuous" vertical="center"/>
    </xf>
    <xf numFmtId="0" fontId="30" fillId="2" borderId="5" xfId="1" applyNumberFormat="1" applyFont="1" applyBorder="1" applyAlignment="1">
      <alignment horizontal="centerContinuous" vertical="center"/>
    </xf>
    <xf numFmtId="0" fontId="30" fillId="2" borderId="6" xfId="1" quotePrefix="1" applyNumberFormat="1" applyFont="1" applyBorder="1" applyAlignment="1">
      <alignment horizontal="centerContinuous" vertical="center"/>
    </xf>
    <xf numFmtId="0" fontId="30" fillId="2" borderId="8" xfId="1" applyNumberFormat="1" applyFont="1" applyBorder="1" applyAlignment="1">
      <alignment horizontal="centerContinuous" vertical="center"/>
    </xf>
    <xf numFmtId="0" fontId="78" fillId="0" borderId="0" xfId="45" applyFont="1"/>
    <xf numFmtId="0" fontId="78" fillId="3" borderId="0" xfId="45" applyFont="1" applyFill="1"/>
    <xf numFmtId="0" fontId="87" fillId="3" borderId="0" xfId="45" applyFill="1"/>
    <xf numFmtId="0" fontId="87" fillId="3" borderId="0" xfId="45" applyFill="1" applyAlignment="1">
      <alignment vertical="center" wrapText="1"/>
    </xf>
    <xf numFmtId="0" fontId="86" fillId="3" borderId="0" xfId="45" applyFont="1" applyFill="1" applyAlignment="1">
      <alignment horizontal="left" vertical="center"/>
    </xf>
    <xf numFmtId="0" fontId="87" fillId="3" borderId="0" xfId="45" applyFill="1" applyAlignment="1">
      <alignment horizontal="left" vertical="center" wrapText="1"/>
    </xf>
    <xf numFmtId="0" fontId="78" fillId="3" borderId="0" xfId="45" applyFont="1" applyFill="1" applyAlignment="1">
      <alignment vertical="center"/>
    </xf>
    <xf numFmtId="0" fontId="87" fillId="81" borderId="0" xfId="45" applyFill="1" applyAlignment="1">
      <alignment vertical="center"/>
    </xf>
    <xf numFmtId="0" fontId="19" fillId="3" borderId="0" xfId="45" applyFont="1" applyFill="1" applyAlignment="1">
      <alignment horizontal="left" vertical="center"/>
    </xf>
    <xf numFmtId="0" fontId="87" fillId="3" borderId="0" xfId="45" applyFill="1" applyAlignment="1">
      <alignment horizontal="left" vertical="center" indent="5"/>
    </xf>
    <xf numFmtId="0" fontId="87" fillId="3" borderId="0" xfId="45" quotePrefix="1" applyFill="1" applyAlignment="1">
      <alignment horizontal="left" vertical="center" wrapText="1" indent="2"/>
    </xf>
    <xf numFmtId="0" fontId="168" fillId="3" borderId="0" xfId="45" applyFont="1" applyFill="1"/>
    <xf numFmtId="0" fontId="154" fillId="70" borderId="0" xfId="50" applyFont="1" applyFill="1" applyBorder="1" applyAlignment="1">
      <alignment vertical="center"/>
    </xf>
    <xf numFmtId="0" fontId="170" fillId="3" borderId="0" xfId="45" applyFont="1" applyFill="1" applyAlignment="1">
      <alignment horizontal="center" vertical="center"/>
    </xf>
    <xf numFmtId="167" fontId="171" fillId="3" borderId="0" xfId="45" applyNumberFormat="1" applyFont="1" applyFill="1" applyAlignment="1">
      <alignment vertical="center"/>
    </xf>
    <xf numFmtId="167" fontId="52" fillId="75" borderId="0" xfId="0" applyNumberFormat="1" applyFont="1" applyFill="1"/>
    <xf numFmtId="0" fontId="171" fillId="3" borderId="0" xfId="45" applyFont="1" applyFill="1"/>
    <xf numFmtId="0" fontId="52" fillId="70" borderId="0" xfId="0" applyFont="1" applyFill="1" applyAlignment="1">
      <alignment vertical="center"/>
    </xf>
    <xf numFmtId="167" fontId="52" fillId="3" borderId="0" xfId="51" applyNumberFormat="1" applyFont="1" applyFill="1" applyAlignment="1">
      <alignment vertical="center"/>
    </xf>
    <xf numFmtId="167" fontId="52" fillId="3" borderId="0" xfId="51" applyNumberFormat="1" applyFont="1" applyFill="1"/>
    <xf numFmtId="0" fontId="3" fillId="82" borderId="0" xfId="0" applyFont="1" applyFill="1" applyAlignment="1">
      <alignment horizontal="left" vertical="center" indent="1"/>
    </xf>
    <xf numFmtId="0" fontId="3" fillId="82" borderId="0" xfId="0" applyFont="1" applyFill="1" applyAlignment="1">
      <alignment vertical="center" wrapText="1"/>
    </xf>
    <xf numFmtId="0" fontId="31" fillId="75" borderId="0" xfId="52" applyFont="1" applyFill="1" applyAlignment="1">
      <alignment horizontal="left" vertical="center" indent="1"/>
    </xf>
    <xf numFmtId="0" fontId="31" fillId="75" borderId="0" xfId="52" applyFont="1" applyFill="1" applyAlignment="1">
      <alignment vertical="center" wrapText="1"/>
    </xf>
    <xf numFmtId="0" fontId="0" fillId="83" borderId="233" xfId="0" applyFill="1" applyBorder="1" applyAlignment="1">
      <alignment horizontal="center" vertical="center"/>
    </xf>
    <xf numFmtId="0" fontId="0" fillId="83" borderId="355" xfId="0" applyFill="1" applyBorder="1" applyAlignment="1">
      <alignment horizontal="center" vertical="center"/>
    </xf>
    <xf numFmtId="0" fontId="0" fillId="3" borderId="412" xfId="0" applyFill="1" applyBorder="1" applyAlignment="1">
      <alignment vertical="center"/>
    </xf>
    <xf numFmtId="0" fontId="0" fillId="3" borderId="413" xfId="0" applyFill="1" applyBorder="1" applyAlignment="1">
      <alignment vertical="center" wrapText="1"/>
    </xf>
    <xf numFmtId="0" fontId="0" fillId="3" borderId="314" xfId="0" applyFill="1" applyBorder="1" applyAlignment="1">
      <alignment vertical="center" wrapText="1"/>
    </xf>
    <xf numFmtId="0" fontId="0" fillId="3" borderId="414" xfId="0" applyFill="1" applyBorder="1" applyAlignment="1">
      <alignment vertical="center"/>
    </xf>
    <xf numFmtId="0" fontId="0" fillId="3" borderId="415" xfId="0" applyFill="1" applyBorder="1" applyAlignment="1">
      <alignment vertical="center" wrapText="1"/>
    </xf>
    <xf numFmtId="0" fontId="0" fillId="3" borderId="416" xfId="0" applyFill="1" applyBorder="1" applyAlignment="1">
      <alignment vertical="center" wrapText="1"/>
    </xf>
    <xf numFmtId="0" fontId="0" fillId="3" borderId="314" xfId="0" applyFill="1" applyBorder="1" applyAlignment="1">
      <alignment horizontal="left" vertical="center"/>
    </xf>
    <xf numFmtId="0" fontId="0" fillId="3" borderId="417" xfId="0" applyFill="1" applyBorder="1" applyAlignment="1">
      <alignment vertical="center"/>
    </xf>
    <xf numFmtId="0" fontId="0" fillId="3" borderId="418" xfId="0" applyFill="1" applyBorder="1" applyAlignment="1">
      <alignment vertical="center" wrapText="1"/>
    </xf>
    <xf numFmtId="0" fontId="0" fillId="3" borderId="419" xfId="0" applyFill="1" applyBorder="1" applyAlignment="1">
      <alignment horizontal="left" vertical="center"/>
    </xf>
    <xf numFmtId="0" fontId="40" fillId="3" borderId="0" xfId="0" applyFont="1" applyFill="1" applyAlignment="1">
      <alignment horizontal="center" vertical="center" wrapText="1"/>
    </xf>
    <xf numFmtId="0" fontId="42" fillId="3" borderId="377" xfId="0" applyFont="1" applyFill="1" applyBorder="1" applyAlignment="1">
      <alignment horizontal="center" vertical="center" wrapText="1"/>
    </xf>
    <xf numFmtId="0" fontId="42" fillId="3" borderId="378" xfId="0" applyFont="1" applyFill="1" applyBorder="1" applyAlignment="1">
      <alignment horizontal="center" vertical="center" wrapText="1"/>
    </xf>
    <xf numFmtId="0" fontId="42" fillId="3" borderId="379" xfId="0" applyFont="1" applyFill="1" applyBorder="1" applyAlignment="1">
      <alignment horizontal="center" vertical="center" wrapText="1"/>
    </xf>
    <xf numFmtId="165" fontId="42" fillId="3" borderId="421" xfId="44" applyNumberFormat="1" applyFont="1" applyFill="1" applyBorder="1" applyAlignment="1">
      <alignment horizontal="center" vertical="center" wrapText="1"/>
    </xf>
    <xf numFmtId="165" fontId="42" fillId="3" borderId="422" xfId="44" applyNumberFormat="1" applyFont="1" applyFill="1" applyBorder="1" applyAlignment="1">
      <alignment horizontal="center" vertical="center" wrapText="1"/>
    </xf>
    <xf numFmtId="165" fontId="42" fillId="3" borderId="423" xfId="44" applyNumberFormat="1" applyFont="1" applyFill="1" applyBorder="1" applyAlignment="1">
      <alignment horizontal="center" vertical="center" wrapText="1"/>
    </xf>
    <xf numFmtId="0" fontId="173" fillId="3" borderId="326" xfId="0" applyFont="1" applyFill="1" applyBorder="1" applyAlignment="1">
      <alignment horizontal="center" vertical="center" wrapText="1"/>
    </xf>
    <xf numFmtId="0" fontId="161" fillId="3" borderId="328" xfId="0" applyFont="1" applyFill="1" applyBorder="1" applyAlignment="1">
      <alignment horizontal="center" vertical="center" wrapText="1"/>
    </xf>
    <xf numFmtId="0" fontId="160" fillId="0" borderId="326" xfId="0" applyFont="1" applyBorder="1" applyAlignment="1">
      <alignment horizontal="center" vertical="center" wrapText="1"/>
    </xf>
    <xf numFmtId="0" fontId="160" fillId="3" borderId="327" xfId="0" applyFont="1" applyFill="1" applyBorder="1" applyAlignment="1">
      <alignment horizontal="center" vertical="center" wrapText="1"/>
    </xf>
    <xf numFmtId="0" fontId="161" fillId="3" borderId="332" xfId="0" applyFont="1" applyFill="1" applyBorder="1" applyAlignment="1">
      <alignment horizontal="center" vertical="center" wrapText="1"/>
    </xf>
    <xf numFmtId="0" fontId="173" fillId="3" borderId="156" xfId="0" applyFont="1" applyFill="1" applyBorder="1" applyAlignment="1">
      <alignment horizontal="center" vertical="center" wrapText="1"/>
    </xf>
    <xf numFmtId="0" fontId="126" fillId="2" borderId="0" xfId="4" applyFont="1">
      <alignment vertical="center"/>
      <protection locked="0"/>
    </xf>
    <xf numFmtId="0" fontId="174" fillId="23" borderId="0" xfId="37" applyFont="1" applyProtection="1">
      <alignment vertical="center"/>
    </xf>
    <xf numFmtId="0" fontId="126" fillId="2" borderId="0" xfId="35" applyFont="1">
      <alignment vertical="center"/>
      <protection locked="0"/>
    </xf>
    <xf numFmtId="0" fontId="126" fillId="2" borderId="0" xfId="0" applyFont="1" applyFill="1" applyAlignment="1">
      <alignment vertical="center"/>
    </xf>
    <xf numFmtId="0" fontId="40" fillId="69" borderId="0" xfId="7" applyFont="1" applyFill="1">
      <alignment vertical="center"/>
    </xf>
    <xf numFmtId="0" fontId="52" fillId="69" borderId="0" xfId="0" applyFont="1" applyFill="1"/>
    <xf numFmtId="0" fontId="42" fillId="3" borderId="425" xfId="0" applyFont="1" applyFill="1" applyBorder="1" applyAlignment="1">
      <alignment horizontal="center" vertical="center" wrapText="1"/>
    </xf>
    <xf numFmtId="0" fontId="42" fillId="3" borderId="426" xfId="0" applyFont="1" applyFill="1" applyBorder="1" applyAlignment="1">
      <alignment horizontal="center" vertical="center" wrapText="1"/>
    </xf>
    <xf numFmtId="0" fontId="42" fillId="3" borderId="427" xfId="0" applyFont="1" applyFill="1" applyBorder="1" applyAlignment="1">
      <alignment horizontal="center" vertical="center" wrapText="1"/>
    </xf>
    <xf numFmtId="167" fontId="40" fillId="59" borderId="215" xfId="0" applyNumberFormat="1" applyFont="1" applyFill="1" applyBorder="1" applyAlignment="1">
      <alignment horizontal="left" vertical="center"/>
    </xf>
    <xf numFmtId="167" fontId="175" fillId="59" borderId="215" xfId="0" applyNumberFormat="1" applyFont="1" applyFill="1" applyBorder="1" applyAlignment="1">
      <alignment horizontal="left" vertical="center"/>
    </xf>
    <xf numFmtId="167" fontId="40" fillId="36" borderId="215" xfId="0" applyNumberFormat="1" applyFont="1" applyFill="1" applyBorder="1" applyAlignment="1">
      <alignment horizontal="left" vertical="center"/>
    </xf>
    <xf numFmtId="167" fontId="154" fillId="36" borderId="215" xfId="0" applyNumberFormat="1" applyFont="1" applyFill="1" applyBorder="1" applyAlignment="1">
      <alignment horizontal="left" vertical="center"/>
    </xf>
    <xf numFmtId="167" fontId="40" fillId="37" borderId="215" xfId="0" applyNumberFormat="1" applyFont="1" applyFill="1" applyBorder="1" applyAlignment="1">
      <alignment horizontal="left" vertical="center"/>
    </xf>
    <xf numFmtId="167" fontId="154" fillId="60" borderId="215" xfId="0" applyNumberFormat="1" applyFont="1" applyFill="1" applyBorder="1" applyAlignment="1">
      <alignment horizontal="left" vertical="center"/>
    </xf>
    <xf numFmtId="167" fontId="40" fillId="62" borderId="305" xfId="0" applyNumberFormat="1" applyFont="1" applyFill="1" applyBorder="1" applyAlignment="1">
      <alignment horizontal="left" vertical="center"/>
    </xf>
    <xf numFmtId="167" fontId="40" fillId="62" borderId="278" xfId="0" applyNumberFormat="1" applyFont="1" applyFill="1" applyBorder="1" applyAlignment="1">
      <alignment horizontal="left" vertical="center"/>
    </xf>
    <xf numFmtId="167" fontId="40" fillId="62" borderId="306" xfId="0" applyNumberFormat="1" applyFont="1" applyFill="1" applyBorder="1" applyAlignment="1">
      <alignment horizontal="left" vertical="center"/>
    </xf>
    <xf numFmtId="167" fontId="40" fillId="62" borderId="248" xfId="0" applyNumberFormat="1" applyFont="1" applyFill="1" applyBorder="1" applyAlignment="1">
      <alignment horizontal="left" vertical="center" wrapText="1"/>
    </xf>
    <xf numFmtId="167" fontId="154" fillId="61" borderId="248" xfId="0" applyNumberFormat="1" applyFont="1" applyFill="1" applyBorder="1" applyAlignment="1">
      <alignment horizontal="left" vertical="center"/>
    </xf>
    <xf numFmtId="0" fontId="38" fillId="19" borderId="0" xfId="0" applyFont="1" applyFill="1"/>
    <xf numFmtId="0" fontId="35" fillId="19" borderId="0" xfId="0" applyFont="1" applyFill="1"/>
    <xf numFmtId="0" fontId="52" fillId="69" borderId="0" xfId="0" applyFont="1" applyFill="1" applyProtection="1">
      <protection hidden="1"/>
    </xf>
    <xf numFmtId="0" fontId="159" fillId="3" borderId="293" xfId="0" applyFont="1" applyFill="1" applyBorder="1" applyAlignment="1">
      <alignment horizontal="center" vertical="center" wrapText="1"/>
    </xf>
    <xf numFmtId="167" fontId="52" fillId="14" borderId="233" xfId="5" applyFont="1" applyFill="1" applyBorder="1" applyAlignment="1">
      <alignment horizontal="center" vertical="center"/>
      <protection locked="0"/>
    </xf>
    <xf numFmtId="167" fontId="52" fillId="14" borderId="243" xfId="5" applyFont="1" applyFill="1" applyBorder="1" applyAlignment="1">
      <alignment horizontal="center" vertical="center"/>
      <protection locked="0"/>
    </xf>
    <xf numFmtId="167" fontId="52" fillId="14" borderId="238" xfId="5" applyFont="1" applyFill="1" applyBorder="1" applyAlignment="1">
      <alignment horizontal="left" vertical="center" indent="2"/>
      <protection locked="0"/>
    </xf>
    <xf numFmtId="167" fontId="52" fillId="14" borderId="233" xfId="5" applyFont="1" applyFill="1" applyBorder="1" applyAlignment="1">
      <alignment horizontal="left" vertical="center" indent="2"/>
      <protection locked="0"/>
    </xf>
    <xf numFmtId="167" fontId="52" fillId="14" borderId="243" xfId="5" applyFont="1" applyFill="1" applyBorder="1" applyAlignment="1">
      <alignment horizontal="left" vertical="center" indent="2"/>
      <protection locked="0"/>
    </xf>
    <xf numFmtId="167" fontId="52" fillId="14" borderId="239" xfId="5" applyFont="1" applyFill="1" applyBorder="1" applyAlignment="1">
      <alignment horizontal="left" vertical="center" indent="2"/>
      <protection locked="0"/>
    </xf>
    <xf numFmtId="167" fontId="52" fillId="14" borderId="241" xfId="5" applyFont="1" applyFill="1" applyBorder="1" applyAlignment="1">
      <alignment horizontal="left" vertical="center" indent="2"/>
      <protection locked="0"/>
    </xf>
    <xf numFmtId="167" fontId="52" fillId="14" borderId="244" xfId="5" applyFont="1" applyFill="1" applyBorder="1" applyAlignment="1">
      <alignment horizontal="left" vertical="center" indent="2"/>
      <protection locked="0"/>
    </xf>
    <xf numFmtId="0" fontId="126" fillId="63" borderId="369" xfId="0" applyFont="1" applyFill="1" applyBorder="1" applyAlignment="1">
      <alignment horizontal="center" vertical="center"/>
    </xf>
    <xf numFmtId="0" fontId="0" fillId="69" borderId="0" xfId="0" applyFill="1"/>
    <xf numFmtId="0" fontId="172" fillId="69" borderId="0" xfId="7" applyFont="1" applyFill="1">
      <alignment vertical="center"/>
    </xf>
    <xf numFmtId="0" fontId="52" fillId="2" borderId="0" xfId="0" applyFont="1" applyFill="1"/>
    <xf numFmtId="0" fontId="35" fillId="2" borderId="0" xfId="0" applyFont="1" applyFill="1"/>
    <xf numFmtId="165" fontId="126" fillId="2" borderId="0" xfId="44" applyNumberFormat="1" applyFont="1" applyFill="1" applyAlignment="1">
      <alignment vertical="center"/>
    </xf>
    <xf numFmtId="0" fontId="126" fillId="2" borderId="388" xfId="4" applyFont="1" applyBorder="1">
      <alignment vertical="center"/>
      <protection locked="0"/>
    </xf>
    <xf numFmtId="0" fontId="132" fillId="7" borderId="0" xfId="0" applyFont="1" applyFill="1" applyAlignment="1">
      <alignment horizontal="left" vertical="center"/>
    </xf>
    <xf numFmtId="0" fontId="40" fillId="3" borderId="233" xfId="23" applyFont="1" applyFill="1" applyBorder="1" applyAlignment="1">
      <alignment horizontal="center" vertical="center"/>
    </xf>
    <xf numFmtId="167" fontId="40" fillId="4" borderId="233" xfId="14" applyFont="1" applyBorder="1">
      <alignment horizontal="right"/>
      <protection locked="0"/>
    </xf>
    <xf numFmtId="167" fontId="40" fillId="4" borderId="237" xfId="14" applyFont="1" applyBorder="1">
      <alignment horizontal="right"/>
      <protection locked="0"/>
    </xf>
    <xf numFmtId="167" fontId="40" fillId="4" borderId="239" xfId="14" applyFont="1" applyBorder="1">
      <alignment horizontal="right"/>
      <protection locked="0"/>
    </xf>
    <xf numFmtId="167" fontId="40" fillId="4" borderId="240" xfId="14" applyFont="1" applyBorder="1">
      <alignment horizontal="right"/>
      <protection locked="0"/>
    </xf>
    <xf numFmtId="167" fontId="40" fillId="4" borderId="241" xfId="14" applyFont="1" applyBorder="1">
      <alignment horizontal="right"/>
      <protection locked="0"/>
    </xf>
    <xf numFmtId="167" fontId="40" fillId="4" borderId="242" xfId="14" applyFont="1" applyBorder="1">
      <alignment horizontal="right"/>
      <protection locked="0"/>
    </xf>
    <xf numFmtId="167" fontId="40" fillId="4" borderId="244" xfId="14" applyFont="1" applyBorder="1">
      <alignment horizontal="right"/>
      <protection locked="0"/>
    </xf>
    <xf numFmtId="0" fontId="40" fillId="0" borderId="237" xfId="34" applyFont="1" applyBorder="1">
      <alignment horizontal="left" vertical="center" wrapText="1" indent="1"/>
    </xf>
    <xf numFmtId="0" fontId="40" fillId="0" borderId="240" xfId="34" applyFont="1" applyBorder="1">
      <alignment horizontal="left" vertical="center" wrapText="1" indent="1"/>
    </xf>
    <xf numFmtId="0" fontId="40" fillId="0" borderId="242" xfId="34" applyFont="1" applyBorder="1">
      <alignment horizontal="left" vertical="center" wrapText="1" indent="1"/>
    </xf>
    <xf numFmtId="0" fontId="126" fillId="66" borderId="237" xfId="23" applyFont="1" applyBorder="1" applyAlignment="1">
      <alignment horizontal="centerContinuous" vertical="center" wrapText="1"/>
    </xf>
    <xf numFmtId="0" fontId="126" fillId="66" borderId="239" xfId="23" applyFont="1" applyBorder="1" applyAlignment="1">
      <alignment horizontal="centerContinuous" vertical="center" wrapText="1"/>
    </xf>
    <xf numFmtId="0" fontId="42" fillId="3" borderId="0" xfId="23" applyFont="1" applyFill="1">
      <alignment horizontal="center" vertical="center" wrapText="1"/>
    </xf>
    <xf numFmtId="0" fontId="42" fillId="3" borderId="242" xfId="23" applyFont="1" applyFill="1" applyBorder="1">
      <alignment horizontal="center" vertical="center" wrapText="1"/>
    </xf>
    <xf numFmtId="0" fontId="42" fillId="3" borderId="244" xfId="23" applyFont="1" applyFill="1" applyBorder="1">
      <alignment horizontal="center" vertical="center" wrapText="1"/>
    </xf>
    <xf numFmtId="0" fontId="19" fillId="3" borderId="0" xfId="0" applyFont="1" applyFill="1" applyAlignment="1">
      <alignment horizontal="right" indent="1"/>
    </xf>
    <xf numFmtId="0" fontId="42" fillId="3" borderId="428" xfId="23" applyFont="1" applyFill="1" applyBorder="1">
      <alignment horizontal="center" vertical="center" wrapText="1"/>
    </xf>
    <xf numFmtId="0" fontId="42" fillId="3" borderId="429" xfId="23" applyFont="1" applyFill="1" applyBorder="1">
      <alignment horizontal="center" vertical="center" wrapText="1"/>
    </xf>
    <xf numFmtId="0" fontId="40" fillId="3" borderId="238" xfId="23" applyFont="1" applyFill="1" applyBorder="1" applyAlignment="1">
      <alignment horizontal="center" vertical="center"/>
    </xf>
    <xf numFmtId="167" fontId="40" fillId="4" borderId="238" xfId="14" applyFont="1" applyBorder="1">
      <alignment horizontal="right"/>
      <protection locked="0"/>
    </xf>
    <xf numFmtId="0" fontId="40" fillId="3" borderId="243" xfId="23" applyFont="1" applyFill="1" applyBorder="1" applyAlignment="1">
      <alignment horizontal="center" vertical="center"/>
    </xf>
    <xf numFmtId="167" fontId="40" fillId="4" borderId="243" xfId="14" applyFont="1" applyBorder="1">
      <alignment horizontal="right"/>
      <protection locked="0"/>
    </xf>
    <xf numFmtId="0" fontId="126" fillId="63" borderId="376" xfId="0" applyFont="1" applyFill="1" applyBorder="1" applyAlignment="1">
      <alignment horizontal="centerContinuous" vertical="center" wrapText="1"/>
    </xf>
    <xf numFmtId="0" fontId="151" fillId="0" borderId="405" xfId="0" applyFont="1" applyBorder="1" applyAlignment="1">
      <alignment horizontal="center" vertical="center"/>
    </xf>
    <xf numFmtId="0" fontId="151" fillId="3" borderId="406" xfId="0" applyFont="1" applyFill="1" applyBorder="1" applyAlignment="1">
      <alignment horizontal="center" vertical="center"/>
    </xf>
    <xf numFmtId="0" fontId="161" fillId="3" borderId="406" xfId="0" applyFont="1" applyFill="1" applyBorder="1" applyAlignment="1">
      <alignment horizontal="center" vertical="center" wrapText="1"/>
    </xf>
    <xf numFmtId="0" fontId="151" fillId="3" borderId="407" xfId="0" applyFont="1" applyFill="1" applyBorder="1" applyAlignment="1">
      <alignment horizontal="center" vertical="center" wrapText="1"/>
    </xf>
    <xf numFmtId="0" fontId="40" fillId="4" borderId="240" xfId="0" applyFont="1" applyFill="1" applyBorder="1" applyAlignment="1">
      <alignment horizontal="left" vertical="center" wrapText="1" indent="3"/>
    </xf>
    <xf numFmtId="167" fontId="149" fillId="59" borderId="215" xfId="0" applyNumberFormat="1" applyFont="1" applyFill="1" applyBorder="1" applyAlignment="1">
      <alignment horizontal="left" vertical="center"/>
    </xf>
    <xf numFmtId="167" fontId="172" fillId="36" borderId="215" xfId="0" applyNumberFormat="1" applyFont="1" applyFill="1" applyBorder="1" applyAlignment="1">
      <alignment horizontal="left" vertical="center"/>
    </xf>
    <xf numFmtId="167" fontId="172" fillId="60" borderId="215" xfId="0" applyNumberFormat="1" applyFont="1" applyFill="1" applyBorder="1" applyAlignment="1">
      <alignment horizontal="left" vertical="center"/>
    </xf>
    <xf numFmtId="167" fontId="172" fillId="61" borderId="248" xfId="0" applyNumberFormat="1" applyFont="1" applyFill="1" applyBorder="1" applyAlignment="1">
      <alignment horizontal="left" vertical="center"/>
    </xf>
    <xf numFmtId="10" fontId="40" fillId="21" borderId="220" xfId="16" applyFont="1" applyBorder="1" applyAlignment="1">
      <alignment horizontal="right" vertical="center"/>
      <protection locked="0"/>
    </xf>
    <xf numFmtId="0" fontId="0" fillId="3" borderId="386" xfId="0" applyFill="1" applyBorder="1"/>
    <xf numFmtId="0" fontId="152" fillId="3" borderId="0" xfId="0" applyFont="1" applyFill="1" applyAlignment="1">
      <alignment horizontal="right" vertical="center" indent="1"/>
    </xf>
    <xf numFmtId="0" fontId="176" fillId="3" borderId="0" xfId="0" applyFont="1" applyFill="1" applyAlignment="1">
      <alignment vertical="center"/>
    </xf>
    <xf numFmtId="0" fontId="5" fillId="54" borderId="430" xfId="0" applyFont="1" applyFill="1" applyBorder="1" applyAlignment="1">
      <alignment horizontal="left" vertical="center" indent="1"/>
    </xf>
    <xf numFmtId="0" fontId="126" fillId="54" borderId="431" xfId="0" applyFont="1" applyFill="1" applyBorder="1" applyAlignment="1">
      <alignment horizontal="center" vertical="center"/>
    </xf>
    <xf numFmtId="0" fontId="126" fillId="54" borderId="431" xfId="0" applyFont="1" applyFill="1" applyBorder="1" applyAlignment="1">
      <alignment horizontal="center" vertical="center" wrapText="1"/>
    </xf>
    <xf numFmtId="0" fontId="0" fillId="3" borderId="413" xfId="0" applyFill="1" applyBorder="1" applyAlignment="1">
      <alignment horizontal="left" vertical="center"/>
    </xf>
    <xf numFmtId="0" fontId="0" fillId="3" borderId="314" xfId="0" applyFill="1" applyBorder="1" applyAlignment="1">
      <alignment vertical="center"/>
    </xf>
    <xf numFmtId="0" fontId="0" fillId="3" borderId="413" xfId="0" applyFill="1" applyBorder="1" applyAlignment="1">
      <alignment vertical="center"/>
    </xf>
    <xf numFmtId="0" fontId="0" fillId="3" borderId="314" xfId="0" applyFill="1" applyBorder="1" applyAlignment="1">
      <alignment horizontal="left" vertical="center" wrapText="1"/>
    </xf>
    <xf numFmtId="0" fontId="0" fillId="3" borderId="419" xfId="0" applyFill="1" applyBorder="1" applyAlignment="1">
      <alignment vertical="center" wrapText="1"/>
    </xf>
    <xf numFmtId="0" fontId="0" fillId="3" borderId="418" xfId="0" applyFill="1" applyBorder="1" applyAlignment="1">
      <alignment vertical="center"/>
    </xf>
    <xf numFmtId="0" fontId="0" fillId="3" borderId="419" xfId="0" applyFill="1" applyBorder="1" applyAlignment="1">
      <alignment vertical="center"/>
    </xf>
    <xf numFmtId="0" fontId="126" fillId="63" borderId="433" xfId="0" applyFont="1" applyFill="1" applyBorder="1" applyAlignment="1">
      <alignment horizontal="center" vertical="center" wrapText="1"/>
    </xf>
    <xf numFmtId="0" fontId="126" fillId="54" borderId="434" xfId="0" applyFont="1" applyFill="1" applyBorder="1" applyAlignment="1">
      <alignment horizontal="center" vertical="center" wrapText="1"/>
    </xf>
    <xf numFmtId="0" fontId="0" fillId="84" borderId="261" xfId="0" applyFill="1" applyBorder="1" applyAlignment="1">
      <alignment horizontal="center" vertical="center"/>
    </xf>
    <xf numFmtId="0" fontId="0" fillId="84" borderId="435" xfId="0" applyFill="1" applyBorder="1" applyAlignment="1">
      <alignment horizontal="center" vertical="center"/>
    </xf>
    <xf numFmtId="0" fontId="126" fillId="54" borderId="363" xfId="0" applyFont="1" applyFill="1" applyBorder="1" applyAlignment="1">
      <alignment horizontal="center" vertical="center" wrapText="1"/>
    </xf>
    <xf numFmtId="0" fontId="126" fillId="54" borderId="436" xfId="0" applyFont="1" applyFill="1" applyBorder="1" applyAlignment="1">
      <alignment horizontal="center" vertical="center" wrapText="1"/>
    </xf>
    <xf numFmtId="0" fontId="0" fillId="83" borderId="392" xfId="0" applyFill="1" applyBorder="1" applyAlignment="1">
      <alignment horizontal="center" vertical="center"/>
    </xf>
    <xf numFmtId="0" fontId="0" fillId="84" borderId="439" xfId="0" applyFill="1" applyBorder="1" applyAlignment="1">
      <alignment horizontal="center" vertical="center"/>
    </xf>
    <xf numFmtId="0" fontId="0" fillId="3" borderId="441" xfId="0" applyFill="1" applyBorder="1" applyAlignment="1">
      <alignment vertical="center"/>
    </xf>
    <xf numFmtId="0" fontId="0" fillId="3" borderId="442" xfId="0" applyFill="1" applyBorder="1" applyAlignment="1">
      <alignment vertical="center"/>
    </xf>
    <xf numFmtId="0" fontId="0" fillId="3" borderId="443" xfId="0" applyFill="1" applyBorder="1" applyAlignment="1">
      <alignment vertical="center"/>
    </xf>
    <xf numFmtId="0" fontId="0" fillId="3" borderId="445" xfId="0" applyFill="1" applyBorder="1" applyAlignment="1">
      <alignment vertical="center"/>
    </xf>
    <xf numFmtId="0" fontId="0" fillId="3" borderId="446" xfId="0" applyFill="1" applyBorder="1" applyAlignment="1">
      <alignment vertical="center"/>
    </xf>
    <xf numFmtId="0" fontId="0" fillId="3" borderId="447" xfId="0" applyFill="1" applyBorder="1" applyAlignment="1">
      <alignment vertical="center"/>
    </xf>
    <xf numFmtId="0" fontId="0" fillId="83" borderId="395" xfId="0" applyFill="1" applyBorder="1" applyAlignment="1">
      <alignment horizontal="center" vertical="center"/>
    </xf>
    <xf numFmtId="0" fontId="0" fillId="84" borderId="440" xfId="0" applyFill="1" applyBorder="1" applyAlignment="1">
      <alignment horizontal="center" vertical="center"/>
    </xf>
    <xf numFmtId="0" fontId="0" fillId="3" borderId="442" xfId="0" applyFill="1" applyBorder="1" applyAlignment="1">
      <alignment vertical="center" wrapText="1"/>
    </xf>
    <xf numFmtId="0" fontId="0" fillId="3" borderId="442" xfId="0" applyFill="1" applyBorder="1" applyAlignment="1">
      <alignment horizontal="left" vertical="center"/>
    </xf>
    <xf numFmtId="0" fontId="0" fillId="3" borderId="443" xfId="0" applyFill="1" applyBorder="1" applyAlignment="1">
      <alignment horizontal="left" vertical="center"/>
    </xf>
    <xf numFmtId="0" fontId="0" fillId="3" borderId="446" xfId="0" applyFill="1" applyBorder="1" applyAlignment="1">
      <alignment vertical="center" wrapText="1"/>
    </xf>
    <xf numFmtId="0" fontId="0" fillId="3" borderId="446" xfId="0" applyFill="1" applyBorder="1" applyAlignment="1">
      <alignment horizontal="left" vertical="center"/>
    </xf>
    <xf numFmtId="0" fontId="0" fillId="3" borderId="447" xfId="0" applyFill="1" applyBorder="1" applyAlignment="1">
      <alignment vertical="center" wrapText="1"/>
    </xf>
    <xf numFmtId="0" fontId="0" fillId="3" borderId="444" xfId="0" applyFill="1" applyBorder="1" applyAlignment="1">
      <alignment vertical="center"/>
    </xf>
    <xf numFmtId="0" fontId="0" fillId="3" borderId="432" xfId="0" applyFill="1" applyBorder="1" applyAlignment="1">
      <alignment vertical="center"/>
    </xf>
    <xf numFmtId="0" fontId="0" fillId="3" borderId="338" xfId="0" applyFill="1" applyBorder="1" applyAlignment="1">
      <alignment vertical="center"/>
    </xf>
    <xf numFmtId="0" fontId="5" fillId="54" borderId="362" xfId="0" applyFont="1" applyFill="1" applyBorder="1" applyAlignment="1">
      <alignment horizontal="left" vertical="center" indent="1"/>
    </xf>
    <xf numFmtId="0" fontId="126" fillId="54" borderId="363" xfId="0" applyFont="1" applyFill="1" applyBorder="1" applyAlignment="1">
      <alignment horizontal="center" vertical="center"/>
    </xf>
    <xf numFmtId="0" fontId="0" fillId="3" borderId="449" xfId="0" applyFill="1" applyBorder="1" applyAlignment="1">
      <alignment vertical="center"/>
    </xf>
    <xf numFmtId="0" fontId="0" fillId="3" borderId="450" xfId="0" applyFill="1" applyBorder="1" applyAlignment="1">
      <alignment vertical="center"/>
    </xf>
    <xf numFmtId="0" fontId="0" fillId="3" borderId="450" xfId="0" applyFill="1" applyBorder="1" applyAlignment="1">
      <alignment vertical="center" wrapText="1"/>
    </xf>
    <xf numFmtId="0" fontId="0" fillId="3" borderId="451" xfId="0" applyFill="1" applyBorder="1" applyAlignment="1">
      <alignment vertical="center" wrapText="1"/>
    </xf>
    <xf numFmtId="0" fontId="0" fillId="3" borderId="452" xfId="0" applyFill="1" applyBorder="1" applyAlignment="1">
      <alignment vertical="center"/>
    </xf>
    <xf numFmtId="0" fontId="0" fillId="3" borderId="453" xfId="0" applyFill="1" applyBorder="1" applyAlignment="1">
      <alignment vertical="center"/>
    </xf>
    <xf numFmtId="0" fontId="0" fillId="3" borderId="454" xfId="0" applyFill="1" applyBorder="1" applyAlignment="1">
      <alignment vertical="center"/>
    </xf>
    <xf numFmtId="0" fontId="0" fillId="83" borderId="456" xfId="0" applyFill="1" applyBorder="1" applyAlignment="1">
      <alignment horizontal="center" vertical="center"/>
    </xf>
    <xf numFmtId="0" fontId="0" fillId="84" borderId="455" xfId="0" applyFill="1" applyBorder="1" applyAlignment="1">
      <alignment horizontal="center" vertical="center"/>
    </xf>
    <xf numFmtId="0" fontId="0" fillId="83" borderId="457" xfId="0" applyFill="1" applyBorder="1" applyAlignment="1">
      <alignment horizontal="center" vertical="center"/>
    </xf>
    <xf numFmtId="0" fontId="0" fillId="84" borderId="448" xfId="0" applyFill="1" applyBorder="1" applyAlignment="1">
      <alignment horizontal="center" vertical="center"/>
    </xf>
    <xf numFmtId="167" fontId="52" fillId="4" borderId="238" xfId="0" applyNumberFormat="1" applyFont="1" applyFill="1" applyBorder="1"/>
    <xf numFmtId="167" fontId="52" fillId="4" borderId="233" xfId="0" applyNumberFormat="1" applyFont="1" applyFill="1" applyBorder="1"/>
    <xf numFmtId="167" fontId="52" fillId="4" borderId="243" xfId="0" applyNumberFormat="1" applyFont="1" applyFill="1" applyBorder="1"/>
    <xf numFmtId="167" fontId="52" fillId="4" borderId="239" xfId="0" applyNumberFormat="1" applyFont="1" applyFill="1" applyBorder="1"/>
    <xf numFmtId="167" fontId="52" fillId="4" borderId="241" xfId="0" applyNumberFormat="1" applyFont="1" applyFill="1" applyBorder="1"/>
    <xf numFmtId="167" fontId="52" fillId="4" borderId="244" xfId="0" applyNumberFormat="1" applyFont="1" applyFill="1" applyBorder="1"/>
    <xf numFmtId="167" fontId="52" fillId="64" borderId="238" xfId="46" applyNumberFormat="1" applyFont="1" applyFill="1" applyBorder="1"/>
    <xf numFmtId="167" fontId="52" fillId="64" borderId="233" xfId="46" applyNumberFormat="1" applyFont="1" applyFill="1" applyBorder="1"/>
    <xf numFmtId="167" fontId="52" fillId="64" borderId="243" xfId="46" applyNumberFormat="1" applyFont="1" applyFill="1" applyBorder="1"/>
    <xf numFmtId="167" fontId="52" fillId="64" borderId="0" xfId="46" applyNumberFormat="1" applyFont="1" applyFill="1" applyBorder="1" applyAlignment="1">
      <alignment vertical="center"/>
    </xf>
    <xf numFmtId="0" fontId="52" fillId="4" borderId="315" xfId="0" applyFont="1" applyFill="1" applyBorder="1" applyAlignment="1">
      <alignment horizontal="left" vertical="center" indent="1"/>
    </xf>
    <xf numFmtId="0" fontId="52" fillId="4" borderId="316" xfId="0" applyFont="1" applyFill="1" applyBorder="1" applyAlignment="1">
      <alignment horizontal="left" vertical="center" indent="1"/>
    </xf>
    <xf numFmtId="0" fontId="52" fillId="4" borderId="317" xfId="0" applyFont="1" applyFill="1" applyBorder="1" applyAlignment="1">
      <alignment horizontal="left" vertical="center" indent="1"/>
    </xf>
    <xf numFmtId="0" fontId="52" fillId="64" borderId="237" xfId="0" applyFont="1" applyFill="1" applyBorder="1" applyAlignment="1">
      <alignment horizontal="left" vertical="center" indent="1"/>
    </xf>
    <xf numFmtId="0" fontId="52" fillId="64" borderId="240" xfId="0" applyFont="1" applyFill="1" applyBorder="1" applyAlignment="1">
      <alignment horizontal="left" vertical="center" indent="1"/>
    </xf>
    <xf numFmtId="0" fontId="52" fillId="64" borderId="242" xfId="0" applyFont="1" applyFill="1" applyBorder="1" applyAlignment="1">
      <alignment horizontal="left" vertical="center" indent="1"/>
    </xf>
    <xf numFmtId="0" fontId="52" fillId="4" borderId="237" xfId="0" applyFont="1" applyFill="1" applyBorder="1" applyAlignment="1">
      <alignment horizontal="left" vertical="center" indent="1"/>
    </xf>
    <xf numFmtId="0" fontId="52" fillId="4" borderId="240" xfId="0" applyFont="1" applyFill="1" applyBorder="1" applyAlignment="1">
      <alignment horizontal="left" vertical="center" indent="1"/>
    </xf>
    <xf numFmtId="0" fontId="52" fillId="4" borderId="242" xfId="0" applyFont="1" applyFill="1" applyBorder="1" applyAlignment="1">
      <alignment horizontal="left" vertical="center" indent="1"/>
    </xf>
    <xf numFmtId="49" fontId="40" fillId="3" borderId="233" xfId="9" applyFont="1" applyFill="1" applyBorder="1" applyAlignment="1" applyProtection="1">
      <alignment horizontal="left" vertical="center" indent="1"/>
    </xf>
    <xf numFmtId="49" fontId="40" fillId="4" borderId="233" xfId="9" applyFont="1" applyBorder="1" applyAlignment="1">
      <alignment horizontal="center" vertical="center"/>
      <protection locked="0"/>
    </xf>
    <xf numFmtId="49" fontId="40" fillId="3" borderId="238" xfId="9" applyFont="1" applyFill="1" applyBorder="1" applyAlignment="1" applyProtection="1">
      <alignment horizontal="left" vertical="center" indent="1"/>
    </xf>
    <xf numFmtId="49" fontId="40" fillId="4" borderId="238" xfId="9" applyFont="1" applyBorder="1" applyAlignment="1">
      <alignment horizontal="center" vertical="center"/>
      <protection locked="0"/>
    </xf>
    <xf numFmtId="49" fontId="40" fillId="3" borderId="243" xfId="9" applyFont="1" applyFill="1" applyBorder="1" applyAlignment="1" applyProtection="1">
      <alignment horizontal="left" vertical="center" indent="1"/>
    </xf>
    <xf numFmtId="49" fontId="40" fillId="4" borderId="243" xfId="9" applyFont="1" applyBorder="1" applyAlignment="1">
      <alignment horizontal="center" vertical="center"/>
      <protection locked="0"/>
    </xf>
    <xf numFmtId="164" fontId="40" fillId="21" borderId="238" xfId="47" applyFont="1" applyFill="1" applyBorder="1" applyAlignment="1" applyProtection="1">
      <alignment horizontal="right"/>
      <protection locked="0"/>
    </xf>
    <xf numFmtId="1" fontId="40" fillId="21" borderId="239" xfId="11" applyNumberFormat="1" applyFont="1" applyBorder="1">
      <alignment horizontal="right"/>
      <protection locked="0"/>
    </xf>
    <xf numFmtId="164" fontId="40" fillId="21" borderId="233" xfId="47" applyFont="1" applyFill="1" applyBorder="1" applyAlignment="1" applyProtection="1">
      <alignment horizontal="right"/>
      <protection locked="0"/>
    </xf>
    <xf numFmtId="1" fontId="40" fillId="21" borderId="241" xfId="11" applyNumberFormat="1" applyFont="1" applyBorder="1">
      <alignment horizontal="right"/>
      <protection locked="0"/>
    </xf>
    <xf numFmtId="164" fontId="40" fillId="21" borderId="243" xfId="47" applyFont="1" applyFill="1" applyBorder="1" applyAlignment="1" applyProtection="1">
      <alignment horizontal="right"/>
      <protection locked="0"/>
    </xf>
    <xf numFmtId="1" fontId="40" fillId="21" borderId="244" xfId="11" applyNumberFormat="1" applyFont="1" applyBorder="1">
      <alignment horizontal="right"/>
      <protection locked="0"/>
    </xf>
    <xf numFmtId="0" fontId="133" fillId="3" borderId="406" xfId="0" applyFont="1" applyFill="1" applyBorder="1" applyAlignment="1">
      <alignment horizontal="center" vertical="center"/>
    </xf>
    <xf numFmtId="164" fontId="52" fillId="4" borderId="108" xfId="47" applyFont="1" applyFill="1" applyBorder="1" applyAlignment="1" applyProtection="1">
      <alignment horizontal="right" vertical="center"/>
      <protection locked="0"/>
    </xf>
    <xf numFmtId="164" fontId="52" fillId="4" borderId="68" xfId="47" applyFont="1" applyFill="1" applyBorder="1" applyAlignment="1" applyProtection="1">
      <alignment horizontal="right" vertical="center"/>
      <protection locked="0"/>
    </xf>
    <xf numFmtId="164" fontId="52" fillId="4" borderId="214" xfId="47" applyFont="1" applyFill="1" applyBorder="1" applyAlignment="1" applyProtection="1">
      <alignment horizontal="right" vertical="center"/>
      <protection locked="0"/>
    </xf>
    <xf numFmtId="164" fontId="40" fillId="21" borderId="241" xfId="47" applyFont="1" applyFill="1" applyBorder="1" applyAlignment="1" applyProtection="1">
      <alignment horizontal="right"/>
      <protection locked="0"/>
    </xf>
    <xf numFmtId="0" fontId="0" fillId="3" borderId="408" xfId="0" applyFill="1" applyBorder="1" applyAlignment="1">
      <alignment horizontal="center" vertical="center"/>
    </xf>
    <xf numFmtId="0" fontId="0" fillId="3" borderId="409" xfId="0" applyFill="1" applyBorder="1" applyAlignment="1">
      <alignment horizontal="center" vertical="center"/>
    </xf>
    <xf numFmtId="0" fontId="0" fillId="3" borderId="354" xfId="0" applyFill="1" applyBorder="1" applyAlignment="1">
      <alignment horizontal="center" vertical="center"/>
    </xf>
    <xf numFmtId="0" fontId="0" fillId="75" borderId="408" xfId="0" applyFill="1" applyBorder="1" applyAlignment="1">
      <alignment horizontal="center" vertical="center"/>
    </xf>
    <xf numFmtId="0" fontId="0" fillId="75" borderId="409" xfId="0" applyFill="1" applyBorder="1" applyAlignment="1">
      <alignment horizontal="center" vertical="center"/>
    </xf>
    <xf numFmtId="168" fontId="124" fillId="70" borderId="0" xfId="30" applyNumberFormat="1" applyFont="1" applyFill="1" applyBorder="1" applyAlignment="1">
      <alignment horizontal="left" vertical="center"/>
    </xf>
    <xf numFmtId="168" fontId="124" fillId="70" borderId="0" xfId="30" applyNumberFormat="1" applyFont="1" applyFill="1" applyBorder="1" applyAlignment="1">
      <alignment vertical="center"/>
    </xf>
    <xf numFmtId="167" fontId="52" fillId="70" borderId="0" xfId="0" applyNumberFormat="1" applyFont="1" applyFill="1" applyAlignment="1">
      <alignment vertical="center"/>
    </xf>
    <xf numFmtId="164" fontId="40" fillId="4" borderId="239" xfId="47" applyFont="1" applyFill="1" applyBorder="1" applyAlignment="1" applyProtection="1">
      <alignment horizontal="right" vertical="center"/>
      <protection locked="0"/>
    </xf>
    <xf numFmtId="164" fontId="40" fillId="4" borderId="241" xfId="47" applyFont="1" applyFill="1" applyBorder="1" applyAlignment="1" applyProtection="1">
      <alignment horizontal="right" vertical="center"/>
      <protection locked="0"/>
    </xf>
    <xf numFmtId="164" fontId="52" fillId="70" borderId="0" xfId="47" applyFont="1" applyFill="1" applyAlignment="1">
      <alignment vertical="center"/>
    </xf>
    <xf numFmtId="0" fontId="40" fillId="78" borderId="240" xfId="10" applyFont="1" applyFill="1" applyBorder="1" applyAlignment="1">
      <alignment horizontal="left" vertical="center" wrapText="1" indent="2"/>
    </xf>
    <xf numFmtId="164" fontId="40" fillId="4" borderId="239" xfId="47" applyFont="1" applyFill="1" applyBorder="1" applyAlignment="1" applyProtection="1">
      <alignment horizontal="right"/>
      <protection locked="0"/>
    </xf>
    <xf numFmtId="164" fontId="40" fillId="4" borderId="241" xfId="47" applyFont="1" applyFill="1" applyBorder="1" applyAlignment="1" applyProtection="1">
      <alignment horizontal="right"/>
      <protection locked="0"/>
    </xf>
    <xf numFmtId="167" fontId="40" fillId="4" borderId="220" xfId="14" applyFont="1" applyBorder="1" applyAlignment="1">
      <alignment horizontal="right" vertical="center"/>
      <protection locked="0"/>
    </xf>
    <xf numFmtId="0" fontId="42" fillId="15" borderId="424" xfId="0" applyFont="1" applyFill="1" applyBorder="1" applyAlignment="1">
      <alignment horizontal="center" vertical="center"/>
    </xf>
    <xf numFmtId="0" fontId="42" fillId="15" borderId="377" xfId="0" applyFont="1" applyFill="1" applyBorder="1" applyAlignment="1">
      <alignment horizontal="center" vertical="center"/>
    </xf>
    <xf numFmtId="0" fontId="42" fillId="15" borderId="378" xfId="0" applyFont="1" applyFill="1" applyBorder="1" applyAlignment="1">
      <alignment horizontal="center" vertical="center"/>
    </xf>
    <xf numFmtId="0" fontId="42" fillId="15" borderId="379" xfId="0" applyFont="1" applyFill="1" applyBorder="1" applyAlignment="1">
      <alignment horizontal="center" vertical="center"/>
    </xf>
    <xf numFmtId="0" fontId="42" fillId="63" borderId="377" xfId="0" applyFont="1" applyFill="1" applyBorder="1" applyAlignment="1">
      <alignment horizontal="center" vertical="center"/>
    </xf>
    <xf numFmtId="0" fontId="42" fillId="63" borderId="378" xfId="0" applyFont="1" applyFill="1" applyBorder="1" applyAlignment="1">
      <alignment horizontal="center" vertical="center"/>
    </xf>
    <xf numFmtId="0" fontId="40" fillId="3" borderId="233" xfId="0" applyFont="1" applyFill="1" applyBorder="1" applyAlignment="1">
      <alignment horizontal="center" wrapText="1"/>
    </xf>
    <xf numFmtId="0" fontId="40" fillId="3" borderId="238" xfId="0" applyFont="1" applyFill="1" applyBorder="1" applyAlignment="1">
      <alignment horizontal="center" wrapText="1"/>
    </xf>
    <xf numFmtId="0" fontId="40" fillId="3" borderId="243" xfId="0" applyFont="1" applyFill="1" applyBorder="1" applyAlignment="1">
      <alignment horizontal="center" wrapText="1"/>
    </xf>
    <xf numFmtId="0" fontId="35" fillId="7" borderId="0" xfId="0" applyFont="1" applyFill="1" applyAlignment="1">
      <alignment horizontal="center" vertical="center" wrapText="1"/>
    </xf>
    <xf numFmtId="167" fontId="40" fillId="7" borderId="241" xfId="0" applyNumberFormat="1" applyFont="1" applyFill="1" applyBorder="1" applyAlignment="1">
      <alignment horizontal="center" vertical="center" wrapText="1"/>
    </xf>
    <xf numFmtId="167" fontId="40" fillId="7" borderId="239" xfId="0" applyNumberFormat="1" applyFont="1" applyFill="1" applyBorder="1" applyAlignment="1">
      <alignment horizontal="center" vertical="center" wrapText="1"/>
    </xf>
    <xf numFmtId="167" fontId="40" fillId="7" borderId="244" xfId="0" applyNumberFormat="1" applyFont="1" applyFill="1" applyBorder="1" applyAlignment="1">
      <alignment horizontal="center" vertical="center" wrapText="1"/>
    </xf>
    <xf numFmtId="167" fontId="52" fillId="3" borderId="0" xfId="0" applyNumberFormat="1" applyFont="1" applyFill="1"/>
    <xf numFmtId="167" fontId="40" fillId="21" borderId="238" xfId="11" applyFont="1" applyBorder="1" applyAlignment="1">
      <alignment horizontal="left" vertical="center"/>
      <protection locked="0"/>
    </xf>
    <xf numFmtId="0" fontId="40" fillId="21" borderId="233" xfId="11" applyNumberFormat="1" applyFont="1" applyBorder="1" applyAlignment="1">
      <alignment horizontal="left" vertical="center"/>
      <protection locked="0"/>
    </xf>
    <xf numFmtId="0" fontId="40" fillId="21" borderId="233" xfId="11" applyNumberFormat="1" applyFont="1" applyBorder="1" applyAlignment="1">
      <alignment horizontal="left" vertical="center" wrapText="1"/>
      <protection locked="0"/>
    </xf>
    <xf numFmtId="167" fontId="40" fillId="21" borderId="233" xfId="11" applyFont="1" applyBorder="1" applyAlignment="1">
      <alignment horizontal="left" vertical="center"/>
      <protection locked="0"/>
    </xf>
    <xf numFmtId="0" fontId="40" fillId="21" borderId="237" xfId="11" applyNumberFormat="1" applyFont="1" applyBorder="1" applyAlignment="1">
      <alignment horizontal="left" vertical="center"/>
      <protection locked="0"/>
    </xf>
    <xf numFmtId="0" fontId="40" fillId="21" borderId="238" xfId="11" applyNumberFormat="1" applyFont="1" applyBorder="1" applyAlignment="1">
      <alignment horizontal="left" vertical="center" wrapText="1"/>
      <protection locked="0"/>
    </xf>
    <xf numFmtId="0" fontId="40" fillId="21" borderId="238" xfId="11" applyNumberFormat="1" applyFont="1" applyBorder="1" applyAlignment="1">
      <alignment horizontal="left" vertical="center"/>
      <protection locked="0"/>
    </xf>
    <xf numFmtId="167" fontId="40" fillId="21" borderId="239" xfId="11" applyFont="1" applyBorder="1" applyAlignment="1">
      <alignment horizontal="right" vertical="center"/>
      <protection locked="0"/>
    </xf>
    <xf numFmtId="0" fontId="40" fillId="21" borderId="240" xfId="11" applyNumberFormat="1" applyFont="1" applyBorder="1" applyAlignment="1">
      <alignment horizontal="left" vertical="center"/>
      <protection locked="0"/>
    </xf>
    <xf numFmtId="167" fontId="40" fillId="21" borderId="241" xfId="11" applyFont="1" applyBorder="1" applyAlignment="1">
      <alignment horizontal="right" vertical="center"/>
      <protection locked="0"/>
    </xf>
    <xf numFmtId="0" fontId="40" fillId="21" borderId="242" xfId="11" applyNumberFormat="1" applyFont="1" applyBorder="1" applyAlignment="1">
      <alignment horizontal="left" vertical="center"/>
      <protection locked="0"/>
    </xf>
    <xf numFmtId="0" fontId="40" fillId="21" borderId="243" xfId="11" applyNumberFormat="1" applyFont="1" applyBorder="1" applyAlignment="1">
      <alignment horizontal="left" vertical="center" wrapText="1"/>
      <protection locked="0"/>
    </xf>
    <xf numFmtId="167" fontId="40" fillId="21" borderId="243" xfId="11" applyFont="1" applyBorder="1" applyAlignment="1">
      <alignment horizontal="left" vertical="center"/>
      <protection locked="0"/>
    </xf>
    <xf numFmtId="0" fontId="40" fillId="21" borderId="243" xfId="11" applyNumberFormat="1" applyFont="1" applyBorder="1" applyAlignment="1">
      <alignment horizontal="left" vertical="center"/>
      <protection locked="0"/>
    </xf>
    <xf numFmtId="167" fontId="40" fillId="21" borderId="244" xfId="11" applyFont="1" applyBorder="1" applyAlignment="1">
      <alignment horizontal="right" vertical="center"/>
      <protection locked="0"/>
    </xf>
    <xf numFmtId="0" fontId="160" fillId="0" borderId="382" xfId="0" applyFont="1" applyBorder="1" applyAlignment="1">
      <alignment horizontal="center" vertical="center"/>
    </xf>
    <xf numFmtId="0" fontId="133" fillId="7" borderId="384" xfId="0" applyFont="1" applyFill="1" applyBorder="1" applyAlignment="1">
      <alignment horizontal="center" vertical="center" wrapText="1"/>
    </xf>
    <xf numFmtId="0" fontId="160" fillId="0" borderId="408" xfId="0" applyFont="1" applyBorder="1" applyAlignment="1">
      <alignment horizontal="center" vertical="center"/>
    </xf>
    <xf numFmtId="0" fontId="161" fillId="3" borderId="409" xfId="0" applyFont="1" applyFill="1" applyBorder="1" applyAlignment="1">
      <alignment horizontal="center" vertical="center" wrapText="1"/>
    </xf>
    <xf numFmtId="0" fontId="160" fillId="3" borderId="408" xfId="0" applyFont="1" applyFill="1" applyBorder="1" applyAlignment="1">
      <alignment horizontal="center" vertical="center" wrapText="1"/>
    </xf>
    <xf numFmtId="0" fontId="160" fillId="3" borderId="367" xfId="0" applyFont="1" applyFill="1" applyBorder="1" applyAlignment="1">
      <alignment horizontal="center" vertical="center"/>
    </xf>
    <xf numFmtId="167" fontId="87" fillId="3" borderId="0" xfId="45" applyNumberFormat="1" applyFill="1" applyAlignment="1">
      <alignment vertical="center"/>
    </xf>
    <xf numFmtId="0" fontId="31" fillId="81" borderId="0" xfId="45" applyFont="1" applyFill="1" applyAlignment="1">
      <alignment vertical="center"/>
    </xf>
    <xf numFmtId="0" fontId="159" fillId="3" borderId="406" xfId="0" applyFont="1" applyFill="1" applyBorder="1" applyAlignment="1">
      <alignment horizontal="center" vertical="center" wrapText="1"/>
    </xf>
    <xf numFmtId="167" fontId="40" fillId="7" borderId="220" xfId="14" applyFont="1" applyFill="1" applyBorder="1" applyAlignment="1">
      <alignment horizontal="right" vertical="center"/>
      <protection locked="0"/>
    </xf>
    <xf numFmtId="167" fontId="52" fillId="3" borderId="0" xfId="0" applyNumberFormat="1" applyFont="1" applyFill="1" applyAlignment="1">
      <alignment vertical="center"/>
    </xf>
    <xf numFmtId="167" fontId="40" fillId="3" borderId="0" xfId="0" applyNumberFormat="1" applyFont="1" applyFill="1" applyAlignment="1">
      <alignment vertical="center"/>
    </xf>
    <xf numFmtId="0" fontId="52" fillId="3" borderId="0" xfId="0" applyFont="1" applyFill="1" applyAlignment="1">
      <alignment horizontal="left" vertical="center"/>
    </xf>
    <xf numFmtId="0" fontId="126" fillId="63" borderId="405" xfId="0" applyFont="1" applyFill="1" applyBorder="1" applyAlignment="1">
      <alignment horizontal="center" vertical="center" wrapText="1"/>
    </xf>
    <xf numFmtId="0" fontId="126" fillId="63" borderId="406" xfId="0" applyFont="1" applyFill="1" applyBorder="1" applyAlignment="1">
      <alignment horizontal="center" vertical="center" wrapText="1"/>
    </xf>
    <xf numFmtId="0" fontId="126" fillId="63" borderId="407" xfId="0" applyFont="1" applyFill="1" applyBorder="1" applyAlignment="1">
      <alignment horizontal="center" vertical="center" wrapText="1"/>
    </xf>
    <xf numFmtId="0" fontId="52" fillId="70" borderId="0" xfId="0" applyFont="1" applyFill="1" applyAlignment="1">
      <alignment horizontal="left" vertical="center" indent="1"/>
    </xf>
    <xf numFmtId="167" fontId="52" fillId="7" borderId="238" xfId="41" applyFont="1" applyFill="1" applyBorder="1" applyAlignment="1">
      <alignment horizontal="right" vertical="center"/>
      <protection locked="0"/>
    </xf>
    <xf numFmtId="167" fontId="52" fillId="4" borderId="238" xfId="41" applyFont="1" applyFill="1" applyBorder="1" applyAlignment="1">
      <alignment horizontal="right" vertical="center"/>
      <protection locked="0"/>
    </xf>
    <xf numFmtId="167" fontId="52" fillId="4" borderId="239" xfId="41" applyFont="1" applyFill="1" applyBorder="1" applyAlignment="1">
      <alignment horizontal="right" vertical="center"/>
      <protection locked="0"/>
    </xf>
    <xf numFmtId="167" fontId="52" fillId="7" borderId="311" xfId="0" applyNumberFormat="1" applyFont="1" applyFill="1" applyBorder="1" applyAlignment="1">
      <alignment vertical="center"/>
    </xf>
    <xf numFmtId="167" fontId="52" fillId="7" borderId="243" xfId="0" applyNumberFormat="1" applyFont="1" applyFill="1" applyBorder="1" applyAlignment="1">
      <alignment vertical="center"/>
    </xf>
    <xf numFmtId="167" fontId="52" fillId="7" borderId="243" xfId="41" applyFont="1" applyFill="1" applyBorder="1" applyAlignment="1">
      <alignment horizontal="right" vertical="center"/>
      <protection locked="0"/>
    </xf>
    <xf numFmtId="167" fontId="52" fillId="7" borderId="244" xfId="41" applyFont="1" applyFill="1" applyBorder="1" applyAlignment="1">
      <alignment horizontal="right" vertical="center"/>
      <protection locked="0"/>
    </xf>
    <xf numFmtId="167" fontId="52" fillId="7" borderId="307" xfId="0" applyNumberFormat="1" applyFont="1" applyFill="1" applyBorder="1" applyAlignment="1">
      <alignment vertical="center"/>
    </xf>
    <xf numFmtId="167" fontId="52" fillId="7" borderId="238" xfId="0" applyNumberFormat="1" applyFont="1" applyFill="1" applyBorder="1" applyAlignment="1">
      <alignment vertical="center"/>
    </xf>
    <xf numFmtId="167" fontId="52" fillId="7" borderId="246" xfId="0" applyNumberFormat="1" applyFont="1" applyFill="1" applyBorder="1" applyAlignment="1">
      <alignment vertical="center"/>
    </xf>
    <xf numFmtId="167" fontId="52" fillId="7" borderId="310" xfId="0" applyNumberFormat="1" applyFont="1" applyFill="1" applyBorder="1" applyAlignment="1">
      <alignment vertical="center"/>
    </xf>
    <xf numFmtId="167" fontId="52" fillId="7" borderId="250" xfId="0" applyNumberFormat="1" applyFont="1" applyFill="1" applyBorder="1" applyAlignment="1">
      <alignment vertical="center"/>
    </xf>
    <xf numFmtId="167" fontId="52" fillId="7" borderId="239" xfId="0" applyNumberFormat="1" applyFont="1" applyFill="1" applyBorder="1" applyAlignment="1">
      <alignment vertical="center"/>
    </xf>
    <xf numFmtId="167" fontId="52" fillId="7" borderId="308" xfId="41" applyFont="1" applyFill="1" applyBorder="1" applyAlignment="1">
      <alignment horizontal="right" vertical="center"/>
      <protection locked="0"/>
    </xf>
    <xf numFmtId="167" fontId="52" fillId="4" borderId="233" xfId="41" applyFont="1" applyFill="1" applyBorder="1" applyAlignment="1">
      <alignment horizontal="right" vertical="center"/>
      <protection locked="0"/>
    </xf>
    <xf numFmtId="167" fontId="52" fillId="7" borderId="309" xfId="41" applyFont="1" applyFill="1" applyBorder="1" applyAlignment="1">
      <alignment horizontal="right" vertical="center"/>
      <protection locked="0"/>
    </xf>
    <xf numFmtId="167" fontId="52" fillId="4" borderId="241" xfId="41" applyFont="1" applyFill="1" applyBorder="1" applyAlignment="1">
      <alignment horizontal="right" vertical="center"/>
      <protection locked="0"/>
    </xf>
    <xf numFmtId="167" fontId="52" fillId="7" borderId="320" xfId="0" applyNumberFormat="1" applyFont="1" applyFill="1" applyBorder="1" applyAlignment="1">
      <alignment vertical="center"/>
    </xf>
    <xf numFmtId="167" fontId="132" fillId="7" borderId="0" xfId="22" applyNumberFormat="1" applyFont="1" applyFill="1" applyBorder="1">
      <alignment horizontal="right" vertical="center"/>
      <protection locked="0"/>
    </xf>
    <xf numFmtId="167" fontId="40" fillId="43" borderId="241" xfId="11" applyFont="1" applyFill="1" applyBorder="1">
      <alignment horizontal="right"/>
      <protection locked="0"/>
    </xf>
    <xf numFmtId="167" fontId="35" fillId="3" borderId="62" xfId="0" applyNumberFormat="1" applyFont="1" applyFill="1" applyBorder="1"/>
    <xf numFmtId="167" fontId="132" fillId="78" borderId="81" xfId="22" applyNumberFormat="1" applyFont="1" applyFill="1" applyBorder="1">
      <alignment horizontal="right" vertical="center"/>
      <protection locked="0"/>
    </xf>
    <xf numFmtId="167" fontId="52" fillId="0" borderId="0" xfId="0" applyNumberFormat="1" applyFont="1"/>
    <xf numFmtId="167" fontId="40" fillId="78" borderId="108" xfId="11" applyFont="1" applyFill="1" applyBorder="1">
      <alignment horizontal="right"/>
      <protection locked="0"/>
    </xf>
    <xf numFmtId="167" fontId="40" fillId="43" borderId="68" xfId="11" applyFont="1" applyFill="1" applyBorder="1">
      <alignment horizontal="right"/>
      <protection locked="0"/>
    </xf>
    <xf numFmtId="167" fontId="40" fillId="43" borderId="214" xfId="11" applyFont="1" applyFill="1" applyBorder="1">
      <alignment horizontal="right"/>
      <protection locked="0"/>
    </xf>
    <xf numFmtId="0" fontId="126" fillId="63" borderId="388" xfId="0" applyFont="1" applyFill="1" applyBorder="1" applyAlignment="1">
      <alignment horizontal="center" vertical="center" wrapText="1"/>
    </xf>
    <xf numFmtId="0" fontId="52" fillId="3" borderId="409" xfId="0" applyFont="1" applyFill="1" applyBorder="1"/>
    <xf numFmtId="49" fontId="29" fillId="2" borderId="0" xfId="1" applyFont="1">
      <alignment vertical="center"/>
    </xf>
    <xf numFmtId="0" fontId="29" fillId="2" borderId="0" xfId="1" applyNumberFormat="1" applyFont="1">
      <alignment vertical="center"/>
    </xf>
    <xf numFmtId="0" fontId="29" fillId="2" borderId="0" xfId="1" applyNumberFormat="1" applyFont="1" applyAlignment="1">
      <alignment horizontal="left" vertical="center"/>
    </xf>
    <xf numFmtId="0" fontId="128" fillId="24" borderId="0" xfId="12" applyFont="1" applyProtection="1">
      <alignment horizontal="left" vertical="center"/>
      <protection locked="0"/>
    </xf>
    <xf numFmtId="0" fontId="31" fillId="75" borderId="0" xfId="52" applyFont="1" applyFill="1">
      <alignment vertical="center"/>
    </xf>
    <xf numFmtId="0" fontId="23" fillId="63" borderId="0" xfId="0" applyFont="1" applyFill="1" applyAlignment="1">
      <alignment horizontal="center"/>
    </xf>
    <xf numFmtId="49" fontId="30" fillId="63" borderId="0" xfId="1" applyFont="1" applyFill="1">
      <alignment vertical="center"/>
    </xf>
    <xf numFmtId="0" fontId="30" fillId="63" borderId="0" xfId="0" applyFont="1" applyFill="1"/>
    <xf numFmtId="0" fontId="30" fillId="63" borderId="0" xfId="0" applyFont="1" applyFill="1" applyAlignment="1">
      <alignment horizontal="right" vertical="center"/>
    </xf>
    <xf numFmtId="0" fontId="1" fillId="3" borderId="0" xfId="0" applyFont="1" applyFill="1"/>
    <xf numFmtId="0" fontId="3" fillId="63" borderId="0" xfId="0" applyFont="1" applyFill="1" applyAlignment="1">
      <alignment horizontal="right" vertical="center"/>
    </xf>
    <xf numFmtId="0" fontId="3" fillId="63" borderId="0" xfId="0" applyFont="1" applyFill="1" applyAlignment="1">
      <alignment vertical="center"/>
    </xf>
    <xf numFmtId="0" fontId="23" fillId="63" borderId="0" xfId="0" applyFont="1" applyFill="1" applyAlignment="1">
      <alignment vertical="center"/>
    </xf>
    <xf numFmtId="0" fontId="30" fillId="63" borderId="0" xfId="0" applyFont="1" applyFill="1" applyAlignment="1">
      <alignment vertical="top" wrapText="1"/>
    </xf>
    <xf numFmtId="0" fontId="18" fillId="63" borderId="0" xfId="0" applyFont="1" applyFill="1" applyAlignment="1">
      <alignment vertical="top"/>
    </xf>
    <xf numFmtId="0" fontId="17" fillId="63" borderId="0" xfId="0" applyFont="1" applyFill="1" applyAlignment="1">
      <alignment horizontal="right" vertical="top"/>
    </xf>
    <xf numFmtId="0" fontId="6" fillId="63" borderId="0" xfId="0" applyFont="1" applyFill="1" applyAlignment="1">
      <alignment horizontal="right" vertical="center"/>
    </xf>
    <xf numFmtId="0" fontId="3" fillId="63" borderId="0" xfId="0" applyFont="1" applyFill="1" applyAlignment="1">
      <alignment horizontal="right" vertical="center" wrapText="1"/>
    </xf>
    <xf numFmtId="49" fontId="29" fillId="3" borderId="0" xfId="1" applyFont="1" applyFill="1">
      <alignment vertical="center"/>
    </xf>
    <xf numFmtId="0" fontId="177" fillId="2" borderId="0" xfId="1" applyNumberFormat="1" applyFont="1">
      <alignment vertical="center"/>
    </xf>
    <xf numFmtId="49" fontId="177" fillId="2" borderId="0" xfId="1" applyFont="1">
      <alignment vertical="center"/>
    </xf>
    <xf numFmtId="0" fontId="177" fillId="2" borderId="0" xfId="1" applyNumberFormat="1" applyFont="1" applyAlignment="1">
      <alignment horizontal="left" vertical="center"/>
    </xf>
    <xf numFmtId="0" fontId="29" fillId="3" borderId="0" xfId="2" applyFont="1" applyFill="1">
      <alignment vertical="center"/>
    </xf>
    <xf numFmtId="0" fontId="29" fillId="10" borderId="0" xfId="2" applyFont="1">
      <alignment vertical="center"/>
    </xf>
    <xf numFmtId="0" fontId="19" fillId="3" borderId="0" xfId="2" applyFont="1" applyFill="1" applyAlignment="1">
      <alignment horizontal="justify" vertical="center" wrapText="1"/>
    </xf>
    <xf numFmtId="0" fontId="1" fillId="3" borderId="0" xfId="0" applyFont="1" applyFill="1" applyAlignment="1">
      <alignment horizontal="center"/>
    </xf>
    <xf numFmtId="0" fontId="178" fillId="3" borderId="0" xfId="0" applyFont="1" applyFill="1"/>
    <xf numFmtId="0" fontId="178" fillId="3" borderId="0" xfId="0" applyFont="1" applyFill="1" applyAlignment="1">
      <alignment vertical="top"/>
    </xf>
    <xf numFmtId="0" fontId="1" fillId="63" borderId="0" xfId="0" applyFont="1" applyFill="1"/>
    <xf numFmtId="0" fontId="1" fillId="63" borderId="0" xfId="0" applyFont="1" applyFill="1" applyAlignment="1">
      <alignment vertical="center"/>
    </xf>
    <xf numFmtId="0" fontId="1" fillId="63" borderId="0" xfId="0" applyFont="1" applyFill="1" applyAlignment="1">
      <alignment vertical="top"/>
    </xf>
    <xf numFmtId="0" fontId="1" fillId="3" borderId="0" xfId="0" quotePrefix="1" applyFont="1" applyFill="1"/>
    <xf numFmtId="0" fontId="1" fillId="3" borderId="0" xfId="0" applyFont="1" applyFill="1" applyAlignment="1">
      <alignment vertical="top"/>
    </xf>
    <xf numFmtId="0" fontId="18" fillId="3" borderId="0" xfId="0" applyFont="1" applyFill="1" applyAlignment="1">
      <alignment vertical="top"/>
    </xf>
    <xf numFmtId="0" fontId="17" fillId="3" borderId="0" xfId="0" applyFont="1" applyFill="1" applyAlignment="1">
      <alignment horizontal="right" vertical="center" wrapText="1"/>
    </xf>
    <xf numFmtId="0" fontId="1" fillId="3" borderId="0" xfId="0" applyFont="1" applyFill="1" applyAlignment="1">
      <alignment wrapText="1"/>
    </xf>
    <xf numFmtId="0" fontId="30" fillId="3" borderId="0" xfId="0" applyFont="1" applyFill="1" applyAlignment="1">
      <alignment horizontal="right" vertical="center"/>
    </xf>
    <xf numFmtId="0" fontId="1" fillId="63" borderId="0" xfId="0" applyFont="1" applyFill="1" applyAlignment="1">
      <alignment horizontal="right" vertical="center"/>
    </xf>
    <xf numFmtId="0" fontId="23" fillId="63" borderId="0" xfId="0" applyFont="1" applyFill="1"/>
    <xf numFmtId="0" fontId="3" fillId="82" borderId="0" xfId="0" applyFont="1" applyFill="1" applyAlignment="1">
      <alignment vertical="center"/>
    </xf>
    <xf numFmtId="0" fontId="52" fillId="0" borderId="461" xfId="0" applyFont="1" applyBorder="1" applyAlignment="1">
      <alignment horizontal="center" vertical="center" wrapText="1"/>
    </xf>
    <xf numFmtId="164" fontId="40" fillId="4" borderId="462" xfId="47" applyFont="1" applyFill="1" applyBorder="1" applyAlignment="1" applyProtection="1">
      <alignment horizontal="right" vertical="center"/>
      <protection locked="0"/>
    </xf>
    <xf numFmtId="0" fontId="42" fillId="0" borderId="242" xfId="10" applyFont="1" applyBorder="1" applyAlignment="1">
      <alignment horizontal="left" vertical="center" wrapText="1" indent="1"/>
    </xf>
    <xf numFmtId="164" fontId="52" fillId="70" borderId="244" xfId="47" applyFont="1" applyFill="1" applyBorder="1" applyAlignment="1">
      <alignment vertical="center"/>
    </xf>
    <xf numFmtId="0" fontId="40" fillId="78" borderId="240" xfId="10" applyFont="1" applyFill="1" applyBorder="1" applyAlignment="1">
      <alignment horizontal="left" vertical="center" wrapText="1" indent="1"/>
    </xf>
    <xf numFmtId="0" fontId="161" fillId="3" borderId="262" xfId="0" applyFont="1" applyFill="1" applyBorder="1" applyAlignment="1">
      <alignment horizontal="center" vertical="center" wrapText="1"/>
    </xf>
    <xf numFmtId="0" fontId="161" fillId="3" borderId="304" xfId="0" applyFont="1" applyFill="1" applyBorder="1" applyAlignment="1">
      <alignment horizontal="center" vertical="center" wrapText="1"/>
    </xf>
    <xf numFmtId="167" fontId="40" fillId="7" borderId="241" xfId="47" applyNumberFormat="1" applyFont="1" applyFill="1" applyBorder="1" applyAlignment="1">
      <alignment horizontal="center" vertical="center" wrapText="1"/>
    </xf>
    <xf numFmtId="0" fontId="0" fillId="75" borderId="395" xfId="0" applyFill="1" applyBorder="1" applyAlignment="1">
      <alignment horizontal="center" vertical="center"/>
    </xf>
    <xf numFmtId="0" fontId="161" fillId="3" borderId="287" xfId="0" applyFont="1" applyFill="1" applyBorder="1" applyAlignment="1">
      <alignment horizontal="center" vertical="center" wrapText="1"/>
    </xf>
    <xf numFmtId="0" fontId="136" fillId="3" borderId="0" xfId="0" applyFont="1" applyFill="1"/>
    <xf numFmtId="0" fontId="0" fillId="75" borderId="469" xfId="0" applyFill="1" applyBorder="1" applyAlignment="1">
      <alignment horizontal="center" vertical="center"/>
    </xf>
    <xf numFmtId="0" fontId="0" fillId="75" borderId="470" xfId="0" applyFill="1" applyBorder="1" applyAlignment="1">
      <alignment horizontal="center" vertical="center"/>
    </xf>
    <xf numFmtId="0" fontId="0" fillId="75" borderId="471" xfId="0" applyFill="1" applyBorder="1" applyAlignment="1">
      <alignment horizontal="center" vertical="center"/>
    </xf>
    <xf numFmtId="0" fontId="3" fillId="3" borderId="0" xfId="0" applyFont="1" applyFill="1" applyAlignment="1">
      <alignment horizontal="center" vertical="center"/>
    </xf>
    <xf numFmtId="0" fontId="126" fillId="77" borderId="0" xfId="0" applyFont="1" applyFill="1"/>
    <xf numFmtId="0" fontId="50" fillId="3" borderId="0" xfId="0" applyFont="1" applyFill="1" applyAlignment="1">
      <alignment vertical="center" wrapText="1"/>
    </xf>
    <xf numFmtId="0" fontId="160" fillId="3" borderId="336" xfId="0" applyFont="1" applyFill="1" applyBorder="1" applyAlignment="1">
      <alignment horizontal="center" vertical="center" wrapText="1"/>
    </xf>
    <xf numFmtId="0" fontId="134" fillId="0" borderId="240" xfId="0" applyFont="1" applyBorder="1" applyAlignment="1">
      <alignment horizontal="left" wrapText="1" indent="1"/>
    </xf>
    <xf numFmtId="0" fontId="134" fillId="0" borderId="98" xfId="0" applyFont="1" applyBorder="1" applyAlignment="1">
      <alignment horizontal="left" vertical="center" wrapText="1" indent="1"/>
    </xf>
    <xf numFmtId="0" fontId="158" fillId="3" borderId="257" xfId="0" applyFont="1" applyFill="1" applyBorder="1" applyAlignment="1">
      <alignment horizontal="center" vertical="center"/>
    </xf>
    <xf numFmtId="0" fontId="0" fillId="3" borderId="472" xfId="0" applyFill="1" applyBorder="1" applyAlignment="1">
      <alignment horizontal="center" vertical="center"/>
    </xf>
    <xf numFmtId="0" fontId="0" fillId="3" borderId="473" xfId="0" applyFill="1" applyBorder="1" applyAlignment="1">
      <alignment horizontal="center" vertical="center"/>
    </xf>
    <xf numFmtId="0" fontId="0" fillId="3" borderId="474" xfId="0" applyFill="1" applyBorder="1" applyAlignment="1">
      <alignment horizontal="center" vertical="center"/>
    </xf>
    <xf numFmtId="0" fontId="0" fillId="75" borderId="472" xfId="0" applyFill="1" applyBorder="1" applyAlignment="1">
      <alignment horizontal="center" vertical="center"/>
    </xf>
    <xf numFmtId="0" fontId="0" fillId="75" borderId="473" xfId="0" applyFill="1" applyBorder="1" applyAlignment="1">
      <alignment horizontal="center" vertical="center"/>
    </xf>
    <xf numFmtId="0" fontId="0" fillId="75" borderId="474" xfId="0" applyFill="1" applyBorder="1" applyAlignment="1">
      <alignment horizontal="center" vertical="center"/>
    </xf>
    <xf numFmtId="0" fontId="0" fillId="70" borderId="0" xfId="0" applyFill="1" applyAlignment="1">
      <alignment horizontal="right" vertical="center" indent="2"/>
    </xf>
    <xf numFmtId="0" fontId="0" fillId="3" borderId="469" xfId="0" applyFill="1" applyBorder="1" applyAlignment="1">
      <alignment horizontal="center" vertical="center"/>
    </xf>
    <xf numFmtId="0" fontId="0" fillId="75" borderId="405" xfId="0" applyFill="1" applyBorder="1" applyAlignment="1">
      <alignment horizontal="center" vertical="center"/>
    </xf>
    <xf numFmtId="0" fontId="0" fillId="75" borderId="406" xfId="0" applyFill="1" applyBorder="1" applyAlignment="1">
      <alignment horizontal="center" vertical="center"/>
    </xf>
    <xf numFmtId="0" fontId="0" fillId="3" borderId="407" xfId="0" applyFill="1" applyBorder="1" applyAlignment="1">
      <alignment horizontal="center" vertical="center"/>
    </xf>
    <xf numFmtId="165" fontId="42" fillId="3" borderId="475" xfId="44" applyNumberFormat="1" applyFont="1" applyFill="1" applyBorder="1" applyAlignment="1">
      <alignment horizontal="center" vertical="center" wrapText="1"/>
    </xf>
    <xf numFmtId="0" fontId="52" fillId="4" borderId="345" xfId="0" applyFont="1" applyFill="1" applyBorder="1" applyAlignment="1">
      <alignment vertical="top" wrapText="1"/>
    </xf>
    <xf numFmtId="0" fontId="52" fillId="4" borderId="295" xfId="0" applyFont="1" applyFill="1" applyBorder="1" applyAlignment="1">
      <alignment vertical="top" wrapText="1"/>
    </xf>
    <xf numFmtId="0" fontId="52" fillId="4" borderId="476" xfId="0" applyFont="1" applyFill="1" applyBorder="1" applyAlignment="1">
      <alignment vertical="top" wrapText="1"/>
    </xf>
    <xf numFmtId="168" fontId="124" fillId="70" borderId="0" xfId="30" applyNumberFormat="1" applyFont="1" applyFill="1" applyBorder="1" applyAlignment="1">
      <alignment horizontal="right" vertical="center"/>
    </xf>
    <xf numFmtId="168" fontId="52" fillId="70" borderId="0" xfId="30" applyNumberFormat="1" applyFont="1" applyFill="1" applyBorder="1" applyAlignment="1">
      <alignment horizontal="center" vertical="center"/>
    </xf>
    <xf numFmtId="168" fontId="35" fillId="70" borderId="0" xfId="30" applyNumberFormat="1" applyFont="1" applyFill="1" applyBorder="1" applyAlignment="1">
      <alignment vertical="center"/>
    </xf>
    <xf numFmtId="0" fontId="35" fillId="3" borderId="0" xfId="0" applyFont="1" applyFill="1" applyAlignment="1">
      <alignment horizontal="right" vertical="center"/>
    </xf>
    <xf numFmtId="0" fontId="0" fillId="88" borderId="0" xfId="0" applyFill="1"/>
    <xf numFmtId="0" fontId="0" fillId="90" borderId="0" xfId="0" applyFill="1"/>
    <xf numFmtId="0" fontId="18" fillId="86" borderId="0" xfId="0" quotePrefix="1" applyFont="1" applyFill="1" applyAlignment="1">
      <alignment vertical="center"/>
    </xf>
    <xf numFmtId="0" fontId="18" fillId="86" borderId="0" xfId="0" applyFont="1" applyFill="1" applyAlignment="1">
      <alignment horizontal="right" vertical="center" indent="2"/>
    </xf>
    <xf numFmtId="0" fontId="146" fillId="91" borderId="0" xfId="0" applyFont="1" applyFill="1" applyAlignment="1">
      <alignment horizontal="right" vertical="center" indent="2"/>
    </xf>
    <xf numFmtId="0" fontId="146" fillId="91" borderId="0" xfId="0" quotePrefix="1" applyFont="1" applyFill="1" applyAlignment="1">
      <alignment vertical="center"/>
    </xf>
    <xf numFmtId="0" fontId="121" fillId="91" borderId="0" xfId="0" applyFont="1" applyFill="1" applyAlignment="1">
      <alignment horizontal="right" vertical="center" indent="2"/>
    </xf>
    <xf numFmtId="0" fontId="18" fillId="92" borderId="0" xfId="0" applyFont="1" applyFill="1" applyAlignment="1">
      <alignment horizontal="right" vertical="center" indent="2"/>
    </xf>
    <xf numFmtId="0" fontId="18" fillId="87" borderId="0" xfId="49" quotePrefix="1" applyFont="1" applyFill="1" applyBorder="1" applyAlignment="1" applyProtection="1">
      <alignment vertical="center"/>
    </xf>
    <xf numFmtId="0" fontId="18" fillId="88" borderId="0" xfId="49" applyFont="1" applyFill="1" applyAlignment="1">
      <alignment vertical="center"/>
    </xf>
    <xf numFmtId="0" fontId="18" fillId="90" borderId="0" xfId="0" applyFont="1" applyFill="1" applyAlignment="1">
      <alignment vertical="center"/>
    </xf>
    <xf numFmtId="164" fontId="40" fillId="4" borderId="68" xfId="47" applyFont="1" applyFill="1" applyBorder="1" applyAlignment="1" applyProtection="1">
      <alignment horizontal="right"/>
      <protection locked="0"/>
    </xf>
    <xf numFmtId="167" fontId="52" fillId="3" borderId="0" xfId="0" applyNumberFormat="1" applyFont="1" applyFill="1" applyAlignment="1">
      <alignment horizontal="center"/>
    </xf>
    <xf numFmtId="0" fontId="31" fillId="89" borderId="0" xfId="0" applyFont="1" applyFill="1"/>
    <xf numFmtId="0" fontId="19" fillId="89" borderId="0" xfId="0" applyFont="1" applyFill="1" applyAlignment="1">
      <alignment vertical="center"/>
    </xf>
    <xf numFmtId="0" fontId="33" fillId="12" borderId="157" xfId="0" applyFont="1" applyFill="1" applyBorder="1" applyAlignment="1">
      <alignment vertical="top"/>
    </xf>
    <xf numFmtId="49" fontId="21" fillId="54" borderId="477" xfId="0" applyNumberFormat="1" applyFont="1" applyFill="1" applyBorder="1"/>
    <xf numFmtId="49" fontId="21" fillId="54" borderId="478" xfId="0" applyNumberFormat="1" applyFont="1" applyFill="1" applyBorder="1"/>
    <xf numFmtId="49" fontId="33" fillId="54" borderId="477" xfId="0" applyNumberFormat="1" applyFont="1" applyFill="1" applyBorder="1"/>
    <xf numFmtId="0" fontId="13" fillId="93" borderId="0" xfId="0" applyFont="1" applyFill="1" applyAlignment="1" applyProtection="1">
      <alignment horizontal="left"/>
      <protection locked="0"/>
    </xf>
    <xf numFmtId="0" fontId="0" fillId="52" borderId="479" xfId="0" applyFill="1" applyBorder="1" applyAlignment="1">
      <alignment horizontal="left" vertical="center"/>
    </xf>
    <xf numFmtId="0" fontId="0" fillId="0" borderId="479" xfId="0" applyBorder="1" applyAlignment="1">
      <alignment horizontal="left" vertical="center"/>
    </xf>
    <xf numFmtId="0" fontId="0" fillId="52" borderId="479" xfId="0" applyFill="1" applyBorder="1"/>
    <xf numFmtId="0" fontId="40" fillId="3" borderId="380" xfId="0" applyFont="1" applyFill="1" applyBorder="1" applyAlignment="1">
      <alignment horizontal="center" wrapText="1"/>
    </xf>
    <xf numFmtId="0" fontId="40" fillId="3" borderId="68" xfId="0" applyFont="1" applyFill="1" applyBorder="1" applyAlignment="1">
      <alignment horizontal="center" wrapText="1"/>
    </xf>
    <xf numFmtId="0" fontId="40" fillId="3" borderId="214" xfId="0" applyFont="1" applyFill="1" applyBorder="1" applyAlignment="1">
      <alignment horizontal="center" wrapText="1"/>
    </xf>
    <xf numFmtId="0" fontId="0" fillId="3" borderId="470" xfId="0" applyFill="1" applyBorder="1" applyAlignment="1">
      <alignment horizontal="center" vertical="center"/>
    </xf>
    <xf numFmtId="0" fontId="0" fillId="3" borderId="471" xfId="0" applyFill="1" applyBorder="1" applyAlignment="1">
      <alignment horizontal="center" vertical="center"/>
    </xf>
    <xf numFmtId="0" fontId="151" fillId="0" borderId="297" xfId="0" applyFont="1" applyBorder="1" applyAlignment="1">
      <alignment horizontal="center" vertical="center"/>
    </xf>
    <xf numFmtId="0" fontId="151" fillId="0" borderId="370" xfId="0" applyFont="1" applyBorder="1" applyAlignment="1">
      <alignment horizontal="center" vertical="center"/>
    </xf>
    <xf numFmtId="0" fontId="161" fillId="3" borderId="371" xfId="0" applyFont="1" applyFill="1" applyBorder="1" applyAlignment="1">
      <alignment horizontal="center" vertical="center" wrapText="1"/>
    </xf>
    <xf numFmtId="0" fontId="161" fillId="3" borderId="372" xfId="0" applyFont="1" applyFill="1" applyBorder="1" applyAlignment="1">
      <alignment horizontal="center" vertical="center" wrapText="1"/>
    </xf>
    <xf numFmtId="0" fontId="179" fillId="3" borderId="0" xfId="0" applyFont="1" applyFill="1" applyAlignment="1" applyProtection="1">
      <alignment horizontal="right"/>
      <protection hidden="1"/>
    </xf>
    <xf numFmtId="0" fontId="40" fillId="0" borderId="233" xfId="0" applyFont="1" applyBorder="1" applyAlignment="1">
      <alignment horizontal="center" vertical="center"/>
    </xf>
    <xf numFmtId="167" fontId="52" fillId="70" borderId="233" xfId="0" applyNumberFormat="1" applyFont="1" applyFill="1" applyBorder="1"/>
    <xf numFmtId="167" fontId="52" fillId="4" borderId="233" xfId="5" applyFont="1" applyFill="1" applyBorder="1">
      <alignment horizontal="right" indent="2"/>
      <protection locked="0"/>
    </xf>
    <xf numFmtId="167" fontId="52" fillId="14" borderId="233" xfId="5" applyFont="1" applyFill="1" applyBorder="1">
      <alignment horizontal="right" indent="2"/>
      <protection locked="0"/>
    </xf>
    <xf numFmtId="0" fontId="42" fillId="3" borderId="480" xfId="0" applyFont="1" applyFill="1" applyBorder="1" applyAlignment="1">
      <alignment horizontal="center" vertical="center" wrapText="1"/>
    </xf>
    <xf numFmtId="0" fontId="42" fillId="3" borderId="481" xfId="0" applyFont="1" applyFill="1" applyBorder="1" applyAlignment="1">
      <alignment horizontal="center" vertical="center" wrapText="1"/>
    </xf>
    <xf numFmtId="0" fontId="42" fillId="3" borderId="482" xfId="0" applyFont="1" applyFill="1" applyBorder="1" applyAlignment="1">
      <alignment horizontal="center" vertical="center" wrapText="1"/>
    </xf>
    <xf numFmtId="0" fontId="40" fillId="0" borderId="238" xfId="0" applyFont="1" applyBorder="1" applyAlignment="1">
      <alignment horizontal="center" vertical="center"/>
    </xf>
    <xf numFmtId="167" fontId="52" fillId="70" borderId="238" xfId="0" applyNumberFormat="1" applyFont="1" applyFill="1" applyBorder="1"/>
    <xf numFmtId="167" fontId="52" fillId="4" borderId="238" xfId="5" applyFont="1" applyFill="1" applyBorder="1">
      <alignment horizontal="right" indent="2"/>
      <protection locked="0"/>
    </xf>
    <xf numFmtId="167" fontId="52" fillId="3" borderId="239" xfId="5" applyFont="1" applyFill="1" applyBorder="1">
      <alignment horizontal="right" indent="2"/>
      <protection locked="0"/>
    </xf>
    <xf numFmtId="167" fontId="52" fillId="3" borderId="241" xfId="5" applyFont="1" applyFill="1" applyBorder="1">
      <alignment horizontal="right" indent="2"/>
      <protection locked="0"/>
    </xf>
    <xf numFmtId="167" fontId="52" fillId="65" borderId="241" xfId="5" applyFont="1" applyFill="1" applyBorder="1">
      <alignment horizontal="right" indent="2"/>
      <protection locked="0"/>
    </xf>
    <xf numFmtId="0" fontId="40" fillId="0" borderId="243" xfId="0" applyFont="1" applyBorder="1" applyAlignment="1">
      <alignment horizontal="center" vertical="center"/>
    </xf>
    <xf numFmtId="167" fontId="52" fillId="70" borderId="243" xfId="0" applyNumberFormat="1" applyFont="1" applyFill="1" applyBorder="1"/>
    <xf numFmtId="167" fontId="52" fillId="4" borderId="243" xfId="5" applyFont="1" applyFill="1" applyBorder="1">
      <alignment horizontal="right" indent="2"/>
      <protection locked="0"/>
    </xf>
    <xf numFmtId="0" fontId="151" fillId="3" borderId="405" xfId="0" applyFont="1" applyFill="1" applyBorder="1" applyAlignment="1">
      <alignment horizontal="center" vertical="center" wrapText="1"/>
    </xf>
    <xf numFmtId="0" fontId="160" fillId="0" borderId="282" xfId="0" applyFont="1" applyBorder="1" applyAlignment="1">
      <alignment horizontal="center" vertical="center"/>
    </xf>
    <xf numFmtId="0" fontId="160" fillId="3" borderId="293" xfId="0" applyFont="1" applyFill="1" applyBorder="1" applyAlignment="1">
      <alignment horizontal="center" vertical="center"/>
    </xf>
    <xf numFmtId="0" fontId="161" fillId="3" borderId="294" xfId="0" applyFont="1" applyFill="1" applyBorder="1" applyAlignment="1">
      <alignment horizontal="center" vertical="center" wrapText="1"/>
    </xf>
    <xf numFmtId="0" fontId="52" fillId="0" borderId="233" xfId="0" applyFont="1" applyBorder="1" applyAlignment="1">
      <alignment horizontal="center" vertical="top" wrapText="1"/>
    </xf>
    <xf numFmtId="0" fontId="52" fillId="0" borderId="237" xfId="0" applyFont="1" applyBorder="1" applyAlignment="1">
      <alignment horizontal="left" vertical="top" wrapText="1" indent="1"/>
    </xf>
    <xf numFmtId="0" fontId="52" fillId="0" borderId="238" xfId="0" applyFont="1" applyBorder="1" applyAlignment="1">
      <alignment horizontal="center" vertical="top" wrapText="1"/>
    </xf>
    <xf numFmtId="10" fontId="40" fillId="43" borderId="239" xfId="16" applyFont="1" applyFill="1" applyBorder="1">
      <alignment horizontal="right"/>
      <protection locked="0"/>
    </xf>
    <xf numFmtId="0" fontId="52" fillId="0" borderId="240" xfId="0" applyFont="1" applyBorder="1" applyAlignment="1">
      <alignment horizontal="left" vertical="top" wrapText="1" indent="1"/>
    </xf>
    <xf numFmtId="0" fontId="52" fillId="0" borderId="242" xfId="0" applyFont="1" applyBorder="1" applyAlignment="1">
      <alignment horizontal="left" vertical="top" wrapText="1" indent="1"/>
    </xf>
    <xf numFmtId="0" fontId="52" fillId="0" borderId="243" xfId="0" applyFont="1" applyBorder="1" applyAlignment="1">
      <alignment horizontal="center" vertical="top" wrapText="1"/>
    </xf>
    <xf numFmtId="0" fontId="52" fillId="3" borderId="233" xfId="0" applyFont="1" applyFill="1" applyBorder="1" applyAlignment="1">
      <alignment horizontal="center" vertical="top" wrapText="1"/>
    </xf>
    <xf numFmtId="0" fontId="52" fillId="3" borderId="237" xfId="0" applyFont="1" applyFill="1" applyBorder="1" applyAlignment="1">
      <alignment horizontal="left" vertical="top" wrapText="1" indent="1"/>
    </xf>
    <xf numFmtId="0" fontId="52" fillId="3" borderId="238" xfId="0" applyFont="1" applyFill="1" applyBorder="1" applyAlignment="1">
      <alignment horizontal="center" vertical="top" wrapText="1"/>
    </xf>
    <xf numFmtId="0" fontId="52" fillId="3" borderId="240" xfId="0" applyFont="1" applyFill="1" applyBorder="1" applyAlignment="1">
      <alignment horizontal="left" vertical="top" wrapText="1" indent="1"/>
    </xf>
    <xf numFmtId="0" fontId="52" fillId="3" borderId="242" xfId="0" applyFont="1" applyFill="1" applyBorder="1" applyAlignment="1">
      <alignment horizontal="left" vertical="top" wrapText="1" indent="1"/>
    </xf>
    <xf numFmtId="0" fontId="52" fillId="3" borderId="243" xfId="0" applyFont="1" applyFill="1" applyBorder="1" applyAlignment="1">
      <alignment horizontal="center" vertical="top" wrapText="1"/>
    </xf>
    <xf numFmtId="0" fontId="162" fillId="3" borderId="400" xfId="0" applyFont="1" applyFill="1" applyBorder="1" applyAlignment="1">
      <alignment horizontal="center" vertical="center"/>
    </xf>
    <xf numFmtId="0" fontId="162" fillId="3" borderId="401" xfId="0" applyFont="1" applyFill="1" applyBorder="1" applyAlignment="1">
      <alignment horizontal="center" vertical="center"/>
    </xf>
    <xf numFmtId="0" fontId="162" fillId="3" borderId="402" xfId="0" applyFont="1" applyFill="1" applyBorder="1" applyAlignment="1">
      <alignment horizontal="center" vertical="center" wrapText="1"/>
    </xf>
    <xf numFmtId="0" fontId="40" fillId="0" borderId="233" xfId="0" applyFont="1" applyBorder="1" applyAlignment="1" applyProtection="1">
      <alignment horizontal="left" vertical="top" wrapText="1"/>
      <protection locked="0"/>
    </xf>
    <xf numFmtId="0" fontId="86" fillId="0" borderId="233" xfId="0" applyFont="1" applyBorder="1" applyAlignment="1" applyProtection="1">
      <alignment horizontal="left" vertical="top" wrapText="1"/>
      <protection locked="0"/>
    </xf>
    <xf numFmtId="0" fontId="0" fillId="0" borderId="233" xfId="0" applyBorder="1" applyAlignment="1" applyProtection="1">
      <alignment horizontal="left" vertical="top" wrapText="1"/>
      <protection locked="0"/>
    </xf>
    <xf numFmtId="0" fontId="40" fillId="0" borderId="483" xfId="0" applyFont="1" applyBorder="1" applyAlignment="1" applyProtection="1">
      <alignment horizontal="left" vertical="top" wrapText="1"/>
      <protection locked="0"/>
    </xf>
    <xf numFmtId="0" fontId="40" fillId="0" borderId="484" xfId="0" applyFont="1" applyBorder="1" applyAlignment="1" applyProtection="1">
      <alignment horizontal="left" vertical="top" wrapText="1"/>
      <protection locked="0"/>
    </xf>
    <xf numFmtId="0" fontId="40" fillId="0" borderId="485" xfId="0" applyFont="1" applyBorder="1" applyAlignment="1" applyProtection="1">
      <alignment horizontal="left" vertical="top" wrapText="1"/>
      <protection locked="0"/>
    </xf>
    <xf numFmtId="0" fontId="40" fillId="0" borderId="486" xfId="0" applyFont="1" applyBorder="1" applyAlignment="1" applyProtection="1">
      <alignment horizontal="left" vertical="top" wrapText="1"/>
      <protection locked="0"/>
    </xf>
    <xf numFmtId="0" fontId="52" fillId="0" borderId="487" xfId="0" applyFont="1" applyBorder="1" applyAlignment="1" applyProtection="1">
      <alignment horizontal="left" vertical="top" wrapText="1"/>
      <protection locked="0"/>
    </xf>
    <xf numFmtId="0" fontId="40" fillId="0" borderId="487" xfId="0" applyFont="1" applyBorder="1" applyAlignment="1" applyProtection="1">
      <alignment horizontal="left" vertical="top" wrapText="1"/>
      <protection locked="0"/>
    </xf>
    <xf numFmtId="0" fontId="0" fillId="0" borderId="487" xfId="0" applyBorder="1" applyAlignment="1" applyProtection="1">
      <alignment horizontal="left" vertical="top" wrapText="1"/>
      <protection locked="0"/>
    </xf>
    <xf numFmtId="0" fontId="40" fillId="0" borderId="488" xfId="0" applyFont="1" applyBorder="1" applyAlignment="1" applyProtection="1">
      <alignment horizontal="left" vertical="top" wrapText="1"/>
      <protection locked="0"/>
    </xf>
    <xf numFmtId="0" fontId="40" fillId="0" borderId="489" xfId="0" applyFont="1" applyBorder="1" applyAlignment="1" applyProtection="1">
      <alignment horizontal="left" vertical="top" wrapText="1"/>
      <protection locked="0"/>
    </xf>
    <xf numFmtId="0" fontId="40" fillId="0" borderId="490" xfId="0" applyFont="1" applyBorder="1" applyAlignment="1" applyProtection="1">
      <alignment horizontal="left" vertical="top" wrapText="1"/>
      <protection locked="0"/>
    </xf>
    <xf numFmtId="0" fontId="52" fillId="70" borderId="0" xfId="0" applyFont="1" applyFill="1" applyAlignment="1">
      <alignment horizontal="center" vertical="center"/>
    </xf>
    <xf numFmtId="0" fontId="40" fillId="78" borderId="240" xfId="34" applyFont="1" applyFill="1" applyBorder="1">
      <alignment horizontal="left" vertical="center" wrapText="1" indent="1"/>
    </xf>
    <xf numFmtId="0" fontId="40" fillId="4" borderId="240" xfId="34" applyFont="1" applyFill="1" applyBorder="1" applyAlignment="1">
      <alignment horizontal="left" vertical="center" wrapText="1" indent="2"/>
    </xf>
    <xf numFmtId="0" fontId="40" fillId="4" borderId="242" xfId="34" applyFont="1" applyFill="1" applyBorder="1" applyAlignment="1">
      <alignment horizontal="left" vertical="center" wrapText="1" indent="2"/>
    </xf>
    <xf numFmtId="0" fontId="52" fillId="3" borderId="233" xfId="0" applyFont="1" applyFill="1" applyBorder="1" applyAlignment="1">
      <alignment horizontal="center" vertical="center"/>
    </xf>
    <xf numFmtId="0" fontId="35" fillId="3" borderId="233" xfId="0" applyFont="1" applyFill="1" applyBorder="1" applyAlignment="1">
      <alignment horizontal="center" vertical="center"/>
    </xf>
    <xf numFmtId="49" fontId="42" fillId="0" borderId="237" xfId="18" applyFont="1" applyBorder="1" applyProtection="1"/>
    <xf numFmtId="0" fontId="52" fillId="3" borderId="238" xfId="0" applyFont="1" applyFill="1" applyBorder="1" applyAlignment="1">
      <alignment horizontal="center" vertical="center"/>
    </xf>
    <xf numFmtId="167" fontId="40" fillId="70" borderId="239" xfId="14" applyFont="1" applyFill="1" applyBorder="1">
      <alignment horizontal="right"/>
      <protection locked="0"/>
    </xf>
    <xf numFmtId="0" fontId="35" fillId="0" borderId="240" xfId="0" applyFont="1" applyBorder="1" applyAlignment="1">
      <alignment horizontal="left" vertical="center" indent="1"/>
    </xf>
    <xf numFmtId="169" fontId="52" fillId="0" borderId="241" xfId="0" applyNumberFormat="1" applyFont="1" applyBorder="1"/>
    <xf numFmtId="0" fontId="52" fillId="0" borderId="240" xfId="0" applyFont="1" applyBorder="1" applyAlignment="1">
      <alignment horizontal="left" vertical="center" indent="2"/>
    </xf>
    <xf numFmtId="167" fontId="40" fillId="70" borderId="241" xfId="14" applyFont="1" applyFill="1" applyBorder="1">
      <alignment horizontal="right"/>
      <protection locked="0"/>
    </xf>
    <xf numFmtId="0" fontId="35" fillId="0" borderId="242" xfId="0" applyFont="1" applyBorder="1" applyAlignment="1">
      <alignment vertical="center"/>
    </xf>
    <xf numFmtId="0" fontId="52" fillId="3" borderId="243" xfId="0" applyFont="1" applyFill="1" applyBorder="1" applyAlignment="1">
      <alignment horizontal="center" vertical="center"/>
    </xf>
    <xf numFmtId="167" fontId="40" fillId="70" borderId="244" xfId="14" applyFont="1" applyFill="1" applyBorder="1">
      <alignment horizontal="right"/>
      <protection locked="0"/>
    </xf>
    <xf numFmtId="0" fontId="52" fillId="0" borderId="240" xfId="0" applyFont="1" applyBorder="1" applyAlignment="1">
      <alignment horizontal="left" vertical="center" indent="1"/>
    </xf>
    <xf numFmtId="0" fontId="52" fillId="0" borderId="240" xfId="0" applyFont="1" applyBorder="1" applyAlignment="1">
      <alignment horizontal="left" vertical="center" indent="3"/>
    </xf>
    <xf numFmtId="0" fontId="42" fillId="94" borderId="491" xfId="0" applyFont="1" applyFill="1" applyBorder="1" applyAlignment="1" applyProtection="1">
      <alignment horizontal="center" vertical="center" wrapText="1"/>
      <protection locked="0"/>
    </xf>
    <xf numFmtId="0" fontId="42" fillId="94" borderId="53" xfId="0" applyFont="1" applyFill="1" applyBorder="1" applyAlignment="1" applyProtection="1">
      <alignment horizontal="center" vertical="center" wrapText="1"/>
      <protection locked="0"/>
    </xf>
    <xf numFmtId="0" fontId="42" fillId="94" borderId="492" xfId="0" applyFont="1" applyFill="1" applyBorder="1" applyAlignment="1" applyProtection="1">
      <alignment horizontal="center" vertical="center" wrapText="1"/>
      <protection locked="0"/>
    </xf>
    <xf numFmtId="0" fontId="86" fillId="63" borderId="388" xfId="45" applyFont="1" applyFill="1" applyBorder="1" applyAlignment="1">
      <alignment horizontal="left" vertical="center"/>
    </xf>
    <xf numFmtId="0" fontId="86" fillId="63" borderId="389" xfId="45" applyFont="1" applyFill="1" applyBorder="1" applyAlignment="1">
      <alignment horizontal="left" vertical="center"/>
    </xf>
    <xf numFmtId="0" fontId="165" fillId="80" borderId="0" xfId="45" applyFont="1" applyFill="1" applyAlignment="1">
      <alignment horizontal="left" vertical="center"/>
    </xf>
    <xf numFmtId="0" fontId="87" fillId="81" borderId="0" xfId="45" applyFill="1" applyAlignment="1">
      <alignment vertical="center" wrapText="1"/>
    </xf>
    <xf numFmtId="0" fontId="87" fillId="81" borderId="0" xfId="45" applyFill="1" applyAlignment="1">
      <alignment horizontal="left" vertical="center" wrapText="1"/>
    </xf>
    <xf numFmtId="0" fontId="165" fillId="4" borderId="0" xfId="0" applyFont="1" applyFill="1" applyAlignment="1" applyProtection="1">
      <alignment horizontal="center" vertical="center"/>
      <protection locked="0"/>
    </xf>
    <xf numFmtId="0" fontId="1" fillId="4" borderId="0" xfId="0" applyFont="1" applyFill="1" applyAlignment="1" applyProtection="1">
      <alignment horizontal="left" vertical="top"/>
      <protection locked="0"/>
    </xf>
    <xf numFmtId="14" fontId="5" fillId="4" borderId="0" xfId="0" quotePrefix="1" applyNumberFormat="1" applyFont="1" applyFill="1" applyAlignment="1" applyProtection="1">
      <alignment horizontal="left" vertical="top" indent="1"/>
      <protection locked="0"/>
    </xf>
    <xf numFmtId="14" fontId="5" fillId="4" borderId="0" xfId="0" applyNumberFormat="1" applyFont="1" applyFill="1" applyAlignment="1" applyProtection="1">
      <alignment horizontal="left" vertical="top" indent="1"/>
      <protection locked="0"/>
    </xf>
    <xf numFmtId="0" fontId="5" fillId="4" borderId="0" xfId="0" applyFont="1" applyFill="1" applyAlignment="1" applyProtection="1">
      <alignment horizontal="left" vertical="center" wrapText="1" indent="1"/>
      <protection locked="0"/>
    </xf>
    <xf numFmtId="0" fontId="5" fillId="4" borderId="0" xfId="0" applyFont="1" applyFill="1" applyAlignment="1" applyProtection="1">
      <alignment horizontal="left" vertical="top" indent="1"/>
      <protection locked="0"/>
    </xf>
    <xf numFmtId="0" fontId="5" fillId="12" borderId="0" xfId="0" applyFont="1" applyFill="1" applyAlignment="1">
      <alignment horizontal="left" vertical="center" indent="1"/>
    </xf>
    <xf numFmtId="0" fontId="30" fillId="85" borderId="0" xfId="0" applyFont="1" applyFill="1" applyAlignment="1">
      <alignment horizontal="left" vertical="center" indent="4"/>
    </xf>
    <xf numFmtId="166" fontId="23" fillId="12" borderId="0" xfId="0" applyNumberFormat="1" applyFont="1" applyFill="1" applyAlignment="1">
      <alignment horizontal="left" vertical="center" wrapText="1"/>
    </xf>
    <xf numFmtId="0" fontId="23" fillId="4" borderId="0" xfId="0" applyFont="1" applyFill="1" applyAlignment="1" applyProtection="1">
      <alignment vertical="center"/>
      <protection locked="0"/>
    </xf>
    <xf numFmtId="0" fontId="31" fillId="75" borderId="0" xfId="52" applyFont="1" applyFill="1" applyAlignment="1">
      <alignment vertical="center" wrapText="1"/>
    </xf>
    <xf numFmtId="0" fontId="126" fillId="63" borderId="236" xfId="0" applyFont="1" applyFill="1" applyBorder="1" applyAlignment="1">
      <alignment horizontal="center" vertical="center" wrapText="1"/>
    </xf>
    <xf numFmtId="0" fontId="126" fillId="63" borderId="285" xfId="0" applyFont="1" applyFill="1" applyBorder="1" applyAlignment="1">
      <alignment horizontal="center" vertical="center" wrapText="1"/>
    </xf>
    <xf numFmtId="0" fontId="126" fillId="63" borderId="298" xfId="0" applyFont="1" applyFill="1" applyBorder="1" applyAlignment="1">
      <alignment horizontal="center" vertical="center" wrapText="1"/>
    </xf>
    <xf numFmtId="0" fontId="126" fillId="63" borderId="313" xfId="0" applyFont="1" applyFill="1" applyBorder="1" applyAlignment="1">
      <alignment horizontal="center" vertical="center" wrapText="1"/>
    </xf>
    <xf numFmtId="0" fontId="126" fillId="63" borderId="227" xfId="0" applyFont="1" applyFill="1" applyBorder="1" applyAlignment="1">
      <alignment horizontal="center" vertical="center" wrapText="1"/>
    </xf>
    <xf numFmtId="0" fontId="0" fillId="75" borderId="233" xfId="0" applyFill="1" applyBorder="1" applyAlignment="1">
      <alignment horizontal="center" vertical="center"/>
    </xf>
    <xf numFmtId="0" fontId="0" fillId="75" borderId="261" xfId="0" applyFill="1" applyBorder="1" applyAlignment="1">
      <alignment horizontal="center" vertical="center"/>
    </xf>
    <xf numFmtId="0" fontId="0" fillId="75" borderId="355" xfId="0" applyFill="1" applyBorder="1" applyAlignment="1">
      <alignment horizontal="center" vertical="center"/>
    </xf>
    <xf numFmtId="0" fontId="0" fillId="75" borderId="435" xfId="0" applyFill="1" applyBorder="1" applyAlignment="1">
      <alignment horizontal="center" vertical="center"/>
    </xf>
    <xf numFmtId="0" fontId="0" fillId="3" borderId="325" xfId="0" applyFill="1" applyBorder="1" applyAlignment="1">
      <alignment horizontal="center" vertical="center"/>
    </xf>
    <xf numFmtId="0" fontId="0" fillId="3" borderId="381" xfId="0" applyFill="1" applyBorder="1" applyAlignment="1">
      <alignment horizontal="center" vertical="center"/>
    </xf>
    <xf numFmtId="0" fontId="0" fillId="3" borderId="437" xfId="0" applyFill="1" applyBorder="1" applyAlignment="1">
      <alignment horizontal="center" vertical="center"/>
    </xf>
    <xf numFmtId="0" fontId="0" fillId="3" borderId="438" xfId="0" applyFill="1" applyBorder="1" applyAlignment="1">
      <alignment horizontal="center" vertical="center"/>
    </xf>
    <xf numFmtId="0" fontId="157" fillId="7" borderId="290" xfId="0" applyFont="1" applyFill="1" applyBorder="1" applyAlignment="1">
      <alignment horizontal="center" vertical="center" wrapText="1"/>
    </xf>
    <xf numFmtId="0" fontId="157" fillId="7" borderId="233" xfId="0" applyFont="1" applyFill="1" applyBorder="1" applyAlignment="1">
      <alignment horizontal="center" vertical="center" wrapText="1"/>
    </xf>
    <xf numFmtId="0" fontId="157" fillId="7" borderId="261" xfId="0" applyFont="1" applyFill="1" applyBorder="1" applyAlignment="1">
      <alignment horizontal="center" vertical="center" wrapText="1"/>
    </xf>
    <xf numFmtId="0" fontId="157" fillId="7" borderId="405" xfId="0" applyFont="1" applyFill="1" applyBorder="1" applyAlignment="1">
      <alignment horizontal="center" vertical="center" wrapText="1"/>
    </xf>
    <xf numFmtId="0" fontId="157" fillId="7" borderId="406" xfId="0" applyFont="1" applyFill="1" applyBorder="1" applyAlignment="1">
      <alignment horizontal="center" vertical="center" wrapText="1"/>
    </xf>
    <xf numFmtId="0" fontId="157" fillId="7" borderId="407" xfId="0" applyFont="1" applyFill="1" applyBorder="1" applyAlignment="1">
      <alignment horizontal="center" vertical="center" wrapText="1"/>
    </xf>
    <xf numFmtId="0" fontId="126" fillId="63" borderId="388" xfId="0" applyFont="1" applyFill="1" applyBorder="1" applyAlignment="1">
      <alignment horizontal="center" vertical="center" wrapText="1"/>
    </xf>
    <xf numFmtId="0" fontId="126" fillId="63" borderId="390" xfId="0" applyFont="1" applyFill="1" applyBorder="1" applyAlignment="1">
      <alignment horizontal="center" vertical="center" wrapText="1"/>
    </xf>
    <xf numFmtId="0" fontId="126" fillId="63" borderId="389" xfId="0" applyFont="1" applyFill="1" applyBorder="1" applyAlignment="1">
      <alignment horizontal="center" vertical="center" wrapText="1"/>
    </xf>
    <xf numFmtId="0" fontId="157" fillId="7" borderId="254" xfId="0" applyFont="1" applyFill="1" applyBorder="1" applyAlignment="1">
      <alignment horizontal="center" vertical="center" wrapText="1"/>
    </xf>
    <xf numFmtId="0" fontId="157" fillId="7" borderId="215" xfId="0" applyFont="1" applyFill="1" applyBorder="1" applyAlignment="1">
      <alignment horizontal="center" vertical="center" wrapText="1"/>
    </xf>
    <xf numFmtId="0" fontId="157" fillId="7" borderId="253" xfId="0" applyFont="1" applyFill="1" applyBorder="1" applyAlignment="1">
      <alignment horizontal="center" vertical="center" wrapText="1"/>
    </xf>
    <xf numFmtId="0" fontId="133" fillId="7" borderId="156" xfId="0" applyFont="1" applyFill="1" applyBorder="1" applyAlignment="1">
      <alignment horizontal="center" vertical="center" wrapText="1"/>
    </xf>
    <xf numFmtId="0" fontId="133" fillId="7" borderId="273" xfId="0" applyFont="1" applyFill="1" applyBorder="1" applyAlignment="1">
      <alignment horizontal="center" vertical="center" wrapText="1"/>
    </xf>
    <xf numFmtId="0" fontId="133" fillId="7" borderId="280" xfId="0" applyFont="1" applyFill="1" applyBorder="1" applyAlignment="1">
      <alignment horizontal="center" vertical="center" wrapText="1"/>
    </xf>
    <xf numFmtId="0" fontId="126" fillId="63" borderId="0" xfId="0" applyFont="1" applyFill="1" applyAlignment="1">
      <alignment horizontal="center" vertical="center" wrapText="1"/>
    </xf>
    <xf numFmtId="0" fontId="126" fillId="63" borderId="358" xfId="0" applyFont="1" applyFill="1" applyBorder="1" applyAlignment="1">
      <alignment horizontal="center" vertical="center" wrapText="1"/>
    </xf>
    <xf numFmtId="0" fontId="133" fillId="7" borderId="342" xfId="0" applyFont="1" applyFill="1" applyBorder="1" applyAlignment="1">
      <alignment horizontal="center" vertical="center" wrapText="1"/>
    </xf>
    <xf numFmtId="0" fontId="133" fillId="7" borderId="343" xfId="0" applyFont="1" applyFill="1" applyBorder="1" applyAlignment="1">
      <alignment horizontal="center" vertical="center" wrapText="1"/>
    </xf>
    <xf numFmtId="0" fontId="133" fillId="7" borderId="341" xfId="0" applyFont="1" applyFill="1" applyBorder="1" applyAlignment="1">
      <alignment horizontal="center" vertical="center" wrapText="1"/>
    </xf>
    <xf numFmtId="0" fontId="133" fillId="7" borderId="344" xfId="0" applyFont="1" applyFill="1" applyBorder="1" applyAlignment="1">
      <alignment horizontal="center" vertical="center" wrapText="1"/>
    </xf>
    <xf numFmtId="0" fontId="133" fillId="7" borderId="340" xfId="0" applyFont="1" applyFill="1" applyBorder="1" applyAlignment="1">
      <alignment horizontal="center" vertical="center" wrapText="1"/>
    </xf>
    <xf numFmtId="165" fontId="130" fillId="63" borderId="345" xfId="44" applyNumberFormat="1" applyFont="1" applyFill="1" applyBorder="1" applyAlignment="1">
      <alignment horizontal="center" vertical="center" wrapText="1"/>
    </xf>
    <xf numFmtId="165" fontId="130" fillId="63" borderId="420" xfId="44" applyNumberFormat="1" applyFont="1" applyFill="1" applyBorder="1" applyAlignment="1">
      <alignment horizontal="center" vertical="center" wrapText="1"/>
    </xf>
    <xf numFmtId="165" fontId="130" fillId="63" borderId="346" xfId="44" applyNumberFormat="1" applyFont="1" applyFill="1" applyBorder="1" applyAlignment="1">
      <alignment horizontal="center" vertical="center" wrapText="1"/>
    </xf>
    <xf numFmtId="0" fontId="133" fillId="7" borderId="397" xfId="0" applyFont="1" applyFill="1" applyBorder="1" applyAlignment="1">
      <alignment horizontal="center" vertical="center" wrapText="1"/>
    </xf>
    <xf numFmtId="0" fontId="133" fillId="7" borderId="398" xfId="0" applyFont="1" applyFill="1" applyBorder="1" applyAlignment="1">
      <alignment horizontal="center" vertical="center" wrapText="1"/>
    </xf>
    <xf numFmtId="0" fontId="133" fillId="7" borderId="399" xfId="0" applyFont="1" applyFill="1" applyBorder="1" applyAlignment="1">
      <alignment horizontal="center" vertical="center" wrapText="1"/>
    </xf>
    <xf numFmtId="0" fontId="151" fillId="3" borderId="382" xfId="0" applyFont="1" applyFill="1" applyBorder="1" applyAlignment="1">
      <alignment horizontal="left" vertical="top" wrapText="1"/>
    </xf>
    <xf numFmtId="0" fontId="151" fillId="3" borderId="383" xfId="0" applyFont="1" applyFill="1" applyBorder="1" applyAlignment="1">
      <alignment horizontal="left" vertical="top" wrapText="1"/>
    </xf>
    <xf numFmtId="0" fontId="151" fillId="3" borderId="384" xfId="0" applyFont="1" applyFill="1" applyBorder="1" applyAlignment="1">
      <alignment horizontal="left" vertical="top" wrapText="1"/>
    </xf>
    <xf numFmtId="0" fontId="151" fillId="7" borderId="269" xfId="0" applyFont="1" applyFill="1" applyBorder="1" applyAlignment="1">
      <alignment horizontal="center" vertical="center" wrapText="1"/>
    </xf>
    <xf numFmtId="0" fontId="151" fillId="7" borderId="270" xfId="0" applyFont="1" applyFill="1" applyBorder="1" applyAlignment="1">
      <alignment horizontal="center" vertical="center" wrapText="1"/>
    </xf>
    <xf numFmtId="0" fontId="151" fillId="7" borderId="271" xfId="0" applyFont="1" applyFill="1" applyBorder="1" applyAlignment="1">
      <alignment horizontal="center" vertical="center" wrapText="1"/>
    </xf>
    <xf numFmtId="0" fontId="133" fillId="7" borderId="370" xfId="0" applyFont="1" applyFill="1" applyBorder="1" applyAlignment="1">
      <alignment horizontal="center" vertical="center" wrapText="1"/>
    </xf>
    <xf numFmtId="0" fontId="133" fillId="7" borderId="371" xfId="0" applyFont="1" applyFill="1" applyBorder="1" applyAlignment="1">
      <alignment horizontal="center" vertical="center" wrapText="1"/>
    </xf>
    <xf numFmtId="0" fontId="133" fillId="7" borderId="372" xfId="0" applyFont="1" applyFill="1" applyBorder="1" applyAlignment="1">
      <alignment horizontal="center" vertical="center" wrapText="1"/>
    </xf>
    <xf numFmtId="0" fontId="133" fillId="3" borderId="362" xfId="0" applyFont="1" applyFill="1" applyBorder="1" applyAlignment="1">
      <alignment horizontal="left" vertical="top" wrapText="1"/>
    </xf>
    <xf numFmtId="0" fontId="133" fillId="3" borderId="363" xfId="0" applyFont="1" applyFill="1" applyBorder="1" applyAlignment="1">
      <alignment horizontal="left" vertical="top" wrapText="1"/>
    </xf>
    <xf numFmtId="0" fontId="133" fillId="3" borderId="364" xfId="0" applyFont="1" applyFill="1" applyBorder="1" applyAlignment="1">
      <alignment horizontal="left" vertical="top" wrapText="1"/>
    </xf>
    <xf numFmtId="0" fontId="133" fillId="3" borderId="357" xfId="0" applyFont="1" applyFill="1" applyBorder="1" applyAlignment="1">
      <alignment horizontal="left" vertical="top" wrapText="1"/>
    </xf>
    <xf numFmtId="0" fontId="133" fillId="3" borderId="0" xfId="0" applyFont="1" applyFill="1" applyAlignment="1">
      <alignment horizontal="left" vertical="top" wrapText="1"/>
    </xf>
    <xf numFmtId="0" fontId="133" fillId="3" borderId="365" xfId="0" applyFont="1" applyFill="1" applyBorder="1" applyAlignment="1">
      <alignment horizontal="left" vertical="top" wrapText="1"/>
    </xf>
    <xf numFmtId="0" fontId="133" fillId="7" borderId="105" xfId="0" applyFont="1" applyFill="1" applyBorder="1" applyAlignment="1">
      <alignment horizontal="center" vertical="center" wrapText="1"/>
    </xf>
    <xf numFmtId="0" fontId="133" fillId="7" borderId="105" xfId="0" applyFont="1" applyFill="1" applyBorder="1" applyAlignment="1">
      <alignment horizontal="center" vertical="center"/>
    </xf>
    <xf numFmtId="0" fontId="151" fillId="0" borderId="405" xfId="0" applyFont="1" applyBorder="1" applyAlignment="1">
      <alignment horizontal="center" vertical="center" wrapText="1"/>
    </xf>
    <xf numFmtId="0" fontId="151" fillId="0" borderId="406" xfId="0" applyFont="1" applyBorder="1" applyAlignment="1">
      <alignment horizontal="center" vertical="center"/>
    </xf>
    <xf numFmtId="0" fontId="151" fillId="0" borderId="407" xfId="0" applyFont="1" applyBorder="1" applyAlignment="1">
      <alignment horizontal="center" vertical="center"/>
    </xf>
    <xf numFmtId="0" fontId="133" fillId="7" borderId="277" xfId="0" applyFont="1" applyFill="1" applyBorder="1" applyAlignment="1">
      <alignment horizontal="center" vertical="center" wrapText="1"/>
    </xf>
    <xf numFmtId="0" fontId="133" fillId="7" borderId="278" xfId="0" applyFont="1" applyFill="1" applyBorder="1" applyAlignment="1">
      <alignment horizontal="center" vertical="center" wrapText="1"/>
    </xf>
    <xf numFmtId="0" fontId="133" fillId="7" borderId="279" xfId="0" applyFont="1" applyFill="1" applyBorder="1" applyAlignment="1">
      <alignment horizontal="center" vertical="center" wrapText="1"/>
    </xf>
    <xf numFmtId="0" fontId="0" fillId="3" borderId="354" xfId="0" applyFill="1" applyBorder="1" applyAlignment="1">
      <alignment horizontal="center"/>
    </xf>
    <xf numFmtId="0" fontId="0" fillId="3" borderId="355" xfId="0" applyFill="1" applyBorder="1" applyAlignment="1">
      <alignment horizontal="center"/>
    </xf>
    <xf numFmtId="0" fontId="0" fillId="3" borderId="352" xfId="0" applyFill="1" applyBorder="1" applyAlignment="1">
      <alignment horizontal="center"/>
    </xf>
    <xf numFmtId="0" fontId="0" fillId="3" borderId="233" xfId="0" applyFill="1" applyBorder="1" applyAlignment="1">
      <alignment horizontal="center"/>
    </xf>
    <xf numFmtId="0" fontId="151" fillId="3" borderId="352" xfId="0" applyFont="1" applyFill="1" applyBorder="1" applyAlignment="1">
      <alignment horizontal="left" vertical="top" wrapText="1"/>
    </xf>
    <xf numFmtId="0" fontId="151" fillId="3" borderId="233" xfId="0" applyFont="1" applyFill="1" applyBorder="1" applyAlignment="1">
      <alignment horizontal="left" vertical="top" wrapText="1"/>
    </xf>
    <xf numFmtId="0" fontId="151" fillId="3" borderId="353" xfId="0" applyFont="1" applyFill="1" applyBorder="1" applyAlignment="1">
      <alignment horizontal="left" vertical="top" wrapText="1"/>
    </xf>
    <xf numFmtId="0" fontId="151" fillId="0" borderId="405" xfId="0" applyFont="1" applyBorder="1" applyAlignment="1">
      <alignment horizontal="center" vertical="center"/>
    </xf>
    <xf numFmtId="0" fontId="133" fillId="3" borderId="0" xfId="0" applyFont="1" applyFill="1" applyAlignment="1">
      <alignment horizontal="center" vertical="center" wrapText="1"/>
    </xf>
    <xf numFmtId="0" fontId="133" fillId="7" borderId="354" xfId="0" applyFont="1" applyFill="1" applyBorder="1" applyAlignment="1">
      <alignment horizontal="center" vertical="center" wrapText="1"/>
    </xf>
    <xf numFmtId="0" fontId="133" fillId="7" borderId="355" xfId="0" applyFont="1" applyFill="1" applyBorder="1" applyAlignment="1">
      <alignment horizontal="center" vertical="center" wrapText="1"/>
    </xf>
    <xf numFmtId="0" fontId="133" fillId="7" borderId="356" xfId="0" applyFont="1" applyFill="1" applyBorder="1" applyAlignment="1">
      <alignment horizontal="center" vertical="center" wrapText="1"/>
    </xf>
    <xf numFmtId="0" fontId="0" fillId="3" borderId="366" xfId="0" applyFill="1" applyBorder="1" applyAlignment="1">
      <alignment horizontal="center"/>
    </xf>
    <xf numFmtId="0" fontId="0" fillId="3" borderId="367" xfId="0" applyFill="1" applyBorder="1" applyAlignment="1">
      <alignment horizontal="center"/>
    </xf>
    <xf numFmtId="0" fontId="0" fillId="3" borderId="368" xfId="0" applyFill="1" applyBorder="1" applyAlignment="1">
      <alignment horizontal="center"/>
    </xf>
    <xf numFmtId="0" fontId="52" fillId="3" borderId="0" xfId="0" applyFont="1" applyFill="1" applyAlignment="1">
      <alignment horizontal="center" vertical="center" textRotation="90"/>
    </xf>
    <xf numFmtId="0" fontId="0" fillId="3" borderId="349" xfId="0" applyFill="1" applyBorder="1" applyAlignment="1">
      <alignment horizontal="center"/>
    </xf>
    <xf numFmtId="0" fontId="0" fillId="3" borderId="350" xfId="0" applyFill="1" applyBorder="1" applyAlignment="1">
      <alignment horizontal="center"/>
    </xf>
    <xf numFmtId="0" fontId="0" fillId="3" borderId="353" xfId="0" applyFill="1" applyBorder="1" applyAlignment="1">
      <alignment horizontal="center"/>
    </xf>
    <xf numFmtId="0" fontId="0" fillId="3" borderId="356" xfId="0" applyFill="1" applyBorder="1" applyAlignment="1">
      <alignment horizontal="center"/>
    </xf>
    <xf numFmtId="0" fontId="133" fillId="7" borderId="263" xfId="0" applyFont="1" applyFill="1" applyBorder="1" applyAlignment="1">
      <alignment horizontal="center" vertical="center" wrapText="1"/>
    </xf>
    <xf numFmtId="0" fontId="133" fillId="7" borderId="264" xfId="0" applyFont="1" applyFill="1" applyBorder="1" applyAlignment="1">
      <alignment horizontal="center" vertical="center" wrapText="1"/>
    </xf>
    <xf numFmtId="0" fontId="133" fillId="7" borderId="265" xfId="0" applyFont="1" applyFill="1" applyBorder="1" applyAlignment="1">
      <alignment horizontal="center" vertical="center" wrapText="1"/>
    </xf>
    <xf numFmtId="0" fontId="35" fillId="3" borderId="0" xfId="0" applyFont="1" applyFill="1" applyAlignment="1">
      <alignment horizontal="center"/>
    </xf>
    <xf numFmtId="167" fontId="52" fillId="75" borderId="0" xfId="0" applyNumberFormat="1" applyFont="1" applyFill="1" applyAlignment="1">
      <alignment horizontal="center" vertical="center"/>
    </xf>
    <xf numFmtId="0" fontId="42" fillId="3" borderId="388" xfId="0" applyFont="1" applyFill="1" applyBorder="1" applyAlignment="1">
      <alignment horizontal="center" vertical="center" wrapText="1"/>
    </xf>
    <xf numFmtId="0" fontId="42" fillId="3" borderId="389" xfId="0" applyFont="1" applyFill="1" applyBorder="1" applyAlignment="1">
      <alignment horizontal="center" vertical="center" wrapText="1"/>
    </xf>
    <xf numFmtId="0" fontId="151" fillId="7" borderId="458" xfId="0" applyFont="1" applyFill="1" applyBorder="1" applyAlignment="1">
      <alignment horizontal="center" vertical="center" wrapText="1"/>
    </xf>
    <xf numFmtId="0" fontId="151" fillId="7" borderId="459" xfId="0" applyFont="1" applyFill="1" applyBorder="1" applyAlignment="1">
      <alignment horizontal="center" vertical="center" wrapText="1"/>
    </xf>
    <xf numFmtId="0" fontId="151" fillId="7" borderId="460" xfId="0" applyFont="1" applyFill="1" applyBorder="1" applyAlignment="1">
      <alignment horizontal="center" vertical="center" wrapText="1"/>
    </xf>
    <xf numFmtId="170" fontId="0" fillId="3" borderId="0" xfId="0" applyNumberFormat="1" applyFill="1" applyAlignment="1">
      <alignment horizontal="center"/>
    </xf>
    <xf numFmtId="0" fontId="133" fillId="7" borderId="269" xfId="0" applyFont="1" applyFill="1" applyBorder="1" applyAlignment="1">
      <alignment horizontal="center" vertical="center" wrapText="1"/>
    </xf>
    <xf numFmtId="0" fontId="133" fillId="7" borderId="270" xfId="0" applyFont="1" applyFill="1" applyBorder="1" applyAlignment="1">
      <alignment horizontal="center" vertical="center" wrapText="1"/>
    </xf>
    <xf numFmtId="0" fontId="133" fillId="7" borderId="271" xfId="0" applyFont="1" applyFill="1" applyBorder="1" applyAlignment="1">
      <alignment horizontal="center" vertical="center" wrapText="1"/>
    </xf>
    <xf numFmtId="170" fontId="133" fillId="3" borderId="352" xfId="0" applyNumberFormat="1" applyFont="1" applyFill="1" applyBorder="1" applyAlignment="1">
      <alignment horizontal="left" vertical="top" wrapText="1"/>
    </xf>
    <xf numFmtId="170" fontId="133" fillId="3" borderId="233" xfId="0" applyNumberFormat="1" applyFont="1" applyFill="1" applyBorder="1" applyAlignment="1">
      <alignment horizontal="left" vertical="top" wrapText="1"/>
    </xf>
    <xf numFmtId="170" fontId="133" fillId="3" borderId="353" xfId="0" applyNumberFormat="1" applyFont="1" applyFill="1" applyBorder="1" applyAlignment="1">
      <alignment horizontal="left" vertical="top" wrapText="1"/>
    </xf>
    <xf numFmtId="170" fontId="133" fillId="3" borderId="354" xfId="0" applyNumberFormat="1" applyFont="1" applyFill="1" applyBorder="1" applyAlignment="1">
      <alignment horizontal="left" vertical="top" wrapText="1"/>
    </xf>
    <xf numFmtId="170" fontId="133" fillId="3" borderId="355" xfId="0" applyNumberFormat="1" applyFont="1" applyFill="1" applyBorder="1" applyAlignment="1">
      <alignment horizontal="left" vertical="top" wrapText="1"/>
    </xf>
    <xf numFmtId="170" fontId="133" fillId="3" borderId="356" xfId="0" applyNumberFormat="1" applyFont="1" applyFill="1" applyBorder="1" applyAlignment="1">
      <alignment horizontal="left" vertical="top" wrapText="1"/>
    </xf>
    <xf numFmtId="0" fontId="133" fillId="0" borderId="274" xfId="0" applyFont="1" applyBorder="1" applyAlignment="1">
      <alignment horizontal="center" vertical="center"/>
    </xf>
    <xf numFmtId="0" fontId="133" fillId="0" borderId="275" xfId="0" applyFont="1" applyBorder="1" applyAlignment="1">
      <alignment horizontal="center" vertical="center"/>
    </xf>
    <xf numFmtId="0" fontId="133" fillId="0" borderId="276" xfId="0" applyFont="1" applyBorder="1" applyAlignment="1">
      <alignment horizontal="center" vertical="center"/>
    </xf>
    <xf numFmtId="0" fontId="133" fillId="7" borderId="268" xfId="0" applyFont="1" applyFill="1" applyBorder="1" applyAlignment="1">
      <alignment horizontal="center" vertical="center" wrapText="1"/>
    </xf>
    <xf numFmtId="0" fontId="133" fillId="7" borderId="0" xfId="0" applyFont="1" applyFill="1" applyAlignment="1">
      <alignment horizontal="center" vertical="center" wrapText="1"/>
    </xf>
    <xf numFmtId="0" fontId="133" fillId="7" borderId="266" xfId="0" applyFont="1" applyFill="1" applyBorder="1" applyAlignment="1">
      <alignment horizontal="center" vertical="center" wrapText="1"/>
    </xf>
    <xf numFmtId="170" fontId="0" fillId="3" borderId="366" xfId="0" applyNumberFormat="1" applyFill="1" applyBorder="1" applyAlignment="1">
      <alignment horizontal="center"/>
    </xf>
    <xf numFmtId="170" fontId="0" fillId="3" borderId="367" xfId="0" applyNumberFormat="1" applyFill="1" applyBorder="1" applyAlignment="1">
      <alignment horizontal="center"/>
    </xf>
    <xf numFmtId="170" fontId="0" fillId="3" borderId="368" xfId="0" applyNumberFormat="1" applyFill="1" applyBorder="1" applyAlignment="1">
      <alignment horizontal="center"/>
    </xf>
    <xf numFmtId="170" fontId="0" fillId="3" borderId="352" xfId="0" applyNumberFormat="1" applyFill="1" applyBorder="1" applyAlignment="1">
      <alignment horizontal="center"/>
    </xf>
    <xf numFmtId="170" fontId="0" fillId="3" borderId="233" xfId="0" applyNumberFormat="1" applyFill="1" applyBorder="1" applyAlignment="1">
      <alignment horizontal="center"/>
    </xf>
    <xf numFmtId="170" fontId="0" fillId="3" borderId="353" xfId="0" applyNumberFormat="1" applyFill="1" applyBorder="1" applyAlignment="1">
      <alignment horizontal="center"/>
    </xf>
    <xf numFmtId="0" fontId="133" fillId="3" borderId="370" xfId="0" applyFont="1" applyFill="1" applyBorder="1" applyAlignment="1">
      <alignment horizontal="center" vertical="center"/>
    </xf>
    <xf numFmtId="0" fontId="133" fillId="3" borderId="371" xfId="0" applyFont="1" applyFill="1" applyBorder="1" applyAlignment="1">
      <alignment horizontal="center" vertical="center"/>
    </xf>
    <xf numFmtId="0" fontId="133" fillId="7" borderId="286" xfId="0" applyFont="1" applyFill="1" applyBorder="1" applyAlignment="1">
      <alignment horizontal="center" vertical="center" wrapText="1"/>
    </xf>
    <xf numFmtId="0" fontId="133" fillId="7" borderId="405" xfId="0" applyFont="1" applyFill="1" applyBorder="1" applyAlignment="1">
      <alignment horizontal="center" vertical="center" wrapText="1"/>
    </xf>
    <xf numFmtId="0" fontId="133" fillId="7" borderId="406" xfId="0" applyFont="1" applyFill="1" applyBorder="1" applyAlignment="1">
      <alignment horizontal="center" vertical="center" wrapText="1"/>
    </xf>
    <xf numFmtId="0" fontId="133" fillId="7" borderId="407" xfId="0" applyFont="1" applyFill="1" applyBorder="1" applyAlignment="1">
      <alignment horizontal="center" vertical="center" wrapText="1"/>
    </xf>
    <xf numFmtId="0" fontId="133" fillId="3" borderId="382" xfId="0" applyFont="1" applyFill="1" applyBorder="1" applyAlignment="1">
      <alignment horizontal="left" vertical="top" wrapText="1"/>
    </xf>
    <xf numFmtId="0" fontId="133" fillId="3" borderId="383" xfId="0" applyFont="1" applyFill="1" applyBorder="1" applyAlignment="1">
      <alignment horizontal="left" vertical="top" wrapText="1"/>
    </xf>
    <xf numFmtId="0" fontId="133" fillId="3" borderId="384" xfId="0" applyFont="1" applyFill="1" applyBorder="1" applyAlignment="1">
      <alignment horizontal="left" vertical="top" wrapText="1"/>
    </xf>
    <xf numFmtId="0" fontId="133" fillId="3" borderId="408" xfId="0" applyFont="1" applyFill="1" applyBorder="1" applyAlignment="1">
      <alignment horizontal="left" vertical="top" wrapText="1"/>
    </xf>
    <xf numFmtId="0" fontId="133" fillId="3" borderId="352" xfId="0" applyFont="1" applyFill="1" applyBorder="1" applyAlignment="1">
      <alignment horizontal="left" vertical="top" wrapText="1"/>
    </xf>
    <xf numFmtId="0" fontId="133" fillId="3" borderId="354" xfId="0" applyFont="1" applyFill="1" applyBorder="1" applyAlignment="1">
      <alignment horizontal="left" vertical="top" wrapText="1"/>
    </xf>
    <xf numFmtId="0" fontId="133" fillId="7" borderId="288" xfId="0" applyFont="1" applyFill="1" applyBorder="1" applyAlignment="1">
      <alignment horizontal="center" vertical="center" wrapText="1"/>
    </xf>
    <xf numFmtId="0" fontId="133" fillId="7" borderId="289" xfId="0" applyFont="1" applyFill="1" applyBorder="1" applyAlignment="1">
      <alignment horizontal="center" vertical="center" wrapText="1"/>
    </xf>
    <xf numFmtId="0" fontId="133" fillId="7" borderId="281" xfId="0" applyFont="1" applyFill="1" applyBorder="1" applyAlignment="1">
      <alignment horizontal="center" vertical="center" wrapText="1"/>
    </xf>
    <xf numFmtId="0" fontId="151" fillId="0" borderId="385" xfId="0" applyFont="1" applyBorder="1" applyAlignment="1">
      <alignment horizontal="center" vertical="center"/>
    </xf>
    <xf numFmtId="0" fontId="151" fillId="0" borderId="386" xfId="0" applyFont="1" applyBorder="1" applyAlignment="1">
      <alignment horizontal="center" vertical="center"/>
    </xf>
    <xf numFmtId="0" fontId="133" fillId="7" borderId="463" xfId="0" applyFont="1" applyFill="1" applyBorder="1" applyAlignment="1">
      <alignment horizontal="center" vertical="center" wrapText="1"/>
    </xf>
    <xf numFmtId="0" fontId="133" fillId="7" borderId="464" xfId="0" applyFont="1" applyFill="1" applyBorder="1" applyAlignment="1">
      <alignment horizontal="center" vertical="center" wrapText="1"/>
    </xf>
    <xf numFmtId="0" fontId="133" fillId="3" borderId="367" xfId="0" applyFont="1" applyFill="1" applyBorder="1" applyAlignment="1">
      <alignment horizontal="left" vertical="top" wrapText="1"/>
    </xf>
    <xf numFmtId="0" fontId="133" fillId="3" borderId="233" xfId="0" applyFont="1" applyFill="1" applyBorder="1" applyAlignment="1">
      <alignment horizontal="left" vertical="top" wrapText="1"/>
    </xf>
    <xf numFmtId="0" fontId="133" fillId="3" borderId="394" xfId="0" applyFont="1" applyFill="1" applyBorder="1" applyAlignment="1">
      <alignment horizontal="left" vertical="top" wrapText="1"/>
    </xf>
    <xf numFmtId="0" fontId="133" fillId="3" borderId="395" xfId="0" applyFont="1" applyFill="1" applyBorder="1" applyAlignment="1">
      <alignment horizontal="left" vertical="top" wrapText="1"/>
    </xf>
    <xf numFmtId="0" fontId="133" fillId="7" borderId="465" xfId="0" applyFont="1" applyFill="1" applyBorder="1" applyAlignment="1">
      <alignment horizontal="center" vertical="center" wrapText="1"/>
    </xf>
    <xf numFmtId="0" fontId="133" fillId="3" borderId="349" xfId="0" applyFont="1" applyFill="1" applyBorder="1" applyAlignment="1">
      <alignment horizontal="left" vertical="top" wrapText="1"/>
    </xf>
    <xf numFmtId="0" fontId="133" fillId="3" borderId="350" xfId="0" applyFont="1" applyFill="1" applyBorder="1" applyAlignment="1">
      <alignment horizontal="left" vertical="top" wrapText="1"/>
    </xf>
    <xf numFmtId="0" fontId="133" fillId="3" borderId="466" xfId="0" applyFont="1" applyFill="1" applyBorder="1" applyAlignment="1">
      <alignment horizontal="left" vertical="top" wrapText="1"/>
    </xf>
    <xf numFmtId="0" fontId="133" fillId="3" borderId="467" xfId="0" applyFont="1" applyFill="1" applyBorder="1" applyAlignment="1">
      <alignment horizontal="left" vertical="top" wrapText="1"/>
    </xf>
    <xf numFmtId="0" fontId="133" fillId="3" borderId="355" xfId="0" applyFont="1" applyFill="1" applyBorder="1" applyAlignment="1">
      <alignment horizontal="left" vertical="top" wrapText="1"/>
    </xf>
    <xf numFmtId="0" fontId="133" fillId="3" borderId="468" xfId="0" applyFont="1" applyFill="1" applyBorder="1" applyAlignment="1">
      <alignment horizontal="left" vertical="top" wrapText="1"/>
    </xf>
    <xf numFmtId="0" fontId="3" fillId="3" borderId="0" xfId="0" applyFont="1" applyFill="1" applyAlignment="1">
      <alignment horizontal="left" vertical="center"/>
    </xf>
    <xf numFmtId="0" fontId="133" fillId="3" borderId="353" xfId="0" applyFont="1" applyFill="1" applyBorder="1" applyAlignment="1">
      <alignment horizontal="left" vertical="top" wrapText="1"/>
    </xf>
    <xf numFmtId="0" fontId="133" fillId="3" borderId="356" xfId="0" applyFont="1" applyFill="1" applyBorder="1" applyAlignment="1">
      <alignment horizontal="left" vertical="top" wrapText="1"/>
    </xf>
    <xf numFmtId="0" fontId="151" fillId="3" borderId="354" xfId="0" applyFont="1" applyFill="1" applyBorder="1" applyAlignment="1">
      <alignment horizontal="center" vertical="top" wrapText="1"/>
    </xf>
    <xf numFmtId="0" fontId="151" fillId="3" borderId="355" xfId="0" applyFont="1" applyFill="1" applyBorder="1" applyAlignment="1">
      <alignment horizontal="center" vertical="top" wrapText="1"/>
    </xf>
    <xf numFmtId="0" fontId="151" fillId="3" borderId="356" xfId="0" applyFont="1" applyFill="1" applyBorder="1" applyAlignment="1">
      <alignment horizontal="center" vertical="top" wrapText="1"/>
    </xf>
    <xf numFmtId="0" fontId="151" fillId="3" borderId="408" xfId="0" applyFont="1" applyFill="1" applyBorder="1" applyAlignment="1">
      <alignment horizontal="center" vertical="top" wrapText="1"/>
    </xf>
    <xf numFmtId="0" fontId="151" fillId="3" borderId="367" xfId="0" applyFont="1" applyFill="1" applyBorder="1" applyAlignment="1">
      <alignment horizontal="center" vertical="top" wrapText="1"/>
    </xf>
    <xf numFmtId="0" fontId="151" fillId="3" borderId="409" xfId="0" applyFont="1" applyFill="1" applyBorder="1" applyAlignment="1">
      <alignment horizontal="center" vertical="top" wrapText="1"/>
    </xf>
    <xf numFmtId="0" fontId="151" fillId="3" borderId="352" xfId="0" applyFont="1" applyFill="1" applyBorder="1" applyAlignment="1">
      <alignment horizontal="center" vertical="top" wrapText="1"/>
    </xf>
    <xf numFmtId="0" fontId="151" fillId="3" borderId="233" xfId="0" applyFont="1" applyFill="1" applyBorder="1" applyAlignment="1">
      <alignment horizontal="center" vertical="top" wrapText="1"/>
    </xf>
    <xf numFmtId="0" fontId="151" fillId="3" borderId="353" xfId="0" applyFont="1" applyFill="1" applyBorder="1" applyAlignment="1">
      <alignment horizontal="center" vertical="top" wrapText="1"/>
    </xf>
    <xf numFmtId="0" fontId="162" fillId="7" borderId="156" xfId="0" applyFont="1" applyFill="1" applyBorder="1" applyAlignment="1">
      <alignment horizontal="center" vertical="center" wrapText="1"/>
    </xf>
    <xf numFmtId="0" fontId="162" fillId="7" borderId="273" xfId="0" applyFont="1" applyFill="1" applyBorder="1" applyAlignment="1">
      <alignment horizontal="center" vertical="center" wrapText="1"/>
    </xf>
    <xf numFmtId="0" fontId="162" fillId="7" borderId="280" xfId="0" applyFont="1" applyFill="1" applyBorder="1" applyAlignment="1">
      <alignment horizontal="center" vertical="center" wrapText="1"/>
    </xf>
    <xf numFmtId="0" fontId="164" fillId="0" borderId="405" xfId="0" applyFont="1" applyBorder="1" applyAlignment="1">
      <alignment horizontal="center" vertical="center"/>
    </xf>
    <xf numFmtId="0" fontId="164" fillId="0" borderId="406" xfId="0" applyFont="1" applyBorder="1" applyAlignment="1">
      <alignment horizontal="center" vertical="center"/>
    </xf>
    <xf numFmtId="0" fontId="164" fillId="0" borderId="407" xfId="0" applyFont="1" applyBorder="1" applyAlignment="1">
      <alignment horizontal="center" vertical="center"/>
    </xf>
    <xf numFmtId="0" fontId="162" fillId="7" borderId="405" xfId="0" applyFont="1" applyFill="1" applyBorder="1" applyAlignment="1">
      <alignment horizontal="center" vertical="center" wrapText="1"/>
    </xf>
    <xf numFmtId="0" fontId="162" fillId="7" borderId="406" xfId="0" applyFont="1" applyFill="1" applyBorder="1" applyAlignment="1">
      <alignment horizontal="center" vertical="center" wrapText="1"/>
    </xf>
    <xf numFmtId="0" fontId="162" fillId="7" borderId="407" xfId="0" applyFont="1" applyFill="1" applyBorder="1" applyAlignment="1">
      <alignment horizontal="center" vertical="center" wrapText="1"/>
    </xf>
    <xf numFmtId="0" fontId="151" fillId="7" borderId="156" xfId="0" applyFont="1" applyFill="1" applyBorder="1" applyAlignment="1">
      <alignment horizontal="center" vertical="center" wrapText="1"/>
    </xf>
    <xf numFmtId="0" fontId="151" fillId="7" borderId="273" xfId="0" applyFont="1" applyFill="1" applyBorder="1" applyAlignment="1">
      <alignment horizontal="center" vertical="center" wrapText="1"/>
    </xf>
    <xf numFmtId="0" fontId="151" fillId="7" borderId="280" xfId="0" applyFont="1" applyFill="1" applyBorder="1" applyAlignment="1">
      <alignment horizontal="center" vertical="center" wrapText="1"/>
    </xf>
    <xf numFmtId="0" fontId="23" fillId="70" borderId="0" xfId="0" applyFont="1" applyFill="1" applyAlignment="1" applyProtection="1">
      <alignment vertical="center" wrapText="1"/>
      <protection locked="0"/>
    </xf>
    <xf numFmtId="0" fontId="30" fillId="82" borderId="40" xfId="0" applyFont="1" applyFill="1" applyBorder="1" applyAlignment="1" applyProtection="1">
      <alignment horizontal="center" vertical="center" wrapText="1"/>
      <protection locked="0"/>
    </xf>
    <xf numFmtId="0" fontId="30" fillId="82" borderId="41" xfId="0" applyFont="1" applyFill="1" applyBorder="1" applyAlignment="1" applyProtection="1">
      <alignment horizontal="center" vertical="center" wrapText="1"/>
      <protection locked="0"/>
    </xf>
    <xf numFmtId="0" fontId="30" fillId="82" borderId="42" xfId="0" applyFont="1" applyFill="1" applyBorder="1" applyAlignment="1" applyProtection="1">
      <alignment horizontal="center" vertical="center" wrapText="1"/>
      <protection locked="0"/>
    </xf>
    <xf numFmtId="0" fontId="5" fillId="3" borderId="0" xfId="0" applyFont="1" applyFill="1" applyAlignment="1">
      <alignment horizontal="center"/>
    </xf>
    <xf numFmtId="0" fontId="52" fillId="3" borderId="249" xfId="0" applyFont="1" applyFill="1" applyBorder="1" applyAlignment="1">
      <alignment horizontal="center"/>
    </xf>
    <xf numFmtId="0" fontId="52" fillId="3" borderId="232" xfId="0" applyFont="1" applyFill="1" applyBorder="1" applyAlignment="1">
      <alignment horizontal="center"/>
    </xf>
    <xf numFmtId="165" fontId="90" fillId="63" borderId="62" xfId="44" applyNumberFormat="1" applyFont="1" applyFill="1" applyBorder="1" applyAlignment="1">
      <alignment horizontal="center" vertical="center" wrapText="1"/>
    </xf>
    <xf numFmtId="0" fontId="0" fillId="0" borderId="0" xfId="0"/>
    <xf numFmtId="0" fontId="5" fillId="30" borderId="4" xfId="0" applyFont="1" applyFill="1" applyBorder="1" applyAlignment="1">
      <alignment horizontal="center" vertical="top"/>
    </xf>
    <xf numFmtId="0" fontId="5" fillId="30" borderId="0" xfId="0" applyFont="1" applyFill="1" applyAlignment="1">
      <alignment horizontal="center" vertical="top"/>
    </xf>
    <xf numFmtId="0" fontId="36" fillId="42" borderId="0" xfId="0" applyFont="1" applyFill="1" applyAlignment="1">
      <alignment horizontal="right" vertical="center" wrapText="1"/>
    </xf>
    <xf numFmtId="0" fontId="58" fillId="44" borderId="135" xfId="0" applyFont="1" applyFill="1" applyBorder="1" applyAlignment="1">
      <alignment horizontal="right" vertical="center" wrapText="1"/>
    </xf>
    <xf numFmtId="0" fontId="58" fillId="44" borderId="140" xfId="0" applyFont="1" applyFill="1" applyBorder="1" applyAlignment="1">
      <alignment horizontal="right" vertical="center" wrapText="1"/>
    </xf>
    <xf numFmtId="0" fontId="58" fillId="44" borderId="145" xfId="0" applyFont="1" applyFill="1" applyBorder="1" applyAlignment="1">
      <alignment horizontal="right" vertical="center" wrapText="1"/>
    </xf>
    <xf numFmtId="0" fontId="58" fillId="44" borderId="5" xfId="0" applyFont="1" applyFill="1" applyBorder="1" applyAlignment="1">
      <alignment horizontal="right" vertical="center" wrapText="1"/>
    </xf>
    <xf numFmtId="0" fontId="58" fillId="46" borderId="5" xfId="0" applyFont="1" applyFill="1" applyBorder="1" applyAlignment="1">
      <alignment horizontal="right" vertical="center" wrapText="1"/>
    </xf>
    <xf numFmtId="0" fontId="58" fillId="46" borderId="0" xfId="0" applyFont="1" applyFill="1" applyAlignment="1">
      <alignment horizontal="right" vertical="center" wrapText="1"/>
    </xf>
    <xf numFmtId="0" fontId="58" fillId="48" borderId="0" xfId="0" applyFont="1" applyFill="1" applyAlignment="1">
      <alignment horizontal="right" vertical="center"/>
    </xf>
    <xf numFmtId="0" fontId="58" fillId="48" borderId="5" xfId="0" applyFont="1" applyFill="1" applyBorder="1" applyAlignment="1">
      <alignment horizontal="right" vertical="center"/>
    </xf>
    <xf numFmtId="0" fontId="58" fillId="44" borderId="127" xfId="0" applyFont="1" applyFill="1" applyBorder="1" applyAlignment="1">
      <alignment horizontal="right" vertical="center" wrapText="1"/>
    </xf>
    <xf numFmtId="0" fontId="58" fillId="44" borderId="131" xfId="0" applyFont="1" applyFill="1" applyBorder="1" applyAlignment="1">
      <alignment horizontal="right" vertical="center" wrapText="1"/>
    </xf>
    <xf numFmtId="0" fontId="58" fillId="29" borderId="0" xfId="0" applyFont="1" applyFill="1" applyAlignment="1">
      <alignment horizontal="right" vertical="center" wrapText="1"/>
    </xf>
    <xf numFmtId="0" fontId="61" fillId="42" borderId="0" xfId="0" applyFont="1" applyFill="1" applyAlignment="1">
      <alignment horizontal="right" vertical="center" wrapText="1"/>
    </xf>
    <xf numFmtId="0" fontId="0" fillId="3" borderId="25" xfId="0" applyFill="1" applyBorder="1" applyAlignment="1">
      <alignment vertical="center"/>
    </xf>
    <xf numFmtId="0" fontId="0" fillId="3" borderId="16" xfId="0" applyFill="1" applyBorder="1" applyAlignment="1">
      <alignment vertical="center"/>
    </xf>
    <xf numFmtId="0" fontId="0" fillId="3" borderId="83" xfId="0" applyFill="1" applyBorder="1" applyAlignment="1">
      <alignment vertical="center"/>
    </xf>
    <xf numFmtId="0" fontId="0" fillId="3" borderId="95" xfId="0" applyFill="1" applyBorder="1" applyAlignment="1">
      <alignment vertical="center"/>
    </xf>
    <xf numFmtId="0" fontId="61" fillId="42" borderId="5" xfId="0" applyFont="1" applyFill="1" applyBorder="1" applyAlignment="1">
      <alignment horizontal="right" vertical="center" wrapText="1"/>
    </xf>
    <xf numFmtId="0" fontId="21" fillId="54" borderId="9" xfId="0" applyFont="1" applyFill="1" applyBorder="1" applyAlignment="1">
      <alignment horizontal="left" vertical="top" wrapText="1"/>
    </xf>
    <xf numFmtId="0" fontId="21" fillId="54" borderId="10" xfId="0" applyFont="1" applyFill="1" applyBorder="1" applyAlignment="1">
      <alignment horizontal="left" vertical="top" wrapText="1"/>
    </xf>
    <xf numFmtId="0" fontId="9" fillId="33" borderId="176" xfId="0" applyFont="1" applyFill="1" applyBorder="1" applyAlignment="1">
      <alignment horizontal="left" vertical="center" indent="4"/>
    </xf>
    <xf numFmtId="0" fontId="9" fillId="33" borderId="66" xfId="0" applyFont="1" applyFill="1" applyBorder="1" applyAlignment="1">
      <alignment horizontal="left" vertical="center" indent="4"/>
    </xf>
    <xf numFmtId="0" fontId="0" fillId="0" borderId="46" xfId="0" applyBorder="1" applyAlignment="1">
      <alignment horizontal="right" vertical="center" wrapText="1"/>
    </xf>
    <xf numFmtId="0" fontId="0" fillId="0" borderId="5" xfId="0" applyBorder="1" applyAlignment="1">
      <alignment horizontal="right" vertical="center" wrapText="1"/>
    </xf>
    <xf numFmtId="0" fontId="0" fillId="0" borderId="56" xfId="0" applyBorder="1" applyAlignment="1">
      <alignment horizontal="right" vertical="center"/>
    </xf>
    <xf numFmtId="0" fontId="0" fillId="0" borderId="15" xfId="0" applyBorder="1" applyAlignment="1">
      <alignment horizontal="right" vertical="center"/>
    </xf>
    <xf numFmtId="0" fontId="0" fillId="0" borderId="22" xfId="0" applyBorder="1" applyAlignment="1">
      <alignment horizontal="right" vertical="center"/>
    </xf>
    <xf numFmtId="0" fontId="102" fillId="18" borderId="0" xfId="0" applyFont="1" applyFill="1" applyAlignment="1" applyProtection="1">
      <alignment horizontal="left" wrapText="1"/>
      <protection locked="0"/>
    </xf>
    <xf numFmtId="0" fontId="102" fillId="18"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1" xfId="0" applyBorder="1" applyAlignment="1">
      <alignment horizontal="right" vertical="center"/>
    </xf>
    <xf numFmtId="0" fontId="0" fillId="0" borderId="43" xfId="0" applyBorder="1" applyAlignment="1">
      <alignment horizontal="right" vertical="center"/>
    </xf>
    <xf numFmtId="0" fontId="0" fillId="0" borderId="17" xfId="0" applyBorder="1" applyAlignment="1">
      <alignment horizontal="right" vertical="center"/>
    </xf>
    <xf numFmtId="0" fontId="0" fillId="0" borderId="61" xfId="0" applyBorder="1" applyAlignment="1">
      <alignment horizontal="right" vertical="center" wrapText="1"/>
    </xf>
    <xf numFmtId="0" fontId="0" fillId="0" borderId="15" xfId="0" applyBorder="1" applyAlignment="1">
      <alignment horizontal="right" vertical="center" wrapText="1"/>
    </xf>
    <xf numFmtId="0" fontId="0" fillId="0" borderId="22" xfId="0" applyBorder="1" applyAlignment="1">
      <alignment horizontal="right" vertical="center" wrapText="1"/>
    </xf>
  </cellXfs>
  <cellStyles count="54">
    <cellStyle name="AER_AmendConfid" xfId="33" xr:uid="{152B9E15-71E0-42E3-8159-4C41C237D499}"/>
    <cellStyle name="AER_Amended" xfId="31" xr:uid="{F1482C5A-6AB0-41A2-AD6A-1B5D7BA21FB9}"/>
    <cellStyle name="AER_Confidential" xfId="15" xr:uid="{FC735B33-2670-44B4-8D8F-CD90FE2ACD97}"/>
    <cellStyle name="Comma" xfId="47" builtinId="3"/>
    <cellStyle name="Comma 2" xfId="46" xr:uid="{6D2D6CDC-179A-4FA7-A18A-47397C5FC5C1}"/>
    <cellStyle name="dms_1" xfId="17" xr:uid="{633F37B3-9D12-4CFB-818D-669825A51E79}"/>
    <cellStyle name="dms_2" xfId="7" xr:uid="{6E0793DF-1A99-4AAE-BD18-D2F988DBA3FF}"/>
    <cellStyle name="dms_2 2" xfId="52" xr:uid="{591C453F-4DB0-4E25-A7E5-691C8CA5F26C}"/>
    <cellStyle name="dms_3" xfId="18" xr:uid="{1A52A6F5-60AA-4159-BEAE-1FAAFAF4AE64}"/>
    <cellStyle name="dms_3 2" xfId="50" xr:uid="{B3CB5D29-73DA-48E5-B70D-032FF87D496E}"/>
    <cellStyle name="dms_4" xfId="19" xr:uid="{44E85FA9-F5F0-43EF-B14E-FB87FB84B149}"/>
    <cellStyle name="dms_5" xfId="20" xr:uid="{FB441819-F987-49DA-9D8B-2349BCB58030}"/>
    <cellStyle name="dms_BH" xfId="23" xr:uid="{BECF3297-3833-4E43-ADB1-E41A756E4F2E}"/>
    <cellStyle name="dms_Blue_HDR" xfId="32" xr:uid="{B9DFE675-99E0-4D04-9C90-04CED6B69773}"/>
    <cellStyle name="dms_BY1" xfId="24" xr:uid="{A94E53C4-1580-489E-AE4C-FB1AEE2CE74D}"/>
    <cellStyle name="dms_BY2" xfId="25" xr:uid="{EC207A29-ADD1-40B6-A858-E287527AEF41}"/>
    <cellStyle name="dms_Code" xfId="29" xr:uid="{DA4AB647-D130-4C3B-93D1-E6904AC92E47}"/>
    <cellStyle name="dms_GH" xfId="26" xr:uid="{69479733-1528-4F1D-A62D-9C5127592A7A}"/>
    <cellStyle name="dms_GY1" xfId="27" xr:uid="{0F3E7F30-F9F8-47F4-AD86-A2494C51B5B3}"/>
    <cellStyle name="dms_GY2" xfId="28" xr:uid="{69971423-8DB6-4B20-BE71-1207107EC0C2}"/>
    <cellStyle name="dms_H" xfId="2" xr:uid="{910B7B9F-278F-4371-A435-6976E1C7F206}"/>
    <cellStyle name="dms_NUM" xfId="11" xr:uid="{CD29ED83-04FA-4052-A2A7-FD3F133B3169}"/>
    <cellStyle name="dms_NUM 2" xfId="14" xr:uid="{D1B64819-009C-4208-B6C2-F1FD8A8D7732}"/>
    <cellStyle name="dms_Num%" xfId="16" xr:uid="{5D22B03F-FDA0-4F82-8FA7-02AC84AD858D}"/>
    <cellStyle name="dms_NUM_0dp" xfId="5" xr:uid="{90D37E76-E347-485A-A57D-4248210659C3}"/>
    <cellStyle name="dms_NUM_0dp 2" xfId="41" xr:uid="{7E27C891-9332-4F03-A4E5-1DDC2A2BCA67}"/>
    <cellStyle name="dms_Row" xfId="34" xr:uid="{3927DB57-D9EE-4173-B372-3DD7B9687FF3}"/>
    <cellStyle name="dms_Row_Locked" xfId="10" xr:uid="{E8B7EA8D-991D-401C-8EB1-05CFCCA91A68}"/>
    <cellStyle name="dms_Row1" xfId="9" xr:uid="{F633FCDA-DE93-4D5D-B497-312FB26D78CD}"/>
    <cellStyle name="dms_Row2" xfId="21" xr:uid="{0FB6A525-5C71-40AC-8ECB-977944857D34}"/>
    <cellStyle name="dms_T1" xfId="6" xr:uid="{07E3DD9B-FE01-4924-BAFE-273430111A7E}"/>
    <cellStyle name="dms_T2" xfId="22" xr:uid="{3A9956ED-A59B-4530-A241-253BEAAFA62C}"/>
    <cellStyle name="dms_TopHeader" xfId="1" xr:uid="{855AFC90-C770-4D93-8827-836C5BEDC093}"/>
    <cellStyle name="Hyperlink" xfId="49" builtinId="8"/>
    <cellStyle name="Normal" xfId="0" builtinId="0" customBuiltin="1"/>
    <cellStyle name="Normal 11" xfId="39" xr:uid="{2F5E936D-63F0-4066-9AAA-12DF50CAE6D8}"/>
    <cellStyle name="Normal 114" xfId="43" xr:uid="{F9206CDA-7F5F-496E-BB5A-67C4A07339C0}"/>
    <cellStyle name="Normal 13" xfId="42" xr:uid="{02DEEA80-931F-4254-8F75-1962DF9F1846}"/>
    <cellStyle name="Normal 2" xfId="45" xr:uid="{CE4DF020-1238-4291-B1A8-7FB0786AD7FC}"/>
    <cellStyle name="Normal 2 2 2" xfId="36" xr:uid="{21CACE85-45C9-4380-9186-858AB443B9AA}"/>
    <cellStyle name="Normal 2 2 3 2" xfId="48" xr:uid="{E3BED499-C96C-498A-945B-DDFB39BB11DF}"/>
    <cellStyle name="Normal 3" xfId="53" xr:uid="{FF8B1D19-A24E-492B-B1EA-5AF25395BBBE}"/>
    <cellStyle name="Normal 33" xfId="51" xr:uid="{B54B9DE0-04DA-45CC-8200-24886240A9E7}"/>
    <cellStyle name="Normal 4" xfId="38" xr:uid="{6BF5E725-3E2D-4389-9B71-4A5A4E177517}"/>
    <cellStyle name="Normal 4 2" xfId="40" xr:uid="{92581E4C-8222-4507-ADB5-6465DC7933B8}"/>
    <cellStyle name="Normal_AppendixB" xfId="44" xr:uid="{9DD43599-3B33-4AF0-86C2-17A080D92E4B}"/>
    <cellStyle name="RIN_TB2" xfId="13" xr:uid="{0C8524D1-B4E9-44D8-983B-D76E2E3B74D9}"/>
    <cellStyle name="RIN_TB3" xfId="35" xr:uid="{21945329-3D10-4A45-B6D0-F6D7F6E40A32}"/>
    <cellStyle name="RIN_TL2" xfId="3" xr:uid="{6CFA8039-8E4C-46C4-B00F-4CFC2AA8AEE3}"/>
    <cellStyle name="RIN_TL2 2" xfId="12" xr:uid="{903AF984-47B7-4EC3-8C95-BF456C24013F}"/>
    <cellStyle name="RIN_TL3" xfId="4" xr:uid="{4C99618F-DFFD-40F8-A26E-7D5C0A3C5CFB}"/>
    <cellStyle name="RIN_TL3 2" xfId="37" xr:uid="{FEF49900-B6AE-4CA4-AAF1-62F1DF9969BC}"/>
    <cellStyle name="RIN_Tnum_dp3" xfId="8" xr:uid="{916BF85D-AEBA-42F4-9CEF-BEA3EE993DBA}"/>
    <cellStyle name="Total" xfId="30" builtinId="25"/>
  </cellStyles>
  <dxfs count="60">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border>
        <right style="thin">
          <color auto="1"/>
        </right>
        <vertical/>
        <horizontal/>
      </border>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391C8"/>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6B98BF"/>
      <color rgb="FF006BA8"/>
      <color rgb="FF9572B2"/>
      <color rgb="FF4B2D88"/>
      <color rgb="FF009292"/>
      <color rgb="FF074650"/>
      <color rgb="FFF06EA6"/>
      <color rgb="FF5F9E88"/>
      <color rgb="FFE2EEE9"/>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L35"/>
  <sheetViews>
    <sheetView tabSelected="1" workbookViewId="0"/>
  </sheetViews>
  <sheetFormatPr defaultColWidth="9.1796875" defaultRowHeight="14.5"/>
  <cols>
    <col min="1" max="1" width="5.6328125" style="1" customWidth="1"/>
    <col min="2" max="2" width="2.453125" style="1" customWidth="1"/>
    <col min="3" max="3" width="31.54296875" style="1" bestFit="1" customWidth="1"/>
    <col min="4" max="4" width="71.81640625" style="1" customWidth="1"/>
    <col min="5" max="5" width="2.1796875" style="1" customWidth="1"/>
    <col min="6" max="7" width="9.1796875" style="1"/>
    <col min="8" max="10" width="8.54296875" style="1" customWidth="1"/>
    <col min="11" max="16384" width="9.1796875" style="1"/>
  </cols>
  <sheetData>
    <row r="1" spans="2:12" ht="18.5">
      <c r="B1" s="1492" t="s">
        <v>1151</v>
      </c>
      <c r="C1" s="1289"/>
      <c r="D1" s="1289"/>
      <c r="E1" s="1493"/>
    </row>
    <row r="2" spans="2:12" ht="18.5">
      <c r="B2" s="1494" t="str">
        <f>INDEX(dms_TradingNameFull_List,MATCH(dms_TradingName,dms_TradingName_List))</f>
        <v>Australian Transmission Co.</v>
      </c>
      <c r="C2" s="1290"/>
      <c r="D2" s="1290"/>
      <c r="E2" s="1495"/>
    </row>
    <row r="3" spans="2:12" ht="19" thickBot="1">
      <c r="B3" s="1496" t="str">
        <f>CONCATENATE("REPORTING STATEMENT: "&amp;CRY)</f>
        <v>REPORTING STATEMENT: 2025-26</v>
      </c>
      <c r="C3" s="1291"/>
      <c r="D3" s="1291"/>
      <c r="E3" s="1497"/>
    </row>
    <row r="4" spans="2:12" ht="12" customHeight="1"/>
    <row r="5" spans="2:12" ht="18.75" customHeight="1">
      <c r="B5" s="1307"/>
      <c r="C5" s="1152" t="s">
        <v>1</v>
      </c>
      <c r="D5" s="1306">
        <v>46143</v>
      </c>
      <c r="E5" s="1307"/>
    </row>
    <row r="6" spans="2:12" ht="15" customHeight="1" thickBot="1">
      <c r="B6" s="1305"/>
      <c r="C6" s="1305"/>
      <c r="D6" s="1305"/>
      <c r="E6" s="1305"/>
    </row>
    <row r="7" spans="2:12" s="8" customFormat="1" ht="18.75" customHeight="1">
      <c r="B7" s="1147"/>
      <c r="D7" s="1293" t="s">
        <v>0</v>
      </c>
      <c r="E7" s="1141"/>
      <c r="F7" s="1122"/>
      <c r="H7" s="1"/>
      <c r="I7" s="1"/>
      <c r="J7" s="1"/>
    </row>
    <row r="8" spans="2:12" s="8" customFormat="1" ht="18.75" customHeight="1">
      <c r="B8" s="1147"/>
      <c r="C8" s="1152"/>
      <c r="D8" s="1292" t="s">
        <v>1545</v>
      </c>
      <c r="E8" s="1141"/>
      <c r="F8" s="1122"/>
      <c r="H8" s="1"/>
      <c r="I8" s="1"/>
      <c r="J8" s="1"/>
    </row>
    <row r="9" spans="2:12" ht="18" customHeight="1">
      <c r="B9" s="1146"/>
      <c r="C9" s="1152"/>
      <c r="D9" s="1292" t="s">
        <v>2</v>
      </c>
      <c r="E9" s="1140"/>
    </row>
    <row r="10" spans="2:12" ht="18" customHeight="1">
      <c r="B10" s="1146"/>
      <c r="C10" s="1152"/>
      <c r="D10" s="1294" t="s">
        <v>1353</v>
      </c>
      <c r="E10" s="1140"/>
    </row>
    <row r="11" spans="2:12" s="8" customFormat="1" ht="18" customHeight="1">
      <c r="B11" s="1148"/>
      <c r="C11" s="1880"/>
      <c r="D11" s="1879" t="s">
        <v>3</v>
      </c>
      <c r="E11" s="1142"/>
      <c r="H11" s="1"/>
      <c r="I11" s="1"/>
      <c r="J11" s="1"/>
    </row>
    <row r="12" spans="2:12" s="8" customFormat="1" ht="18" customHeight="1">
      <c r="B12" s="1148"/>
      <c r="C12" s="1880"/>
      <c r="D12" s="1879" t="s">
        <v>4</v>
      </c>
      <c r="E12" s="1142"/>
      <c r="H12" s="1"/>
      <c r="I12" s="1"/>
      <c r="J12" s="1"/>
      <c r="K12" s="1"/>
      <c r="L12" s="1"/>
    </row>
    <row r="13" spans="2:12" s="8" customFormat="1" ht="18" customHeight="1">
      <c r="B13" s="1148"/>
      <c r="C13" s="1880"/>
      <c r="D13" s="1879" t="s">
        <v>1349</v>
      </c>
      <c r="E13" s="1142"/>
      <c r="H13" s="1"/>
      <c r="I13" s="1"/>
      <c r="J13" s="1"/>
      <c r="K13" s="1"/>
      <c r="L13" s="1"/>
    </row>
    <row r="14" spans="2:12" ht="18" customHeight="1">
      <c r="B14" s="1149"/>
      <c r="C14" s="1880"/>
      <c r="D14" s="1879" t="s">
        <v>1325</v>
      </c>
      <c r="E14" s="1143"/>
    </row>
    <row r="15" spans="2:12" s="8" customFormat="1" ht="18" customHeight="1">
      <c r="B15" s="1148"/>
      <c r="C15" s="1880"/>
      <c r="D15" s="1879" t="s">
        <v>5</v>
      </c>
      <c r="E15" s="1142"/>
      <c r="H15" s="1"/>
      <c r="I15" s="1"/>
      <c r="J15" s="1"/>
      <c r="K15" s="1"/>
      <c r="L15" s="1"/>
    </row>
    <row r="16" spans="2:12" s="8" customFormat="1" ht="18" customHeight="1">
      <c r="B16" s="1148"/>
      <c r="C16" s="1880"/>
      <c r="D16" s="1879" t="s">
        <v>6</v>
      </c>
      <c r="E16" s="1142"/>
      <c r="H16" s="1"/>
      <c r="I16" s="1"/>
      <c r="J16" s="1"/>
      <c r="K16" s="1"/>
      <c r="L16" s="1"/>
    </row>
    <row r="17" spans="2:12" s="8" customFormat="1" ht="18" customHeight="1">
      <c r="B17" s="1148"/>
      <c r="C17" s="1880"/>
      <c r="D17" s="1879" t="s">
        <v>7</v>
      </c>
      <c r="E17" s="1142"/>
      <c r="H17" s="1"/>
      <c r="I17" s="1"/>
      <c r="J17" s="1"/>
      <c r="K17" s="1"/>
      <c r="L17" s="1"/>
    </row>
    <row r="18" spans="2:12" s="8" customFormat="1" ht="18" customHeight="1">
      <c r="B18" s="1148"/>
      <c r="C18" s="1880"/>
      <c r="D18" s="1879" t="s">
        <v>8</v>
      </c>
      <c r="E18" s="1142"/>
      <c r="H18" s="1"/>
      <c r="I18" s="1"/>
      <c r="J18" s="1"/>
      <c r="K18" s="1"/>
      <c r="L18" s="1"/>
    </row>
    <row r="19" spans="2:12" s="8" customFormat="1" ht="18" customHeight="1">
      <c r="B19" s="1148"/>
      <c r="C19" s="1880"/>
      <c r="D19" s="1879" t="s">
        <v>9</v>
      </c>
      <c r="E19" s="1142"/>
      <c r="H19" s="1"/>
      <c r="I19" s="1"/>
      <c r="J19" s="1"/>
      <c r="K19" s="1"/>
      <c r="L19" s="1"/>
    </row>
    <row r="20" spans="2:12" s="8" customFormat="1" ht="18" customHeight="1">
      <c r="B20" s="1150"/>
      <c r="C20" s="1881"/>
      <c r="D20" s="1882" t="s">
        <v>10</v>
      </c>
      <c r="E20" s="1144"/>
      <c r="H20" s="1"/>
      <c r="I20" s="1"/>
      <c r="J20" s="1"/>
      <c r="K20" s="1"/>
      <c r="L20" s="1"/>
    </row>
    <row r="21" spans="2:12" s="8" customFormat="1" ht="18" customHeight="1">
      <c r="B21" s="1150"/>
      <c r="C21" s="1881"/>
      <c r="D21" s="1882" t="s">
        <v>11</v>
      </c>
      <c r="E21" s="1144"/>
      <c r="H21" s="1"/>
      <c r="I21" s="1"/>
      <c r="J21" s="1"/>
      <c r="K21" s="1"/>
      <c r="L21" s="1"/>
    </row>
    <row r="22" spans="2:12" s="8" customFormat="1" ht="18" customHeight="1">
      <c r="B22" s="1150"/>
      <c r="C22" s="1883"/>
      <c r="D22" s="1882" t="s">
        <v>12</v>
      </c>
      <c r="E22" s="1144"/>
      <c r="H22" s="1"/>
      <c r="I22" s="1"/>
      <c r="J22" s="1"/>
      <c r="K22" s="1"/>
      <c r="L22" s="1"/>
    </row>
    <row r="23" spans="2:12" s="8" customFormat="1" ht="18" customHeight="1">
      <c r="B23" s="1150"/>
      <c r="C23" s="1883"/>
      <c r="D23" s="1882" t="s">
        <v>13</v>
      </c>
      <c r="E23" s="1144"/>
      <c r="H23" s="1"/>
      <c r="I23" s="1"/>
      <c r="J23" s="1"/>
      <c r="K23" s="1"/>
      <c r="L23" s="1"/>
    </row>
    <row r="24" spans="2:12" ht="18" customHeight="1">
      <c r="B24" s="1149"/>
      <c r="C24" s="1884"/>
      <c r="D24" s="1885" t="s">
        <v>14</v>
      </c>
      <c r="E24" s="1143"/>
    </row>
    <row r="25" spans="2:12" s="8" customFormat="1" ht="18" customHeight="1">
      <c r="B25" s="1150"/>
      <c r="C25" s="1877"/>
      <c r="D25" s="1886" t="s">
        <v>1330</v>
      </c>
      <c r="E25" s="1144"/>
      <c r="H25" s="1"/>
      <c r="I25" s="1"/>
      <c r="J25" s="1"/>
      <c r="K25" s="1"/>
      <c r="L25" s="1"/>
    </row>
    <row r="26" spans="2:12" ht="18" customHeight="1">
      <c r="B26" s="1149"/>
      <c r="C26" s="1877"/>
      <c r="D26" s="1886" t="s">
        <v>1328</v>
      </c>
      <c r="E26" s="1143"/>
    </row>
    <row r="27" spans="2:12" ht="18" customHeight="1">
      <c r="B27" s="1149"/>
      <c r="C27" s="1877"/>
      <c r="D27" s="1886" t="s">
        <v>1329</v>
      </c>
      <c r="E27" s="1143"/>
    </row>
    <row r="28" spans="2:12" s="8" customFormat="1" ht="18" customHeight="1">
      <c r="B28" s="1150"/>
      <c r="C28" s="1877"/>
      <c r="D28" s="1886" t="s">
        <v>1222</v>
      </c>
      <c r="E28" s="1144"/>
      <c r="H28" s="1"/>
      <c r="I28" s="1"/>
      <c r="J28" s="1"/>
      <c r="K28" s="1"/>
      <c r="L28" s="1"/>
    </row>
    <row r="29" spans="2:12" ht="18" customHeight="1">
      <c r="B29" s="1149"/>
      <c r="C29" s="1878"/>
      <c r="D29" s="1887" t="s">
        <v>1638</v>
      </c>
      <c r="E29" s="1143"/>
    </row>
    <row r="30" spans="2:12" s="8" customFormat="1" ht="18" customHeight="1">
      <c r="B30" s="1150"/>
      <c r="C30" s="1878"/>
      <c r="D30" s="1887" t="s">
        <v>1332</v>
      </c>
      <c r="E30" s="1144"/>
      <c r="H30" s="1"/>
      <c r="I30" s="1"/>
      <c r="J30" s="1"/>
      <c r="K30" s="1"/>
      <c r="L30" s="1"/>
    </row>
    <row r="31" spans="2:12" s="8" customFormat="1" ht="18" customHeight="1">
      <c r="B31" s="1150"/>
      <c r="C31" s="1878"/>
      <c r="D31" s="1887" t="s">
        <v>1331</v>
      </c>
      <c r="E31" s="1144"/>
      <c r="H31" s="1"/>
      <c r="I31" s="1"/>
      <c r="J31" s="1"/>
      <c r="K31" s="1"/>
      <c r="L31" s="1"/>
    </row>
    <row r="32" spans="2:12" ht="18" customHeight="1">
      <c r="B32" s="1149"/>
      <c r="C32" s="1890"/>
      <c r="D32" s="1891" t="s">
        <v>1326</v>
      </c>
      <c r="E32" s="1143"/>
    </row>
    <row r="33" spans="2:12" ht="18" customHeight="1">
      <c r="B33" s="1149"/>
      <c r="C33" s="1890"/>
      <c r="D33" s="1891" t="s">
        <v>1327</v>
      </c>
      <c r="E33" s="1143"/>
    </row>
    <row r="34" spans="2:12" s="8" customFormat="1" ht="18" customHeight="1">
      <c r="B34" s="1150"/>
      <c r="C34" s="1864" t="s">
        <v>1546</v>
      </c>
      <c r="D34" s="1294" t="s">
        <v>1547</v>
      </c>
      <c r="E34" s="1144"/>
      <c r="H34" s="1"/>
      <c r="I34" s="1"/>
      <c r="J34" s="1"/>
      <c r="K34" s="1"/>
      <c r="L34" s="1"/>
    </row>
    <row r="35" spans="2:12" s="8" customFormat="1" ht="12.75" customHeight="1" thickBot="1">
      <c r="B35" s="1151"/>
      <c r="C35" s="1153"/>
      <c r="D35" s="1153"/>
      <c r="E35" s="1145"/>
      <c r="H35" s="1"/>
      <c r="I35" s="1"/>
      <c r="J35" s="1"/>
      <c r="K35" s="1"/>
      <c r="L35" s="1"/>
    </row>
  </sheetData>
  <hyperlinks>
    <hyperlink ref="D11" location="'2.1 Expenditure summary'!A1" display="2.1 Expenditure summary" xr:uid="{B477E034-3A58-46C9-BA61-C754AFAD0F45}"/>
    <hyperlink ref="D12" location="'2.2 Repex'!A1" display="2.2 Repex" xr:uid="{914B613A-8917-4E4F-84CF-7D9360D68994}"/>
    <hyperlink ref="D13" location="'2.3 Augex'!A1" display="2.3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3.1 Revenue'!A1" display="3.1 Revenue" xr:uid="{673E581E-FC97-464A-BF45-58B3DE045164}"/>
    <hyperlink ref="D21" location="'3.2.3 Provisions'!A1" display="'3.2.3 Provisions'!A1" xr:uid="{A4609892-84A9-48CF-9609-C64148B63852}"/>
    <hyperlink ref="D22" location="'3.5 Physical assets'!A1" display="'3.5 Physical assets'!A1" xr:uid="{11F01147-0C39-4925-95D4-73D08C832F3F}"/>
    <hyperlink ref="D23" location="'3.6 Quality of services'!A1" display="'3.6 Quality of services'!A1" xr:uid="{6DAFB7AA-0DA9-4A1B-9CC4-4F78404710B5}"/>
    <hyperlink ref="D28" location="'7.9 MIC'!A1" display="3.7 Operating environment" xr:uid="{2709B234-7296-437C-85CE-EB8077862704}"/>
    <hyperlink ref="D24" location="'5.2 Asset Age Profile'!A1" display="5.2 Asset Age Profile" xr:uid="{8196170F-840C-462A-A5E6-E94A16024128}"/>
    <hyperlink ref="D14" location="'2.4 Hist Capex by Asset Class'!A1" display="2.4 Hist Capex by Asset Class" xr:uid="{F4831357-DA2F-4A4B-BCDB-8D39A945D2EB}"/>
    <hyperlink ref="D29" location="'8.5 Opex'!A1" display="8.5 Opex" xr:uid="{C5EF92D1-7879-4DC8-AEA7-1015410E5193}"/>
    <hyperlink ref="D32" location="'9.1 DISAGG Inc'!A1" display="9.1 DISAGG Inc" xr:uid="{D802581E-A186-4698-A088-9EA764CBECC4}"/>
    <hyperlink ref="D33" location="'9.2 RFS Inc'!A1" display="9.2 RFS Inc" xr:uid="{50789B26-BAC2-4BC1-AA67-D9185018982F}"/>
    <hyperlink ref="D26" location="'7.6 PTS Price Redn'!A1" display="7.6 PTS Price Redn" xr:uid="{4DFED3B4-E6F4-45E8-BCAD-73CDEC329312}"/>
    <hyperlink ref="D27" location="'7.7 Inf Rel Part Trans'!A1" display="7.7 INF Rel Part Trans" xr:uid="{C5A825F6-74FD-40C6-8212-AB0BD6C777E8}"/>
    <hyperlink ref="D25" location="'7.5 Large projects'!A1" display="7.5 Large projects" xr:uid="{64A21FD4-521E-4296-94B8-23E663FEF6E4}"/>
    <hyperlink ref="D31" location="'8.8 Revenue Requirements'!A1" display="8.8 Revenue Requirements" xr:uid="{9FF16707-97C9-4B95-845B-A9FDBF6E8DFE}"/>
    <hyperlink ref="D30" location="'8.6 Ind Asset Base Roll Fwd'!A1" display="8.6 Indicative Asset Base Roll Forward" xr:uid="{508DEB24-3DC2-4014-8E47-2C2101311111}"/>
    <hyperlink ref="D9" location="'Business &amp; other details'!A1" display="Business &amp; other details" xr:uid="{0BF24AB5-B90D-461B-93E1-BAC13AB06202}"/>
    <hyperlink ref="D10" location="'Assurance requirements by table'!A1" display="Assurance requirements by table" xr:uid="{9CE5878F-9597-4440-A209-606C911222ED}"/>
    <hyperlink ref="D34" location="'NSP additional information'!A1" display="NSP additional information" xr:uid="{5FA06266-0A5C-4D93-9494-1C94D8176F7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rgb="FF074650"/>
    <pageSetUpPr fitToPage="1"/>
  </sheetPr>
  <dimension ref="A1:AA41"/>
  <sheetViews>
    <sheetView workbookViewId="0"/>
  </sheetViews>
  <sheetFormatPr defaultColWidth="9.1796875" defaultRowHeight="14.5"/>
  <cols>
    <col min="1" max="1" width="5.6328125" style="1" customWidth="1"/>
    <col min="2" max="2" width="25.6328125" style="887" customWidth="1"/>
    <col min="3" max="3" width="65.54296875" style="1" customWidth="1"/>
    <col min="4" max="4" width="16" style="1" bestFit="1" customWidth="1"/>
    <col min="5" max="5" width="29.1796875" style="1" customWidth="1"/>
    <col min="6" max="6" width="10.81640625" style="1" customWidth="1"/>
    <col min="7" max="9" width="7.1796875" style="1" customWidth="1"/>
    <col min="10" max="11" width="3.54296875" style="1" customWidth="1"/>
    <col min="12" max="12" width="4.54296875" style="1" customWidth="1"/>
    <col min="13" max="13" width="5" style="1" customWidth="1"/>
    <col min="14" max="18" width="3.54296875" style="1" customWidth="1"/>
    <col min="19" max="19" width="9.1796875" style="1" customWidth="1"/>
    <col min="20" max="22" width="9.1796875" style="1"/>
    <col min="23" max="23" width="5.6328125" style="1" customWidth="1"/>
    <col min="24" max="33" width="9.1796875" style="1" customWidth="1"/>
    <col min="34" max="44" width="9.1796875" style="1"/>
    <col min="45" max="54" width="5.453125" style="1" customWidth="1"/>
    <col min="55" max="16384" width="9.1796875" style="1"/>
  </cols>
  <sheetData>
    <row r="1" spans="2:18" s="8" customFormat="1" ht="20" customHeight="1">
      <c r="B1" s="887"/>
      <c r="C1" s="914" t="str">
        <f>dms_SheetHeading1</f>
        <v>ANNUAL INFORMATION ORDER</v>
      </c>
      <c r="D1" s="974"/>
      <c r="E1" s="974"/>
      <c r="G1" s="1556" t="s">
        <v>1003</v>
      </c>
      <c r="H1" s="1556"/>
      <c r="I1" s="1556"/>
      <c r="J1" s="1557" t="s">
        <v>1002</v>
      </c>
      <c r="K1" s="1556"/>
      <c r="L1" s="1556"/>
      <c r="M1" s="1556"/>
      <c r="N1" s="1556"/>
      <c r="O1" s="1556"/>
      <c r="P1" s="1556"/>
      <c r="Q1" s="1"/>
      <c r="R1" s="1"/>
    </row>
    <row r="2" spans="2:18" s="8" customFormat="1" ht="20" customHeight="1">
      <c r="B2" s="887"/>
      <c r="C2" s="915" t="str">
        <f>dms_SheetHeading2</f>
        <v>Australian Transmission Co.</v>
      </c>
      <c r="D2" s="974"/>
      <c r="E2" s="974"/>
      <c r="G2" s="1558" t="s">
        <v>1004</v>
      </c>
      <c r="H2" s="1558"/>
      <c r="I2" s="1558"/>
      <c r="J2" s="1559" t="s">
        <v>179</v>
      </c>
      <c r="K2" s="1558"/>
      <c r="L2" s="1558"/>
      <c r="M2" s="1558"/>
      <c r="N2" s="1558"/>
      <c r="O2" s="1558"/>
      <c r="P2" s="1558"/>
      <c r="Q2" s="1"/>
      <c r="R2" s="1"/>
    </row>
    <row r="3" spans="2:18" s="8" customFormat="1" ht="20" customHeight="1">
      <c r="B3" s="887"/>
      <c r="C3" s="916" t="str">
        <f>dms_SheetHeading3</f>
        <v>REPORTING STATEMENT: 2025-26</v>
      </c>
      <c r="D3" s="974"/>
      <c r="E3" s="974"/>
      <c r="G3" s="1560" t="s">
        <v>1005</v>
      </c>
      <c r="H3" s="1560"/>
      <c r="I3" s="1560"/>
      <c r="J3" s="1561" t="s">
        <v>180</v>
      </c>
      <c r="K3" s="1560"/>
      <c r="L3" s="1560"/>
      <c r="M3" s="1560"/>
      <c r="N3" s="1560"/>
      <c r="O3" s="1560"/>
      <c r="P3" s="1560"/>
      <c r="Q3" s="1"/>
      <c r="R3" s="1"/>
    </row>
    <row r="4" spans="2:18" s="8" customFormat="1" ht="20" customHeight="1">
      <c r="B4" s="887"/>
      <c r="C4" s="917" t="s">
        <v>1158</v>
      </c>
      <c r="D4" s="917"/>
      <c r="E4" s="917"/>
      <c r="G4" s="1562" t="s">
        <v>1007</v>
      </c>
      <c r="H4" s="1563"/>
      <c r="I4" s="1564"/>
      <c r="J4" s="1566" t="s">
        <v>1006</v>
      </c>
      <c r="K4" s="1565"/>
      <c r="L4" s="1565"/>
      <c r="M4" s="1565"/>
      <c r="N4" s="1565"/>
      <c r="O4" s="1565"/>
      <c r="P4" s="1565"/>
      <c r="Q4" s="1"/>
      <c r="R4" s="1"/>
    </row>
    <row r="5" spans="2:18" ht="13.5" customHeight="1"/>
    <row r="6" spans="2:18" ht="15" customHeight="1">
      <c r="C6" s="1427" t="s">
        <v>1584</v>
      </c>
      <c r="D6" s="1428"/>
      <c r="E6" s="1428"/>
    </row>
    <row r="7" spans="2:18" ht="15" customHeight="1">
      <c r="C7" s="1427" t="s">
        <v>1585</v>
      </c>
      <c r="D7" s="1428"/>
      <c r="E7" s="1428"/>
    </row>
    <row r="8" spans="2:18" ht="15" customHeight="1">
      <c r="C8" s="1581" t="s">
        <v>1586</v>
      </c>
      <c r="D8" s="1580"/>
      <c r="E8" s="1580"/>
    </row>
    <row r="9" spans="2:18" ht="18" customHeight="1">
      <c r="C9" s="1547" t="s">
        <v>44</v>
      </c>
      <c r="D9" s="891"/>
      <c r="E9" s="892"/>
    </row>
    <row r="10" spans="2:18">
      <c r="C10" s="887"/>
      <c r="D10" s="887"/>
      <c r="E10" s="887"/>
      <c r="F10" s="887"/>
      <c r="G10" s="887"/>
      <c r="H10" s="887"/>
    </row>
    <row r="11" spans="2:18" s="581" customFormat="1" ht="27" customHeight="1">
      <c r="B11" s="887"/>
      <c r="C11" s="896"/>
      <c r="D11" s="579"/>
      <c r="E11" s="1610" t="s">
        <v>1170</v>
      </c>
      <c r="G11" s="2067" t="s">
        <v>1303</v>
      </c>
      <c r="H11" s="2055"/>
      <c r="I11" s="2056"/>
      <c r="J11" s="1611" t="s">
        <v>1293</v>
      </c>
      <c r="K11" s="1612" t="s">
        <v>1294</v>
      </c>
      <c r="L11" s="1613" t="s">
        <v>1295</v>
      </c>
      <c r="M11" s="1614" t="s">
        <v>1603</v>
      </c>
    </row>
    <row r="12" spans="2:18" ht="19.5" customHeight="1">
      <c r="C12" s="896"/>
      <c r="D12" s="889" t="s">
        <v>1118</v>
      </c>
      <c r="E12" s="1423" t="s">
        <v>1167</v>
      </c>
      <c r="G12" s="2069" t="s">
        <v>1299</v>
      </c>
      <c r="H12" s="2070"/>
      <c r="I12" s="2071"/>
      <c r="J12" s="2069" t="s">
        <v>1128</v>
      </c>
      <c r="K12" s="2070"/>
      <c r="L12" s="2070"/>
      <c r="M12" s="2071"/>
    </row>
    <row r="13" spans="2:18">
      <c r="C13" s="986" t="s">
        <v>991</v>
      </c>
      <c r="D13" s="987"/>
      <c r="E13" s="988"/>
      <c r="N13" s="985"/>
      <c r="O13" s="1376"/>
      <c r="P13" s="985"/>
      <c r="Q13" s="985"/>
      <c r="R13" s="1376"/>
    </row>
    <row r="14" spans="2:18">
      <c r="C14" s="1335" t="s">
        <v>1480</v>
      </c>
      <c r="D14" s="1378"/>
      <c r="E14" s="1379">
        <f>E15+E16+E20</f>
        <v>0</v>
      </c>
      <c r="N14" s="1196"/>
      <c r="O14" s="1196"/>
      <c r="P14" s="2068"/>
      <c r="Q14" s="2068"/>
      <c r="R14" s="2068"/>
    </row>
    <row r="15" spans="2:18" ht="15" customHeight="1">
      <c r="C15" s="1855" t="s">
        <v>1014</v>
      </c>
      <c r="D15" s="1334" t="s">
        <v>66</v>
      </c>
      <c r="E15" s="1336"/>
      <c r="G15" s="2072"/>
      <c r="H15" s="2073"/>
      <c r="I15" s="2074"/>
      <c r="J15" s="1344" t="str">
        <f>IF(ISNONTEXT(E15)=TRUE,"","X")</f>
        <v/>
      </c>
      <c r="K15" s="1345" t="str">
        <f>IF(AND(E15&gt;=0)=TRUE,"","X")</f>
        <v/>
      </c>
      <c r="L15" s="1345" t="str">
        <f>IF(E15&lt;&gt;""=TRUE,"","X")</f>
        <v>X</v>
      </c>
      <c r="M15" s="1349"/>
      <c r="N15" s="1374"/>
      <c r="O15" s="1374"/>
      <c r="P15" s="1374"/>
      <c r="Q15" s="1374"/>
      <c r="R15" s="1374"/>
    </row>
    <row r="16" spans="2:18">
      <c r="B16" s="1397"/>
      <c r="C16" s="1856" t="s">
        <v>1604</v>
      </c>
      <c r="D16" s="1334" t="s">
        <v>66</v>
      </c>
      <c r="E16" s="1422">
        <f>SUM(E17:E19)</f>
        <v>0</v>
      </c>
      <c r="G16" s="2062"/>
      <c r="H16" s="2063"/>
      <c r="I16" s="2078"/>
      <c r="J16" s="1350"/>
      <c r="K16" s="1185"/>
      <c r="L16" s="1185"/>
      <c r="M16" s="1328"/>
      <c r="P16" s="1374"/>
      <c r="Q16" s="1374"/>
      <c r="R16" s="1374"/>
    </row>
    <row r="17" spans="1:27">
      <c r="A17" s="8"/>
      <c r="B17" s="8"/>
      <c r="C17" s="1615"/>
      <c r="D17" s="1334" t="s">
        <v>66</v>
      </c>
      <c r="E17" s="1336"/>
      <c r="G17" s="2064" t="s">
        <v>1351</v>
      </c>
      <c r="H17" s="2065"/>
      <c r="I17" s="2066"/>
      <c r="J17" s="1327" t="str">
        <f t="shared" ref="J17:J18" si="0">IF(ISNONTEXT(E17)=TRUE,"","X")</f>
        <v/>
      </c>
      <c r="K17" s="1186" t="str">
        <f t="shared" ref="K17:K18" si="1">IF(AND(E17&gt;=0)=TRUE,"","X")</f>
        <v/>
      </c>
      <c r="L17" s="1186" t="str">
        <f>IF(E17&lt;&gt;""=TRUE,"","X")</f>
        <v>X</v>
      </c>
      <c r="M17" s="1328"/>
      <c r="N17" s="1374"/>
      <c r="O17" s="1374"/>
      <c r="P17" s="1374"/>
      <c r="Q17" s="1374"/>
      <c r="R17" s="1374"/>
    </row>
    <row r="18" spans="1:27">
      <c r="A18" s="8"/>
      <c r="B18" s="8"/>
      <c r="C18" s="1615"/>
      <c r="D18" s="1334" t="s">
        <v>66</v>
      </c>
      <c r="E18" s="1336"/>
      <c r="G18" s="2064"/>
      <c r="H18" s="2065"/>
      <c r="I18" s="2066"/>
      <c r="J18" s="1327" t="str">
        <f t="shared" si="0"/>
        <v/>
      </c>
      <c r="K18" s="1186" t="str">
        <f t="shared" si="1"/>
        <v/>
      </c>
      <c r="L18" s="1185"/>
      <c r="M18" s="1322" t="str">
        <f>IF(AND(E18&lt;&gt;"",C18&lt;&gt;""),"",IF(AND(ISBLANK(E18),LEFT(C18,5)="&lt;TNSP"),"",IF(AND(ISBLANK(E18),ISBLANK(C18)),"","X")))</f>
        <v/>
      </c>
      <c r="N18" s="1374"/>
      <c r="O18" s="1374"/>
      <c r="P18" s="1374"/>
      <c r="Q18" s="1374"/>
      <c r="R18" s="1374"/>
    </row>
    <row r="19" spans="1:27">
      <c r="B19" s="1909" t="s">
        <v>1334</v>
      </c>
      <c r="C19" s="1615"/>
      <c r="D19" s="1334" t="s">
        <v>66</v>
      </c>
      <c r="E19" s="1336"/>
      <c r="G19" s="2064"/>
      <c r="H19" s="2065"/>
      <c r="I19" s="2066"/>
      <c r="J19" s="1327" t="str">
        <f t="shared" ref="J19" si="2">IF(ISNONTEXT(E19)=TRUE,"","X")</f>
        <v/>
      </c>
      <c r="K19" s="1186" t="str">
        <f t="shared" ref="K19" si="3">IF(AND(E19&gt;=0)=TRUE,"","X")</f>
        <v/>
      </c>
      <c r="L19" s="1185"/>
      <c r="M19" s="1322" t="str">
        <f>IF(AND(E19&lt;&gt;"",C19&lt;&gt;""),"",IF(AND(ISBLANK(E19),LEFT(C19,5)="&lt;TNSP"),"",IF(AND(ISBLANK(E19),ISBLANK(C19)),"","X")))</f>
        <v/>
      </c>
    </row>
    <row r="20" spans="1:27">
      <c r="B20" s="1397"/>
      <c r="C20" s="1856" t="s">
        <v>1605</v>
      </c>
      <c r="D20" s="1334" t="s">
        <v>66</v>
      </c>
      <c r="E20" s="1422">
        <f>SUM(E21:E23)</f>
        <v>0</v>
      </c>
      <c r="G20" s="2062"/>
      <c r="H20" s="2063"/>
      <c r="I20" s="2078"/>
      <c r="J20" s="1350"/>
      <c r="K20" s="1185"/>
      <c r="L20" s="1185"/>
      <c r="M20" s="1328"/>
    </row>
    <row r="21" spans="1:27">
      <c r="C21" s="1615"/>
      <c r="D21" s="1334" t="s">
        <v>66</v>
      </c>
      <c r="E21" s="1336"/>
      <c r="G21" s="2064" t="s">
        <v>1351</v>
      </c>
      <c r="H21" s="2065"/>
      <c r="I21" s="2066"/>
      <c r="J21" s="1327" t="str">
        <f t="shared" ref="J21:J22" si="4">IF(ISNONTEXT(E21)=TRUE,"","X")</f>
        <v/>
      </c>
      <c r="K21" s="1186" t="str">
        <f t="shared" ref="K21:K22" si="5">IF(AND(E21&gt;=0)=TRUE,"","X")</f>
        <v/>
      </c>
      <c r="L21" s="1186" t="str">
        <f>IF(E21&lt;&gt;""=TRUE,"","X")</f>
        <v>X</v>
      </c>
      <c r="M21" s="1328"/>
    </row>
    <row r="22" spans="1:27">
      <c r="C22" s="1615"/>
      <c r="D22" s="1334" t="s">
        <v>66</v>
      </c>
      <c r="E22" s="1336"/>
      <c r="G22" s="2064"/>
      <c r="H22" s="2065"/>
      <c r="I22" s="2066"/>
      <c r="J22" s="1327" t="str">
        <f t="shared" si="4"/>
        <v/>
      </c>
      <c r="K22" s="1186" t="str">
        <f t="shared" si="5"/>
        <v/>
      </c>
      <c r="L22" s="1185"/>
      <c r="M22" s="1322" t="str">
        <f t="shared" ref="M22:M23" si="6">IF(AND(C22&lt;&gt;"",LEFT(C22,5)&lt;&gt;"&lt;TNSP",ISBLANK(E22)),"X","")</f>
        <v/>
      </c>
    </row>
    <row r="23" spans="1:27">
      <c r="B23" s="1909" t="s">
        <v>1334</v>
      </c>
      <c r="C23" s="1615"/>
      <c r="D23" s="1334" t="s">
        <v>66</v>
      </c>
      <c r="E23" s="1336"/>
      <c r="G23" s="2064"/>
      <c r="H23" s="2065"/>
      <c r="I23" s="2066"/>
      <c r="J23" s="1327" t="str">
        <f t="shared" ref="J23" si="7">IF(ISNONTEXT(E23)=TRUE,"","X")</f>
        <v/>
      </c>
      <c r="K23" s="1186" t="str">
        <f t="shared" ref="K23" si="8">IF(AND(E23&gt;=0)=TRUE,"","X")</f>
        <v/>
      </c>
      <c r="L23" s="1185"/>
      <c r="M23" s="1322" t="str">
        <f t="shared" si="6"/>
        <v/>
      </c>
    </row>
    <row r="24" spans="1:27" s="13" customFormat="1" ht="15" customHeight="1">
      <c r="B24" s="973"/>
      <c r="C24" s="1341" t="s">
        <v>1350</v>
      </c>
      <c r="D24" s="1334" t="s">
        <v>66</v>
      </c>
      <c r="E24" s="1336"/>
      <c r="F24" s="1"/>
      <c r="G24" s="2062"/>
      <c r="H24" s="2063"/>
      <c r="I24" s="2078"/>
      <c r="J24" s="1327" t="str">
        <f>IF(ISNONTEXT(E24)=TRUE,"","X")</f>
        <v/>
      </c>
      <c r="K24" s="1186" t="str">
        <f>IF(AND(E24&gt;=0)=TRUE,"","X")</f>
        <v/>
      </c>
      <c r="L24" s="1186" t="str">
        <f t="shared" ref="L24" si="9">IF(E24&lt;&gt;""=TRUE,"","X")</f>
        <v>X</v>
      </c>
      <c r="M24" s="1328"/>
    </row>
    <row r="25" spans="1:27" ht="15" customHeight="1">
      <c r="C25" s="1341" t="s">
        <v>1271</v>
      </c>
      <c r="D25" s="1334" t="s">
        <v>66</v>
      </c>
      <c r="E25" s="1336"/>
      <c r="G25" s="2062"/>
      <c r="H25" s="2063"/>
      <c r="I25" s="2078"/>
      <c r="J25" s="1327" t="str">
        <f>IF(ISNONTEXT(E25)=TRUE,"","X")</f>
        <v/>
      </c>
      <c r="K25" s="1186" t="str">
        <f>IF(AND(E25&gt;=0)=TRUE,"","X")</f>
        <v/>
      </c>
      <c r="L25" s="1186" t="str">
        <f t="shared" ref="L25" si="10">IF(E25&lt;&gt;""=TRUE,"","X")</f>
        <v>X</v>
      </c>
      <c r="M25" s="1328"/>
    </row>
    <row r="26" spans="1:27" ht="15" customHeight="1">
      <c r="C26" s="1342" t="s">
        <v>992</v>
      </c>
      <c r="D26" s="1337" t="s">
        <v>66</v>
      </c>
      <c r="E26" s="1338"/>
      <c r="G26" s="2060"/>
      <c r="H26" s="2061"/>
      <c r="I26" s="2079"/>
      <c r="J26" s="1329" t="str">
        <f>IF(ISNONTEXT(E26)=TRUE,"","X")</f>
        <v/>
      </c>
      <c r="K26" s="1323" t="str">
        <f>IF(AND(E26&gt;=0)=TRUE,"","X")</f>
        <v/>
      </c>
      <c r="L26" s="1323" t="str">
        <f t="shared" ref="L26" si="11">IF(E26&lt;&gt;""=TRUE,"","X")</f>
        <v>X</v>
      </c>
      <c r="M26" s="1333"/>
    </row>
    <row r="27" spans="1:27">
      <c r="C27" s="983" t="s">
        <v>1171</v>
      </c>
      <c r="D27" s="985" t="s">
        <v>66</v>
      </c>
      <c r="E27" s="965">
        <f>E24+E25+E26+E14</f>
        <v>0</v>
      </c>
    </row>
    <row r="28" spans="1:27" ht="11.25" customHeight="1">
      <c r="C28" s="983"/>
      <c r="D28" s="985"/>
      <c r="E28" s="985"/>
      <c r="F28" s="985"/>
    </row>
    <row r="29" spans="1:27">
      <c r="C29" s="986" t="s">
        <v>1001</v>
      </c>
      <c r="D29" s="987"/>
      <c r="E29" s="988"/>
      <c r="G29" s="2075"/>
      <c r="H29" s="2075"/>
      <c r="I29" s="2075"/>
      <c r="J29" s="985"/>
      <c r="K29" s="985"/>
      <c r="L29" s="1376"/>
      <c r="M29" s="1376"/>
    </row>
    <row r="30" spans="1:27" ht="15" customHeight="1">
      <c r="C30" s="1335" t="s">
        <v>1480</v>
      </c>
      <c r="D30" s="1012" t="s">
        <v>66</v>
      </c>
      <c r="E30" s="1339">
        <f>SUM(E31:E32)</f>
        <v>0</v>
      </c>
    </row>
    <row r="31" spans="1:27" s="967" customFormat="1" ht="15" customHeight="1">
      <c r="B31" s="887"/>
      <c r="C31" s="1855" t="s">
        <v>1606</v>
      </c>
      <c r="D31" s="1016" t="s">
        <v>66</v>
      </c>
      <c r="E31" s="1340"/>
      <c r="F31" s="1"/>
      <c r="G31" s="2076"/>
      <c r="H31" s="2077"/>
      <c r="I31" s="2077"/>
      <c r="J31" s="1325" t="str">
        <f>IF(ISNONTEXT(E31)=TRUE,"","X")</f>
        <v/>
      </c>
      <c r="K31" s="1320" t="str">
        <f>IF(AND(E31&gt;=0)=TRUE,"","X")</f>
        <v/>
      </c>
      <c r="L31" s="1320" t="str">
        <f t="shared" ref="L31" si="12">IF(E31&lt;&gt;""=TRUE,"","X")</f>
        <v>X</v>
      </c>
      <c r="M31" s="1326"/>
      <c r="N31" s="972"/>
      <c r="O31" s="972"/>
      <c r="P31" s="972"/>
      <c r="Q31" s="972"/>
      <c r="R31" s="972"/>
      <c r="S31" s="972"/>
      <c r="T31" s="972"/>
      <c r="U31" s="972"/>
      <c r="V31" s="972"/>
      <c r="W31" s="972"/>
      <c r="X31" s="972"/>
      <c r="Y31" s="972"/>
      <c r="Z31" s="972"/>
      <c r="AA31" s="972"/>
    </row>
    <row r="32" spans="1:27" ht="15" customHeight="1">
      <c r="B32" s="577"/>
      <c r="C32" s="1855" t="s">
        <v>1607</v>
      </c>
      <c r="D32" s="1016" t="s">
        <v>66</v>
      </c>
      <c r="E32" s="1340"/>
      <c r="F32" s="1195"/>
      <c r="G32" s="2062"/>
      <c r="H32" s="2063"/>
      <c r="I32" s="2063"/>
      <c r="J32" s="1327" t="str">
        <f t="shared" ref="J32:J35" si="13">IF(ISNONTEXT(E32)=TRUE,"","X")</f>
        <v/>
      </c>
      <c r="K32" s="1186" t="str">
        <f t="shared" ref="K32:K35" si="14">IF(AND(E32&gt;=0)=TRUE,"","X")</f>
        <v/>
      </c>
      <c r="L32" s="1186" t="str">
        <f t="shared" ref="L32:L35" si="15">IF(E32&lt;&gt;""=TRUE,"","X")</f>
        <v>X</v>
      </c>
      <c r="M32" s="1328"/>
    </row>
    <row r="33" spans="2:16" ht="15" customHeight="1">
      <c r="B33" s="1375"/>
      <c r="C33" s="1341" t="s">
        <v>1350</v>
      </c>
      <c r="D33" s="1016" t="s">
        <v>66</v>
      </c>
      <c r="E33" s="1340"/>
      <c r="G33" s="2062"/>
      <c r="H33" s="2063"/>
      <c r="I33" s="2063"/>
      <c r="J33" s="1327" t="str">
        <f t="shared" si="13"/>
        <v/>
      </c>
      <c r="K33" s="1186" t="str">
        <f t="shared" si="14"/>
        <v/>
      </c>
      <c r="L33" s="1186" t="str">
        <f t="shared" si="15"/>
        <v>X</v>
      </c>
      <c r="M33" s="1328"/>
    </row>
    <row r="34" spans="2:16" s="13" customFormat="1" ht="15" customHeight="1">
      <c r="B34" s="940"/>
      <c r="C34" s="1341" t="s">
        <v>1271</v>
      </c>
      <c r="D34" s="1016" t="s">
        <v>66</v>
      </c>
      <c r="E34" s="1340"/>
      <c r="F34" s="1"/>
      <c r="G34" s="2062"/>
      <c r="H34" s="2063"/>
      <c r="I34" s="2063"/>
      <c r="J34" s="1327" t="str">
        <f t="shared" si="13"/>
        <v/>
      </c>
      <c r="K34" s="1186" t="str">
        <f t="shared" si="14"/>
        <v/>
      </c>
      <c r="L34" s="1186" t="str">
        <f t="shared" si="15"/>
        <v>X</v>
      </c>
      <c r="M34" s="1328"/>
    </row>
    <row r="35" spans="2:16" s="8" customFormat="1" ht="15" customHeight="1">
      <c r="B35" s="888"/>
      <c r="C35" s="1342" t="s">
        <v>992</v>
      </c>
      <c r="D35" s="1019" t="s">
        <v>66</v>
      </c>
      <c r="E35" s="1343"/>
      <c r="F35" s="1"/>
      <c r="G35" s="2060"/>
      <c r="H35" s="2061"/>
      <c r="I35" s="2061"/>
      <c r="J35" s="1329" t="str">
        <f t="shared" si="13"/>
        <v/>
      </c>
      <c r="K35" s="1323" t="str">
        <f t="shared" si="14"/>
        <v/>
      </c>
      <c r="L35" s="1323" t="str">
        <f t="shared" si="15"/>
        <v>X</v>
      </c>
      <c r="M35" s="1333"/>
      <c r="N35" s="961"/>
      <c r="O35" s="961"/>
      <c r="P35" s="961"/>
    </row>
    <row r="36" spans="2:16">
      <c r="C36" s="983" t="s">
        <v>1172</v>
      </c>
      <c r="D36" s="985" t="s">
        <v>66</v>
      </c>
      <c r="E36" s="965">
        <f>SUM(E31:E35)</f>
        <v>0</v>
      </c>
    </row>
    <row r="37" spans="2:16">
      <c r="C37" s="579"/>
      <c r="D37" s="579"/>
      <c r="E37" s="579"/>
    </row>
    <row r="39" spans="2:16">
      <c r="B39" s="1"/>
      <c r="C39" s="1354" t="s">
        <v>1471</v>
      </c>
      <c r="D39" s="1852"/>
      <c r="E39" s="579"/>
    </row>
    <row r="40" spans="2:16">
      <c r="C40" s="1847" t="s">
        <v>1495</v>
      </c>
      <c r="D40" s="579"/>
      <c r="E40" s="579"/>
    </row>
    <row r="41" spans="2:16">
      <c r="C41" s="579"/>
      <c r="D41" s="579"/>
      <c r="E41" s="579"/>
    </row>
  </sheetData>
  <mergeCells count="18">
    <mergeCell ref="P14:R14"/>
    <mergeCell ref="J12:M12"/>
    <mergeCell ref="G12:I12"/>
    <mergeCell ref="G34:I34"/>
    <mergeCell ref="G15:I15"/>
    <mergeCell ref="G29:I29"/>
    <mergeCell ref="G32:I32"/>
    <mergeCell ref="G31:I31"/>
    <mergeCell ref="G24:I24"/>
    <mergeCell ref="G25:I25"/>
    <mergeCell ref="G26:I26"/>
    <mergeCell ref="G20:I20"/>
    <mergeCell ref="G16:I16"/>
    <mergeCell ref="G35:I35"/>
    <mergeCell ref="G33:I33"/>
    <mergeCell ref="G17:I19"/>
    <mergeCell ref="G21:I23"/>
    <mergeCell ref="G11:I11"/>
  </mergeCells>
  <conditionalFormatting sqref="C39">
    <cfRule type="cellIs" dxfId="52" priority="1" operator="equal">
      <formula>FALSE</formula>
    </cfRule>
  </conditionalFormatting>
  <dataValidations count="2">
    <dataValidation allowBlank="1" showErrorMessage="1" sqref="B16:C16 B20:C20 AB1:XFD1048576 A40:AA1048576 G16:M16 O16 G20:M20 O20 E12 J11:K11 G11 C6:E8" xr:uid="{268BA159-FEE4-4037-A4E4-CABBFB06F1D4}"/>
    <dataValidation allowBlank="1" sqref="L11:M11" xr:uid="{1D8025DD-A4EA-482F-82E9-C45807E274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rgb="FF074650"/>
    <pageSetUpPr fitToPage="1"/>
  </sheetPr>
  <dimension ref="C1:S24"/>
  <sheetViews>
    <sheetView workbookViewId="0"/>
  </sheetViews>
  <sheetFormatPr defaultColWidth="9.1796875" defaultRowHeight="14.5"/>
  <cols>
    <col min="1" max="1" width="5.6328125" style="1" customWidth="1"/>
    <col min="2" max="2" width="25.6328125" style="1" customWidth="1"/>
    <col min="3" max="3" width="59.453125" style="1" customWidth="1"/>
    <col min="4" max="4" width="8.453125" style="1" customWidth="1"/>
    <col min="5" max="5" width="28.453125" style="1" customWidth="1"/>
    <col min="6" max="6" width="18.1796875" style="1" customWidth="1"/>
    <col min="7" max="9" width="4.54296875" style="1" customWidth="1"/>
    <col min="10" max="17" width="3.54296875" style="1" customWidth="1"/>
    <col min="18" max="22" width="9.1796875" style="1"/>
    <col min="23" max="23" width="5.6328125" style="1" customWidth="1"/>
    <col min="24" max="16384" width="9.1796875" style="1"/>
  </cols>
  <sheetData>
    <row r="1" spans="3:19" s="8" customFormat="1" ht="20" customHeight="1">
      <c r="C1" s="914" t="str">
        <f>dms_SheetHeading1</f>
        <v>ANNUAL INFORMATION ORDER</v>
      </c>
      <c r="D1" s="21"/>
      <c r="E1" s="21"/>
      <c r="G1" s="1556" t="s">
        <v>1003</v>
      </c>
      <c r="H1" s="1556"/>
      <c r="I1" s="1556"/>
      <c r="J1" s="1556"/>
      <c r="K1" s="1556"/>
      <c r="L1" s="1556"/>
      <c r="M1" s="1557" t="s">
        <v>1002</v>
      </c>
      <c r="N1" s="1556"/>
      <c r="O1" s="1556"/>
      <c r="P1" s="1556"/>
      <c r="Q1" s="1556"/>
      <c r="R1" s="1556"/>
      <c r="S1" s="1556"/>
    </row>
    <row r="2" spans="3:19" s="8" customFormat="1" ht="20" customHeight="1">
      <c r="C2" s="915" t="str">
        <f>dms_SheetHeading2</f>
        <v>Australian Transmission Co.</v>
      </c>
      <c r="D2" s="21"/>
      <c r="E2" s="21"/>
      <c r="G2" s="1558" t="s">
        <v>1004</v>
      </c>
      <c r="H2" s="1558"/>
      <c r="I2" s="1558"/>
      <c r="J2" s="1558"/>
      <c r="K2" s="1558"/>
      <c r="L2" s="1558"/>
      <c r="M2" s="1559" t="s">
        <v>179</v>
      </c>
      <c r="N2" s="1558"/>
      <c r="O2" s="1558"/>
      <c r="P2" s="1558"/>
      <c r="Q2" s="1558"/>
      <c r="R2" s="1558"/>
      <c r="S2" s="1558"/>
    </row>
    <row r="3" spans="3:19" s="8" customFormat="1" ht="20" customHeight="1">
      <c r="C3" s="916" t="str">
        <f>dms_SheetHeading3</f>
        <v>REPORTING STATEMENT: 2025-26</v>
      </c>
      <c r="D3" s="21"/>
      <c r="E3" s="21"/>
      <c r="G3" s="1560" t="s">
        <v>1005</v>
      </c>
      <c r="H3" s="1560"/>
      <c r="I3" s="1560"/>
      <c r="J3" s="1560"/>
      <c r="K3" s="1560"/>
      <c r="L3" s="1560"/>
      <c r="M3" s="1561" t="s">
        <v>180</v>
      </c>
      <c r="N3" s="1560"/>
      <c r="O3" s="1560"/>
      <c r="P3" s="1560"/>
      <c r="Q3" s="1560"/>
      <c r="R3" s="1560"/>
      <c r="S3" s="1560"/>
    </row>
    <row r="4" spans="3:19" s="8" customFormat="1" ht="20" customHeight="1">
      <c r="C4" s="966" t="s">
        <v>1159</v>
      </c>
      <c r="D4" s="939"/>
      <c r="E4" s="939"/>
      <c r="G4" s="1562" t="s">
        <v>1007</v>
      </c>
      <c r="H4" s="1563"/>
      <c r="I4" s="1564"/>
      <c r="J4" s="1565"/>
      <c r="K4" s="1565"/>
      <c r="L4" s="1565"/>
      <c r="M4" s="1566" t="s">
        <v>1006</v>
      </c>
      <c r="N4" s="1565"/>
      <c r="O4" s="1565"/>
      <c r="P4" s="1565"/>
      <c r="Q4" s="1565"/>
      <c r="R4" s="1565"/>
      <c r="S4" s="1565"/>
    </row>
    <row r="5" spans="3:19" s="8" customFormat="1" ht="11.25" customHeight="1"/>
    <row r="6" spans="3:19" s="8" customFormat="1" ht="15" customHeight="1">
      <c r="C6" s="1427" t="s">
        <v>1584</v>
      </c>
      <c r="D6" s="1433"/>
      <c r="E6" s="1433"/>
    </row>
    <row r="7" spans="3:19" ht="15" customHeight="1">
      <c r="C7" s="1429" t="s">
        <v>1020</v>
      </c>
      <c r="D7" s="1430"/>
      <c r="E7" s="1430"/>
      <c r="F7" s="8"/>
    </row>
    <row r="8" spans="3:19" ht="18" customHeight="1">
      <c r="C8" s="1547" t="s">
        <v>1671</v>
      </c>
      <c r="D8" s="890"/>
      <c r="E8" s="890"/>
      <c r="F8" s="991"/>
      <c r="G8" s="991"/>
      <c r="H8" s="991"/>
      <c r="I8" s="991"/>
    </row>
    <row r="9" spans="3:19" s="581" customFormat="1" ht="17.25" customHeight="1">
      <c r="C9" s="955"/>
      <c r="D9" s="589"/>
    </row>
    <row r="10" spans="3:19" ht="28.5" customHeight="1">
      <c r="E10" s="1299" t="s">
        <v>1170</v>
      </c>
      <c r="G10" s="1424" t="s">
        <v>1293</v>
      </c>
      <c r="H10" s="1425" t="s">
        <v>1294</v>
      </c>
      <c r="I10" s="1426" t="s">
        <v>1295</v>
      </c>
    </row>
    <row r="11" spans="3:19" ht="15" customHeight="1">
      <c r="C11" s="1298" t="s">
        <v>1020</v>
      </c>
      <c r="D11" s="889" t="s">
        <v>1118</v>
      </c>
      <c r="E11" s="1300" t="s">
        <v>1167</v>
      </c>
      <c r="G11" s="2080" t="s">
        <v>66</v>
      </c>
      <c r="H11" s="2081"/>
      <c r="I11" s="2082"/>
    </row>
    <row r="12" spans="3:19" ht="15" customHeight="1">
      <c r="C12" s="993" t="s">
        <v>1015</v>
      </c>
      <c r="D12" s="994" t="s">
        <v>66</v>
      </c>
      <c r="E12" s="1704"/>
      <c r="G12" s="1182" t="str">
        <f t="shared" ref="G12:G17" si="0">IF(ISNONTEXT(E12)=TRUE,"","X")</f>
        <v/>
      </c>
      <c r="H12" s="1178" t="str">
        <f t="shared" ref="H12:H17" si="1">IF(AND(E12&gt;=0)=TRUE,"","X")</f>
        <v/>
      </c>
      <c r="I12" s="1181" t="str">
        <f>IF(E12&lt;&gt;"","","X")</f>
        <v>X</v>
      </c>
    </row>
    <row r="13" spans="3:19" ht="15" customHeight="1">
      <c r="C13" s="995" t="s">
        <v>1016</v>
      </c>
      <c r="D13" s="996" t="s">
        <v>66</v>
      </c>
      <c r="E13" s="1705"/>
      <c r="G13" s="1182" t="str">
        <f t="shared" si="0"/>
        <v/>
      </c>
      <c r="H13" s="1178" t="str">
        <f t="shared" si="1"/>
        <v/>
      </c>
      <c r="I13" s="1181" t="str">
        <f t="shared" ref="I13:I17" si="2">IF(E13&lt;&gt;"","","X")</f>
        <v>X</v>
      </c>
    </row>
    <row r="14" spans="3:19" ht="15" customHeight="1">
      <c r="C14" s="995" t="s">
        <v>1017</v>
      </c>
      <c r="D14" s="996" t="s">
        <v>66</v>
      </c>
      <c r="E14" s="1705"/>
      <c r="G14" s="1182" t="str">
        <f t="shared" si="0"/>
        <v/>
      </c>
      <c r="H14" s="1178" t="str">
        <f t="shared" si="1"/>
        <v/>
      </c>
      <c r="I14" s="1181" t="str">
        <f t="shared" si="2"/>
        <v>X</v>
      </c>
    </row>
    <row r="15" spans="3:19" ht="15" customHeight="1">
      <c r="C15" s="995" t="s">
        <v>1270</v>
      </c>
      <c r="D15" s="996" t="s">
        <v>66</v>
      </c>
      <c r="E15" s="1705"/>
      <c r="G15" s="1182" t="str">
        <f t="shared" si="0"/>
        <v/>
      </c>
      <c r="H15" s="1178" t="str">
        <f t="shared" si="1"/>
        <v/>
      </c>
      <c r="I15" s="1181" t="str">
        <f t="shared" si="2"/>
        <v>X</v>
      </c>
    </row>
    <row r="16" spans="3:19" ht="15" customHeight="1">
      <c r="C16" s="995" t="s">
        <v>1018</v>
      </c>
      <c r="D16" s="996" t="s">
        <v>66</v>
      </c>
      <c r="E16" s="1705"/>
      <c r="G16" s="1182" t="str">
        <f t="shared" si="0"/>
        <v/>
      </c>
      <c r="H16" s="1178" t="str">
        <f t="shared" si="1"/>
        <v/>
      </c>
      <c r="I16" s="1181" t="str">
        <f t="shared" si="2"/>
        <v>X</v>
      </c>
    </row>
    <row r="17" spans="3:18" ht="15" customHeight="1">
      <c r="C17" s="997" t="s">
        <v>1019</v>
      </c>
      <c r="D17" s="998" t="s">
        <v>66</v>
      </c>
      <c r="E17" s="1706"/>
      <c r="G17" s="1184" t="str">
        <f t="shared" si="0"/>
        <v/>
      </c>
      <c r="H17" s="1187" t="str">
        <f t="shared" si="1"/>
        <v/>
      </c>
      <c r="I17" s="1183" t="str">
        <f t="shared" si="2"/>
        <v>X</v>
      </c>
    </row>
    <row r="21" spans="3:18">
      <c r="C21" s="1310" t="s">
        <v>1471</v>
      </c>
      <c r="D21" s="1852"/>
      <c r="E21" s="1852"/>
      <c r="F21" s="1852"/>
      <c r="G21" s="1852"/>
      <c r="H21" s="1852"/>
      <c r="I21" s="1852"/>
    </row>
    <row r="22" spans="3:18">
      <c r="C22" s="1510" t="s">
        <v>991</v>
      </c>
      <c r="D22" s="1510"/>
      <c r="E22" s="889" t="s">
        <v>1498</v>
      </c>
      <c r="F22" s="889" t="s">
        <v>1491</v>
      </c>
      <c r="G22" s="2083" t="s">
        <v>1493</v>
      </c>
      <c r="H22" s="2083"/>
      <c r="I22" s="2083"/>
      <c r="J22" s="1000" t="s">
        <v>1494</v>
      </c>
      <c r="K22" s="579"/>
      <c r="L22" s="579"/>
      <c r="M22" s="579"/>
      <c r="N22" s="579"/>
      <c r="O22" s="579"/>
      <c r="P22" s="579"/>
      <c r="Q22" s="579"/>
      <c r="R22" s="579"/>
    </row>
    <row r="23" spans="3:18">
      <c r="C23" s="1768" t="s">
        <v>35</v>
      </c>
      <c r="D23" s="1959" t="str">
        <f>IF(ABS(E23)-ABS(F23)&gt;1,"FALSE","TRUE")</f>
        <v>TRUE</v>
      </c>
      <c r="E23" s="1419">
        <f>MROUND(SUM(dms_020702_01_Values),1)</f>
        <v>0</v>
      </c>
      <c r="F23" s="1419">
        <f>MROUND('2.1 Expenditure summary'!F29,1)</f>
        <v>0</v>
      </c>
      <c r="G23" s="2084">
        <f>ABS(F23-E23)</f>
        <v>0</v>
      </c>
      <c r="H23" s="2084"/>
      <c r="I23" s="2084"/>
      <c r="J23" s="1764"/>
      <c r="K23" s="1764"/>
      <c r="L23" s="1764"/>
      <c r="M23" s="579"/>
      <c r="N23" s="579"/>
      <c r="O23" s="579"/>
      <c r="P23" s="579"/>
      <c r="Q23" s="579"/>
      <c r="R23" s="579"/>
    </row>
    <row r="24" spans="3:18">
      <c r="C24" s="579"/>
      <c r="D24" s="579"/>
      <c r="E24" s="579"/>
      <c r="F24" s="579"/>
      <c r="G24" s="579"/>
      <c r="H24" s="579"/>
      <c r="I24" s="579"/>
      <c r="J24" s="579"/>
      <c r="K24" s="579"/>
      <c r="L24" s="579"/>
      <c r="M24" s="579"/>
      <c r="N24" s="579"/>
      <c r="O24" s="579"/>
      <c r="P24" s="579"/>
      <c r="Q24" s="579"/>
      <c r="R24" s="579"/>
    </row>
  </sheetData>
  <mergeCells count="3">
    <mergeCell ref="G11:I11"/>
    <mergeCell ref="G22:I22"/>
    <mergeCell ref="G23:I23"/>
  </mergeCells>
  <phoneticPr fontId="85" type="noConversion"/>
  <conditionalFormatting sqref="C21">
    <cfRule type="cellIs" dxfId="51" priority="1" operator="equal">
      <formula>FALSE</formula>
    </cfRule>
  </conditionalFormatting>
  <dataValidations count="1">
    <dataValidation allowBlank="1" showErrorMessage="1" sqref="I10:I17 A23:A1048576 G22:G23 B24:R1048576 E22 J22 X1:XFD1048576 T1:W4 B5:W5 W6:W1048576 S7:V1048576 C6:F7 B1:B4 A1:A21"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rgb="FF074650"/>
    <pageSetUpPr fitToPage="1"/>
  </sheetPr>
  <dimension ref="B1:X39"/>
  <sheetViews>
    <sheetView workbookViewId="0"/>
  </sheetViews>
  <sheetFormatPr defaultColWidth="9.1796875" defaultRowHeight="14.5"/>
  <cols>
    <col min="1" max="1" width="5.6328125" style="1" customWidth="1"/>
    <col min="2" max="2" width="25.6328125" style="1" customWidth="1"/>
    <col min="3" max="3" width="63.1796875" style="1" customWidth="1"/>
    <col min="4" max="4" width="16.453125" style="1" bestFit="1" customWidth="1"/>
    <col min="5" max="6" width="15.54296875" style="1" customWidth="1"/>
    <col min="7" max="7" width="21.453125" style="1" customWidth="1"/>
    <col min="8" max="13" width="4.54296875" style="1" customWidth="1"/>
    <col min="14" max="21" width="3.54296875" style="1" customWidth="1"/>
    <col min="22" max="22" width="12.54296875" style="1" customWidth="1"/>
    <col min="23" max="23" width="5.6328125" style="1" customWidth="1"/>
    <col min="24" max="72" width="12.54296875" style="1" customWidth="1"/>
    <col min="73" max="16384" width="9.1796875" style="1"/>
  </cols>
  <sheetData>
    <row r="1" spans="2:21" s="990" customFormat="1" ht="20" customHeight="1">
      <c r="B1" s="1"/>
      <c r="C1" s="914" t="str">
        <f>dms_SheetHeading1</f>
        <v>ANNUAL INFORMATION ORDER</v>
      </c>
      <c r="D1" s="1022"/>
      <c r="E1" s="1023"/>
      <c r="F1" s="1023"/>
      <c r="H1" s="1556" t="s">
        <v>1003</v>
      </c>
      <c r="I1" s="1556"/>
      <c r="J1" s="1556"/>
      <c r="K1" s="1556"/>
      <c r="L1" s="1556"/>
      <c r="M1" s="1556"/>
      <c r="N1" s="1557" t="s">
        <v>1002</v>
      </c>
      <c r="O1" s="1556"/>
      <c r="P1" s="1556"/>
      <c r="Q1" s="1556"/>
      <c r="R1" s="1556"/>
      <c r="S1" s="1556"/>
      <c r="T1" s="1556"/>
      <c r="U1" s="8"/>
    </row>
    <row r="2" spans="2:21" s="990" customFormat="1" ht="20" customHeight="1">
      <c r="B2" s="1"/>
      <c r="C2" s="915" t="str">
        <f>dms_SheetHeading2</f>
        <v>Australian Transmission Co.</v>
      </c>
      <c r="D2" s="1022"/>
      <c r="E2" s="1023"/>
      <c r="F2" s="1023"/>
      <c r="H2" s="1558" t="s">
        <v>1004</v>
      </c>
      <c r="I2" s="1558"/>
      <c r="J2" s="1558"/>
      <c r="K2" s="1558"/>
      <c r="L2" s="1558"/>
      <c r="M2" s="1558"/>
      <c r="N2" s="1559" t="s">
        <v>179</v>
      </c>
      <c r="O2" s="1558"/>
      <c r="P2" s="1558"/>
      <c r="Q2" s="1558"/>
      <c r="R2" s="1558"/>
      <c r="S2" s="1558"/>
      <c r="T2" s="1558"/>
      <c r="U2" s="8"/>
    </row>
    <row r="3" spans="2:21" s="990" customFormat="1" ht="20" customHeight="1">
      <c r="B3" s="1"/>
      <c r="C3" s="916" t="str">
        <f>dms_SheetHeading3</f>
        <v>REPORTING STATEMENT: 2025-26</v>
      </c>
      <c r="D3" s="1022"/>
      <c r="E3" s="1023"/>
      <c r="F3" s="1023"/>
      <c r="H3" s="1560" t="s">
        <v>1005</v>
      </c>
      <c r="I3" s="1560"/>
      <c r="J3" s="1560"/>
      <c r="K3" s="1560"/>
      <c r="L3" s="1560"/>
      <c r="M3" s="1560"/>
      <c r="N3" s="1561" t="s">
        <v>180</v>
      </c>
      <c r="O3" s="1560"/>
      <c r="P3" s="1560"/>
      <c r="Q3" s="1560"/>
      <c r="R3" s="1560"/>
      <c r="S3" s="1560"/>
      <c r="T3" s="1560"/>
      <c r="U3" s="8"/>
    </row>
    <row r="4" spans="2:21" s="990" customFormat="1" ht="20" customHeight="1">
      <c r="B4" s="1"/>
      <c r="C4" s="966" t="s">
        <v>1160</v>
      </c>
      <c r="D4" s="966"/>
      <c r="E4" s="966"/>
      <c r="F4" s="966"/>
      <c r="H4" s="1562" t="s">
        <v>1007</v>
      </c>
      <c r="I4" s="1563"/>
      <c r="J4" s="1564"/>
      <c r="K4" s="1565"/>
      <c r="L4" s="1565"/>
      <c r="M4" s="1565"/>
      <c r="N4" s="1566" t="s">
        <v>1006</v>
      </c>
      <c r="O4" s="1565"/>
      <c r="P4" s="1565"/>
      <c r="Q4" s="1565"/>
      <c r="R4" s="1565"/>
      <c r="S4" s="1565"/>
      <c r="T4" s="1565"/>
      <c r="U4" s="8"/>
    </row>
    <row r="5" spans="2:21" ht="13.5" customHeight="1">
      <c r="C5" s="1039"/>
      <c r="D5" s="1039"/>
      <c r="E5" s="1039"/>
      <c r="F5" s="1039"/>
      <c r="U5" s="8"/>
    </row>
    <row r="6" spans="2:21" s="8" customFormat="1" ht="15" customHeight="1">
      <c r="C6" s="1427" t="s">
        <v>1501</v>
      </c>
      <c r="D6" s="1428"/>
      <c r="E6" s="1428"/>
      <c r="F6" s="1428"/>
      <c r="G6" s="990"/>
    </row>
    <row r="7" spans="2:21" ht="15" customHeight="1">
      <c r="C7" s="1429" t="s">
        <v>1502</v>
      </c>
      <c r="D7" s="1430"/>
      <c r="E7" s="1430"/>
      <c r="F7" s="1430"/>
      <c r="G7" s="990"/>
    </row>
    <row r="8" spans="2:21" s="8" customFormat="1" ht="18" customHeight="1">
      <c r="C8" s="1547" t="s">
        <v>56</v>
      </c>
      <c r="D8" s="1547"/>
      <c r="E8" s="1547"/>
      <c r="F8" s="1547"/>
      <c r="H8" s="1"/>
      <c r="I8" s="1"/>
      <c r="J8" s="1"/>
      <c r="R8" s="1"/>
      <c r="S8" s="1"/>
      <c r="T8" s="1"/>
    </row>
    <row r="9" spans="2:21">
      <c r="C9" s="579"/>
      <c r="D9" s="579"/>
      <c r="E9" s="579"/>
      <c r="F9" s="579"/>
      <c r="H9" s="1424" t="s">
        <v>1293</v>
      </c>
      <c r="I9" s="1425" t="s">
        <v>1294</v>
      </c>
      <c r="J9" s="1426" t="s">
        <v>1295</v>
      </c>
      <c r="K9" s="1857" t="s">
        <v>1293</v>
      </c>
      <c r="L9" s="1425" t="s">
        <v>1294</v>
      </c>
      <c r="M9" s="1426" t="s">
        <v>1295</v>
      </c>
      <c r="N9" s="1194"/>
    </row>
    <row r="10" spans="2:21" ht="27" customHeight="1">
      <c r="C10" s="961"/>
      <c r="D10" s="889" t="s">
        <v>1118</v>
      </c>
      <c r="E10" s="1052" t="s">
        <v>1190</v>
      </c>
      <c r="F10" s="1053" t="s">
        <v>1191</v>
      </c>
      <c r="G10" s="1051"/>
      <c r="H10" s="2080" t="s">
        <v>1190</v>
      </c>
      <c r="I10" s="2081"/>
      <c r="J10" s="2082"/>
      <c r="K10" s="2080" t="s">
        <v>1191</v>
      </c>
      <c r="L10" s="2081"/>
      <c r="M10" s="2082"/>
      <c r="N10" s="1194"/>
    </row>
    <row r="11" spans="2:21">
      <c r="C11" s="1011" t="s">
        <v>57</v>
      </c>
      <c r="D11" s="1054" t="s">
        <v>990</v>
      </c>
      <c r="E11" s="1013"/>
      <c r="F11" s="1014"/>
      <c r="H11" s="1182" t="str">
        <f>IF(ISNONTEXT(E11)=TRUE,"","X")</f>
        <v/>
      </c>
      <c r="I11" s="1178" t="str">
        <f>IF(AND(E11&gt;=0)=TRUE,"","X")</f>
        <v/>
      </c>
      <c r="J11" s="1180"/>
      <c r="K11" s="1182" t="str">
        <f>IF(ISNONTEXT(F11)=TRUE,"","X")</f>
        <v/>
      </c>
      <c r="L11" s="1178" t="str">
        <f>IF(AND(F11&gt;=0)=TRUE,"","X")</f>
        <v/>
      </c>
      <c r="M11" s="1180"/>
      <c r="N11" s="1194"/>
    </row>
    <row r="12" spans="2:21">
      <c r="C12" s="1015" t="s">
        <v>58</v>
      </c>
      <c r="D12" s="1055" t="s">
        <v>990</v>
      </c>
      <c r="E12" s="1017"/>
      <c r="F12" s="1018"/>
      <c r="H12" s="1182" t="str">
        <f t="shared" ref="H12:H18" si="0">IF(ISNONTEXT(E12)=TRUE,"","X")</f>
        <v/>
      </c>
      <c r="I12" s="1178" t="str">
        <f t="shared" ref="I12:I18" si="1">IF(AND(E12&gt;=0)=TRUE,"","X")</f>
        <v/>
      </c>
      <c r="J12" s="1180"/>
      <c r="K12" s="1182" t="str">
        <f t="shared" ref="K12:K18" si="2">IF(ISNONTEXT(F12)=TRUE,"","X")</f>
        <v/>
      </c>
      <c r="L12" s="1178" t="str">
        <f t="shared" ref="L12:L18" si="3">IF(AND(F12&gt;=0)=TRUE,"","X")</f>
        <v/>
      </c>
      <c r="M12" s="1180"/>
      <c r="N12" s="1194"/>
    </row>
    <row r="13" spans="2:21">
      <c r="C13" s="1015" t="s">
        <v>59</v>
      </c>
      <c r="D13" s="1056" t="s">
        <v>45</v>
      </c>
      <c r="E13" s="1699"/>
      <c r="F13" s="1707"/>
      <c r="H13" s="1182" t="str">
        <f t="shared" si="0"/>
        <v/>
      </c>
      <c r="I13" s="1178" t="str">
        <f t="shared" si="1"/>
        <v/>
      </c>
      <c r="J13" s="1181" t="str">
        <f t="shared" ref="J13:J18" si="4">IF(AND(E13&lt;&gt;"")=TRUE,"","X")</f>
        <v>X</v>
      </c>
      <c r="K13" s="1182" t="str">
        <f t="shared" si="2"/>
        <v/>
      </c>
      <c r="L13" s="1178" t="str">
        <f t="shared" si="3"/>
        <v/>
      </c>
      <c r="M13" s="1181" t="str">
        <f t="shared" ref="M13:M18" si="5">IF(AND(F13&lt;&gt;"")=TRUE,"","X")</f>
        <v>X</v>
      </c>
      <c r="N13" s="1194"/>
    </row>
    <row r="14" spans="2:21">
      <c r="C14" s="1015" t="s">
        <v>60</v>
      </c>
      <c r="D14" s="1056" t="s">
        <v>45</v>
      </c>
      <c r="E14" s="1699"/>
      <c r="F14" s="1707"/>
      <c r="H14" s="1182" t="str">
        <f t="shared" si="0"/>
        <v/>
      </c>
      <c r="I14" s="1178" t="str">
        <f t="shared" si="1"/>
        <v/>
      </c>
      <c r="J14" s="1181" t="str">
        <f t="shared" si="4"/>
        <v>X</v>
      </c>
      <c r="K14" s="1182" t="str">
        <f t="shared" si="2"/>
        <v/>
      </c>
      <c r="L14" s="1178" t="str">
        <f t="shared" si="3"/>
        <v/>
      </c>
      <c r="M14" s="1181" t="str">
        <f t="shared" si="5"/>
        <v>X</v>
      </c>
      <c r="N14" s="1194"/>
    </row>
    <row r="15" spans="2:21">
      <c r="C15" s="1015" t="s">
        <v>993</v>
      </c>
      <c r="D15" s="1055" t="s">
        <v>990</v>
      </c>
      <c r="E15" s="1017"/>
      <c r="F15" s="1018"/>
      <c r="H15" s="1182" t="str">
        <f t="shared" si="0"/>
        <v/>
      </c>
      <c r="I15" s="1178" t="str">
        <f t="shared" si="1"/>
        <v/>
      </c>
      <c r="J15" s="1181" t="str">
        <f t="shared" si="4"/>
        <v>X</v>
      </c>
      <c r="K15" s="1182" t="str">
        <f t="shared" si="2"/>
        <v/>
      </c>
      <c r="L15" s="1178" t="str">
        <f t="shared" si="3"/>
        <v/>
      </c>
      <c r="M15" s="1181" t="str">
        <f t="shared" si="5"/>
        <v>X</v>
      </c>
      <c r="N15" s="1194"/>
    </row>
    <row r="16" spans="2:21">
      <c r="C16" s="1015" t="s">
        <v>61</v>
      </c>
      <c r="D16" s="1055" t="s">
        <v>990</v>
      </c>
      <c r="E16" s="1017"/>
      <c r="F16" s="1018"/>
      <c r="H16" s="1182" t="str">
        <f t="shared" si="0"/>
        <v/>
      </c>
      <c r="I16" s="1178" t="str">
        <f t="shared" si="1"/>
        <v/>
      </c>
      <c r="J16" s="1181" t="str">
        <f t="shared" si="4"/>
        <v>X</v>
      </c>
      <c r="K16" s="1182" t="str">
        <f t="shared" si="2"/>
        <v/>
      </c>
      <c r="L16" s="1178" t="str">
        <f t="shared" si="3"/>
        <v/>
      </c>
      <c r="M16" s="1181" t="str">
        <f t="shared" si="5"/>
        <v>X</v>
      </c>
      <c r="N16" s="1194"/>
    </row>
    <row r="17" spans="3:24">
      <c r="C17" s="1015" t="s">
        <v>1132</v>
      </c>
      <c r="D17" s="1055" t="s">
        <v>990</v>
      </c>
      <c r="E17" s="1017"/>
      <c r="F17" s="1018"/>
      <c r="H17" s="1182" t="str">
        <f t="shared" si="0"/>
        <v/>
      </c>
      <c r="I17" s="1178" t="str">
        <f t="shared" si="1"/>
        <v/>
      </c>
      <c r="J17" s="1181" t="str">
        <f t="shared" si="4"/>
        <v>X</v>
      </c>
      <c r="K17" s="1182" t="str">
        <f t="shared" si="2"/>
        <v/>
      </c>
      <c r="L17" s="1178" t="str">
        <f t="shared" si="3"/>
        <v/>
      </c>
      <c r="M17" s="1181" t="str">
        <f t="shared" si="5"/>
        <v>X</v>
      </c>
      <c r="N17" s="1194"/>
    </row>
    <row r="18" spans="3:24">
      <c r="C18" s="1015" t="s">
        <v>994</v>
      </c>
      <c r="D18" s="1055" t="s">
        <v>990</v>
      </c>
      <c r="E18" s="1017"/>
      <c r="F18" s="1018"/>
      <c r="H18" s="1182" t="str">
        <f t="shared" si="0"/>
        <v/>
      </c>
      <c r="I18" s="1178" t="str">
        <f t="shared" si="1"/>
        <v/>
      </c>
      <c r="J18" s="1181" t="str">
        <f t="shared" si="4"/>
        <v>X</v>
      </c>
      <c r="K18" s="1182" t="str">
        <f t="shared" si="2"/>
        <v/>
      </c>
      <c r="L18" s="1178" t="str">
        <f t="shared" si="3"/>
        <v/>
      </c>
      <c r="M18" s="1181" t="str">
        <f t="shared" si="5"/>
        <v>X</v>
      </c>
      <c r="N18" s="1194"/>
    </row>
    <row r="19" spans="3:24">
      <c r="C19" s="1057" t="s">
        <v>1008</v>
      </c>
      <c r="D19" s="1058" t="s">
        <v>990</v>
      </c>
      <c r="E19" s="1020"/>
      <c r="F19" s="1021"/>
      <c r="H19" s="1184" t="str">
        <f t="shared" ref="H19" si="6">IF(ISNONTEXT(E19)=TRUE,"","X")</f>
        <v/>
      </c>
      <c r="I19" s="1187" t="str">
        <f t="shared" ref="I19" si="7">IF(AND(E19&gt;=0)=TRUE,"","X")</f>
        <v/>
      </c>
      <c r="J19" s="1183" t="str">
        <f t="shared" ref="J19" si="8">IF(AND(E19&lt;&gt;"")=TRUE,"","X")</f>
        <v>X</v>
      </c>
      <c r="K19" s="1184" t="str">
        <f t="shared" ref="K19" si="9">IF(ISNONTEXT(F19)=TRUE,"","X")</f>
        <v/>
      </c>
      <c r="L19" s="1187" t="str">
        <f t="shared" ref="L19" si="10">IF(AND(F19&gt;=0)=TRUE,"","X")</f>
        <v/>
      </c>
      <c r="M19" s="1183" t="str">
        <f t="shared" ref="M19" si="11">IF(AND(F19&lt;&gt;"")=TRUE,"","X")</f>
        <v>X</v>
      </c>
      <c r="N19" s="1194"/>
    </row>
    <row r="20" spans="3:24">
      <c r="G20" s="1045"/>
      <c r="H20" s="1045"/>
      <c r="I20" s="1045"/>
    </row>
    <row r="21" spans="3:24" s="8" customFormat="1" ht="15" customHeight="1">
      <c r="C21" s="1427" t="s">
        <v>1499</v>
      </c>
      <c r="D21" s="1428"/>
      <c r="E21" s="1428"/>
      <c r="F21" s="1428"/>
      <c r="G21" s="990"/>
    </row>
    <row r="22" spans="3:24" ht="15" customHeight="1">
      <c r="C22" s="1429" t="s">
        <v>1500</v>
      </c>
      <c r="D22" s="1430"/>
      <c r="E22" s="1430"/>
      <c r="F22" s="1430"/>
      <c r="G22" s="990"/>
    </row>
    <row r="23" spans="3:24" ht="18" customHeight="1">
      <c r="C23" s="1585" t="s">
        <v>1133</v>
      </c>
      <c r="D23" s="1431"/>
      <c r="E23" s="1431"/>
      <c r="F23" s="1432"/>
    </row>
    <row r="24" spans="3:24" s="581" customFormat="1" ht="15.5">
      <c r="C24" s="589"/>
      <c r="R24" s="1"/>
      <c r="S24" s="1"/>
      <c r="T24" s="1"/>
      <c r="X24" s="1"/>
    </row>
    <row r="25" spans="3:24" s="581" customFormat="1" ht="27.75" customHeight="1">
      <c r="C25" s="589"/>
      <c r="E25" s="2024" t="s">
        <v>1170</v>
      </c>
      <c r="F25" s="2024"/>
      <c r="R25" s="1"/>
      <c r="S25" s="1"/>
      <c r="T25" s="1"/>
      <c r="X25" s="1"/>
    </row>
    <row r="26" spans="3:24" ht="17.25" customHeight="1">
      <c r="C26" s="579"/>
      <c r="D26" s="579"/>
      <c r="E26" s="2085" t="s">
        <v>1128</v>
      </c>
      <c r="F26" s="2086"/>
      <c r="H26" s="1424" t="s">
        <v>1293</v>
      </c>
      <c r="I26" s="1425" t="s">
        <v>1294</v>
      </c>
      <c r="J26" s="1426" t="s">
        <v>1295</v>
      </c>
      <c r="K26" s="1424" t="s">
        <v>1293</v>
      </c>
      <c r="L26" s="1425" t="s">
        <v>1294</v>
      </c>
      <c r="M26" s="1426" t="s">
        <v>1295</v>
      </c>
    </row>
    <row r="27" spans="3:24" ht="15.5">
      <c r="D27" s="889" t="s">
        <v>1118</v>
      </c>
      <c r="E27" s="1302" t="s">
        <v>1192</v>
      </c>
      <c r="F27" s="1303" t="s">
        <v>1193</v>
      </c>
      <c r="H27" s="2057" t="s">
        <v>1192</v>
      </c>
      <c r="I27" s="2058"/>
      <c r="J27" s="2059"/>
      <c r="K27" s="2057" t="s">
        <v>1305</v>
      </c>
      <c r="L27" s="2058"/>
      <c r="M27" s="2059"/>
      <c r="V27" s="581"/>
      <c r="W27" s="581"/>
    </row>
    <row r="28" spans="3:24" ht="15" customHeight="1">
      <c r="C28" s="1011" t="s">
        <v>1481</v>
      </c>
      <c r="D28" s="1040" t="s">
        <v>66</v>
      </c>
      <c r="E28" s="1301"/>
      <c r="F28" s="1297"/>
      <c r="H28" s="1192" t="str">
        <f>IF(ISNONTEXT(E28)=TRUE,"","X")</f>
        <v/>
      </c>
      <c r="I28" s="1190" t="str">
        <f>IF(AND(E28&gt;=0)=TRUE,"","X")</f>
        <v/>
      </c>
      <c r="J28" s="1191" t="str">
        <f>IF(E28&lt;&gt;"","","X")</f>
        <v>X</v>
      </c>
      <c r="K28" s="1192" t="str">
        <f>IF(ISNONTEXT(F28)=TRUE,"","X")</f>
        <v/>
      </c>
      <c r="L28" s="1190" t="str">
        <f>IF(AND(F28&gt;=0)=TRUE,"","X")</f>
        <v/>
      </c>
      <c r="M28" s="1191" t="str">
        <f>IF(F28&lt;&gt;"","","X")</f>
        <v>X</v>
      </c>
    </row>
    <row r="29" spans="3:24" ht="15.5">
      <c r="C29" s="1015" t="s">
        <v>1482</v>
      </c>
      <c r="D29" s="1041" t="s">
        <v>66</v>
      </c>
      <c r="E29" s="975"/>
      <c r="F29" s="968"/>
      <c r="H29" s="1182" t="str">
        <f>IF(ISNONTEXT(E29)=TRUE,"","X")</f>
        <v/>
      </c>
      <c r="I29" s="1178" t="str">
        <f>IF(AND(E29&gt;=0)=TRUE,"","X")</f>
        <v/>
      </c>
      <c r="J29" s="1181" t="str">
        <f t="shared" ref="J29:J32" si="12">IF(E29&lt;&gt;"","","X")</f>
        <v>X</v>
      </c>
      <c r="K29" s="1182" t="str">
        <f>IF(ISNONTEXT(F29)=TRUE,"","X")</f>
        <v/>
      </c>
      <c r="L29" s="1178" t="str">
        <f>IF(AND(F29&gt;=0)=TRUE,"","X")</f>
        <v/>
      </c>
      <c r="M29" s="1181" t="str">
        <f t="shared" ref="M29:M32" si="13">IF(F29&lt;&gt;"","","X")</f>
        <v>X</v>
      </c>
      <c r="V29" s="581"/>
      <c r="W29" s="581"/>
    </row>
    <row r="30" spans="3:24">
      <c r="C30" s="1015" t="s">
        <v>1483</v>
      </c>
      <c r="D30" s="1041" t="s">
        <v>66</v>
      </c>
      <c r="E30" s="975"/>
      <c r="F30" s="968"/>
      <c r="H30" s="1182" t="str">
        <f>IF(ISNONTEXT(E30)=TRUE,"","X")</f>
        <v/>
      </c>
      <c r="I30" s="1178" t="str">
        <f>IF(AND(E30&gt;=0)=TRUE,"","X")</f>
        <v/>
      </c>
      <c r="J30" s="1181" t="str">
        <f t="shared" si="12"/>
        <v>X</v>
      </c>
      <c r="K30" s="1182" t="str">
        <f>IF(ISNONTEXT(F30)=TRUE,"","X")</f>
        <v/>
      </c>
      <c r="L30" s="1178" t="str">
        <f>IF(AND(F30&gt;=0)=TRUE,"","X")</f>
        <v/>
      </c>
      <c r="M30" s="1181" t="str">
        <f t="shared" si="13"/>
        <v>X</v>
      </c>
    </row>
    <row r="31" spans="3:24" ht="15.75" customHeight="1">
      <c r="C31" s="1015" t="s">
        <v>1484</v>
      </c>
      <c r="D31" s="1041" t="s">
        <v>66</v>
      </c>
      <c r="E31" s="975"/>
      <c r="F31" s="968"/>
      <c r="H31" s="1182" t="str">
        <f>IF(ISNONTEXT(E31)=TRUE,"","X")</f>
        <v/>
      </c>
      <c r="I31" s="1178" t="str">
        <f>IF(AND(E31&gt;=0)=TRUE,"","X")</f>
        <v/>
      </c>
      <c r="J31" s="1181" t="str">
        <f t="shared" si="12"/>
        <v>X</v>
      </c>
      <c r="K31" s="1182" t="str">
        <f>IF(ISNONTEXT(F31)=TRUE,"","X")</f>
        <v/>
      </c>
      <c r="L31" s="1178" t="str">
        <f>IF(AND(F31&gt;=0)=TRUE,"","X")</f>
        <v/>
      </c>
      <c r="M31" s="1181" t="str">
        <f t="shared" si="13"/>
        <v>X</v>
      </c>
      <c r="V31" s="581"/>
      <c r="W31" s="581"/>
    </row>
    <row r="32" spans="3:24" ht="15.5">
      <c r="C32" s="1057" t="s">
        <v>1485</v>
      </c>
      <c r="D32" s="992" t="s">
        <v>66</v>
      </c>
      <c r="E32" s="976"/>
      <c r="F32" s="969"/>
      <c r="H32" s="1184" t="str">
        <f>IF(ISNONTEXT(E32)=TRUE,"","X")</f>
        <v/>
      </c>
      <c r="I32" s="1187" t="str">
        <f>IF(AND(E32&gt;=0)=TRUE,"","X")</f>
        <v/>
      </c>
      <c r="J32" s="1183" t="str">
        <f t="shared" si="12"/>
        <v>X</v>
      </c>
      <c r="K32" s="1184" t="str">
        <f>IF(ISNONTEXT(F32)=TRUE,"","X")</f>
        <v/>
      </c>
      <c r="L32" s="1187" t="str">
        <f>IF(AND(F32&gt;=0)=TRUE,"","X")</f>
        <v/>
      </c>
      <c r="M32" s="1183" t="str">
        <f t="shared" si="13"/>
        <v>X</v>
      </c>
      <c r="O32" s="581"/>
      <c r="P32" s="1198"/>
      <c r="Q32" s="1198"/>
    </row>
    <row r="33" spans="3:15" ht="15.5">
      <c r="H33" s="581"/>
      <c r="I33" s="581"/>
      <c r="J33" s="581"/>
      <c r="K33" s="581"/>
      <c r="O33" s="581"/>
    </row>
    <row r="34" spans="3:15" ht="15.5">
      <c r="H34" s="581"/>
      <c r="I34" s="581"/>
      <c r="J34" s="581"/>
      <c r="K34" s="581"/>
      <c r="O34" s="581"/>
    </row>
    <row r="35" spans="3:15" ht="15.5">
      <c r="H35" s="581"/>
      <c r="I35" s="581"/>
      <c r="J35" s="581"/>
      <c r="K35" s="581"/>
      <c r="O35" s="581"/>
    </row>
    <row r="36" spans="3:15" ht="15.5">
      <c r="C36" s="1310" t="s">
        <v>1471</v>
      </c>
      <c r="D36" s="1852"/>
      <c r="H36" s="581"/>
      <c r="I36" s="581"/>
      <c r="J36" s="581"/>
      <c r="K36" s="581"/>
      <c r="O36" s="581"/>
    </row>
    <row r="37" spans="3:15" ht="15.5">
      <c r="C37" s="1510" t="s">
        <v>991</v>
      </c>
      <c r="D37" s="1510"/>
      <c r="E37" s="1079" t="s">
        <v>1503</v>
      </c>
      <c r="F37" s="1079" t="s">
        <v>1491</v>
      </c>
      <c r="G37" s="1079" t="s">
        <v>1493</v>
      </c>
      <c r="H37" s="896" t="s">
        <v>1494</v>
      </c>
      <c r="I37" s="579"/>
      <c r="J37" s="579"/>
      <c r="K37" s="579"/>
      <c r="L37" s="579"/>
      <c r="M37" s="579"/>
      <c r="N37" s="579"/>
      <c r="O37" s="581"/>
    </row>
    <row r="38" spans="3:15">
      <c r="C38" s="1768" t="s">
        <v>36</v>
      </c>
      <c r="D38" s="1959" t="str">
        <f>IF(ABS(E38)-ABS(F38)&gt;1,"FALSE","TRUE")</f>
        <v>TRUE</v>
      </c>
      <c r="E38" s="1762">
        <f>MROUND(SUM(E28:F32),1)</f>
        <v>0</v>
      </c>
      <c r="F38" s="1762">
        <f>MROUND('2.1 Expenditure summary'!F30,1)</f>
        <v>0</v>
      </c>
      <c r="G38" s="1420">
        <f>ABS(F38-E38)</f>
        <v>0</v>
      </c>
      <c r="H38" s="1764"/>
      <c r="I38" s="579"/>
      <c r="J38" s="579"/>
      <c r="K38" s="579"/>
      <c r="L38" s="579"/>
      <c r="M38" s="579"/>
      <c r="N38" s="579"/>
    </row>
    <row r="39" spans="3:15">
      <c r="C39" s="579"/>
      <c r="D39" s="579"/>
      <c r="E39" s="579"/>
      <c r="F39" s="579"/>
      <c r="G39" s="579"/>
      <c r="H39" s="579"/>
      <c r="I39" s="579"/>
      <c r="J39" s="579"/>
      <c r="K39" s="579"/>
      <c r="L39" s="579"/>
      <c r="M39" s="579"/>
      <c r="N39" s="579"/>
    </row>
  </sheetData>
  <mergeCells count="6">
    <mergeCell ref="H27:J27"/>
    <mergeCell ref="K27:M27"/>
    <mergeCell ref="H10:J10"/>
    <mergeCell ref="K10:M10"/>
    <mergeCell ref="E25:F25"/>
    <mergeCell ref="E26:F26"/>
  </mergeCells>
  <conditionalFormatting sqref="C36">
    <cfRule type="cellIs" dxfId="50" priority="1" operator="equal">
      <formula>FALSE</formula>
    </cfRule>
  </conditionalFormatting>
  <dataValidations count="1">
    <dataValidation allowBlank="1" showErrorMessage="1" sqref="L43:XFD45 P39:X42 A38:A39 B39:G39 A40:C45 A46:XFD1048576 Y23:XFD42 Y1:XFD5 Y8:XFD20 E37 G37:I37 G38 U1:U5 C6:XFD7 C21:XFD22 A1:A36" xr:uid="{21EB8C8E-885E-477B-B0B6-A3C693E77762}"/>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rgb="FF074650"/>
    <pageSetUpPr fitToPage="1"/>
  </sheetPr>
  <dimension ref="A1:AO39"/>
  <sheetViews>
    <sheetView workbookViewId="0"/>
  </sheetViews>
  <sheetFormatPr defaultColWidth="9.1796875" defaultRowHeight="14.5"/>
  <cols>
    <col min="1" max="1" width="5.6328125" style="1" customWidth="1"/>
    <col min="2" max="2" width="25.6328125" style="1060" customWidth="1"/>
    <col min="3" max="3" width="31.54296875" style="1" customWidth="1"/>
    <col min="4" max="4" width="15.81640625" style="1" customWidth="1"/>
    <col min="5" max="13" width="17.81640625" style="1" customWidth="1"/>
    <col min="14" max="14" width="9.1796875" style="1"/>
    <col min="15" max="22" width="4.54296875" style="1" customWidth="1"/>
    <col min="23" max="23" width="5.6328125" style="1" customWidth="1"/>
    <col min="24" max="41" width="4.54296875" style="1" customWidth="1"/>
    <col min="42" max="16384" width="9.1796875" style="1"/>
  </cols>
  <sheetData>
    <row r="1" spans="1:41" s="952" customFormat="1" ht="20" customHeight="1">
      <c r="A1" s="1"/>
      <c r="B1" s="912"/>
      <c r="C1" s="914" t="str">
        <f>dms_SheetHeading1</f>
        <v>ANNUAL INFORMATION ORDER</v>
      </c>
      <c r="D1" s="1024"/>
      <c r="E1" s="1024"/>
      <c r="F1" s="1024"/>
      <c r="G1" s="1024"/>
      <c r="H1" s="1024"/>
      <c r="I1" s="1024"/>
      <c r="J1" s="1024"/>
      <c r="K1" s="1024"/>
      <c r="L1" s="1024"/>
      <c r="M1" s="1024"/>
      <c r="O1" s="1556" t="s">
        <v>1003</v>
      </c>
      <c r="P1" s="1556"/>
      <c r="Q1" s="1556"/>
      <c r="R1" s="1556"/>
      <c r="S1" s="1556"/>
      <c r="T1" s="1556"/>
      <c r="U1" s="1557" t="s">
        <v>1002</v>
      </c>
      <c r="V1" s="1556"/>
      <c r="W1" s="1556"/>
      <c r="X1" s="1556"/>
      <c r="Y1" s="1556"/>
      <c r="Z1" s="1556"/>
      <c r="AA1" s="1556"/>
    </row>
    <row r="2" spans="1:41" s="952" customFormat="1" ht="20" customHeight="1">
      <c r="A2" s="1"/>
      <c r="B2" s="912"/>
      <c r="C2" s="915" t="str">
        <f>dms_SheetHeading2</f>
        <v>Australian Transmission Co.</v>
      </c>
      <c r="D2" s="1024"/>
      <c r="E2" s="1024"/>
      <c r="F2" s="1024"/>
      <c r="G2" s="1024"/>
      <c r="H2" s="1024"/>
      <c r="I2" s="1024"/>
      <c r="J2" s="1024"/>
      <c r="K2" s="1024"/>
      <c r="L2" s="1024"/>
      <c r="M2" s="1024"/>
      <c r="O2" s="1558" t="s">
        <v>1004</v>
      </c>
      <c r="P2" s="1558"/>
      <c r="Q2" s="1558"/>
      <c r="R2" s="1558"/>
      <c r="S2" s="1558"/>
      <c r="T2" s="1558"/>
      <c r="U2" s="1559" t="s">
        <v>179</v>
      </c>
      <c r="V2" s="1558"/>
      <c r="W2" s="1558"/>
      <c r="X2" s="1558"/>
      <c r="Y2" s="1558"/>
      <c r="Z2" s="1558"/>
      <c r="AA2" s="1558"/>
    </row>
    <row r="3" spans="1:41" s="952" customFormat="1" ht="20" customHeight="1">
      <c r="A3" s="1"/>
      <c r="B3" s="912"/>
      <c r="C3" s="916" t="str">
        <f>dms_SheetHeading3</f>
        <v>REPORTING STATEMENT: 2025-26</v>
      </c>
      <c r="D3" s="1024"/>
      <c r="E3" s="1024"/>
      <c r="F3" s="1024"/>
      <c r="G3" s="1024"/>
      <c r="H3" s="1024"/>
      <c r="I3" s="1024"/>
      <c r="J3" s="1024"/>
      <c r="K3" s="1024"/>
      <c r="L3" s="1024"/>
      <c r="M3" s="1024"/>
      <c r="O3" s="1560" t="s">
        <v>1005</v>
      </c>
      <c r="P3" s="1560"/>
      <c r="Q3" s="1560"/>
      <c r="R3" s="1560"/>
      <c r="S3" s="1560"/>
      <c r="T3" s="1560"/>
      <c r="U3" s="1561" t="s">
        <v>180</v>
      </c>
      <c r="V3" s="1560"/>
      <c r="W3" s="1560"/>
      <c r="X3" s="1560"/>
      <c r="Y3" s="1560"/>
      <c r="Z3" s="1560"/>
      <c r="AA3" s="1560"/>
    </row>
    <row r="4" spans="1:41" s="952" customFormat="1" ht="20" customHeight="1">
      <c r="A4" s="1"/>
      <c r="B4" s="912"/>
      <c r="C4" s="1025" t="s">
        <v>1161</v>
      </c>
      <c r="D4" s="1026"/>
      <c r="E4" s="1026"/>
      <c r="F4" s="1026"/>
      <c r="G4" s="1026"/>
      <c r="H4" s="1026"/>
      <c r="I4" s="1026"/>
      <c r="J4" s="1026"/>
      <c r="K4" s="1026"/>
      <c r="L4" s="1026"/>
      <c r="M4" s="1026"/>
      <c r="O4" s="1562" t="s">
        <v>1007</v>
      </c>
      <c r="P4" s="1563"/>
      <c r="Q4" s="1564"/>
      <c r="R4" s="1565"/>
      <c r="S4" s="1565"/>
      <c r="T4" s="1565"/>
      <c r="U4" s="1566" t="s">
        <v>1006</v>
      </c>
      <c r="V4" s="1565"/>
      <c r="W4" s="1565"/>
      <c r="X4" s="1565"/>
      <c r="Y4" s="1565"/>
      <c r="Z4" s="1565"/>
      <c r="AA4" s="1565"/>
    </row>
    <row r="5" spans="1:41" ht="13.5" customHeight="1">
      <c r="B5" s="912"/>
      <c r="C5" s="953"/>
    </row>
    <row r="6" spans="1:41" ht="15" customHeight="1">
      <c r="B6" s="912"/>
      <c r="C6" s="1427" t="s">
        <v>1504</v>
      </c>
      <c r="D6" s="1428"/>
      <c r="E6" s="1427"/>
      <c r="F6" s="1433"/>
      <c r="G6" s="1433"/>
      <c r="H6" s="1433"/>
      <c r="I6" s="1433"/>
      <c r="J6" s="1433"/>
      <c r="K6" s="1433"/>
      <c r="L6" s="1433"/>
      <c r="M6" s="1433"/>
      <c r="N6" s="952"/>
    </row>
    <row r="7" spans="1:41" ht="15" customHeight="1">
      <c r="B7" s="912"/>
      <c r="C7" s="1427" t="s">
        <v>1505</v>
      </c>
      <c r="D7" s="1428"/>
      <c r="E7" s="1427"/>
      <c r="F7" s="1433"/>
      <c r="G7" s="1433"/>
      <c r="H7" s="1433"/>
      <c r="I7" s="1433"/>
      <c r="J7" s="1433"/>
      <c r="K7" s="1433"/>
      <c r="L7" s="1433"/>
      <c r="M7" s="1433"/>
      <c r="N7" s="952"/>
    </row>
    <row r="8" spans="1:41" ht="15" customHeight="1">
      <c r="B8" s="912"/>
      <c r="C8" s="1427" t="s">
        <v>1506</v>
      </c>
      <c r="D8" s="1428"/>
      <c r="E8" s="1427"/>
      <c r="F8" s="1433"/>
      <c r="G8" s="1433"/>
      <c r="H8" s="1433"/>
      <c r="I8" s="1433"/>
      <c r="J8" s="1433"/>
      <c r="K8" s="1433"/>
      <c r="L8" s="1433"/>
      <c r="M8" s="1433"/>
      <c r="N8" s="952"/>
    </row>
    <row r="9" spans="1:41" ht="15" customHeight="1">
      <c r="B9" s="912"/>
      <c r="C9" s="1427" t="s">
        <v>1507</v>
      </c>
      <c r="D9" s="1428"/>
      <c r="E9" s="1427"/>
      <c r="F9" s="1433"/>
      <c r="G9" s="1433"/>
      <c r="H9" s="1433"/>
      <c r="I9" s="1433"/>
      <c r="J9" s="1433"/>
      <c r="K9" s="1433"/>
      <c r="L9" s="1433"/>
      <c r="M9" s="1433"/>
      <c r="N9" s="952"/>
    </row>
    <row r="10" spans="1:41" ht="15" customHeight="1">
      <c r="B10" s="912"/>
      <c r="C10" s="1429" t="s">
        <v>1508</v>
      </c>
      <c r="D10" s="1430"/>
      <c r="E10" s="1429"/>
      <c r="F10" s="1430"/>
      <c r="G10" s="1430"/>
      <c r="H10" s="1430"/>
      <c r="I10" s="1430"/>
      <c r="J10" s="1430"/>
      <c r="K10" s="1430"/>
      <c r="L10" s="1430"/>
      <c r="M10" s="1430"/>
      <c r="N10" s="952"/>
    </row>
    <row r="11" spans="1:41" ht="18" customHeight="1">
      <c r="B11" s="912"/>
      <c r="C11" s="1548" t="s">
        <v>1134</v>
      </c>
      <c r="D11" s="1064"/>
      <c r="E11" s="1064"/>
      <c r="F11" s="1064"/>
      <c r="G11" s="1064"/>
      <c r="H11" s="1064"/>
      <c r="I11" s="1064"/>
      <c r="J11" s="1064"/>
      <c r="K11" s="1064"/>
      <c r="L11" s="1064"/>
      <c r="M11" s="1064"/>
    </row>
    <row r="12" spans="1:41">
      <c r="B12" s="912"/>
      <c r="C12" s="579"/>
      <c r="D12" s="579"/>
      <c r="E12" s="579"/>
      <c r="F12" s="579"/>
      <c r="G12" s="579"/>
      <c r="H12" s="579"/>
      <c r="I12" s="579"/>
      <c r="J12" s="579"/>
      <c r="K12" s="579"/>
      <c r="L12" s="579"/>
      <c r="M12" s="579"/>
      <c r="O12" s="1927" t="s">
        <v>1293</v>
      </c>
      <c r="P12" s="1928" t="s">
        <v>1294</v>
      </c>
      <c r="Q12" s="1929" t="s">
        <v>1295</v>
      </c>
      <c r="R12" s="1927" t="s">
        <v>1293</v>
      </c>
      <c r="S12" s="1928" t="s">
        <v>1294</v>
      </c>
      <c r="T12" s="1929" t="s">
        <v>1295</v>
      </c>
      <c r="U12" s="1927" t="s">
        <v>1293</v>
      </c>
      <c r="V12" s="1928" t="s">
        <v>1294</v>
      </c>
      <c r="W12" s="1929" t="s">
        <v>1295</v>
      </c>
      <c r="X12" s="1927" t="s">
        <v>1293</v>
      </c>
      <c r="Y12" s="1928" t="s">
        <v>1294</v>
      </c>
      <c r="Z12" s="1929" t="s">
        <v>1295</v>
      </c>
      <c r="AA12" s="1927" t="s">
        <v>1293</v>
      </c>
      <c r="AB12" s="1928" t="s">
        <v>1294</v>
      </c>
      <c r="AC12" s="1929" t="s">
        <v>1295</v>
      </c>
      <c r="AD12" s="1927" t="s">
        <v>1293</v>
      </c>
      <c r="AE12" s="1928" t="s">
        <v>1294</v>
      </c>
      <c r="AF12" s="1929" t="s">
        <v>1295</v>
      </c>
      <c r="AG12" s="1927" t="s">
        <v>1293</v>
      </c>
      <c r="AH12" s="1928" t="s">
        <v>1294</v>
      </c>
      <c r="AI12" s="1929" t="s">
        <v>1295</v>
      </c>
      <c r="AJ12" s="1927" t="s">
        <v>1293</v>
      </c>
      <c r="AK12" s="1928" t="s">
        <v>1294</v>
      </c>
      <c r="AL12" s="1929" t="s">
        <v>1295</v>
      </c>
      <c r="AM12" s="1927" t="s">
        <v>1293</v>
      </c>
      <c r="AN12" s="1928" t="s">
        <v>1294</v>
      </c>
      <c r="AO12" s="1929" t="s">
        <v>1295</v>
      </c>
    </row>
    <row r="13" spans="1:41" ht="26.15" customHeight="1">
      <c r="B13" s="912"/>
      <c r="C13" s="1061"/>
      <c r="D13" s="889" t="s">
        <v>1118</v>
      </c>
      <c r="E13" s="1070" t="s">
        <v>1544</v>
      </c>
      <c r="F13" s="1071" t="s">
        <v>1156</v>
      </c>
      <c r="G13" s="1071" t="s">
        <v>1185</v>
      </c>
      <c r="H13" s="1071" t="s">
        <v>1186</v>
      </c>
      <c r="I13" s="1071" t="s">
        <v>1187</v>
      </c>
      <c r="J13" s="1072" t="s">
        <v>1188</v>
      </c>
      <c r="K13" s="1072" t="s">
        <v>1189</v>
      </c>
      <c r="L13" s="1072" t="s">
        <v>1323</v>
      </c>
      <c r="M13" s="1073" t="s">
        <v>1324</v>
      </c>
      <c r="O13" s="2087" t="s">
        <v>1544</v>
      </c>
      <c r="P13" s="2088"/>
      <c r="Q13" s="2089"/>
      <c r="R13" s="2087" t="s">
        <v>1599</v>
      </c>
      <c r="S13" s="2088"/>
      <c r="T13" s="2089"/>
      <c r="U13" s="2087" t="s">
        <v>1600</v>
      </c>
      <c r="V13" s="2088"/>
      <c r="W13" s="2089"/>
      <c r="X13" s="2087" t="s">
        <v>1648</v>
      </c>
      <c r="Y13" s="2088"/>
      <c r="Z13" s="2089"/>
      <c r="AA13" s="2087" t="s">
        <v>1187</v>
      </c>
      <c r="AB13" s="2088"/>
      <c r="AC13" s="2089"/>
      <c r="AD13" s="2087" t="s">
        <v>1188</v>
      </c>
      <c r="AE13" s="2088"/>
      <c r="AF13" s="2089"/>
      <c r="AG13" s="2087" t="s">
        <v>1206</v>
      </c>
      <c r="AH13" s="2088"/>
      <c r="AI13" s="2089"/>
      <c r="AJ13" s="2087" t="s">
        <v>1194</v>
      </c>
      <c r="AK13" s="2088"/>
      <c r="AL13" s="2089"/>
      <c r="AM13" s="2087" t="s">
        <v>1195</v>
      </c>
      <c r="AN13" s="2088"/>
      <c r="AO13" s="2089"/>
    </row>
    <row r="14" spans="1:41" ht="15" customHeight="1">
      <c r="B14" s="912"/>
      <c r="C14" s="1066" t="s">
        <v>1136</v>
      </c>
      <c r="D14" s="1315" t="s">
        <v>66</v>
      </c>
      <c r="E14" s="1769">
        <f>SUM(F14:I14)</f>
        <v>0</v>
      </c>
      <c r="F14" s="1770"/>
      <c r="G14" s="1770"/>
      <c r="H14" s="1770"/>
      <c r="I14" s="1770"/>
      <c r="J14" s="1770"/>
      <c r="K14" s="1769">
        <f>F14+J14</f>
        <v>0</v>
      </c>
      <c r="L14" s="1770"/>
      <c r="M14" s="1771"/>
      <c r="O14" s="1858"/>
      <c r="P14" s="1859"/>
      <c r="Q14" s="1860"/>
      <c r="R14" s="1861" t="str">
        <f>IF(ISNONTEXT(F14)=TRUE,"","X")</f>
        <v/>
      </c>
      <c r="S14" s="1862" t="str">
        <f>IF(AND(F14&gt;=0)=TRUE,"","X")</f>
        <v/>
      </c>
      <c r="T14" s="1863" t="str">
        <f>IF(AND(F14&lt;&gt;"")=TRUE,"","X")</f>
        <v>X</v>
      </c>
      <c r="U14" s="1861" t="str">
        <f>IF(ISNONTEXT(G14)=TRUE,"","X")</f>
        <v/>
      </c>
      <c r="V14" s="1862" t="str">
        <f>IF(AND(G14&gt;=0)=TRUE,"","X")</f>
        <v/>
      </c>
      <c r="W14" s="1863" t="str">
        <f>IF(AND(G14&lt;&gt;"")=TRUE,"","X")</f>
        <v>X</v>
      </c>
      <c r="X14" s="1861" t="str">
        <f>IF(ISNONTEXT(H14)=TRUE,"","X")</f>
        <v/>
      </c>
      <c r="Y14" s="1862" t="str">
        <f>IF(AND(H14&gt;=0)=TRUE,"","X")</f>
        <v/>
      </c>
      <c r="Z14" s="1863" t="str">
        <f>IF(AND(H14&lt;&gt;"")=TRUE,"","X")</f>
        <v>X</v>
      </c>
      <c r="AA14" s="1861" t="str">
        <f>IF(ISNONTEXT(I14)=TRUE,"","X")</f>
        <v/>
      </c>
      <c r="AB14" s="1862" t="str">
        <f>IF(AND(I14&gt;=0)=TRUE,"","X")</f>
        <v/>
      </c>
      <c r="AC14" s="1863" t="str">
        <f>IF(AND(I14&lt;&gt;"")=TRUE,"","X")</f>
        <v>X</v>
      </c>
      <c r="AD14" s="1861" t="str">
        <f>IF(ISNONTEXT(J14)=TRUE,"","X")</f>
        <v/>
      </c>
      <c r="AE14" s="1862" t="str">
        <f>IF(AND(J14&gt;=0)=TRUE,"","X")</f>
        <v/>
      </c>
      <c r="AF14" s="1863" t="str">
        <f>IF(AND(J14&lt;&gt;"")=TRUE,"","X")</f>
        <v>X</v>
      </c>
      <c r="AG14" s="1858"/>
      <c r="AH14" s="1859"/>
      <c r="AI14" s="1860"/>
      <c r="AJ14" s="1861" t="str">
        <f>IF(ISNONTEXT(L14)=TRUE,"","X")</f>
        <v/>
      </c>
      <c r="AK14" s="1862" t="str">
        <f>IF(AND(L14&gt;=0)=TRUE,"","X")</f>
        <v/>
      </c>
      <c r="AL14" s="1863" t="str">
        <f>IF(AND(L14&lt;&gt;"")=TRUE,"","X")</f>
        <v>X</v>
      </c>
      <c r="AM14" s="1861" t="str">
        <f>IF(ISNONTEXT(M14)=TRUE,"","X")</f>
        <v/>
      </c>
      <c r="AN14" s="1862" t="str">
        <f>IF(AND(M14&gt;=0)=TRUE,"","X")</f>
        <v/>
      </c>
      <c r="AO14" s="1863" t="str">
        <f>IF(AND(M14&lt;&gt;"")=TRUE,"","X")</f>
        <v>X</v>
      </c>
    </row>
    <row r="15" spans="1:41" ht="15" customHeight="1">
      <c r="B15" s="912"/>
      <c r="C15" s="1067" t="s">
        <v>1137</v>
      </c>
      <c r="D15" s="1316" t="s">
        <v>66</v>
      </c>
      <c r="E15" s="1772"/>
      <c r="F15" s="1773"/>
      <c r="G15" s="1773"/>
      <c r="H15" s="1773"/>
      <c r="I15" s="1773"/>
      <c r="J15" s="1773"/>
      <c r="K15" s="1772"/>
      <c r="L15" s="1774">
        <f>'2.1 Expenditure summary'!F19</f>
        <v>0</v>
      </c>
      <c r="M15" s="1775">
        <f>'2.1 Expenditure summary'!G19</f>
        <v>0</v>
      </c>
    </row>
    <row r="16" spans="1:41">
      <c r="B16" s="912"/>
      <c r="C16" s="1062"/>
      <c r="D16" s="1317"/>
      <c r="E16" s="1063"/>
      <c r="F16" s="579"/>
      <c r="G16" s="579"/>
      <c r="H16" s="579"/>
      <c r="I16" s="579"/>
      <c r="J16" s="579"/>
      <c r="K16" s="579"/>
      <c r="L16" s="579"/>
      <c r="M16" s="579"/>
    </row>
    <row r="17" spans="2:41" ht="18" customHeight="1">
      <c r="B17" s="912"/>
      <c r="C17" s="1548" t="s">
        <v>1135</v>
      </c>
      <c r="D17" s="1318"/>
      <c r="E17" s="1065"/>
      <c r="F17" s="1065"/>
      <c r="G17" s="1065"/>
      <c r="H17" s="1065"/>
      <c r="I17" s="1065"/>
      <c r="J17" s="1065"/>
      <c r="K17" s="1065"/>
      <c r="L17" s="1065"/>
      <c r="M17" s="1065"/>
    </row>
    <row r="18" spans="2:41">
      <c r="B18" s="912"/>
      <c r="D18" s="578"/>
      <c r="O18" s="1927" t="s">
        <v>1293</v>
      </c>
      <c r="P18" s="1928" t="s">
        <v>1294</v>
      </c>
      <c r="Q18" s="1929" t="s">
        <v>1295</v>
      </c>
      <c r="R18" s="1927" t="s">
        <v>1293</v>
      </c>
      <c r="S18" s="1928" t="s">
        <v>1294</v>
      </c>
      <c r="T18" s="1929" t="s">
        <v>1295</v>
      </c>
      <c r="U18" s="1927" t="s">
        <v>1293</v>
      </c>
      <c r="V18" s="1928" t="s">
        <v>1294</v>
      </c>
      <c r="W18" s="1929" t="s">
        <v>1295</v>
      </c>
      <c r="X18" s="1927" t="s">
        <v>1293</v>
      </c>
      <c r="Y18" s="1928" t="s">
        <v>1294</v>
      </c>
      <c r="Z18" s="1929" t="s">
        <v>1295</v>
      </c>
      <c r="AA18" s="1927" t="s">
        <v>1293</v>
      </c>
      <c r="AB18" s="1928" t="s">
        <v>1294</v>
      </c>
      <c r="AC18" s="1929" t="s">
        <v>1295</v>
      </c>
      <c r="AD18" s="1927" t="s">
        <v>1293</v>
      </c>
      <c r="AE18" s="1928" t="s">
        <v>1294</v>
      </c>
      <c r="AF18" s="1929" t="s">
        <v>1295</v>
      </c>
      <c r="AG18" s="1927" t="s">
        <v>1293</v>
      </c>
      <c r="AH18" s="1928" t="s">
        <v>1294</v>
      </c>
      <c r="AI18" s="1929" t="s">
        <v>1295</v>
      </c>
      <c r="AJ18" s="1927" t="s">
        <v>1293</v>
      </c>
      <c r="AK18" s="1928" t="s">
        <v>1294</v>
      </c>
      <c r="AL18" s="1929" t="s">
        <v>1295</v>
      </c>
      <c r="AM18" s="1927" t="s">
        <v>1293</v>
      </c>
      <c r="AN18" s="1928" t="s">
        <v>1294</v>
      </c>
      <c r="AO18" s="1929" t="s">
        <v>1295</v>
      </c>
    </row>
    <row r="19" spans="2:41" ht="26.15" customHeight="1">
      <c r="B19" s="912"/>
      <c r="C19" s="1062"/>
      <c r="D19" s="889" t="s">
        <v>1118</v>
      </c>
      <c r="E19" s="1070" t="s">
        <v>1544</v>
      </c>
      <c r="F19" s="1224" t="s">
        <v>1156</v>
      </c>
      <c r="G19" s="1224" t="s">
        <v>1185</v>
      </c>
      <c r="H19" s="1224" t="s">
        <v>1186</v>
      </c>
      <c r="I19" s="1224" t="s">
        <v>1187</v>
      </c>
      <c r="J19" s="1226" t="s">
        <v>1188</v>
      </c>
      <c r="K19" s="1226" t="s">
        <v>1189</v>
      </c>
      <c r="L19" s="1072" t="s">
        <v>1323</v>
      </c>
      <c r="M19" s="1073" t="s">
        <v>1324</v>
      </c>
      <c r="O19" s="2087" t="s">
        <v>1544</v>
      </c>
      <c r="P19" s="2088"/>
      <c r="Q19" s="2089"/>
      <c r="R19" s="2087" t="s">
        <v>1599</v>
      </c>
      <c r="S19" s="2088"/>
      <c r="T19" s="2089"/>
      <c r="U19" s="2087" t="s">
        <v>1600</v>
      </c>
      <c r="V19" s="2088"/>
      <c r="W19" s="2089"/>
      <c r="X19" s="2087" t="s">
        <v>1648</v>
      </c>
      <c r="Y19" s="2088"/>
      <c r="Z19" s="2089"/>
      <c r="AA19" s="2087" t="s">
        <v>1187</v>
      </c>
      <c r="AB19" s="2088"/>
      <c r="AC19" s="2089"/>
      <c r="AD19" s="2087" t="s">
        <v>1188</v>
      </c>
      <c r="AE19" s="2088"/>
      <c r="AF19" s="2089"/>
      <c r="AG19" s="2087" t="s">
        <v>1206</v>
      </c>
      <c r="AH19" s="2088"/>
      <c r="AI19" s="2089"/>
      <c r="AJ19" s="2087" t="s">
        <v>1194</v>
      </c>
      <c r="AK19" s="2088"/>
      <c r="AL19" s="2089"/>
      <c r="AM19" s="2087" t="s">
        <v>1195</v>
      </c>
      <c r="AN19" s="2088"/>
      <c r="AO19" s="2089"/>
    </row>
    <row r="20" spans="2:41">
      <c r="B20" s="912"/>
      <c r="C20" s="1069" t="s">
        <v>1136</v>
      </c>
      <c r="D20" s="1315" t="s">
        <v>66</v>
      </c>
      <c r="E20" s="1776">
        <f>E21+E22</f>
        <v>0</v>
      </c>
      <c r="F20" s="1777">
        <f t="shared" ref="F20" si="0">F21+F22</f>
        <v>0</v>
      </c>
      <c r="G20" s="1777">
        <f t="shared" ref="G20" si="1">G21+G22</f>
        <v>0</v>
      </c>
      <c r="H20" s="1777">
        <f t="shared" ref="H20" si="2">H21+H22</f>
        <v>0</v>
      </c>
      <c r="I20" s="1777">
        <f t="shared" ref="I20" si="3">I21+I22</f>
        <v>0</v>
      </c>
      <c r="J20" s="1778">
        <f t="shared" ref="J20" si="4">J21+J22</f>
        <v>0</v>
      </c>
      <c r="K20" s="1779">
        <f t="shared" ref="K20" si="5">K21+K22</f>
        <v>0</v>
      </c>
      <c r="L20" s="1780">
        <f t="shared" ref="L20" si="6">L21+L22</f>
        <v>0</v>
      </c>
      <c r="M20" s="1781">
        <f t="shared" ref="M20" si="7">M21+M22</f>
        <v>0</v>
      </c>
    </row>
    <row r="21" spans="2:41">
      <c r="B21" s="912"/>
      <c r="C21" s="1068" t="s">
        <v>1010</v>
      </c>
      <c r="D21" s="1319" t="s">
        <v>66</v>
      </c>
      <c r="E21" s="1782">
        <f>SUM(F21:I21)</f>
        <v>0</v>
      </c>
      <c r="F21" s="1783"/>
      <c r="G21" s="1783"/>
      <c r="H21" s="1783"/>
      <c r="I21" s="1783"/>
      <c r="J21" s="1783"/>
      <c r="K21" s="1784">
        <f>F21+J21</f>
        <v>0</v>
      </c>
      <c r="L21" s="1783"/>
      <c r="M21" s="1785"/>
      <c r="O21" s="1708"/>
      <c r="P21" s="1348"/>
      <c r="Q21" s="1709"/>
      <c r="R21" s="1711" t="str">
        <f t="shared" ref="R21:R22" si="8">IF(ISNONTEXT(F21)=TRUE,"","X")</f>
        <v/>
      </c>
      <c r="S21" s="1345" t="str">
        <f t="shared" ref="S21:S22" si="9">IF(AND(F21&gt;=0)=TRUE,"","X")</f>
        <v/>
      </c>
      <c r="T21" s="1712" t="str">
        <f t="shared" ref="T21:T22" si="10">IF(AND(F21&lt;&gt;"")=TRUE,"","X")</f>
        <v>X</v>
      </c>
      <c r="U21" s="1711" t="str">
        <f t="shared" ref="U21:U22" si="11">IF(ISNONTEXT(G21)=TRUE,"","X")</f>
        <v/>
      </c>
      <c r="V21" s="1345" t="str">
        <f t="shared" ref="V21:V22" si="12">IF(AND(G21&gt;=0)=TRUE,"","X")</f>
        <v/>
      </c>
      <c r="W21" s="1712" t="str">
        <f t="shared" ref="W21:W22" si="13">IF(AND(G21&lt;&gt;"")=TRUE,"","X")</f>
        <v>X</v>
      </c>
      <c r="X21" s="1711" t="str">
        <f t="shared" ref="X21:X22" si="14">IF(ISNONTEXT(H21)=TRUE,"","X")</f>
        <v/>
      </c>
      <c r="Y21" s="1345" t="str">
        <f t="shared" ref="Y21:Y22" si="15">IF(AND(H21&gt;=0)=TRUE,"","X")</f>
        <v/>
      </c>
      <c r="Z21" s="1712" t="str">
        <f t="shared" ref="Z21:Z22" si="16">IF(AND(H21&lt;&gt;"")=TRUE,"","X")</f>
        <v>X</v>
      </c>
      <c r="AA21" s="1711" t="str">
        <f t="shared" ref="AA21:AA22" si="17">IF(ISNONTEXT(I21)=TRUE,"","X")</f>
        <v/>
      </c>
      <c r="AB21" s="1345" t="str">
        <f t="shared" ref="AB21:AB22" si="18">IF(AND(I21&gt;=0)=TRUE,"","X")</f>
        <v/>
      </c>
      <c r="AC21" s="1712" t="str">
        <f t="shared" ref="AC21:AC22" si="19">IF(AND(I21&lt;&gt;"")=TRUE,"","X")</f>
        <v>X</v>
      </c>
      <c r="AD21" s="1711" t="str">
        <f t="shared" ref="AD21:AD22" si="20">IF(ISNONTEXT(J21)=TRUE,"","X")</f>
        <v/>
      </c>
      <c r="AE21" s="1345" t="str">
        <f t="shared" ref="AE21:AE22" si="21">IF(AND(J21&gt;=0)=TRUE,"","X")</f>
        <v/>
      </c>
      <c r="AF21" s="1712" t="str">
        <f t="shared" ref="AF21:AF22" si="22">IF(AND(J21&lt;&gt;"")=TRUE,"","X")</f>
        <v>X</v>
      </c>
      <c r="AG21" s="1708"/>
      <c r="AH21" s="1348"/>
      <c r="AI21" s="1709"/>
      <c r="AJ21" s="1711" t="str">
        <f t="shared" ref="AJ21:AJ22" si="23">IF(ISNONTEXT(L21)=TRUE,"","X")</f>
        <v/>
      </c>
      <c r="AK21" s="1345" t="str">
        <f t="shared" ref="AK21:AK22" si="24">IF(AND(L21&gt;=0)=TRUE,"","X")</f>
        <v/>
      </c>
      <c r="AL21" s="1712" t="str">
        <f t="shared" ref="AL21:AL22" si="25">IF(AND(L21&lt;&gt;"")=TRUE,"","X")</f>
        <v>X</v>
      </c>
      <c r="AM21" s="1711" t="str">
        <f t="shared" ref="AM21:AM22" si="26">IF(ISNONTEXT(M21)=TRUE,"","X")</f>
        <v/>
      </c>
      <c r="AN21" s="1345" t="str">
        <f t="shared" ref="AN21:AN22" si="27">IF(AND(M21&gt;=0)=TRUE,"","X")</f>
        <v/>
      </c>
      <c r="AO21" s="1712" t="str">
        <f t="shared" ref="AO21:AO22" si="28">IF(AND(M21&lt;&gt;"")=TRUE,"","X")</f>
        <v>X</v>
      </c>
    </row>
    <row r="22" spans="2:41">
      <c r="B22" s="912"/>
      <c r="C22" s="1068" t="s">
        <v>1011</v>
      </c>
      <c r="D22" s="1319" t="s">
        <v>66</v>
      </c>
      <c r="E22" s="1782">
        <f>SUM(F22:I22)</f>
        <v>0</v>
      </c>
      <c r="F22" s="1783"/>
      <c r="G22" s="1783"/>
      <c r="H22" s="1783"/>
      <c r="I22" s="1783"/>
      <c r="J22" s="1783"/>
      <c r="K22" s="1782">
        <f>F22+J22</f>
        <v>0</v>
      </c>
      <c r="L22" s="1783"/>
      <c r="M22" s="1785"/>
      <c r="O22" s="1710"/>
      <c r="P22" s="1332"/>
      <c r="Q22" s="1333"/>
      <c r="R22" s="1329" t="str">
        <f t="shared" si="8"/>
        <v/>
      </c>
      <c r="S22" s="1323" t="str">
        <f t="shared" si="9"/>
        <v/>
      </c>
      <c r="T22" s="1324" t="str">
        <f t="shared" si="10"/>
        <v>X</v>
      </c>
      <c r="U22" s="1329" t="str">
        <f t="shared" si="11"/>
        <v/>
      </c>
      <c r="V22" s="1323" t="str">
        <f t="shared" si="12"/>
        <v/>
      </c>
      <c r="W22" s="1324" t="str">
        <f t="shared" si="13"/>
        <v>X</v>
      </c>
      <c r="X22" s="1329" t="str">
        <f t="shared" si="14"/>
        <v/>
      </c>
      <c r="Y22" s="1323" t="str">
        <f t="shared" si="15"/>
        <v/>
      </c>
      <c r="Z22" s="1324" t="str">
        <f t="shared" si="16"/>
        <v>X</v>
      </c>
      <c r="AA22" s="1329" t="str">
        <f t="shared" si="17"/>
        <v/>
      </c>
      <c r="AB22" s="1323" t="str">
        <f t="shared" si="18"/>
        <v/>
      </c>
      <c r="AC22" s="1324" t="str">
        <f t="shared" si="19"/>
        <v>X</v>
      </c>
      <c r="AD22" s="1329" t="str">
        <f t="shared" si="20"/>
        <v/>
      </c>
      <c r="AE22" s="1323" t="str">
        <f t="shared" si="21"/>
        <v/>
      </c>
      <c r="AF22" s="1324" t="str">
        <f t="shared" si="22"/>
        <v>X</v>
      </c>
      <c r="AG22" s="1710"/>
      <c r="AH22" s="1332"/>
      <c r="AI22" s="1333"/>
      <c r="AJ22" s="1329" t="str">
        <f t="shared" si="23"/>
        <v/>
      </c>
      <c r="AK22" s="1323" t="str">
        <f t="shared" si="24"/>
        <v/>
      </c>
      <c r="AL22" s="1324" t="str">
        <f t="shared" si="25"/>
        <v>X</v>
      </c>
      <c r="AM22" s="1329" t="str">
        <f t="shared" si="26"/>
        <v/>
      </c>
      <c r="AN22" s="1323" t="str">
        <f t="shared" si="27"/>
        <v/>
      </c>
      <c r="AO22" s="1324" t="str">
        <f t="shared" si="28"/>
        <v>X</v>
      </c>
    </row>
    <row r="23" spans="2:41" ht="15" customHeight="1">
      <c r="B23" s="912"/>
      <c r="C23" s="1247" t="s">
        <v>1137</v>
      </c>
      <c r="D23" s="1316" t="s">
        <v>66</v>
      </c>
      <c r="E23" s="1772"/>
      <c r="F23" s="1773"/>
      <c r="G23" s="1773"/>
      <c r="H23" s="1773"/>
      <c r="I23" s="1773"/>
      <c r="J23" s="1773"/>
      <c r="K23" s="1772"/>
      <c r="L23" s="1772">
        <f>'2.1 Expenditure summary'!F20</f>
        <v>0</v>
      </c>
      <c r="M23" s="1786">
        <f>'2.1 Expenditure summary'!G20</f>
        <v>0</v>
      </c>
    </row>
    <row r="24" spans="2:41">
      <c r="B24" s="912"/>
      <c r="C24" s="579"/>
      <c r="D24" s="579"/>
      <c r="E24" s="579"/>
      <c r="F24" s="579"/>
      <c r="G24" s="579"/>
      <c r="H24" s="579"/>
      <c r="I24" s="579"/>
      <c r="J24" s="579"/>
      <c r="K24" s="579"/>
      <c r="L24" s="579"/>
      <c r="M24" s="579"/>
    </row>
    <row r="26" spans="2:41">
      <c r="C26" s="1310" t="s">
        <v>1471</v>
      </c>
      <c r="D26" s="1310"/>
      <c r="E26" s="1354"/>
      <c r="J26" s="579"/>
    </row>
    <row r="27" spans="2:41">
      <c r="C27" s="1312" t="s">
        <v>1472</v>
      </c>
      <c r="D27" s="1312"/>
      <c r="E27" s="1515"/>
      <c r="F27" s="1079" t="s">
        <v>1307</v>
      </c>
      <c r="G27" s="1079" t="s">
        <v>1509</v>
      </c>
      <c r="H27" s="1079" t="s">
        <v>1493</v>
      </c>
      <c r="I27" s="896" t="s">
        <v>1494</v>
      </c>
      <c r="J27" s="579"/>
    </row>
    <row r="28" spans="2:41">
      <c r="C28" s="1768" t="s">
        <v>1473</v>
      </c>
      <c r="D28" s="1515"/>
      <c r="E28" s="1959" t="str">
        <f>IF(ABS(F28)-ABS(G28)&gt;1,"FALSE","TRUE")</f>
        <v>TRUE</v>
      </c>
      <c r="F28" s="1762">
        <f>K14</f>
        <v>0</v>
      </c>
      <c r="G28" s="1762">
        <f>L14+M14</f>
        <v>0</v>
      </c>
      <c r="H28" s="1420">
        <f>ABS(G28-F28)</f>
        <v>0</v>
      </c>
      <c r="I28" s="1434"/>
      <c r="J28" s="1314"/>
      <c r="L28" s="1314"/>
      <c r="M28" s="1314"/>
    </row>
    <row r="29" spans="2:41">
      <c r="C29" s="1768" t="s">
        <v>1474</v>
      </c>
      <c r="D29" s="1515"/>
      <c r="E29" s="1959" t="str">
        <f>IF(ABS(F29)-ABS(G29)&gt;1,"FALSE","TRUE")</f>
        <v>TRUE</v>
      </c>
      <c r="F29" s="1762">
        <f>K15</f>
        <v>0</v>
      </c>
      <c r="G29" s="1762">
        <f>L15+M15</f>
        <v>0</v>
      </c>
      <c r="H29" s="1420">
        <f>ABS(G29-F29)</f>
        <v>0</v>
      </c>
      <c r="I29" s="1764"/>
      <c r="J29" s="579"/>
    </row>
    <row r="30" spans="2:41">
      <c r="C30" s="1313"/>
      <c r="D30" s="1313"/>
      <c r="E30" s="1715"/>
      <c r="F30" s="984"/>
      <c r="G30" s="984"/>
      <c r="H30" s="1762"/>
      <c r="I30" s="1764"/>
      <c r="J30" s="579"/>
    </row>
    <row r="31" spans="2:41">
      <c r="C31" s="1312" t="s">
        <v>1475</v>
      </c>
      <c r="D31" s="1312"/>
      <c r="E31" s="1715"/>
      <c r="F31" s="1079" t="s">
        <v>1307</v>
      </c>
      <c r="G31" s="1079" t="s">
        <v>1509</v>
      </c>
      <c r="H31" s="1079" t="s">
        <v>1493</v>
      </c>
      <c r="I31" s="896" t="s">
        <v>1494</v>
      </c>
      <c r="J31" s="579"/>
    </row>
    <row r="32" spans="2:41">
      <c r="C32" s="1714" t="s">
        <v>1136</v>
      </c>
      <c r="D32" s="1714"/>
      <c r="E32" s="1959" t="str">
        <f t="shared" ref="E32:E35" si="29">IF(ABS(F32)-ABS(G32)&gt;1,"FALSE","TRUE")</f>
        <v>TRUE</v>
      </c>
      <c r="F32" s="1762">
        <f>K20</f>
        <v>0</v>
      </c>
      <c r="G32" s="1762">
        <f>L20+M20</f>
        <v>0</v>
      </c>
      <c r="H32" s="1420">
        <f>ABS(G32-F32)</f>
        <v>0</v>
      </c>
      <c r="I32" s="1764"/>
      <c r="J32" s="579"/>
    </row>
    <row r="33" spans="3:10">
      <c r="C33" s="1768" t="s">
        <v>1476</v>
      </c>
      <c r="D33" s="1768"/>
      <c r="E33" s="1959" t="str">
        <f t="shared" si="29"/>
        <v>TRUE</v>
      </c>
      <c r="F33" s="1762">
        <f>K21</f>
        <v>0</v>
      </c>
      <c r="G33" s="1762">
        <f>L21+M21</f>
        <v>0</v>
      </c>
      <c r="H33" s="1420">
        <f>ABS(G33-F33)</f>
        <v>0</v>
      </c>
      <c r="I33" s="1764"/>
      <c r="J33" s="579"/>
    </row>
    <row r="34" spans="3:10">
      <c r="C34" s="1768" t="s">
        <v>1477</v>
      </c>
      <c r="D34" s="1768"/>
      <c r="E34" s="1959" t="str">
        <f t="shared" si="29"/>
        <v>TRUE</v>
      </c>
      <c r="F34" s="1762">
        <f>K22</f>
        <v>0</v>
      </c>
      <c r="G34" s="1762">
        <f>L22+M22</f>
        <v>0</v>
      </c>
      <c r="H34" s="1420">
        <f>ABS(G34-F34)</f>
        <v>0</v>
      </c>
      <c r="I34" s="1764"/>
      <c r="J34" s="579"/>
    </row>
    <row r="35" spans="3:10" ht="16.5" customHeight="1">
      <c r="C35" s="1713" t="s">
        <v>1137</v>
      </c>
      <c r="D35" s="1713"/>
      <c r="E35" s="1959" t="str">
        <f t="shared" si="29"/>
        <v>TRUE</v>
      </c>
      <c r="F35" s="1762">
        <f>K23</f>
        <v>0</v>
      </c>
      <c r="G35" s="1762">
        <f>L23+M23</f>
        <v>0</v>
      </c>
      <c r="H35" s="1420">
        <f>ABS(G35-F35)</f>
        <v>0</v>
      </c>
      <c r="I35" s="1764"/>
      <c r="J35" s="579"/>
    </row>
    <row r="36" spans="3:10">
      <c r="C36" s="579"/>
      <c r="D36" s="579"/>
      <c r="E36" s="579"/>
      <c r="F36" s="579"/>
      <c r="G36" s="579"/>
      <c r="H36" s="1764"/>
      <c r="I36" s="579"/>
      <c r="J36" s="579"/>
    </row>
    <row r="37" spans="3:10">
      <c r="C37" s="579"/>
      <c r="D37" s="579"/>
      <c r="E37" s="579"/>
      <c r="F37" s="579"/>
      <c r="G37" s="579"/>
      <c r="H37" s="579"/>
      <c r="I37" s="579"/>
      <c r="J37" s="579"/>
    </row>
    <row r="38" spans="3:10">
      <c r="C38" s="579"/>
      <c r="D38" s="579"/>
      <c r="E38" s="579"/>
      <c r="F38" s="579"/>
      <c r="G38" s="579"/>
      <c r="H38" s="579"/>
      <c r="I38" s="579"/>
      <c r="J38" s="579"/>
    </row>
    <row r="39" spans="3:10">
      <c r="C39" s="579"/>
      <c r="D39" s="579"/>
      <c r="E39" s="579"/>
      <c r="F39" s="579"/>
      <c r="G39" s="579"/>
      <c r="H39" s="579"/>
      <c r="I39" s="579"/>
      <c r="J39" s="579"/>
    </row>
  </sheetData>
  <mergeCells count="18">
    <mergeCell ref="O13:Q13"/>
    <mergeCell ref="R13:T13"/>
    <mergeCell ref="U13:W13"/>
    <mergeCell ref="X13:Z13"/>
    <mergeCell ref="O19:Q19"/>
    <mergeCell ref="R19:T19"/>
    <mergeCell ref="U19:W19"/>
    <mergeCell ref="X19:Z19"/>
    <mergeCell ref="AA19:AC19"/>
    <mergeCell ref="AD19:AF19"/>
    <mergeCell ref="AG19:AI19"/>
    <mergeCell ref="AJ19:AL19"/>
    <mergeCell ref="AM19:AO19"/>
    <mergeCell ref="AA13:AC13"/>
    <mergeCell ref="AD13:AF13"/>
    <mergeCell ref="AG13:AI13"/>
    <mergeCell ref="AJ13:AL13"/>
    <mergeCell ref="AM13:AO13"/>
  </mergeCells>
  <conditionalFormatting sqref="E14:M14 L15:M15">
    <cfRule type="expression" dxfId="49" priority="9">
      <formula>dms_worksheet210flag="Worksheet 2.10"</formula>
    </cfRule>
  </conditionalFormatting>
  <conditionalFormatting sqref="E21:M22">
    <cfRule type="expression" dxfId="48" priority="3">
      <formula>dms_worksheet210flag="Worksheet 2.10"</formula>
    </cfRule>
  </conditionalFormatting>
  <conditionalFormatting sqref="Q21">
    <cfRule type="expression" dxfId="47" priority="6">
      <formula>$E$21=""</formula>
    </cfRule>
  </conditionalFormatting>
  <dataValidations count="1">
    <dataValidation allowBlank="1" showErrorMessage="1" sqref="F27 H27:I27 H28:H29 H32:H35 F31 H31:I31" xr:uid="{6364699A-D2D1-434F-9B95-6CC8C5A79AD1}"/>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009292"/>
    <pageSetUpPr fitToPage="1"/>
  </sheetPr>
  <dimension ref="A1:S33"/>
  <sheetViews>
    <sheetView workbookViewId="0"/>
  </sheetViews>
  <sheetFormatPr defaultColWidth="9.1796875" defaultRowHeight="14.5"/>
  <cols>
    <col min="1" max="1" width="5.6328125" style="1" customWidth="1"/>
    <col min="2" max="2" width="25.6328125" style="583" customWidth="1"/>
    <col min="3" max="3" width="78.453125" style="1" customWidth="1"/>
    <col min="4" max="4" width="10.453125" style="1" customWidth="1"/>
    <col min="5" max="5" width="20.1796875" style="1" customWidth="1"/>
    <col min="6" max="6" width="9.1796875" style="1"/>
    <col min="7" max="9" width="5.54296875" style="1" customWidth="1"/>
    <col min="10" max="12" width="4.54296875" style="1" customWidth="1"/>
    <col min="13" max="13" width="5.54296875" style="1" customWidth="1"/>
    <col min="14" max="22" width="3.54296875" style="1" customWidth="1"/>
    <col min="23" max="23" width="5.6328125" style="1" customWidth="1"/>
    <col min="24" max="16384" width="9.1796875" style="1"/>
  </cols>
  <sheetData>
    <row r="1" spans="1:19" s="952" customFormat="1" ht="20" customHeight="1">
      <c r="B1" s="954"/>
      <c r="C1" s="914" t="str">
        <f>dms_SheetHeading1</f>
        <v>ANNUAL INFORMATION ORDER</v>
      </c>
      <c r="D1" s="916"/>
      <c r="E1" s="1034"/>
      <c r="G1" s="1556" t="s">
        <v>1003</v>
      </c>
      <c r="H1" s="1556"/>
      <c r="I1" s="1556"/>
      <c r="J1" s="1556"/>
      <c r="K1" s="1556"/>
      <c r="L1" s="1556"/>
      <c r="M1" s="1557" t="s">
        <v>1002</v>
      </c>
      <c r="N1" s="1556"/>
      <c r="O1" s="1556"/>
      <c r="P1" s="1556"/>
      <c r="Q1" s="1556"/>
      <c r="R1" s="1556"/>
      <c r="S1" s="1556"/>
    </row>
    <row r="2" spans="1:19" s="952" customFormat="1" ht="20" customHeight="1">
      <c r="B2" s="954"/>
      <c r="C2" s="915" t="str">
        <f>dms_SheetHeading2</f>
        <v>Australian Transmission Co.</v>
      </c>
      <c r="D2" s="915"/>
      <c r="E2" s="1034"/>
      <c r="G2" s="1558" t="s">
        <v>1004</v>
      </c>
      <c r="H2" s="1558"/>
      <c r="I2" s="1558"/>
      <c r="J2" s="1558"/>
      <c r="K2" s="1558"/>
      <c r="L2" s="1558"/>
      <c r="M2" s="1559" t="s">
        <v>179</v>
      </c>
      <c r="N2" s="1558"/>
      <c r="O2" s="1558"/>
      <c r="P2" s="1558"/>
      <c r="Q2" s="1558"/>
      <c r="R2" s="1558"/>
      <c r="S2" s="1558"/>
    </row>
    <row r="3" spans="1:19" s="952" customFormat="1" ht="20" customHeight="1">
      <c r="B3" s="954"/>
      <c r="C3" s="916" t="str">
        <f>dms_SheetHeading3</f>
        <v>REPORTING STATEMENT: 2025-26</v>
      </c>
      <c r="D3" s="916"/>
      <c r="E3" s="1035"/>
      <c r="G3" s="1560" t="s">
        <v>1005</v>
      </c>
      <c r="H3" s="1560"/>
      <c r="I3" s="1560"/>
      <c r="J3" s="1560"/>
      <c r="K3" s="1560"/>
      <c r="L3" s="1560"/>
      <c r="M3" s="1561" t="s">
        <v>180</v>
      </c>
      <c r="N3" s="1560"/>
      <c r="O3" s="1560"/>
      <c r="P3" s="1560"/>
      <c r="Q3" s="1560"/>
      <c r="R3" s="1560"/>
      <c r="S3" s="1560"/>
    </row>
    <row r="4" spans="1:19" s="952" customFormat="1" ht="20" customHeight="1">
      <c r="B4" s="954"/>
      <c r="C4" s="1032" t="s">
        <v>1223</v>
      </c>
      <c r="D4" s="1032"/>
      <c r="E4" s="1032"/>
      <c r="G4" s="1562" t="s">
        <v>1007</v>
      </c>
      <c r="H4" s="1563"/>
      <c r="I4" s="1564"/>
      <c r="J4" s="1565"/>
      <c r="K4" s="1565"/>
      <c r="L4" s="1565"/>
      <c r="M4" s="1566" t="s">
        <v>1006</v>
      </c>
      <c r="N4" s="1565"/>
      <c r="O4" s="1565"/>
      <c r="P4" s="1565"/>
      <c r="Q4" s="1565"/>
      <c r="R4" s="1565"/>
      <c r="S4" s="1565"/>
    </row>
    <row r="5" spans="1:19" ht="13.5" customHeight="1">
      <c r="B5" s="954"/>
    </row>
    <row r="6" spans="1:19" ht="15" customHeight="1">
      <c r="C6" s="1448" t="s">
        <v>1512</v>
      </c>
      <c r="D6" s="1433"/>
      <c r="E6" s="1433"/>
    </row>
    <row r="7" spans="1:19" ht="15" customHeight="1">
      <c r="C7" s="1429" t="s">
        <v>1513</v>
      </c>
      <c r="D7" s="1430"/>
      <c r="E7" s="1430"/>
    </row>
    <row r="8" spans="1:19" ht="18" customHeight="1">
      <c r="C8" s="1549" t="s">
        <v>1173</v>
      </c>
      <c r="D8" s="989"/>
      <c r="E8" s="989"/>
      <c r="F8" s="950"/>
      <c r="G8" s="2090"/>
      <c r="H8" s="2090"/>
      <c r="I8" s="2090"/>
      <c r="J8" s="2090"/>
      <c r="K8" s="2090"/>
      <c r="L8" s="2090"/>
      <c r="M8" s="2090"/>
      <c r="N8" s="2090"/>
      <c r="O8" s="2090"/>
      <c r="P8" s="2090"/>
      <c r="Q8" s="2090"/>
      <c r="R8" s="2090"/>
    </row>
    <row r="9" spans="1:19" s="581" customFormat="1" ht="15.5">
      <c r="B9" s="1217"/>
      <c r="C9" s="579"/>
      <c r="D9" s="579"/>
      <c r="E9" s="579"/>
      <c r="G9" s="2100" t="s">
        <v>1304</v>
      </c>
      <c r="H9" s="2101"/>
      <c r="I9" s="2102"/>
      <c r="J9" s="1372" t="s">
        <v>1293</v>
      </c>
      <c r="K9" s="1373" t="s">
        <v>1294</v>
      </c>
      <c r="L9" s="1447" t="s">
        <v>1295</v>
      </c>
      <c r="M9" s="1446" t="s">
        <v>1496</v>
      </c>
      <c r="N9" s="950"/>
      <c r="O9" s="950"/>
      <c r="P9" s="2090"/>
      <c r="Q9" s="2090"/>
      <c r="R9" s="2090"/>
    </row>
    <row r="10" spans="1:19" ht="15" customHeight="1">
      <c r="B10" s="1217"/>
      <c r="C10" s="957" t="s">
        <v>1032</v>
      </c>
      <c r="D10" s="1079" t="s">
        <v>1118</v>
      </c>
      <c r="E10" s="579"/>
      <c r="G10" s="2103" t="s">
        <v>1298</v>
      </c>
      <c r="H10" s="2104"/>
      <c r="I10" s="2105"/>
      <c r="J10" s="2091" t="s">
        <v>1307</v>
      </c>
      <c r="K10" s="2092"/>
      <c r="L10" s="2092"/>
      <c r="M10" s="2093"/>
      <c r="N10" s="950"/>
      <c r="O10" s="950"/>
      <c r="P10" s="2090"/>
      <c r="Q10" s="2090"/>
      <c r="R10" s="2090"/>
    </row>
    <row r="11" spans="1:19">
      <c r="B11" s="1304" t="s">
        <v>1355</v>
      </c>
      <c r="C11" s="1595" t="s">
        <v>62</v>
      </c>
      <c r="D11" s="1363" t="s">
        <v>66</v>
      </c>
      <c r="E11" s="1590"/>
      <c r="F11" s="950"/>
      <c r="G11" s="2106"/>
      <c r="H11" s="2107"/>
      <c r="I11" s="2108"/>
      <c r="J11" s="1344" t="str">
        <f t="shared" ref="J11:J16" si="0">IF(ISNONTEXT(E11)=TRUE,"","X")</f>
        <v/>
      </c>
      <c r="K11" s="1348"/>
      <c r="L11" s="1345" t="str">
        <f>IF(E11&lt;&gt;""=TRUE,"","X")</f>
        <v>X</v>
      </c>
      <c r="M11" s="1349"/>
    </row>
    <row r="12" spans="1:19">
      <c r="B12" s="1304" t="s">
        <v>1356</v>
      </c>
      <c r="C12" s="1596" t="s">
        <v>63</v>
      </c>
      <c r="D12" s="1357" t="s">
        <v>66</v>
      </c>
      <c r="E12" s="1592"/>
      <c r="F12" s="950"/>
      <c r="G12" s="2109"/>
      <c r="H12" s="2110"/>
      <c r="I12" s="2111"/>
      <c r="J12" s="1327" t="str">
        <f t="shared" si="0"/>
        <v/>
      </c>
      <c r="K12" s="1185"/>
      <c r="L12" s="1186" t="str">
        <f t="shared" ref="L12:L13" si="1">IF(E12&lt;&gt;""=TRUE,"","X")</f>
        <v>X</v>
      </c>
      <c r="M12" s="1328"/>
    </row>
    <row r="13" spans="1:19">
      <c r="B13" s="1304" t="s">
        <v>1357</v>
      </c>
      <c r="C13" s="1596" t="s">
        <v>569</v>
      </c>
      <c r="D13" s="1357" t="s">
        <v>66</v>
      </c>
      <c r="E13" s="1592"/>
      <c r="F13" s="950"/>
      <c r="G13" s="2109"/>
      <c r="H13" s="2110"/>
      <c r="I13" s="2111"/>
      <c r="J13" s="1327" t="str">
        <f t="shared" si="0"/>
        <v/>
      </c>
      <c r="K13" s="1185"/>
      <c r="L13" s="1186" t="str">
        <f t="shared" si="1"/>
        <v>X</v>
      </c>
      <c r="M13" s="1328"/>
    </row>
    <row r="14" spans="1:19">
      <c r="B14" s="1304"/>
      <c r="C14" s="1960"/>
      <c r="D14" s="1357" t="s">
        <v>66</v>
      </c>
      <c r="E14" s="1592"/>
      <c r="F14" s="950"/>
      <c r="G14" s="2094" t="s">
        <v>1308</v>
      </c>
      <c r="H14" s="2095"/>
      <c r="I14" s="2096"/>
      <c r="J14" s="1327" t="str">
        <f t="shared" si="0"/>
        <v/>
      </c>
      <c r="K14" s="1185"/>
      <c r="L14" s="1185"/>
      <c r="M14" s="1322" t="str">
        <f t="shared" ref="M14:M16" si="2">IF(AND(C14&lt;&gt;"",LEFT(C14,5)&lt;&gt;"&lt;TNSP",ISBLANK(E14))=TRUE,"X","")</f>
        <v/>
      </c>
    </row>
    <row r="15" spans="1:19">
      <c r="B15" s="1304"/>
      <c r="C15" s="1961"/>
      <c r="D15" s="1357" t="s">
        <v>66</v>
      </c>
      <c r="E15" s="1592"/>
      <c r="F15" s="950"/>
      <c r="G15" s="2094"/>
      <c r="H15" s="2095"/>
      <c r="I15" s="2096"/>
      <c r="J15" s="1327" t="str">
        <f t="shared" si="0"/>
        <v/>
      </c>
      <c r="K15" s="1185"/>
      <c r="L15" s="1185"/>
      <c r="M15" s="1322" t="str">
        <f t="shared" si="2"/>
        <v/>
      </c>
    </row>
    <row r="16" spans="1:19">
      <c r="A16" s="1377"/>
      <c r="B16" s="1909" t="s">
        <v>1334</v>
      </c>
      <c r="C16" s="1962"/>
      <c r="D16" s="1364" t="s">
        <v>66</v>
      </c>
      <c r="E16" s="1594"/>
      <c r="G16" s="2097"/>
      <c r="H16" s="2098"/>
      <c r="I16" s="2099"/>
      <c r="J16" s="1329" t="str">
        <f t="shared" si="0"/>
        <v/>
      </c>
      <c r="K16" s="1332"/>
      <c r="L16" s="1332"/>
      <c r="M16" s="1324" t="str">
        <f t="shared" si="2"/>
        <v/>
      </c>
    </row>
    <row r="17" spans="2:6">
      <c r="B17" s="1304" t="s">
        <v>1358</v>
      </c>
      <c r="C17" s="1873" t="s">
        <v>64</v>
      </c>
      <c r="D17" s="1874" t="s">
        <v>66</v>
      </c>
      <c r="E17" s="1715">
        <f>SUM(E11:E13)</f>
        <v>0</v>
      </c>
    </row>
    <row r="21" spans="2:6">
      <c r="B21" s="1"/>
      <c r="C21" s="1354" t="s">
        <v>1471</v>
      </c>
      <c r="D21" s="1852"/>
      <c r="E21" s="579"/>
      <c r="F21" s="579"/>
    </row>
    <row r="22" spans="2:6">
      <c r="B22" s="1"/>
      <c r="C22" s="1847" t="s">
        <v>1495</v>
      </c>
      <c r="D22" s="579"/>
      <c r="E22" s="579"/>
      <c r="F22" s="579"/>
    </row>
    <row r="23" spans="2:6">
      <c r="B23" s="1"/>
      <c r="C23" s="579"/>
      <c r="D23" s="579"/>
      <c r="E23" s="579"/>
      <c r="F23" s="579"/>
    </row>
    <row r="24" spans="2:6">
      <c r="B24" s="1"/>
      <c r="C24" s="579"/>
      <c r="D24" s="579"/>
      <c r="E24" s="579"/>
      <c r="F24" s="579"/>
    </row>
    <row r="25" spans="2:6">
      <c r="B25" s="1"/>
    </row>
    <row r="26" spans="2:6">
      <c r="B26" s="1"/>
    </row>
    <row r="27" spans="2:6">
      <c r="B27" s="1"/>
    </row>
    <row r="28" spans="2:6">
      <c r="B28" s="1"/>
    </row>
    <row r="29" spans="2:6">
      <c r="B29" s="1"/>
    </row>
    <row r="30" spans="2:6">
      <c r="B30" s="1"/>
    </row>
    <row r="31" spans="2:6">
      <c r="B31" s="1"/>
    </row>
    <row r="32" spans="2:6">
      <c r="B32" s="1"/>
    </row>
    <row r="33" spans="2:2">
      <c r="B33" s="1"/>
    </row>
  </sheetData>
  <mergeCells count="13">
    <mergeCell ref="G8:I8"/>
    <mergeCell ref="G14:I16"/>
    <mergeCell ref="G9:I9"/>
    <mergeCell ref="G10:I10"/>
    <mergeCell ref="G11:I11"/>
    <mergeCell ref="G12:I12"/>
    <mergeCell ref="G13:I13"/>
    <mergeCell ref="P9:R9"/>
    <mergeCell ref="P10:R10"/>
    <mergeCell ref="J10:M10"/>
    <mergeCell ref="P8:R8"/>
    <mergeCell ref="J8:L8"/>
    <mergeCell ref="M8:O8"/>
  </mergeCells>
  <phoneticPr fontId="85" type="noConversion"/>
  <conditionalFormatting sqref="C21">
    <cfRule type="cellIs" dxfId="46" priority="1" operator="equal">
      <formula>FALSE</formula>
    </cfRule>
  </conditionalFormatting>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009292"/>
  </sheetPr>
  <dimension ref="B1:S100"/>
  <sheetViews>
    <sheetView workbookViewId="0"/>
  </sheetViews>
  <sheetFormatPr defaultColWidth="9.1796875" defaultRowHeight="14.5"/>
  <cols>
    <col min="1" max="1" width="5.6328125" style="1" customWidth="1"/>
    <col min="2" max="2" width="25.6328125" style="16" customWidth="1"/>
    <col min="3" max="3" width="112" style="1" customWidth="1"/>
    <col min="4" max="4" width="11" style="1" customWidth="1"/>
    <col min="5" max="5" width="20.453125" style="1" customWidth="1"/>
    <col min="6" max="6" width="16.453125" style="1" customWidth="1"/>
    <col min="7" max="7" width="18.453125" style="1" bestFit="1" customWidth="1"/>
    <col min="8" max="8" width="16.54296875" style="1" customWidth="1"/>
    <col min="9" max="15" width="3.54296875" style="1" customWidth="1"/>
    <col min="16" max="22" width="9.1796875" style="1"/>
    <col min="23" max="23" width="5.6328125" style="1" customWidth="1"/>
    <col min="24" max="16384" width="9.1796875" style="1"/>
  </cols>
  <sheetData>
    <row r="1" spans="2:19" s="952" customFormat="1" ht="20" customHeight="1">
      <c r="B1" s="17"/>
      <c r="C1" s="914" t="str">
        <f>dms_SheetHeading1</f>
        <v>ANNUAL INFORMATION ORDER</v>
      </c>
      <c r="D1" s="916"/>
      <c r="E1" s="1034"/>
      <c r="G1" s="1556" t="s">
        <v>1003</v>
      </c>
      <c r="H1" s="1556"/>
      <c r="I1" s="1557" t="s">
        <v>1002</v>
      </c>
      <c r="J1" s="1556"/>
      <c r="K1" s="1556"/>
      <c r="L1" s="1556"/>
      <c r="M1" s="1616"/>
      <c r="N1" s="1556"/>
      <c r="O1" s="1556"/>
      <c r="P1" s="1"/>
      <c r="Q1" s="1"/>
      <c r="R1" s="1"/>
      <c r="S1" s="1"/>
    </row>
    <row r="2" spans="2:19" s="952" customFormat="1" ht="20" customHeight="1">
      <c r="B2" s="17"/>
      <c r="C2" s="915" t="str">
        <f>dms_SheetHeading2</f>
        <v>Australian Transmission Co.</v>
      </c>
      <c r="D2" s="915"/>
      <c r="E2" s="1034"/>
      <c r="G2" s="1558" t="s">
        <v>1004</v>
      </c>
      <c r="H2" s="1558"/>
      <c r="I2" s="1559" t="s">
        <v>179</v>
      </c>
      <c r="J2" s="1558"/>
      <c r="K2" s="1558"/>
      <c r="L2" s="1558"/>
      <c r="M2" s="1617"/>
      <c r="N2" s="1558"/>
      <c r="O2" s="1558"/>
      <c r="P2" s="1"/>
      <c r="Q2" s="1"/>
      <c r="R2" s="1"/>
      <c r="S2" s="1"/>
    </row>
    <row r="3" spans="2:19" s="952" customFormat="1" ht="20" customHeight="1">
      <c r="B3" s="17"/>
      <c r="C3" s="916" t="str">
        <f>dms_SheetHeading3</f>
        <v>REPORTING STATEMENT: 2025-26</v>
      </c>
      <c r="D3" s="916"/>
      <c r="E3" s="974"/>
      <c r="G3" s="1560" t="s">
        <v>1005</v>
      </c>
      <c r="H3" s="1560"/>
      <c r="I3" s="1561" t="s">
        <v>180</v>
      </c>
      <c r="J3" s="1560"/>
      <c r="K3" s="1560"/>
      <c r="L3" s="1560"/>
      <c r="M3" s="1618"/>
      <c r="N3" s="1560"/>
      <c r="O3" s="1560"/>
      <c r="P3" s="1"/>
      <c r="Q3" s="1"/>
      <c r="R3" s="1"/>
      <c r="S3" s="1"/>
    </row>
    <row r="4" spans="2:19" s="952" customFormat="1" ht="20" customHeight="1">
      <c r="B4" s="17"/>
      <c r="C4" s="1036" t="s">
        <v>1354</v>
      </c>
      <c r="D4" s="1036"/>
      <c r="E4" s="1037"/>
      <c r="G4" s="1562" t="s">
        <v>1007</v>
      </c>
      <c r="H4" s="1563"/>
      <c r="I4" s="1566" t="s">
        <v>1006</v>
      </c>
      <c r="J4" s="1565"/>
      <c r="K4" s="1565"/>
      <c r="L4" s="1565"/>
      <c r="M4" s="1619"/>
      <c r="N4" s="1565"/>
      <c r="O4" s="1565"/>
      <c r="P4" s="1"/>
      <c r="Q4" s="1"/>
      <c r="R4" s="1"/>
      <c r="S4" s="1"/>
    </row>
    <row r="5" spans="2:19" ht="13.5" customHeight="1">
      <c r="B5" s="17"/>
    </row>
    <row r="6" spans="2:19" ht="15" customHeight="1">
      <c r="C6" s="1427" t="s">
        <v>1514</v>
      </c>
      <c r="D6" s="1433"/>
      <c r="E6" s="1433"/>
    </row>
    <row r="7" spans="2:19" ht="15" customHeight="1">
      <c r="C7" s="1429" t="s">
        <v>1515</v>
      </c>
      <c r="D7" s="1430"/>
      <c r="E7" s="1430"/>
    </row>
    <row r="8" spans="2:19" ht="18" customHeight="1">
      <c r="C8" s="1549" t="s">
        <v>65</v>
      </c>
      <c r="D8" s="989"/>
      <c r="E8" s="989"/>
    </row>
    <row r="9" spans="2:19" s="581" customFormat="1" ht="15.5"/>
    <row r="10" spans="2:19" ht="26">
      <c r="C10" s="1118" t="s">
        <v>1034</v>
      </c>
      <c r="D10" s="889" t="s">
        <v>1118</v>
      </c>
      <c r="E10" s="1362" t="s">
        <v>1204</v>
      </c>
      <c r="I10" s="581"/>
      <c r="J10" s="581"/>
      <c r="K10" s="581"/>
      <c r="L10" s="581"/>
    </row>
    <row r="11" spans="2:19" ht="15" customHeight="1">
      <c r="B11" s="18"/>
      <c r="C11" s="1965" t="s">
        <v>1033</v>
      </c>
      <c r="D11" s="1966" t="s">
        <v>66</v>
      </c>
      <c r="E11" s="1967">
        <f>SUM(E32,E51,E70)</f>
        <v>0</v>
      </c>
    </row>
    <row r="12" spans="2:19" ht="15" customHeight="1">
      <c r="C12" s="1968" t="s">
        <v>68</v>
      </c>
      <c r="D12" s="1964"/>
      <c r="E12" s="1969"/>
    </row>
    <row r="13" spans="2:19" ht="15" customHeight="1">
      <c r="B13" s="18"/>
      <c r="C13" s="1970" t="s">
        <v>69</v>
      </c>
      <c r="D13" s="1963" t="s">
        <v>66</v>
      </c>
      <c r="E13" s="1971">
        <f>SUM(E34,E53,E72)</f>
        <v>0</v>
      </c>
    </row>
    <row r="14" spans="2:19" ht="15" customHeight="1">
      <c r="B14" s="18"/>
      <c r="C14" s="1970" t="s">
        <v>70</v>
      </c>
      <c r="D14" s="1963" t="s">
        <v>66</v>
      </c>
      <c r="E14" s="1971">
        <f>SUM(E35,E54,E73)</f>
        <v>0</v>
      </c>
    </row>
    <row r="15" spans="2:19" ht="15" customHeight="1">
      <c r="B15" s="18"/>
      <c r="C15" s="1970" t="s">
        <v>71</v>
      </c>
      <c r="D15" s="1963" t="s">
        <v>66</v>
      </c>
      <c r="E15" s="1971">
        <f>SUM(E36,E55,E74)</f>
        <v>0</v>
      </c>
    </row>
    <row r="16" spans="2:19" ht="15" customHeight="1">
      <c r="C16" s="1968" t="s">
        <v>72</v>
      </c>
      <c r="D16" s="1964"/>
      <c r="E16" s="1969"/>
    </row>
    <row r="17" spans="2:8" ht="15" customHeight="1">
      <c r="B17" s="18"/>
      <c r="C17" s="1970" t="s">
        <v>69</v>
      </c>
      <c r="D17" s="1963" t="s">
        <v>66</v>
      </c>
      <c r="E17" s="1971">
        <f>SUM(E38,E57,E76)</f>
        <v>0</v>
      </c>
    </row>
    <row r="18" spans="2:8" ht="15" customHeight="1">
      <c r="B18" s="18"/>
      <c r="C18" s="1970" t="s">
        <v>70</v>
      </c>
      <c r="D18" s="1963" t="s">
        <v>66</v>
      </c>
      <c r="E18" s="1971">
        <f>SUM(E39,E58,E77)</f>
        <v>0</v>
      </c>
    </row>
    <row r="19" spans="2:8" ht="15" customHeight="1">
      <c r="B19" s="18"/>
      <c r="C19" s="1970" t="s">
        <v>71</v>
      </c>
      <c r="D19" s="1963" t="s">
        <v>66</v>
      </c>
      <c r="E19" s="1971">
        <f>SUM(E40,E59,E78)</f>
        <v>0</v>
      </c>
    </row>
    <row r="20" spans="2:8" ht="15" customHeight="1">
      <c r="C20" s="1968" t="s">
        <v>73</v>
      </c>
      <c r="D20" s="1964"/>
      <c r="E20" s="1969"/>
    </row>
    <row r="21" spans="2:8" ht="15" customHeight="1">
      <c r="B21" s="18"/>
      <c r="C21" s="1970" t="s">
        <v>69</v>
      </c>
      <c r="D21" s="1963" t="s">
        <v>66</v>
      </c>
      <c r="E21" s="1971">
        <f>SUM(E42,E61,E80)</f>
        <v>0</v>
      </c>
    </row>
    <row r="22" spans="2:8" ht="15" customHeight="1">
      <c r="B22" s="18"/>
      <c r="C22" s="1970" t="s">
        <v>70</v>
      </c>
      <c r="D22" s="1963" t="s">
        <v>66</v>
      </c>
      <c r="E22" s="1971">
        <f>SUM(E43,E62,E81)</f>
        <v>0</v>
      </c>
    </row>
    <row r="23" spans="2:8" ht="15" customHeight="1">
      <c r="B23" s="18"/>
      <c r="C23" s="1970" t="s">
        <v>71</v>
      </c>
      <c r="D23" s="1963" t="s">
        <v>66</v>
      </c>
      <c r="E23" s="1971">
        <f>SUM(E44,E63,E82)</f>
        <v>0</v>
      </c>
    </row>
    <row r="24" spans="2:8" ht="15" customHeight="1">
      <c r="C24" s="1968" t="s">
        <v>74</v>
      </c>
      <c r="D24" s="1964"/>
      <c r="E24" s="1969"/>
    </row>
    <row r="25" spans="2:8" ht="15" customHeight="1">
      <c r="B25" s="18"/>
      <c r="C25" s="1970" t="s">
        <v>69</v>
      </c>
      <c r="D25" s="1963" t="s">
        <v>66</v>
      </c>
      <c r="E25" s="1971">
        <f>SUM(E46,E65,E84)</f>
        <v>0</v>
      </c>
    </row>
    <row r="26" spans="2:8" ht="15" customHeight="1">
      <c r="B26" s="18"/>
      <c r="C26" s="1970" t="s">
        <v>70</v>
      </c>
      <c r="D26" s="1963" t="s">
        <v>66</v>
      </c>
      <c r="E26" s="1971">
        <f>SUM(E47,E66,E85)</f>
        <v>0</v>
      </c>
    </row>
    <row r="27" spans="2:8" ht="15" customHeight="1">
      <c r="B27" s="18"/>
      <c r="C27" s="1970" t="s">
        <v>71</v>
      </c>
      <c r="D27" s="1963" t="s">
        <v>66</v>
      </c>
      <c r="E27" s="1971">
        <f>SUM(E48,E67,E86)</f>
        <v>0</v>
      </c>
    </row>
    <row r="28" spans="2:8" ht="15" customHeight="1">
      <c r="B28" s="18"/>
      <c r="C28" s="1972" t="s">
        <v>75</v>
      </c>
      <c r="D28" s="1973" t="s">
        <v>66</v>
      </c>
      <c r="E28" s="1974">
        <f>E11+SUM(E13:E15)+SUM(E17:E19)+SUM(E21:E23)+SUM(E25:E27)</f>
        <v>0</v>
      </c>
    </row>
    <row r="29" spans="2:8">
      <c r="C29" s="579"/>
      <c r="D29" s="579"/>
      <c r="E29" s="579"/>
      <c r="G29" s="1193" t="s">
        <v>1304</v>
      </c>
      <c r="H29" s="1204" t="s">
        <v>1293</v>
      </c>
    </row>
    <row r="30" spans="2:8" ht="26">
      <c r="C30" s="1108" t="s">
        <v>1205</v>
      </c>
      <c r="D30" s="889" t="s">
        <v>1118</v>
      </c>
      <c r="E30" s="938" t="s">
        <v>1204</v>
      </c>
      <c r="G30" s="1189" t="s">
        <v>1298</v>
      </c>
      <c r="H30" s="1206" t="s">
        <v>1204</v>
      </c>
    </row>
    <row r="31" spans="2:8" ht="25.5" customHeight="1">
      <c r="B31" s="1217" t="s">
        <v>1359</v>
      </c>
      <c r="C31" s="1383" t="s">
        <v>67</v>
      </c>
      <c r="G31" s="1207" t="s">
        <v>1309</v>
      </c>
      <c r="H31" s="1188"/>
    </row>
    <row r="32" spans="2:8" ht="15" customHeight="1">
      <c r="B32" s="1217" t="s">
        <v>1360</v>
      </c>
      <c r="C32" s="1965" t="s">
        <v>1033</v>
      </c>
      <c r="D32" s="1966" t="s">
        <v>66</v>
      </c>
      <c r="E32" s="1590"/>
      <c r="G32" s="1188"/>
      <c r="H32" s="1178" t="str">
        <f>IF(ISNONTEXT(E32)=TRUE,"","X")</f>
        <v/>
      </c>
    </row>
    <row r="33" spans="2:8" ht="15" customHeight="1">
      <c r="B33" s="1217"/>
      <c r="C33" s="1975" t="s">
        <v>68</v>
      </c>
      <c r="D33" s="1964"/>
      <c r="E33" s="1969"/>
      <c r="G33" s="1188"/>
      <c r="H33" s="1188"/>
    </row>
    <row r="34" spans="2:8" ht="15" customHeight="1">
      <c r="B34" s="1217" t="s">
        <v>1361</v>
      </c>
      <c r="C34" s="1976" t="s">
        <v>69</v>
      </c>
      <c r="D34" s="1963" t="s">
        <v>66</v>
      </c>
      <c r="E34" s="1592"/>
      <c r="G34" s="1188"/>
      <c r="H34" s="1178" t="str">
        <f t="shared" ref="H34:H49" si="0">IF(ISNONTEXT(E34)=TRUE,"","X")</f>
        <v/>
      </c>
    </row>
    <row r="35" spans="2:8" ht="15" customHeight="1">
      <c r="B35" s="1217" t="s">
        <v>1362</v>
      </c>
      <c r="C35" s="1976" t="s">
        <v>70</v>
      </c>
      <c r="D35" s="1963" t="s">
        <v>66</v>
      </c>
      <c r="E35" s="1592"/>
      <c r="G35" s="1188"/>
      <c r="H35" s="1178" t="str">
        <f t="shared" si="0"/>
        <v/>
      </c>
    </row>
    <row r="36" spans="2:8" ht="15" customHeight="1">
      <c r="B36" s="1217" t="s">
        <v>1363</v>
      </c>
      <c r="C36" s="1976" t="s">
        <v>71</v>
      </c>
      <c r="D36" s="1963" t="s">
        <v>66</v>
      </c>
      <c r="E36" s="1592"/>
      <c r="G36" s="1188"/>
      <c r="H36" s="1178" t="str">
        <f t="shared" si="0"/>
        <v/>
      </c>
    </row>
    <row r="37" spans="2:8" ht="15" customHeight="1">
      <c r="B37" s="1217"/>
      <c r="C37" s="1975" t="s">
        <v>72</v>
      </c>
      <c r="D37" s="1964"/>
      <c r="E37" s="1969"/>
      <c r="G37" s="1188"/>
      <c r="H37" s="1188"/>
    </row>
    <row r="38" spans="2:8" ht="15" customHeight="1">
      <c r="B38" s="1217" t="s">
        <v>1364</v>
      </c>
      <c r="C38" s="1976" t="s">
        <v>69</v>
      </c>
      <c r="D38" s="1963" t="s">
        <v>66</v>
      </c>
      <c r="E38" s="1592"/>
      <c r="G38" s="1188"/>
      <c r="H38" s="1178" t="str">
        <f t="shared" si="0"/>
        <v/>
      </c>
    </row>
    <row r="39" spans="2:8" ht="15" customHeight="1">
      <c r="B39" s="1217" t="s">
        <v>1365</v>
      </c>
      <c r="C39" s="1976" t="s">
        <v>70</v>
      </c>
      <c r="D39" s="1963" t="s">
        <v>66</v>
      </c>
      <c r="E39" s="1592"/>
      <c r="G39" s="1188"/>
      <c r="H39" s="1178" t="str">
        <f t="shared" si="0"/>
        <v/>
      </c>
    </row>
    <row r="40" spans="2:8" ht="15" customHeight="1">
      <c r="B40" s="1217" t="s">
        <v>1366</v>
      </c>
      <c r="C40" s="1976" t="s">
        <v>71</v>
      </c>
      <c r="D40" s="1963" t="s">
        <v>66</v>
      </c>
      <c r="E40" s="1592"/>
      <c r="G40" s="1188"/>
      <c r="H40" s="1178" t="str">
        <f t="shared" si="0"/>
        <v/>
      </c>
    </row>
    <row r="41" spans="2:8" ht="15" customHeight="1">
      <c r="B41" s="1217"/>
      <c r="C41" s="1975" t="s">
        <v>73</v>
      </c>
      <c r="D41" s="1964"/>
      <c r="E41" s="1969"/>
      <c r="G41" s="1188"/>
      <c r="H41" s="1188"/>
    </row>
    <row r="42" spans="2:8" ht="15" customHeight="1">
      <c r="B42" s="1217" t="s">
        <v>1367</v>
      </c>
      <c r="C42" s="1976" t="s">
        <v>69</v>
      </c>
      <c r="D42" s="1963" t="s">
        <v>66</v>
      </c>
      <c r="E42" s="1592"/>
      <c r="G42" s="1188"/>
      <c r="H42" s="1178" t="str">
        <f t="shared" si="0"/>
        <v/>
      </c>
    </row>
    <row r="43" spans="2:8" ht="15" customHeight="1">
      <c r="B43" s="1217" t="s">
        <v>1368</v>
      </c>
      <c r="C43" s="1976" t="s">
        <v>70</v>
      </c>
      <c r="D43" s="1963" t="s">
        <v>66</v>
      </c>
      <c r="E43" s="1592"/>
      <c r="G43" s="1188"/>
      <c r="H43" s="1178" t="str">
        <f t="shared" si="0"/>
        <v/>
      </c>
    </row>
    <row r="44" spans="2:8" ht="15" customHeight="1">
      <c r="B44" s="1217" t="s">
        <v>1369</v>
      </c>
      <c r="C44" s="1976" t="s">
        <v>71</v>
      </c>
      <c r="D44" s="1963" t="s">
        <v>66</v>
      </c>
      <c r="E44" s="1592"/>
      <c r="G44" s="1188"/>
      <c r="H44" s="1178" t="str">
        <f t="shared" si="0"/>
        <v/>
      </c>
    </row>
    <row r="45" spans="2:8" ht="15" customHeight="1">
      <c r="B45" s="1217"/>
      <c r="C45" s="1975" t="s">
        <v>74</v>
      </c>
      <c r="D45" s="1964"/>
      <c r="E45" s="1969"/>
      <c r="G45" s="1188"/>
      <c r="H45" s="1188"/>
    </row>
    <row r="46" spans="2:8" ht="15" customHeight="1">
      <c r="B46" s="1217" t="s">
        <v>1370</v>
      </c>
      <c r="C46" s="1976" t="s">
        <v>69</v>
      </c>
      <c r="D46" s="1963" t="s">
        <v>66</v>
      </c>
      <c r="E46" s="1592"/>
      <c r="G46" s="1188"/>
      <c r="H46" s="1178" t="str">
        <f t="shared" si="0"/>
        <v/>
      </c>
    </row>
    <row r="47" spans="2:8" ht="15" customHeight="1">
      <c r="B47" s="1217" t="s">
        <v>1371</v>
      </c>
      <c r="C47" s="1976" t="s">
        <v>70</v>
      </c>
      <c r="D47" s="1963" t="s">
        <v>66</v>
      </c>
      <c r="E47" s="1592"/>
      <c r="G47" s="1188"/>
      <c r="H47" s="1178" t="str">
        <f t="shared" si="0"/>
        <v/>
      </c>
    </row>
    <row r="48" spans="2:8" ht="15" customHeight="1">
      <c r="B48" s="1217" t="s">
        <v>1372</v>
      </c>
      <c r="C48" s="1976" t="s">
        <v>71</v>
      </c>
      <c r="D48" s="1963" t="s">
        <v>66</v>
      </c>
      <c r="E48" s="1592"/>
      <c r="G48" s="1188"/>
      <c r="H48" s="1178" t="str">
        <f t="shared" si="0"/>
        <v/>
      </c>
    </row>
    <row r="49" spans="2:8" ht="15" customHeight="1">
      <c r="B49" s="1217" t="s">
        <v>1373</v>
      </c>
      <c r="C49" s="1972" t="s">
        <v>75</v>
      </c>
      <c r="D49" s="1973" t="s">
        <v>66</v>
      </c>
      <c r="E49" s="1594"/>
      <c r="G49" s="1188"/>
      <c r="H49" s="1178" t="str">
        <f t="shared" si="0"/>
        <v/>
      </c>
    </row>
    <row r="50" spans="2:8" ht="26.25" customHeight="1">
      <c r="B50" s="1217" t="s">
        <v>1374</v>
      </c>
      <c r="C50" s="1383" t="s">
        <v>67</v>
      </c>
      <c r="D50" s="1119"/>
      <c r="E50" s="579"/>
      <c r="G50" s="1207" t="s">
        <v>1309</v>
      </c>
      <c r="H50" s="1188"/>
    </row>
    <row r="51" spans="2:8" ht="15" customHeight="1">
      <c r="B51" s="1217" t="s">
        <v>1375</v>
      </c>
      <c r="C51" s="1965" t="s">
        <v>1033</v>
      </c>
      <c r="D51" s="1966" t="s">
        <v>66</v>
      </c>
      <c r="E51" s="1590"/>
      <c r="G51" s="1188"/>
      <c r="H51" s="1178" t="str">
        <f>IF(ISNONTEXT(E51)=TRUE,"","X")</f>
        <v/>
      </c>
    </row>
    <row r="52" spans="2:8" ht="15" customHeight="1">
      <c r="B52" s="1217"/>
      <c r="C52" s="1975" t="s">
        <v>68</v>
      </c>
      <c r="D52" s="1964"/>
      <c r="E52" s="1969"/>
      <c r="G52" s="1188"/>
      <c r="H52" s="1188"/>
    </row>
    <row r="53" spans="2:8" ht="15" customHeight="1">
      <c r="B53" s="1217" t="s">
        <v>1376</v>
      </c>
      <c r="C53" s="1976" t="s">
        <v>69</v>
      </c>
      <c r="D53" s="1963" t="s">
        <v>66</v>
      </c>
      <c r="E53" s="1592"/>
      <c r="G53" s="1188"/>
      <c r="H53" s="1178" t="str">
        <f t="shared" ref="H53:H55" si="1">IF(ISNONTEXT(E53)=TRUE,"","X")</f>
        <v/>
      </c>
    </row>
    <row r="54" spans="2:8" ht="15" customHeight="1">
      <c r="B54" s="1217" t="s">
        <v>1377</v>
      </c>
      <c r="C54" s="1976" t="s">
        <v>70</v>
      </c>
      <c r="D54" s="1963" t="s">
        <v>66</v>
      </c>
      <c r="E54" s="1592"/>
      <c r="G54" s="1188"/>
      <c r="H54" s="1178" t="str">
        <f t="shared" si="1"/>
        <v/>
      </c>
    </row>
    <row r="55" spans="2:8" ht="15" customHeight="1">
      <c r="B55" s="1217" t="s">
        <v>1378</v>
      </c>
      <c r="C55" s="1976" t="s">
        <v>71</v>
      </c>
      <c r="D55" s="1963" t="s">
        <v>66</v>
      </c>
      <c r="E55" s="1592"/>
      <c r="G55" s="1188"/>
      <c r="H55" s="1178" t="str">
        <f t="shared" si="1"/>
        <v/>
      </c>
    </row>
    <row r="56" spans="2:8" ht="15" customHeight="1">
      <c r="B56" s="1217"/>
      <c r="C56" s="1975" t="s">
        <v>72</v>
      </c>
      <c r="D56" s="1964"/>
      <c r="E56" s="1969"/>
      <c r="G56" s="1188"/>
      <c r="H56" s="1188"/>
    </row>
    <row r="57" spans="2:8" ht="15" customHeight="1">
      <c r="B57" s="1217" t="s">
        <v>1379</v>
      </c>
      <c r="C57" s="1976" t="s">
        <v>69</v>
      </c>
      <c r="D57" s="1963" t="s">
        <v>66</v>
      </c>
      <c r="E57" s="1592"/>
      <c r="G57" s="1188"/>
      <c r="H57" s="1178" t="str">
        <f t="shared" ref="H57:H59" si="2">IF(ISNONTEXT(E57)=TRUE,"","X")</f>
        <v/>
      </c>
    </row>
    <row r="58" spans="2:8" ht="15" customHeight="1">
      <c r="B58" s="1217" t="s">
        <v>1380</v>
      </c>
      <c r="C58" s="1976" t="s">
        <v>70</v>
      </c>
      <c r="D58" s="1963" t="s">
        <v>66</v>
      </c>
      <c r="E58" s="1592"/>
      <c r="G58" s="1188"/>
      <c r="H58" s="1178" t="str">
        <f t="shared" si="2"/>
        <v/>
      </c>
    </row>
    <row r="59" spans="2:8" ht="15" customHeight="1">
      <c r="B59" s="1217" t="s">
        <v>1381</v>
      </c>
      <c r="C59" s="1976" t="s">
        <v>71</v>
      </c>
      <c r="D59" s="1963" t="s">
        <v>66</v>
      </c>
      <c r="E59" s="1592"/>
      <c r="G59" s="1188"/>
      <c r="H59" s="1178" t="str">
        <f t="shared" si="2"/>
        <v/>
      </c>
    </row>
    <row r="60" spans="2:8" ht="15" customHeight="1">
      <c r="B60" s="1217"/>
      <c r="C60" s="1975" t="s">
        <v>73</v>
      </c>
      <c r="D60" s="1964"/>
      <c r="E60" s="1969"/>
      <c r="G60" s="1188"/>
      <c r="H60" s="1188"/>
    </row>
    <row r="61" spans="2:8" ht="15" customHeight="1">
      <c r="B61" s="1217" t="s">
        <v>1382</v>
      </c>
      <c r="C61" s="1976" t="s">
        <v>69</v>
      </c>
      <c r="D61" s="1963" t="s">
        <v>66</v>
      </c>
      <c r="E61" s="1592"/>
      <c r="G61" s="1188"/>
      <c r="H61" s="1178" t="str">
        <f t="shared" ref="H61:H63" si="3">IF(ISNONTEXT(E61)=TRUE,"","X")</f>
        <v/>
      </c>
    </row>
    <row r="62" spans="2:8" ht="15" customHeight="1">
      <c r="B62" s="1217" t="s">
        <v>1383</v>
      </c>
      <c r="C62" s="1976" t="s">
        <v>70</v>
      </c>
      <c r="D62" s="1963" t="s">
        <v>66</v>
      </c>
      <c r="E62" s="1592"/>
      <c r="G62" s="1188"/>
      <c r="H62" s="1178" t="str">
        <f t="shared" si="3"/>
        <v/>
      </c>
    </row>
    <row r="63" spans="2:8" ht="15" customHeight="1">
      <c r="B63" s="1217" t="s">
        <v>1384</v>
      </c>
      <c r="C63" s="1976" t="s">
        <v>71</v>
      </c>
      <c r="D63" s="1963" t="s">
        <v>66</v>
      </c>
      <c r="E63" s="1592"/>
      <c r="G63" s="1188"/>
      <c r="H63" s="1178" t="str">
        <f t="shared" si="3"/>
        <v/>
      </c>
    </row>
    <row r="64" spans="2:8" ht="15" customHeight="1">
      <c r="B64" s="1217"/>
      <c r="C64" s="1975" t="s">
        <v>74</v>
      </c>
      <c r="D64" s="1964"/>
      <c r="E64" s="1969"/>
      <c r="G64" s="1188"/>
      <c r="H64" s="1188"/>
    </row>
    <row r="65" spans="2:8" ht="15" customHeight="1">
      <c r="B65" s="1217" t="s">
        <v>1385</v>
      </c>
      <c r="C65" s="1976" t="s">
        <v>69</v>
      </c>
      <c r="D65" s="1963" t="s">
        <v>66</v>
      </c>
      <c r="E65" s="1592"/>
      <c r="G65" s="1188"/>
      <c r="H65" s="1178" t="str">
        <f t="shared" ref="H65:H68" si="4">IF(ISNONTEXT(E65)=TRUE,"","X")</f>
        <v/>
      </c>
    </row>
    <row r="66" spans="2:8" ht="15" customHeight="1">
      <c r="B66" s="1217" t="s">
        <v>1386</v>
      </c>
      <c r="C66" s="1976" t="s">
        <v>70</v>
      </c>
      <c r="D66" s="1963" t="s">
        <v>66</v>
      </c>
      <c r="E66" s="1592"/>
      <c r="G66" s="1188"/>
      <c r="H66" s="1178" t="str">
        <f t="shared" si="4"/>
        <v/>
      </c>
    </row>
    <row r="67" spans="2:8" ht="15" customHeight="1">
      <c r="B67" s="1217" t="s">
        <v>1387</v>
      </c>
      <c r="C67" s="1976" t="s">
        <v>71</v>
      </c>
      <c r="D67" s="1963" t="s">
        <v>66</v>
      </c>
      <c r="E67" s="1592"/>
      <c r="G67" s="1188"/>
      <c r="H67" s="1178" t="str">
        <f t="shared" si="4"/>
        <v/>
      </c>
    </row>
    <row r="68" spans="2:8" ht="15" customHeight="1">
      <c r="B68" s="1217" t="s">
        <v>1388</v>
      </c>
      <c r="C68" s="1972" t="s">
        <v>75</v>
      </c>
      <c r="D68" s="1973" t="s">
        <v>66</v>
      </c>
      <c r="E68" s="1594"/>
      <c r="G68" s="1188"/>
      <c r="H68" s="1178" t="str">
        <f t="shared" si="4"/>
        <v/>
      </c>
    </row>
    <row r="69" spans="2:8" ht="22">
      <c r="B69" s="1217" t="s">
        <v>1389</v>
      </c>
      <c r="C69" s="1383" t="s">
        <v>67</v>
      </c>
      <c r="D69" s="1119"/>
      <c r="E69" s="579"/>
      <c r="G69" s="1207" t="s">
        <v>1309</v>
      </c>
      <c r="H69" s="1188"/>
    </row>
    <row r="70" spans="2:8" ht="15" customHeight="1">
      <c r="B70" s="1217" t="s">
        <v>1390</v>
      </c>
      <c r="C70" s="1965" t="s">
        <v>1033</v>
      </c>
      <c r="D70" s="1966" t="s">
        <v>66</v>
      </c>
      <c r="E70" s="1590"/>
      <c r="G70" s="1188"/>
      <c r="H70" s="1178" t="str">
        <f>IF(ISNONTEXT(E70)=TRUE,"","X")</f>
        <v/>
      </c>
    </row>
    <row r="71" spans="2:8" ht="15" customHeight="1">
      <c r="B71" s="1217"/>
      <c r="C71" s="1975" t="s">
        <v>68</v>
      </c>
      <c r="D71" s="1964"/>
      <c r="E71" s="1969"/>
      <c r="G71" s="1188"/>
      <c r="H71" s="1188"/>
    </row>
    <row r="72" spans="2:8" ht="15" customHeight="1">
      <c r="B72" s="1217" t="s">
        <v>1391</v>
      </c>
      <c r="C72" s="1976" t="s">
        <v>69</v>
      </c>
      <c r="D72" s="1963" t="s">
        <v>66</v>
      </c>
      <c r="E72" s="1592"/>
      <c r="G72" s="1188"/>
      <c r="H72" s="1178" t="str">
        <f t="shared" ref="H72:H74" si="5">IF(ISNONTEXT(E72)=TRUE,"","X")</f>
        <v/>
      </c>
    </row>
    <row r="73" spans="2:8" ht="15" customHeight="1">
      <c r="B73" s="1217" t="s">
        <v>1392</v>
      </c>
      <c r="C73" s="1976" t="s">
        <v>70</v>
      </c>
      <c r="D73" s="1963" t="s">
        <v>66</v>
      </c>
      <c r="E73" s="1592"/>
      <c r="G73" s="1188"/>
      <c r="H73" s="1178" t="str">
        <f t="shared" si="5"/>
        <v/>
      </c>
    </row>
    <row r="74" spans="2:8" ht="15" customHeight="1">
      <c r="B74" s="1217" t="s">
        <v>1393</v>
      </c>
      <c r="C74" s="1976" t="s">
        <v>71</v>
      </c>
      <c r="D74" s="1963" t="s">
        <v>66</v>
      </c>
      <c r="E74" s="1592"/>
      <c r="G74" s="1188"/>
      <c r="H74" s="1178" t="str">
        <f t="shared" si="5"/>
        <v/>
      </c>
    </row>
    <row r="75" spans="2:8" ht="15" customHeight="1">
      <c r="B75" s="1217"/>
      <c r="C75" s="1975" t="s">
        <v>72</v>
      </c>
      <c r="D75" s="1964"/>
      <c r="E75" s="1969"/>
      <c r="G75" s="1188"/>
      <c r="H75" s="1188"/>
    </row>
    <row r="76" spans="2:8" ht="15" customHeight="1">
      <c r="B76" s="1217" t="s">
        <v>1394</v>
      </c>
      <c r="C76" s="1976" t="s">
        <v>69</v>
      </c>
      <c r="D76" s="1963" t="s">
        <v>66</v>
      </c>
      <c r="E76" s="1592"/>
      <c r="G76" s="1188"/>
      <c r="H76" s="1178" t="str">
        <f t="shared" ref="H76:H78" si="6">IF(ISNONTEXT(E76)=TRUE,"","X")</f>
        <v/>
      </c>
    </row>
    <row r="77" spans="2:8" ht="15" customHeight="1">
      <c r="B77" s="1217" t="s">
        <v>1395</v>
      </c>
      <c r="C77" s="1976" t="s">
        <v>70</v>
      </c>
      <c r="D77" s="1963" t="s">
        <v>66</v>
      </c>
      <c r="E77" s="1592"/>
      <c r="G77" s="1188"/>
      <c r="H77" s="1178" t="str">
        <f t="shared" si="6"/>
        <v/>
      </c>
    </row>
    <row r="78" spans="2:8" ht="15" customHeight="1">
      <c r="B78" s="1217" t="s">
        <v>1396</v>
      </c>
      <c r="C78" s="1976" t="s">
        <v>71</v>
      </c>
      <c r="D78" s="1963" t="s">
        <v>66</v>
      </c>
      <c r="E78" s="1592"/>
      <c r="G78" s="1188"/>
      <c r="H78" s="1178" t="str">
        <f t="shared" si="6"/>
        <v/>
      </c>
    </row>
    <row r="79" spans="2:8" ht="15" customHeight="1">
      <c r="B79" s="1217"/>
      <c r="C79" s="1975" t="s">
        <v>73</v>
      </c>
      <c r="D79" s="1964"/>
      <c r="E79" s="1969"/>
      <c r="G79" s="1188"/>
      <c r="H79" s="1188"/>
    </row>
    <row r="80" spans="2:8" ht="15" customHeight="1">
      <c r="B80" s="1217" t="s">
        <v>1397</v>
      </c>
      <c r="C80" s="1976" t="s">
        <v>69</v>
      </c>
      <c r="D80" s="1963" t="s">
        <v>66</v>
      </c>
      <c r="E80" s="1592"/>
      <c r="G80" s="1188"/>
      <c r="H80" s="1178" t="str">
        <f t="shared" ref="H80:H82" si="7">IF(ISNONTEXT(E80)=TRUE,"","X")</f>
        <v/>
      </c>
    </row>
    <row r="81" spans="2:8" ht="15" customHeight="1">
      <c r="B81" s="1217" t="s">
        <v>1398</v>
      </c>
      <c r="C81" s="1976" t="s">
        <v>70</v>
      </c>
      <c r="D81" s="1963" t="s">
        <v>66</v>
      </c>
      <c r="E81" s="1592"/>
      <c r="G81" s="1188"/>
      <c r="H81" s="1178" t="str">
        <f t="shared" si="7"/>
        <v/>
      </c>
    </row>
    <row r="82" spans="2:8" ht="15" customHeight="1">
      <c r="B82" s="1217" t="s">
        <v>1399</v>
      </c>
      <c r="C82" s="1976" t="s">
        <v>71</v>
      </c>
      <c r="D82" s="1963" t="s">
        <v>66</v>
      </c>
      <c r="E82" s="1592"/>
      <c r="G82" s="1188"/>
      <c r="H82" s="1178" t="str">
        <f t="shared" si="7"/>
        <v/>
      </c>
    </row>
    <row r="83" spans="2:8" ht="15" customHeight="1">
      <c r="B83" s="1217"/>
      <c r="C83" s="1975" t="s">
        <v>74</v>
      </c>
      <c r="D83" s="1964"/>
      <c r="E83" s="1969"/>
      <c r="G83" s="1188"/>
      <c r="H83" s="1188"/>
    </row>
    <row r="84" spans="2:8" ht="15" customHeight="1">
      <c r="B84" s="1217" t="s">
        <v>1400</v>
      </c>
      <c r="C84" s="1976" t="s">
        <v>69</v>
      </c>
      <c r="D84" s="1963" t="s">
        <v>66</v>
      </c>
      <c r="E84" s="1592"/>
      <c r="G84" s="1188"/>
      <c r="H84" s="1178" t="str">
        <f t="shared" ref="H84:H87" si="8">IF(ISNONTEXT(E84)=TRUE,"","X")</f>
        <v/>
      </c>
    </row>
    <row r="85" spans="2:8" ht="15" customHeight="1">
      <c r="B85" s="1217" t="s">
        <v>1401</v>
      </c>
      <c r="C85" s="1976" t="s">
        <v>70</v>
      </c>
      <c r="D85" s="1963" t="s">
        <v>66</v>
      </c>
      <c r="E85" s="1592"/>
      <c r="G85" s="1188"/>
      <c r="H85" s="1178" t="str">
        <f t="shared" si="8"/>
        <v/>
      </c>
    </row>
    <row r="86" spans="2:8" ht="15" customHeight="1">
      <c r="B86" s="1217" t="s">
        <v>1402</v>
      </c>
      <c r="C86" s="1976" t="s">
        <v>71</v>
      </c>
      <c r="D86" s="1963" t="s">
        <v>66</v>
      </c>
      <c r="E86" s="1592"/>
      <c r="G86" s="1188"/>
      <c r="H86" s="1178" t="str">
        <f t="shared" si="8"/>
        <v/>
      </c>
    </row>
    <row r="87" spans="2:8" ht="15" customHeight="1">
      <c r="B87" s="1217" t="s">
        <v>1403</v>
      </c>
      <c r="C87" s="1972" t="s">
        <v>75</v>
      </c>
      <c r="D87" s="1973" t="s">
        <v>66</v>
      </c>
      <c r="E87" s="1594"/>
      <c r="G87" s="1188"/>
      <c r="H87" s="1178" t="str">
        <f t="shared" si="8"/>
        <v/>
      </c>
    </row>
    <row r="91" spans="2:8">
      <c r="B91" s="1"/>
      <c r="C91" s="1310" t="s">
        <v>1471</v>
      </c>
      <c r="D91" s="1852"/>
      <c r="E91" s="579"/>
      <c r="F91" s="579"/>
      <c r="G91" s="579"/>
      <c r="H91" s="579"/>
    </row>
    <row r="92" spans="2:8">
      <c r="C92" s="1847" t="s">
        <v>1495</v>
      </c>
      <c r="D92" s="579"/>
      <c r="E92" s="579"/>
      <c r="F92" s="579"/>
      <c r="G92" s="579"/>
      <c r="H92" s="579"/>
    </row>
    <row r="93" spans="2:8">
      <c r="C93" s="579"/>
      <c r="D93" s="579"/>
      <c r="E93" s="579"/>
      <c r="F93" s="579"/>
      <c r="G93" s="579"/>
      <c r="H93" s="579"/>
    </row>
    <row r="94" spans="2:8">
      <c r="C94" s="579"/>
      <c r="D94" s="579"/>
      <c r="E94" s="579"/>
      <c r="F94" s="579"/>
      <c r="G94" s="579"/>
      <c r="H94" s="579"/>
    </row>
    <row r="95" spans="2:8">
      <c r="C95" s="579"/>
      <c r="D95" s="579"/>
      <c r="E95" s="579"/>
      <c r="F95" s="579"/>
      <c r="G95" s="579"/>
      <c r="H95" s="579"/>
    </row>
    <row r="96" spans="2:8">
      <c r="C96" s="579"/>
      <c r="D96" s="579"/>
      <c r="E96" s="579"/>
      <c r="F96" s="579"/>
      <c r="G96" s="579"/>
      <c r="H96" s="579"/>
    </row>
    <row r="97" spans="3:8">
      <c r="C97" s="579"/>
      <c r="D97" s="579"/>
      <c r="E97" s="579"/>
      <c r="F97" s="579"/>
      <c r="G97" s="579"/>
      <c r="H97" s="579"/>
    </row>
    <row r="98" spans="3:8">
      <c r="C98" s="579"/>
      <c r="D98" s="579"/>
      <c r="E98" s="579"/>
      <c r="F98" s="579"/>
      <c r="G98" s="579"/>
      <c r="H98" s="579"/>
    </row>
    <row r="99" spans="3:8">
      <c r="C99" s="579"/>
      <c r="D99" s="579"/>
      <c r="E99" s="579"/>
      <c r="F99" s="579"/>
      <c r="G99" s="579"/>
      <c r="H99" s="579"/>
    </row>
    <row r="100" spans="3:8">
      <c r="C100" s="579"/>
      <c r="D100" s="579"/>
      <c r="E100" s="579"/>
      <c r="F100" s="579"/>
      <c r="G100" s="579"/>
      <c r="H100" s="579"/>
    </row>
  </sheetData>
  <conditionalFormatting sqref="C91">
    <cfRule type="cellIs" dxfId="45" priority="1" operator="equal">
      <formula>FALSE</formula>
    </cfRule>
  </conditionalFormatting>
  <dataValidations count="1">
    <dataValidation allowBlank="1" showErrorMessage="1" sqref="A92:O1048576 P1:XFD5 P8:XFD1048576 C6:XFD7 A1:A91" xr:uid="{3B27A9A6-54E1-4990-8C93-5B55E25126D4}"/>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009292"/>
    <pageSetUpPr fitToPage="1"/>
  </sheetPr>
  <dimension ref="A1:S99"/>
  <sheetViews>
    <sheetView workbookViewId="0"/>
  </sheetViews>
  <sheetFormatPr defaultColWidth="9.1796875" defaultRowHeight="14.5"/>
  <cols>
    <col min="1" max="1" width="5.6328125" style="1" customWidth="1"/>
    <col min="2" max="2" width="25.6328125" style="15" customWidth="1"/>
    <col min="3" max="3" width="74.453125" style="1" customWidth="1"/>
    <col min="4" max="4" width="11.1796875" style="1" customWidth="1"/>
    <col min="5" max="5" width="23" style="1" customWidth="1"/>
    <col min="6" max="6" width="9.1796875" style="1"/>
    <col min="7" max="8" width="3.54296875" style="1" customWidth="1"/>
    <col min="9" max="9" width="4.54296875" style="1" customWidth="1"/>
    <col min="10" max="19" width="3.54296875" style="1" customWidth="1"/>
    <col min="20" max="22" width="9.1796875" style="1"/>
    <col min="23" max="23" width="5.6328125" style="1" customWidth="1"/>
    <col min="24" max="16384" width="9.1796875" style="1"/>
  </cols>
  <sheetData>
    <row r="1" spans="2:19" s="952" customFormat="1" ht="20" customHeight="1">
      <c r="B1" s="15"/>
      <c r="C1" s="914" t="str">
        <f>dms_SheetHeading1</f>
        <v>ANNUAL INFORMATION ORDER</v>
      </c>
      <c r="D1" s="1034"/>
      <c r="E1" s="1034"/>
      <c r="G1" s="1556" t="s">
        <v>1003</v>
      </c>
      <c r="H1" s="1556"/>
      <c r="I1" s="1556"/>
      <c r="J1" s="1556"/>
      <c r="K1" s="1556"/>
      <c r="L1" s="1556"/>
      <c r="M1" s="1557" t="s">
        <v>1002</v>
      </c>
      <c r="N1" s="1556"/>
      <c r="O1" s="1556"/>
      <c r="P1" s="1556"/>
      <c r="Q1" s="1556"/>
      <c r="R1" s="1556"/>
      <c r="S1" s="1556"/>
    </row>
    <row r="2" spans="2:19" s="952" customFormat="1" ht="20" customHeight="1">
      <c r="B2" s="15"/>
      <c r="C2" s="915" t="str">
        <f>dms_SheetHeading2</f>
        <v>Australian Transmission Co.</v>
      </c>
      <c r="D2" s="1034"/>
      <c r="E2" s="1034"/>
      <c r="G2" s="1558" t="s">
        <v>1004</v>
      </c>
      <c r="H2" s="1558"/>
      <c r="I2" s="1558"/>
      <c r="J2" s="1558"/>
      <c r="K2" s="1558"/>
      <c r="L2" s="1558"/>
      <c r="M2" s="1559" t="s">
        <v>179</v>
      </c>
      <c r="N2" s="1558"/>
      <c r="O2" s="1558"/>
      <c r="P2" s="1558"/>
      <c r="Q2" s="1558"/>
      <c r="R2" s="1558"/>
      <c r="S2" s="1558"/>
    </row>
    <row r="3" spans="2:19" s="952" customFormat="1" ht="20" customHeight="1">
      <c r="B3" s="15"/>
      <c r="C3" s="916" t="str">
        <f>dms_SheetHeading3</f>
        <v>REPORTING STATEMENT: 2025-26</v>
      </c>
      <c r="D3" s="1031"/>
      <c r="E3" s="1031"/>
      <c r="G3" s="1560" t="s">
        <v>1005</v>
      </c>
      <c r="H3" s="1560"/>
      <c r="I3" s="1560"/>
      <c r="J3" s="1560"/>
      <c r="K3" s="1560"/>
      <c r="L3" s="1560"/>
      <c r="M3" s="1561" t="s">
        <v>180</v>
      </c>
      <c r="N3" s="1560"/>
      <c r="O3" s="1560"/>
      <c r="P3" s="1560"/>
      <c r="Q3" s="1560"/>
      <c r="R3" s="1560"/>
      <c r="S3" s="1560"/>
    </row>
    <row r="4" spans="2:19" s="952" customFormat="1" ht="20" customHeight="1">
      <c r="B4" s="15"/>
      <c r="C4" s="1032" t="s">
        <v>1224</v>
      </c>
      <c r="D4" s="1032"/>
      <c r="E4" s="1032"/>
      <c r="G4" s="1562" t="s">
        <v>1007</v>
      </c>
      <c r="H4" s="1563"/>
      <c r="I4" s="1564"/>
      <c r="J4" s="1565"/>
      <c r="K4" s="1565"/>
      <c r="L4" s="1565"/>
      <c r="M4" s="1566" t="s">
        <v>1006</v>
      </c>
      <c r="N4" s="1565"/>
      <c r="O4" s="1565"/>
      <c r="P4" s="1565"/>
      <c r="Q4" s="1565"/>
      <c r="R4" s="1565"/>
      <c r="S4" s="1565"/>
    </row>
    <row r="5" spans="2:19" ht="13.5" customHeight="1"/>
    <row r="6" spans="2:19" ht="15" customHeight="1">
      <c r="C6" s="1427" t="s">
        <v>1587</v>
      </c>
      <c r="D6" s="1433"/>
      <c r="E6" s="1433"/>
    </row>
    <row r="7" spans="2:19" ht="15" customHeight="1">
      <c r="C7" s="1429" t="s">
        <v>1588</v>
      </c>
      <c r="D7" s="1430"/>
      <c r="E7" s="1430"/>
    </row>
    <row r="8" spans="2:19" ht="15" customHeight="1">
      <c r="C8" s="1427" t="s">
        <v>1589</v>
      </c>
      <c r="D8" s="1433"/>
      <c r="E8" s="1433"/>
    </row>
    <row r="9" spans="2:19" ht="15" customHeight="1">
      <c r="C9" s="1429" t="s">
        <v>1590</v>
      </c>
      <c r="D9" s="1430"/>
      <c r="E9" s="1430"/>
    </row>
    <row r="10" spans="2:19" ht="18" customHeight="1">
      <c r="C10" s="1549" t="s">
        <v>86</v>
      </c>
      <c r="D10" s="989"/>
      <c r="E10" s="1352"/>
    </row>
    <row r="11" spans="2:19" ht="15" customHeight="1">
      <c r="C11" s="1586" t="s">
        <v>1174</v>
      </c>
      <c r="D11" s="1353"/>
      <c r="E11" s="1353"/>
    </row>
    <row r="12" spans="2:19">
      <c r="B12" s="886"/>
      <c r="C12" s="886"/>
      <c r="D12" s="886"/>
      <c r="E12" s="886"/>
      <c r="F12" s="886"/>
      <c r="G12" s="1372" t="s">
        <v>1293</v>
      </c>
      <c r="H12" s="1373" t="s">
        <v>1294</v>
      </c>
      <c r="I12" s="1447" t="s">
        <v>1295</v>
      </c>
    </row>
    <row r="13" spans="2:19" ht="18" customHeight="1">
      <c r="B13" s="885"/>
      <c r="C13" s="1123" t="s">
        <v>1082</v>
      </c>
      <c r="D13" s="889" t="s">
        <v>1118</v>
      </c>
      <c r="E13" s="1362" t="s">
        <v>1207</v>
      </c>
      <c r="G13" s="2103" t="s">
        <v>1207</v>
      </c>
      <c r="H13" s="2104"/>
      <c r="I13" s="2105"/>
    </row>
    <row r="14" spans="2:19">
      <c r="B14" s="1217" t="s">
        <v>1404</v>
      </c>
      <c r="C14" s="1365" t="s">
        <v>87</v>
      </c>
      <c r="D14" s="1837" t="s">
        <v>45</v>
      </c>
      <c r="E14" s="1838"/>
      <c r="G14" s="1192" t="str">
        <f>IF(ISNONTEXT(E14)=TRUE,"","X")</f>
        <v/>
      </c>
      <c r="H14" s="1190" t="str">
        <f>IF(AND(E14&gt;=0)=TRUE,"","X")</f>
        <v/>
      </c>
      <c r="I14" s="1201"/>
    </row>
    <row r="15" spans="2:19">
      <c r="B15" s="1217" t="s">
        <v>1405</v>
      </c>
      <c r="C15" s="1366" t="s">
        <v>88</v>
      </c>
      <c r="D15" s="1357" t="s">
        <v>45</v>
      </c>
      <c r="E15" s="1717"/>
      <c r="G15" s="1182" t="str">
        <f t="shared" ref="G15:G28" si="0">IF(ISNONTEXT(E15)=TRUE,"","X")</f>
        <v/>
      </c>
      <c r="H15" s="1178" t="str">
        <f t="shared" ref="H15:H28" si="1">IF(AND(E15&gt;=0)=TRUE,"","X")</f>
        <v/>
      </c>
      <c r="I15" s="1180"/>
    </row>
    <row r="16" spans="2:19">
      <c r="B16" s="1217" t="s">
        <v>1406</v>
      </c>
      <c r="C16" s="1366" t="s">
        <v>89</v>
      </c>
      <c r="D16" s="1357" t="s">
        <v>45</v>
      </c>
      <c r="E16" s="1717"/>
      <c r="G16" s="1182" t="str">
        <f t="shared" si="0"/>
        <v/>
      </c>
      <c r="H16" s="1178" t="str">
        <f t="shared" si="1"/>
        <v/>
      </c>
      <c r="I16" s="1180"/>
    </row>
    <row r="17" spans="2:9">
      <c r="B17" s="1217" t="s">
        <v>1407</v>
      </c>
      <c r="C17" s="1366" t="s">
        <v>90</v>
      </c>
      <c r="D17" s="1357" t="s">
        <v>45</v>
      </c>
      <c r="E17" s="1717"/>
      <c r="G17" s="1182" t="str">
        <f t="shared" si="0"/>
        <v/>
      </c>
      <c r="H17" s="1178" t="str">
        <f t="shared" si="1"/>
        <v/>
      </c>
      <c r="I17" s="1180"/>
    </row>
    <row r="18" spans="2:9">
      <c r="B18" s="1217" t="s">
        <v>1408</v>
      </c>
      <c r="C18" s="1366" t="s">
        <v>80</v>
      </c>
      <c r="D18" s="1357" t="s">
        <v>45</v>
      </c>
      <c r="E18" s="1717"/>
      <c r="G18" s="1182" t="str">
        <f t="shared" si="0"/>
        <v/>
      </c>
      <c r="H18" s="1178" t="str">
        <f t="shared" si="1"/>
        <v/>
      </c>
      <c r="I18" s="1180"/>
    </row>
    <row r="19" spans="2:9">
      <c r="B19" s="1217" t="s">
        <v>1409</v>
      </c>
      <c r="C19" s="1366" t="s">
        <v>91</v>
      </c>
      <c r="D19" s="1357" t="s">
        <v>45</v>
      </c>
      <c r="E19" s="1888"/>
      <c r="G19" s="1182" t="str">
        <f t="shared" si="0"/>
        <v/>
      </c>
      <c r="H19" s="1178" t="str">
        <f t="shared" si="1"/>
        <v/>
      </c>
      <c r="I19" s="1180"/>
    </row>
    <row r="20" spans="2:9" ht="15" customHeight="1">
      <c r="B20" s="1217" t="s">
        <v>1410</v>
      </c>
      <c r="C20" s="1366" t="s">
        <v>92</v>
      </c>
      <c r="D20" s="1357" t="s">
        <v>45</v>
      </c>
      <c r="E20" s="1717"/>
      <c r="G20" s="1182" t="str">
        <f t="shared" si="0"/>
        <v/>
      </c>
      <c r="H20" s="1178" t="str">
        <f t="shared" si="1"/>
        <v/>
      </c>
      <c r="I20" s="1180"/>
    </row>
    <row r="21" spans="2:9">
      <c r="B21" s="1217" t="s">
        <v>1411</v>
      </c>
      <c r="C21" s="1366" t="s">
        <v>81</v>
      </c>
      <c r="D21" s="1357" t="s">
        <v>45</v>
      </c>
      <c r="E21" s="1717"/>
      <c r="G21" s="1182" t="str">
        <f t="shared" si="0"/>
        <v/>
      </c>
      <c r="H21" s="1178" t="str">
        <f t="shared" si="1"/>
        <v/>
      </c>
      <c r="I21" s="1180"/>
    </row>
    <row r="22" spans="2:9">
      <c r="B22" s="1217" t="s">
        <v>1517</v>
      </c>
      <c r="C22" s="1366" t="s">
        <v>1516</v>
      </c>
      <c r="D22" s="1357" t="s">
        <v>45</v>
      </c>
      <c r="E22" s="1717"/>
      <c r="G22" s="1182" t="str">
        <f t="shared" ref="G22" si="2">IF(ISNONTEXT(E22)=TRUE,"","X")</f>
        <v/>
      </c>
      <c r="H22" s="1178" t="str">
        <f t="shared" ref="H22" si="3">IF(AND(E22&gt;=0)=TRUE,"","X")</f>
        <v/>
      </c>
      <c r="I22" s="1180"/>
    </row>
    <row r="23" spans="2:9">
      <c r="B23" s="1217" t="s">
        <v>1412</v>
      </c>
      <c r="C23" s="1366" t="s">
        <v>82</v>
      </c>
      <c r="D23" s="1357" t="s">
        <v>45</v>
      </c>
      <c r="E23" s="1717"/>
      <c r="G23" s="1182" t="str">
        <f t="shared" si="0"/>
        <v/>
      </c>
      <c r="H23" s="1178" t="str">
        <f t="shared" si="1"/>
        <v/>
      </c>
      <c r="I23" s="1180"/>
    </row>
    <row r="24" spans="2:9">
      <c r="B24" s="1217" t="s">
        <v>1413</v>
      </c>
      <c r="C24" s="1366" t="s">
        <v>83</v>
      </c>
      <c r="D24" s="1357" t="s">
        <v>45</v>
      </c>
      <c r="E24" s="1717"/>
      <c r="G24" s="1182" t="str">
        <f t="shared" si="0"/>
        <v/>
      </c>
      <c r="H24" s="1178" t="str">
        <f t="shared" si="1"/>
        <v/>
      </c>
      <c r="I24" s="1180"/>
    </row>
    <row r="25" spans="2:9">
      <c r="B25" s="1217" t="s">
        <v>1414</v>
      </c>
      <c r="C25" s="1366" t="s">
        <v>84</v>
      </c>
      <c r="D25" s="1357" t="s">
        <v>45</v>
      </c>
      <c r="E25" s="1717"/>
      <c r="G25" s="1182" t="str">
        <f t="shared" si="0"/>
        <v/>
      </c>
      <c r="H25" s="1178" t="str">
        <f t="shared" si="1"/>
        <v/>
      </c>
      <c r="I25" s="1180"/>
    </row>
    <row r="26" spans="2:9">
      <c r="B26" s="1217"/>
      <c r="C26" s="1719"/>
      <c r="D26" s="1357" t="s">
        <v>45</v>
      </c>
      <c r="E26" s="1717"/>
      <c r="G26" s="1355"/>
      <c r="H26" s="1356"/>
      <c r="I26" s="1358"/>
    </row>
    <row r="27" spans="2:9">
      <c r="B27" s="1217"/>
      <c r="C27" s="1719"/>
      <c r="D27" s="1357" t="s">
        <v>45</v>
      </c>
      <c r="E27" s="1717"/>
      <c r="G27" s="1355"/>
      <c r="H27" s="1356"/>
      <c r="I27" s="1358"/>
    </row>
    <row r="28" spans="2:9">
      <c r="B28" s="1217"/>
      <c r="C28" s="1719"/>
      <c r="D28" s="1357" t="s">
        <v>45</v>
      </c>
      <c r="E28" s="1717"/>
      <c r="G28" s="1184" t="str">
        <f t="shared" si="0"/>
        <v/>
      </c>
      <c r="H28" s="1187" t="str">
        <f t="shared" si="1"/>
        <v/>
      </c>
      <c r="I28" s="1359"/>
    </row>
    <row r="29" spans="2:9">
      <c r="B29" s="1217" t="s">
        <v>1415</v>
      </c>
      <c r="C29" s="1839" t="s">
        <v>1486</v>
      </c>
      <c r="D29" s="1364" t="s">
        <v>45</v>
      </c>
      <c r="E29" s="1840">
        <f>SUM(E26:E28)</f>
        <v>0</v>
      </c>
    </row>
    <row r="30" spans="2:9">
      <c r="B30" s="1217" t="s">
        <v>1416</v>
      </c>
      <c r="C30" s="893" t="s">
        <v>1084</v>
      </c>
      <c r="D30" s="894" t="s">
        <v>45</v>
      </c>
      <c r="E30" s="1718">
        <f>SUM(E14:E25)+E29</f>
        <v>0</v>
      </c>
    </row>
    <row r="31" spans="2:9" ht="15.5">
      <c r="B31" s="1124"/>
    </row>
    <row r="32" spans="2:9" ht="18" customHeight="1">
      <c r="C32" s="1586" t="s">
        <v>1175</v>
      </c>
      <c r="D32" s="1353"/>
      <c r="E32" s="1353"/>
    </row>
    <row r="33" spans="2:9">
      <c r="B33" s="1116"/>
      <c r="C33" s="1116"/>
      <c r="D33" s="1116"/>
      <c r="E33" s="1116"/>
      <c r="F33" s="886"/>
      <c r="G33" s="1372" t="s">
        <v>1293</v>
      </c>
      <c r="H33" s="1373" t="s">
        <v>1294</v>
      </c>
      <c r="I33" s="1447" t="s">
        <v>1295</v>
      </c>
    </row>
    <row r="34" spans="2:9" ht="18" customHeight="1">
      <c r="B34" s="1116"/>
      <c r="C34" s="1125" t="s">
        <v>1083</v>
      </c>
      <c r="D34" s="889" t="s">
        <v>1118</v>
      </c>
      <c r="E34" s="1362" t="s">
        <v>1207</v>
      </c>
      <c r="G34" s="2103" t="s">
        <v>1207</v>
      </c>
      <c r="H34" s="2104"/>
      <c r="I34" s="2105"/>
    </row>
    <row r="35" spans="2:9">
      <c r="B35" s="1217" t="s">
        <v>1417</v>
      </c>
      <c r="C35" s="1365" t="s">
        <v>87</v>
      </c>
      <c r="D35" s="1837" t="s">
        <v>45</v>
      </c>
      <c r="E35" s="1838"/>
      <c r="G35" s="1344" t="str">
        <f>IF(ISNONTEXT(E35)=TRUE,"","X")</f>
        <v/>
      </c>
      <c r="H35" s="1345" t="str">
        <f>IF(AND(E35&gt;=0)=TRUE,"","X")</f>
        <v/>
      </c>
      <c r="I35" s="1349"/>
    </row>
    <row r="36" spans="2:9">
      <c r="B36" s="1217" t="s">
        <v>1418</v>
      </c>
      <c r="C36" s="1366" t="s">
        <v>88</v>
      </c>
      <c r="D36" s="1357" t="s">
        <v>45</v>
      </c>
      <c r="E36" s="1717"/>
      <c r="G36" s="1327" t="str">
        <f t="shared" ref="G36:G46" si="4">IF(ISNONTEXT(E36)=TRUE,"","X")</f>
        <v/>
      </c>
      <c r="H36" s="1186" t="str">
        <f t="shared" ref="H36:H46" si="5">IF(AND(E36&gt;=0)=TRUE,"","X")</f>
        <v/>
      </c>
      <c r="I36" s="1328"/>
    </row>
    <row r="37" spans="2:9">
      <c r="B37" s="1217" t="s">
        <v>1419</v>
      </c>
      <c r="C37" s="1366" t="s">
        <v>89</v>
      </c>
      <c r="D37" s="1357" t="s">
        <v>45</v>
      </c>
      <c r="E37" s="1717"/>
      <c r="G37" s="1327" t="str">
        <f t="shared" si="4"/>
        <v/>
      </c>
      <c r="H37" s="1186" t="str">
        <f t="shared" si="5"/>
        <v/>
      </c>
      <c r="I37" s="1328"/>
    </row>
    <row r="38" spans="2:9">
      <c r="B38" s="1217" t="s">
        <v>1420</v>
      </c>
      <c r="C38" s="1366" t="s">
        <v>90</v>
      </c>
      <c r="D38" s="1357" t="s">
        <v>45</v>
      </c>
      <c r="E38" s="1717"/>
      <c r="G38" s="1327" t="str">
        <f t="shared" si="4"/>
        <v/>
      </c>
      <c r="H38" s="1186" t="str">
        <f t="shared" si="5"/>
        <v/>
      </c>
      <c r="I38" s="1328"/>
    </row>
    <row r="39" spans="2:9">
      <c r="B39" s="1217" t="s">
        <v>1421</v>
      </c>
      <c r="C39" s="1366" t="s">
        <v>80</v>
      </c>
      <c r="D39" s="1357" t="s">
        <v>45</v>
      </c>
      <c r="E39" s="1717"/>
      <c r="G39" s="1327" t="str">
        <f t="shared" si="4"/>
        <v/>
      </c>
      <c r="H39" s="1186" t="str">
        <f t="shared" si="5"/>
        <v/>
      </c>
      <c r="I39" s="1328"/>
    </row>
    <row r="40" spans="2:9">
      <c r="B40" s="1217" t="s">
        <v>1422</v>
      </c>
      <c r="C40" s="1366" t="s">
        <v>91</v>
      </c>
      <c r="D40" s="1357" t="s">
        <v>45</v>
      </c>
      <c r="E40" s="1717"/>
      <c r="G40" s="1327" t="str">
        <f t="shared" si="4"/>
        <v/>
      </c>
      <c r="H40" s="1186" t="str">
        <f t="shared" si="5"/>
        <v/>
      </c>
      <c r="I40" s="1328"/>
    </row>
    <row r="41" spans="2:9">
      <c r="B41" s="1217" t="s">
        <v>1423</v>
      </c>
      <c r="C41" s="1366" t="s">
        <v>92</v>
      </c>
      <c r="D41" s="1357" t="s">
        <v>45</v>
      </c>
      <c r="E41" s="1717"/>
      <c r="G41" s="1327" t="str">
        <f t="shared" si="4"/>
        <v/>
      </c>
      <c r="H41" s="1186" t="str">
        <f t="shared" si="5"/>
        <v/>
      </c>
      <c r="I41" s="1328"/>
    </row>
    <row r="42" spans="2:9">
      <c r="B42" s="1217" t="s">
        <v>1424</v>
      </c>
      <c r="C42" s="1366" t="s">
        <v>81</v>
      </c>
      <c r="D42" s="1357" t="s">
        <v>45</v>
      </c>
      <c r="E42" s="1717"/>
      <c r="G42" s="1327" t="str">
        <f t="shared" si="4"/>
        <v/>
      </c>
      <c r="H42" s="1186" t="str">
        <f t="shared" si="5"/>
        <v/>
      </c>
      <c r="I42" s="1328"/>
    </row>
    <row r="43" spans="2:9">
      <c r="B43" s="1217" t="s">
        <v>1517</v>
      </c>
      <c r="C43" s="1366" t="s">
        <v>1516</v>
      </c>
      <c r="D43" s="1357" t="s">
        <v>45</v>
      </c>
      <c r="E43" s="1717"/>
      <c r="G43" s="1327" t="str">
        <f t="shared" ref="G43" si="6">IF(ISNONTEXT(E43)=TRUE,"","X")</f>
        <v/>
      </c>
      <c r="H43" s="1186" t="str">
        <f t="shared" ref="H43" si="7">IF(AND(E43&gt;=0)=TRUE,"","X")</f>
        <v/>
      </c>
      <c r="I43" s="1328"/>
    </row>
    <row r="44" spans="2:9">
      <c r="B44" s="1217" t="s">
        <v>1425</v>
      </c>
      <c r="C44" s="1366" t="s">
        <v>82</v>
      </c>
      <c r="D44" s="1357" t="s">
        <v>45</v>
      </c>
      <c r="E44" s="1717"/>
      <c r="G44" s="1327" t="str">
        <f t="shared" si="4"/>
        <v/>
      </c>
      <c r="H44" s="1186" t="str">
        <f t="shared" si="5"/>
        <v/>
      </c>
      <c r="I44" s="1328"/>
    </row>
    <row r="45" spans="2:9">
      <c r="B45" s="1217" t="s">
        <v>1426</v>
      </c>
      <c r="C45" s="1366" t="s">
        <v>83</v>
      </c>
      <c r="D45" s="1357" t="s">
        <v>45</v>
      </c>
      <c r="E45" s="1717"/>
      <c r="G45" s="1327" t="str">
        <f t="shared" si="4"/>
        <v/>
      </c>
      <c r="H45" s="1186" t="str">
        <f t="shared" si="5"/>
        <v/>
      </c>
      <c r="I45" s="1328"/>
    </row>
    <row r="46" spans="2:9">
      <c r="B46" s="1217" t="s">
        <v>1414</v>
      </c>
      <c r="C46" s="1366" t="s">
        <v>84</v>
      </c>
      <c r="D46" s="1357" t="s">
        <v>45</v>
      </c>
      <c r="E46" s="1717"/>
      <c r="G46" s="1327" t="str">
        <f t="shared" si="4"/>
        <v/>
      </c>
      <c r="H46" s="1186" t="str">
        <f t="shared" si="5"/>
        <v/>
      </c>
      <c r="I46" s="1328"/>
    </row>
    <row r="47" spans="2:9">
      <c r="B47" s="1217"/>
      <c r="C47" s="1719"/>
      <c r="D47" s="1357" t="s">
        <v>45</v>
      </c>
      <c r="E47" s="1717"/>
      <c r="G47" s="1327" t="str">
        <f t="shared" ref="G47:G49" si="8">IF(ISNONTEXT(E47)=TRUE,"","X")</f>
        <v/>
      </c>
      <c r="H47" s="1186" t="str">
        <f t="shared" ref="H47:H49" si="9">IF(AND(E47&gt;=0)=TRUE,"","X")</f>
        <v/>
      </c>
      <c r="I47" s="1360"/>
    </row>
    <row r="48" spans="2:9">
      <c r="B48" s="1217"/>
      <c r="C48" s="1719"/>
      <c r="D48" s="1357" t="s">
        <v>45</v>
      </c>
      <c r="E48" s="1717"/>
      <c r="G48" s="1327" t="str">
        <f t="shared" si="8"/>
        <v/>
      </c>
      <c r="H48" s="1186" t="str">
        <f t="shared" si="9"/>
        <v/>
      </c>
      <c r="I48" s="1360"/>
    </row>
    <row r="49" spans="1:9">
      <c r="B49" s="1"/>
      <c r="C49" s="1719"/>
      <c r="D49" s="1357" t="s">
        <v>45</v>
      </c>
      <c r="E49" s="1717"/>
      <c r="G49" s="1329" t="str">
        <f t="shared" si="8"/>
        <v/>
      </c>
      <c r="H49" s="1323" t="str">
        <f t="shared" si="9"/>
        <v/>
      </c>
      <c r="I49" s="1361"/>
    </row>
    <row r="50" spans="1:9">
      <c r="B50" s="1217" t="s">
        <v>1415</v>
      </c>
      <c r="C50" s="1839" t="s">
        <v>1486</v>
      </c>
      <c r="D50" s="1364" t="s">
        <v>45</v>
      </c>
      <c r="E50" s="1840">
        <f>SUM(E47:E49)</f>
        <v>0</v>
      </c>
    </row>
    <row r="51" spans="1:9">
      <c r="B51" s="1217" t="s">
        <v>1427</v>
      </c>
      <c r="C51" s="893" t="s">
        <v>1085</v>
      </c>
      <c r="D51" s="894"/>
      <c r="E51" s="1718">
        <f>SUM(E35:E46)+E50</f>
        <v>0</v>
      </c>
    </row>
    <row r="52" spans="1:9" ht="15.5">
      <c r="B52" s="1124"/>
    </row>
    <row r="53" spans="1:9" s="581" customFormat="1" ht="18" customHeight="1">
      <c r="C53" s="1586" t="s">
        <v>1176</v>
      </c>
      <c r="D53" s="1353"/>
      <c r="E53" s="1353"/>
    </row>
    <row r="54" spans="1:9" s="581" customFormat="1" ht="15.5">
      <c r="B54" s="590"/>
      <c r="C54" s="590"/>
      <c r="D54" s="590"/>
      <c r="E54" s="590"/>
      <c r="F54" s="590"/>
      <c r="G54" s="1372" t="s">
        <v>1293</v>
      </c>
      <c r="H54" s="1373" t="s">
        <v>1294</v>
      </c>
      <c r="I54" s="1447" t="s">
        <v>1295</v>
      </c>
    </row>
    <row r="55" spans="1:9" ht="18" customHeight="1">
      <c r="A55" s="581"/>
      <c r="B55" s="1116"/>
      <c r="C55" s="1125" t="s">
        <v>1086</v>
      </c>
      <c r="D55" s="889" t="s">
        <v>1118</v>
      </c>
      <c r="E55" s="1362" t="s">
        <v>1203</v>
      </c>
      <c r="G55" s="2103" t="s">
        <v>1203</v>
      </c>
      <c r="H55" s="2104"/>
      <c r="I55" s="2105"/>
    </row>
    <row r="56" spans="1:9">
      <c r="B56" s="1217" t="s">
        <v>1428</v>
      </c>
      <c r="C56" s="1365" t="s">
        <v>87</v>
      </c>
      <c r="D56" s="1363" t="s">
        <v>85</v>
      </c>
      <c r="E56" s="1716"/>
      <c r="G56" s="1344" t="str">
        <f>IF(ISNONTEXT(E56)=TRUE,"","X")</f>
        <v/>
      </c>
      <c r="H56" s="1345" t="str">
        <f>IF(AND(E56&gt;=0)=TRUE,"","X")</f>
        <v/>
      </c>
      <c r="I56" s="1349"/>
    </row>
    <row r="57" spans="1:9">
      <c r="B57" s="1217" t="s">
        <v>1429</v>
      </c>
      <c r="C57" s="1366" t="s">
        <v>88</v>
      </c>
      <c r="D57" s="1357" t="s">
        <v>85</v>
      </c>
      <c r="E57" s="1717"/>
      <c r="G57" s="1327" t="str">
        <f t="shared" ref="G57:G66" si="10">IF(ISNONTEXT(E57)=TRUE,"","X")</f>
        <v/>
      </c>
      <c r="H57" s="1186" t="str">
        <f t="shared" ref="H57:H66" si="11">IF(AND(E57&gt;=0)=TRUE,"","X")</f>
        <v/>
      </c>
      <c r="I57" s="1328"/>
    </row>
    <row r="58" spans="1:9">
      <c r="B58" s="1217" t="s">
        <v>1430</v>
      </c>
      <c r="C58" s="1366" t="s">
        <v>89</v>
      </c>
      <c r="D58" s="1357" t="s">
        <v>85</v>
      </c>
      <c r="E58" s="1717"/>
      <c r="G58" s="1327" t="str">
        <f t="shared" si="10"/>
        <v/>
      </c>
      <c r="H58" s="1186" t="str">
        <f t="shared" si="11"/>
        <v/>
      </c>
      <c r="I58" s="1328"/>
    </row>
    <row r="59" spans="1:9">
      <c r="B59" s="1217" t="s">
        <v>1431</v>
      </c>
      <c r="C59" s="1366" t="s">
        <v>90</v>
      </c>
      <c r="D59" s="1357" t="s">
        <v>85</v>
      </c>
      <c r="E59" s="1717"/>
      <c r="G59" s="1327" t="str">
        <f t="shared" si="10"/>
        <v/>
      </c>
      <c r="H59" s="1186" t="str">
        <f t="shared" si="11"/>
        <v/>
      </c>
      <c r="I59" s="1328"/>
    </row>
    <row r="60" spans="1:9">
      <c r="B60" s="1217" t="s">
        <v>1432</v>
      </c>
      <c r="C60" s="1366" t="s">
        <v>80</v>
      </c>
      <c r="D60" s="1357" t="s">
        <v>85</v>
      </c>
      <c r="E60" s="1717"/>
      <c r="G60" s="1327" t="str">
        <f t="shared" si="10"/>
        <v/>
      </c>
      <c r="H60" s="1186" t="str">
        <f t="shared" si="11"/>
        <v/>
      </c>
      <c r="I60" s="1328"/>
    </row>
    <row r="61" spans="1:9">
      <c r="B61" s="1217" t="s">
        <v>1433</v>
      </c>
      <c r="C61" s="1366" t="s">
        <v>91</v>
      </c>
      <c r="D61" s="1357" t="s">
        <v>85</v>
      </c>
      <c r="E61" s="1717"/>
      <c r="G61" s="1327" t="str">
        <f t="shared" si="10"/>
        <v/>
      </c>
      <c r="H61" s="1186" t="str">
        <f t="shared" si="11"/>
        <v/>
      </c>
      <c r="I61" s="1328"/>
    </row>
    <row r="62" spans="1:9">
      <c r="B62" s="1217" t="s">
        <v>1434</v>
      </c>
      <c r="C62" s="1366" t="s">
        <v>92</v>
      </c>
      <c r="D62" s="1357" t="s">
        <v>85</v>
      </c>
      <c r="E62" s="1717"/>
      <c r="G62" s="1327" t="str">
        <f t="shared" si="10"/>
        <v/>
      </c>
      <c r="H62" s="1186" t="str">
        <f t="shared" si="11"/>
        <v/>
      </c>
      <c r="I62" s="1328"/>
    </row>
    <row r="63" spans="1:9">
      <c r="B63" s="1217" t="s">
        <v>1435</v>
      </c>
      <c r="C63" s="1366" t="s">
        <v>81</v>
      </c>
      <c r="D63" s="1357" t="s">
        <v>85</v>
      </c>
      <c r="E63" s="1717"/>
      <c r="G63" s="1327" t="str">
        <f t="shared" si="10"/>
        <v/>
      </c>
      <c r="H63" s="1186" t="str">
        <f t="shared" si="11"/>
        <v/>
      </c>
      <c r="I63" s="1328"/>
    </row>
    <row r="64" spans="1:9">
      <c r="B64" s="1217" t="s">
        <v>1518</v>
      </c>
      <c r="C64" s="1366" t="s">
        <v>1516</v>
      </c>
      <c r="D64" s="1357" t="s">
        <v>85</v>
      </c>
      <c r="E64" s="1717"/>
      <c r="G64" s="1327" t="str">
        <f t="shared" ref="G64" si="12">IF(ISNONTEXT(E64)=TRUE,"","X")</f>
        <v/>
      </c>
      <c r="H64" s="1186" t="str">
        <f t="shared" ref="H64" si="13">IF(AND(E64&gt;=0)=TRUE,"","X")</f>
        <v/>
      </c>
      <c r="I64" s="1328"/>
    </row>
    <row r="65" spans="1:9">
      <c r="B65" s="1217" t="s">
        <v>1436</v>
      </c>
      <c r="C65" s="1366" t="s">
        <v>82</v>
      </c>
      <c r="D65" s="1357" t="s">
        <v>85</v>
      </c>
      <c r="E65" s="1717"/>
      <c r="G65" s="1327" t="str">
        <f t="shared" si="10"/>
        <v/>
      </c>
      <c r="H65" s="1186" t="str">
        <f t="shared" si="11"/>
        <v/>
      </c>
      <c r="I65" s="1328"/>
    </row>
    <row r="66" spans="1:9">
      <c r="B66" s="1217" t="s">
        <v>1437</v>
      </c>
      <c r="C66" s="1366" t="s">
        <v>83</v>
      </c>
      <c r="D66" s="1357" t="s">
        <v>85</v>
      </c>
      <c r="E66" s="1717"/>
      <c r="G66" s="1327" t="str">
        <f t="shared" si="10"/>
        <v/>
      </c>
      <c r="H66" s="1186" t="str">
        <f t="shared" si="11"/>
        <v/>
      </c>
      <c r="I66" s="1328"/>
    </row>
    <row r="67" spans="1:9">
      <c r="B67" s="1217" t="s">
        <v>1438</v>
      </c>
      <c r="C67" s="1366" t="s">
        <v>84</v>
      </c>
      <c r="D67" s="1357" t="s">
        <v>85</v>
      </c>
      <c r="E67" s="1717"/>
      <c r="G67" s="1327" t="str">
        <f t="shared" ref="G67" si="14">IF(ISNONTEXT(E67)=TRUE,"","X")</f>
        <v/>
      </c>
      <c r="H67" s="1186" t="str">
        <f t="shared" ref="H67" si="15">IF(AND(E67&gt;=0)=TRUE,"","X")</f>
        <v/>
      </c>
      <c r="I67" s="1328"/>
    </row>
    <row r="68" spans="1:9">
      <c r="B68" s="1217"/>
      <c r="C68" s="1841"/>
      <c r="D68" s="1357" t="s">
        <v>85</v>
      </c>
      <c r="E68" s="1717"/>
      <c r="G68" s="1327" t="str">
        <f>IF(ISNONTEXT(E68)=TRUE,"","X")</f>
        <v/>
      </c>
      <c r="H68" s="1186" t="str">
        <f>IF(AND(E68&gt;=0)=TRUE,"","X")</f>
        <v/>
      </c>
      <c r="I68" s="1360"/>
    </row>
    <row r="69" spans="1:9">
      <c r="B69" s="1217"/>
      <c r="C69" s="1841"/>
      <c r="D69" s="1357" t="s">
        <v>85</v>
      </c>
      <c r="E69" s="1717"/>
      <c r="G69" s="1327" t="str">
        <f>IF(ISNONTEXT(E69)=TRUE,"","X")</f>
        <v/>
      </c>
      <c r="H69" s="1186" t="str">
        <f>IF(AND(E69&gt;=0)=TRUE,"","X")</f>
        <v/>
      </c>
      <c r="I69" s="1360"/>
    </row>
    <row r="70" spans="1:9">
      <c r="B70" s="1"/>
      <c r="C70" s="1841"/>
      <c r="D70" s="1357" t="s">
        <v>85</v>
      </c>
      <c r="E70" s="1717"/>
      <c r="G70" s="1329" t="str">
        <f>IF(ISNONTEXT(E70)=TRUE,"","X")</f>
        <v/>
      </c>
      <c r="H70" s="1323" t="str">
        <f>IF(AND(E70&gt;=0)=TRUE,"","X")</f>
        <v/>
      </c>
      <c r="I70" s="1361"/>
    </row>
    <row r="71" spans="1:9">
      <c r="B71" s="1217"/>
      <c r="C71" s="1839" t="s">
        <v>1486</v>
      </c>
      <c r="D71" s="1364" t="s">
        <v>85</v>
      </c>
      <c r="E71" s="1840">
        <f>SUM(E68:E70)</f>
        <v>0</v>
      </c>
    </row>
    <row r="72" spans="1:9" ht="15.5">
      <c r="B72" s="1124"/>
    </row>
    <row r="73" spans="1:9" s="581" customFormat="1" ht="18" customHeight="1">
      <c r="C73" s="1586" t="s">
        <v>1177</v>
      </c>
      <c r="D73" s="1353"/>
      <c r="E73" s="1353"/>
    </row>
    <row r="74" spans="1:9" s="581" customFormat="1" ht="15.5">
      <c r="B74" s="590"/>
      <c r="C74" s="590"/>
      <c r="D74" s="590"/>
      <c r="E74" s="590"/>
      <c r="F74" s="590"/>
      <c r="G74" s="1372" t="s">
        <v>1293</v>
      </c>
      <c r="H74" s="1373" t="s">
        <v>1294</v>
      </c>
      <c r="I74" s="1447" t="s">
        <v>1295</v>
      </c>
    </row>
    <row r="75" spans="1:9" ht="18" customHeight="1">
      <c r="A75" s="581"/>
      <c r="B75" s="1116"/>
      <c r="C75" s="1125" t="s">
        <v>1087</v>
      </c>
      <c r="D75" s="889" t="s">
        <v>1118</v>
      </c>
      <c r="E75" s="1362" t="s">
        <v>1203</v>
      </c>
      <c r="G75" s="2103" t="s">
        <v>1203</v>
      </c>
      <c r="H75" s="2104"/>
      <c r="I75" s="2105"/>
    </row>
    <row r="76" spans="1:9">
      <c r="B76" s="1217" t="s">
        <v>1439</v>
      </c>
      <c r="C76" s="1365" t="s">
        <v>87</v>
      </c>
      <c r="D76" s="1363" t="s">
        <v>85</v>
      </c>
      <c r="E76" s="1720"/>
      <c r="G76" s="1344" t="str">
        <f>IF(ISNONTEXT(E76)=TRUE,"","X")</f>
        <v/>
      </c>
      <c r="H76" s="1345" t="str">
        <f>IF(AND(E76&gt;=0)=TRUE,"","X")</f>
        <v/>
      </c>
      <c r="I76" s="1349"/>
    </row>
    <row r="77" spans="1:9">
      <c r="B77" s="1217" t="s">
        <v>1440</v>
      </c>
      <c r="C77" s="1366" t="s">
        <v>88</v>
      </c>
      <c r="D77" s="1357" t="s">
        <v>85</v>
      </c>
      <c r="E77" s="1721"/>
      <c r="G77" s="1327" t="str">
        <f t="shared" ref="G77:G86" si="16">IF(ISNONTEXT(E77)=TRUE,"","X")</f>
        <v/>
      </c>
      <c r="H77" s="1186" t="str">
        <f t="shared" ref="H77:H86" si="17">IF(AND(E77&gt;=0)=TRUE,"","X")</f>
        <v/>
      </c>
      <c r="I77" s="1328"/>
    </row>
    <row r="78" spans="1:9">
      <c r="B78" s="1217" t="s">
        <v>1441</v>
      </c>
      <c r="C78" s="1366" t="s">
        <v>89</v>
      </c>
      <c r="D78" s="1357" t="s">
        <v>85</v>
      </c>
      <c r="E78" s="1721"/>
      <c r="G78" s="1327" t="str">
        <f t="shared" si="16"/>
        <v/>
      </c>
      <c r="H78" s="1186" t="str">
        <f t="shared" si="17"/>
        <v/>
      </c>
      <c r="I78" s="1328"/>
    </row>
    <row r="79" spans="1:9">
      <c r="B79" s="1217" t="s">
        <v>1442</v>
      </c>
      <c r="C79" s="1366" t="s">
        <v>90</v>
      </c>
      <c r="D79" s="1357" t="s">
        <v>85</v>
      </c>
      <c r="E79" s="1721"/>
      <c r="G79" s="1327" t="str">
        <f t="shared" si="16"/>
        <v/>
      </c>
      <c r="H79" s="1186" t="str">
        <f t="shared" si="17"/>
        <v/>
      </c>
      <c r="I79" s="1328"/>
    </row>
    <row r="80" spans="1:9">
      <c r="B80" s="1217" t="s">
        <v>1443</v>
      </c>
      <c r="C80" s="1366" t="s">
        <v>80</v>
      </c>
      <c r="D80" s="1357" t="s">
        <v>85</v>
      </c>
      <c r="E80" s="1721"/>
      <c r="G80" s="1327" t="str">
        <f t="shared" si="16"/>
        <v/>
      </c>
      <c r="H80" s="1186" t="str">
        <f t="shared" si="17"/>
        <v/>
      </c>
      <c r="I80" s="1328"/>
    </row>
    <row r="81" spans="2:9">
      <c r="B81" s="1217" t="s">
        <v>1444</v>
      </c>
      <c r="C81" s="1366" t="s">
        <v>91</v>
      </c>
      <c r="D81" s="1357" t="s">
        <v>85</v>
      </c>
      <c r="E81" s="1721"/>
      <c r="G81" s="1327" t="str">
        <f t="shared" si="16"/>
        <v/>
      </c>
      <c r="H81" s="1186" t="str">
        <f t="shared" si="17"/>
        <v/>
      </c>
      <c r="I81" s="1328"/>
    </row>
    <row r="82" spans="2:9">
      <c r="B82" s="1217" t="s">
        <v>1445</v>
      </c>
      <c r="C82" s="1366" t="s">
        <v>92</v>
      </c>
      <c r="D82" s="1357" t="s">
        <v>85</v>
      </c>
      <c r="E82" s="1721"/>
      <c r="G82" s="1327" t="str">
        <f t="shared" si="16"/>
        <v/>
      </c>
      <c r="H82" s="1186" t="str">
        <f t="shared" si="17"/>
        <v/>
      </c>
      <c r="I82" s="1328"/>
    </row>
    <row r="83" spans="2:9">
      <c r="B83" s="1217" t="s">
        <v>1446</v>
      </c>
      <c r="C83" s="1366" t="s">
        <v>81</v>
      </c>
      <c r="D83" s="1357" t="s">
        <v>85</v>
      </c>
      <c r="E83" s="1721"/>
      <c r="G83" s="1327" t="str">
        <f t="shared" si="16"/>
        <v/>
      </c>
      <c r="H83" s="1186" t="str">
        <f t="shared" si="17"/>
        <v/>
      </c>
      <c r="I83" s="1328"/>
    </row>
    <row r="84" spans="2:9">
      <c r="B84" s="1217" t="s">
        <v>1519</v>
      </c>
      <c r="C84" s="1366" t="s">
        <v>1516</v>
      </c>
      <c r="D84" s="1357" t="s">
        <v>85</v>
      </c>
      <c r="E84" s="1721"/>
      <c r="G84" s="1327" t="str">
        <f t="shared" ref="G84" si="18">IF(ISNONTEXT(E84)=TRUE,"","X")</f>
        <v/>
      </c>
      <c r="H84" s="1186" t="str">
        <f t="shared" ref="H84" si="19">IF(AND(E84&gt;=0)=TRUE,"","X")</f>
        <v/>
      </c>
      <c r="I84" s="1328"/>
    </row>
    <row r="85" spans="2:9">
      <c r="B85" s="1217" t="s">
        <v>1447</v>
      </c>
      <c r="C85" s="1366" t="s">
        <v>82</v>
      </c>
      <c r="D85" s="1357" t="s">
        <v>85</v>
      </c>
      <c r="E85" s="1721"/>
      <c r="G85" s="1327" t="str">
        <f t="shared" si="16"/>
        <v/>
      </c>
      <c r="H85" s="1186" t="str">
        <f t="shared" si="17"/>
        <v/>
      </c>
      <c r="I85" s="1328"/>
    </row>
    <row r="86" spans="2:9">
      <c r="B86" s="1217" t="s">
        <v>1448</v>
      </c>
      <c r="C86" s="1366" t="s">
        <v>83</v>
      </c>
      <c r="D86" s="1357" t="s">
        <v>85</v>
      </c>
      <c r="E86" s="1721"/>
      <c r="G86" s="1327" t="str">
        <f t="shared" si="16"/>
        <v/>
      </c>
      <c r="H86" s="1186" t="str">
        <f t="shared" si="17"/>
        <v/>
      </c>
      <c r="I86" s="1328"/>
    </row>
    <row r="87" spans="2:9">
      <c r="B87" s="1217" t="s">
        <v>1449</v>
      </c>
      <c r="C87" s="1366" t="s">
        <v>84</v>
      </c>
      <c r="D87" s="1357" t="s">
        <v>85</v>
      </c>
      <c r="E87" s="1721"/>
      <c r="G87" s="1327" t="str">
        <f t="shared" ref="G87" si="20">IF(ISNONTEXT(E87)=TRUE,"","X")</f>
        <v/>
      </c>
      <c r="H87" s="1186" t="str">
        <f t="shared" ref="H87" si="21">IF(AND(E87&gt;=0)=TRUE,"","X")</f>
        <v/>
      </c>
      <c r="I87" s="1328"/>
    </row>
    <row r="88" spans="2:9">
      <c r="B88" s="1217"/>
      <c r="C88" s="1841"/>
      <c r="D88" s="1357" t="s">
        <v>85</v>
      </c>
      <c r="E88" s="1717"/>
      <c r="G88" s="1327" t="str">
        <f t="shared" ref="G88:G90" si="22">IF(ISNONTEXT(E88)=TRUE,"","X")</f>
        <v/>
      </c>
      <c r="H88" s="1186" t="str">
        <f t="shared" ref="H88:H90" si="23">IF(AND(E88&gt;=0)=TRUE,"","X")</f>
        <v/>
      </c>
      <c r="I88" s="1360"/>
    </row>
    <row r="89" spans="2:9">
      <c r="B89" s="1217"/>
      <c r="C89" s="1841"/>
      <c r="D89" s="1357" t="s">
        <v>85</v>
      </c>
      <c r="E89" s="1717"/>
      <c r="G89" s="1327" t="str">
        <f t="shared" si="22"/>
        <v/>
      </c>
      <c r="H89" s="1186" t="str">
        <f t="shared" si="23"/>
        <v/>
      </c>
      <c r="I89" s="1360"/>
    </row>
    <row r="90" spans="2:9">
      <c r="B90" s="1"/>
      <c r="C90" s="1841"/>
      <c r="D90" s="1357" t="s">
        <v>85</v>
      </c>
      <c r="E90" s="1717"/>
      <c r="G90" s="1329" t="str">
        <f t="shared" si="22"/>
        <v/>
      </c>
      <c r="H90" s="1323" t="str">
        <f t="shared" si="23"/>
        <v/>
      </c>
      <c r="I90" s="1361"/>
    </row>
    <row r="91" spans="2:9" ht="15.5">
      <c r="B91" s="1124"/>
      <c r="C91" s="1839" t="s">
        <v>1486</v>
      </c>
      <c r="D91" s="1364" t="s">
        <v>85</v>
      </c>
      <c r="E91" s="1840">
        <f>SUM(E88:E90)</f>
        <v>0</v>
      </c>
    </row>
    <row r="95" spans="2:9">
      <c r="B95" s="1"/>
      <c r="C95" s="1354" t="s">
        <v>1471</v>
      </c>
      <c r="D95" s="1852"/>
      <c r="E95" s="579"/>
    </row>
    <row r="96" spans="2:9">
      <c r="C96" s="1847" t="s">
        <v>1495</v>
      </c>
      <c r="D96" s="579"/>
      <c r="E96" s="579"/>
    </row>
    <row r="97" spans="3:5">
      <c r="C97" s="579"/>
      <c r="D97" s="579"/>
      <c r="E97" s="579"/>
    </row>
    <row r="98" spans="3:5">
      <c r="C98" s="579"/>
      <c r="D98" s="579"/>
      <c r="E98" s="579"/>
    </row>
    <row r="99" spans="3:5">
      <c r="C99" s="579"/>
      <c r="D99" s="579"/>
      <c r="E99" s="579"/>
    </row>
  </sheetData>
  <mergeCells count="4">
    <mergeCell ref="G13:I13"/>
    <mergeCell ref="G34:I34"/>
    <mergeCell ref="G55:I55"/>
    <mergeCell ref="G75:I75"/>
  </mergeCells>
  <phoneticPr fontId="80" type="noConversion"/>
  <conditionalFormatting sqref="C95">
    <cfRule type="cellIs" dxfId="44" priority="1" operator="equal">
      <formula>FALSE</formula>
    </cfRule>
  </conditionalFormatting>
  <dataValidations count="1">
    <dataValidation allowBlank="1" showErrorMessage="1" sqref="A96:S1048576 A22:B22 B43 B64 B84 C6:E9 A1:A21 T1:XFD1048576 A23:A95 E19" xr:uid="{996E201B-23DF-4C51-B13E-29786C6AD465}"/>
  </dataValidations>
  <pageMargins left="0.7" right="0.7" top="0.75" bottom="0.75" header="0.3" footer="0.3"/>
  <pageSetup paperSize="8" scale="93"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009292"/>
    <pageSetUpPr fitToPage="1"/>
  </sheetPr>
  <dimension ref="B1:S46"/>
  <sheetViews>
    <sheetView workbookViewId="0"/>
  </sheetViews>
  <sheetFormatPr defaultColWidth="9.1796875" defaultRowHeight="14.5"/>
  <cols>
    <col min="1" max="1" width="5.6328125" style="1" customWidth="1"/>
    <col min="2" max="2" width="25.6328125" style="15" customWidth="1"/>
    <col min="3" max="3" width="67.54296875" style="1" customWidth="1"/>
    <col min="4" max="4" width="26.81640625" style="1" customWidth="1"/>
    <col min="5" max="5" width="31.1796875" style="1" customWidth="1"/>
    <col min="6" max="6" width="10.453125" style="1" customWidth="1"/>
    <col min="7" max="7" width="3.54296875" style="1" customWidth="1"/>
    <col min="8" max="8" width="4.453125" style="1" customWidth="1"/>
    <col min="9" max="9" width="4.54296875" style="1" customWidth="1"/>
    <col min="10" max="19" width="3.54296875" style="1" customWidth="1"/>
    <col min="20" max="22" width="9.1796875" style="1"/>
    <col min="23" max="23" width="5.6328125" style="1" customWidth="1"/>
    <col min="24" max="16384" width="9.1796875" style="1"/>
  </cols>
  <sheetData>
    <row r="1" spans="2:19" s="952" customFormat="1" ht="20" customHeight="1">
      <c r="B1" s="1390"/>
      <c r="C1" s="914" t="str">
        <f>dms_SheetHeading1</f>
        <v>ANNUAL INFORMATION ORDER</v>
      </c>
      <c r="D1" s="1034"/>
      <c r="E1" s="1034"/>
      <c r="G1" s="1556" t="s">
        <v>1003</v>
      </c>
      <c r="H1" s="1556"/>
      <c r="I1" s="1556"/>
      <c r="J1" s="1556"/>
      <c r="K1" s="1556"/>
      <c r="L1" s="1556"/>
      <c r="M1" s="1557" t="s">
        <v>1002</v>
      </c>
      <c r="N1" s="1556"/>
      <c r="O1" s="1556"/>
      <c r="P1" s="1556"/>
      <c r="Q1" s="1556"/>
      <c r="R1" s="1556"/>
      <c r="S1" s="1556"/>
    </row>
    <row r="2" spans="2:19" s="952" customFormat="1" ht="20" customHeight="1">
      <c r="B2" s="1390"/>
      <c r="C2" s="915" t="str">
        <f>dms_SheetHeading2</f>
        <v>Australian Transmission Co.</v>
      </c>
      <c r="D2" s="1034"/>
      <c r="E2" s="1034"/>
      <c r="G2" s="1558" t="s">
        <v>1004</v>
      </c>
      <c r="H2" s="1558"/>
      <c r="I2" s="1558"/>
      <c r="J2" s="1558"/>
      <c r="K2" s="1558"/>
      <c r="L2" s="1558"/>
      <c r="M2" s="1559" t="s">
        <v>179</v>
      </c>
      <c r="N2" s="1558"/>
      <c r="O2" s="1558"/>
      <c r="P2" s="1558"/>
      <c r="Q2" s="1558"/>
      <c r="R2" s="1558"/>
      <c r="S2" s="1558"/>
    </row>
    <row r="3" spans="2:19" s="952" customFormat="1" ht="20" customHeight="1">
      <c r="B3" s="1390"/>
      <c r="C3" s="916" t="str">
        <f>dms_SheetHeading3</f>
        <v>REPORTING STATEMENT: 2025-26</v>
      </c>
      <c r="D3" s="1031"/>
      <c r="E3" s="1031"/>
      <c r="G3" s="1560" t="s">
        <v>1005</v>
      </c>
      <c r="H3" s="1560"/>
      <c r="I3" s="1560"/>
      <c r="J3" s="1560"/>
      <c r="K3" s="1560"/>
      <c r="L3" s="1560"/>
      <c r="M3" s="1561" t="s">
        <v>180</v>
      </c>
      <c r="N3" s="1560"/>
      <c r="O3" s="1560"/>
      <c r="P3" s="1560"/>
      <c r="Q3" s="1560"/>
      <c r="R3" s="1560"/>
      <c r="S3" s="1560"/>
    </row>
    <row r="4" spans="2:19" s="952" customFormat="1" ht="20" customHeight="1">
      <c r="B4" s="1390"/>
      <c r="C4" s="1032" t="s">
        <v>1463</v>
      </c>
      <c r="D4" s="1032"/>
      <c r="E4" s="1032"/>
      <c r="G4" s="1562" t="s">
        <v>1007</v>
      </c>
      <c r="H4" s="1563"/>
      <c r="I4" s="1564"/>
      <c r="J4" s="1565"/>
      <c r="K4" s="1565"/>
      <c r="L4" s="1565"/>
      <c r="M4" s="1566" t="s">
        <v>1006</v>
      </c>
      <c r="N4" s="1565"/>
      <c r="O4" s="1565"/>
      <c r="P4" s="1565"/>
      <c r="Q4" s="1565"/>
      <c r="R4" s="1565"/>
      <c r="S4" s="1565"/>
    </row>
    <row r="5" spans="2:19" s="952" customFormat="1" ht="13.5" customHeight="1">
      <c r="B5" s="1390"/>
      <c r="E5" s="1038"/>
    </row>
    <row r="6" spans="2:19" s="952" customFormat="1" ht="15" customHeight="1">
      <c r="C6" s="1427" t="s">
        <v>1591</v>
      </c>
      <c r="D6" s="1433"/>
      <c r="E6" s="1433"/>
    </row>
    <row r="7" spans="2:19" s="952" customFormat="1" ht="15" customHeight="1">
      <c r="C7" s="1429" t="s">
        <v>1592</v>
      </c>
      <c r="D7" s="1430"/>
      <c r="E7" s="1430"/>
    </row>
    <row r="8" spans="2:19" ht="18" customHeight="1">
      <c r="C8" s="1549" t="s">
        <v>1117</v>
      </c>
      <c r="D8" s="989"/>
      <c r="E8" s="1352"/>
    </row>
    <row r="9" spans="2:19">
      <c r="B9" s="579"/>
      <c r="G9" s="2112" t="s">
        <v>1302</v>
      </c>
      <c r="H9" s="2113"/>
      <c r="I9" s="1451" t="s">
        <v>1295</v>
      </c>
    </row>
    <row r="10" spans="2:19" ht="19.5" customHeight="1">
      <c r="B10" s="579"/>
      <c r="C10" s="1136" t="s">
        <v>1216</v>
      </c>
      <c r="D10" s="1137"/>
      <c r="E10" s="1722"/>
      <c r="G10" s="1391"/>
      <c r="H10" s="1392"/>
      <c r="I10" s="1393" t="str">
        <f>IF(E10&lt;&gt;""=TRUE,"","X")</f>
        <v>X</v>
      </c>
    </row>
    <row r="11" spans="2:19" ht="15" customHeight="1">
      <c r="B11" s="579"/>
      <c r="C11" s="1130"/>
      <c r="D11" s="579"/>
      <c r="E11" s="579"/>
      <c r="F11" s="579"/>
      <c r="G11" s="579"/>
      <c r="H11" s="579"/>
      <c r="I11" s="579"/>
      <c r="J11" s="579"/>
      <c r="K11" s="579"/>
      <c r="L11" s="579"/>
      <c r="M11" s="579"/>
    </row>
    <row r="12" spans="2:19">
      <c r="B12" s="579"/>
    </row>
    <row r="13" spans="2:19" ht="21.75" customHeight="1">
      <c r="B13" s="579"/>
      <c r="C13" s="1130" t="s">
        <v>1214</v>
      </c>
      <c r="D13" s="889" t="s">
        <v>1118</v>
      </c>
      <c r="E13" s="1362" t="s">
        <v>1333</v>
      </c>
      <c r="G13" s="1449" t="s">
        <v>1293</v>
      </c>
      <c r="H13" s="1450" t="s">
        <v>1294</v>
      </c>
      <c r="I13" s="1451" t="s">
        <v>1295</v>
      </c>
    </row>
    <row r="14" spans="2:19">
      <c r="B14" s="1217" t="s">
        <v>1450</v>
      </c>
      <c r="C14" s="1931" t="s">
        <v>1119</v>
      </c>
      <c r="D14" s="1932" t="s">
        <v>93</v>
      </c>
      <c r="E14" s="1933" t="str">
        <f>IFERROR(E15/E16,"")</f>
        <v/>
      </c>
      <c r="G14" s="1453"/>
      <c r="H14" s="1348"/>
      <c r="I14" s="1349"/>
    </row>
    <row r="15" spans="2:19">
      <c r="B15" s="1217" t="s">
        <v>1451</v>
      </c>
      <c r="C15" s="1934" t="s">
        <v>1120</v>
      </c>
      <c r="D15" s="1930" t="s">
        <v>999</v>
      </c>
      <c r="E15" s="1592"/>
      <c r="G15" s="1327" t="str">
        <f>IF(ISNONTEXT(E15)=TRUE,"","X")</f>
        <v/>
      </c>
      <c r="H15" s="1186" t="str">
        <f>IF(AND(E15&gt;=0)=TRUE,"","X")</f>
        <v/>
      </c>
      <c r="I15" s="1322" t="str">
        <f>IF(E15&lt;&gt;""=TRUE,"","X")</f>
        <v>X</v>
      </c>
    </row>
    <row r="16" spans="2:19">
      <c r="B16" s="1217" t="s">
        <v>1452</v>
      </c>
      <c r="C16" s="1935" t="s">
        <v>1121</v>
      </c>
      <c r="D16" s="1936" t="s">
        <v>998</v>
      </c>
      <c r="E16" s="1594"/>
      <c r="G16" s="1327" t="str">
        <f>IF(ISNONTEXT(E16)=TRUE,"","X")</f>
        <v/>
      </c>
      <c r="H16" s="1186" t="str">
        <f>IF(AND(E16&gt;=0)=TRUE,"","X")</f>
        <v/>
      </c>
      <c r="I16" s="1322" t="str">
        <f>IF(E16&lt;&gt;""=TRUE,"","X")</f>
        <v>X</v>
      </c>
    </row>
    <row r="17" spans="2:9">
      <c r="B17" s="1217" t="s">
        <v>1453</v>
      </c>
      <c r="C17" s="1931" t="s">
        <v>1122</v>
      </c>
      <c r="D17" s="1932" t="s">
        <v>93</v>
      </c>
      <c r="E17" s="1933" t="str">
        <f>IFERROR(E18/E19,"")</f>
        <v/>
      </c>
      <c r="G17" s="1350"/>
      <c r="H17" s="1185"/>
      <c r="I17" s="1328"/>
    </row>
    <row r="18" spans="2:9">
      <c r="B18" s="1217" t="s">
        <v>1454</v>
      </c>
      <c r="C18" s="1934" t="s">
        <v>1123</v>
      </c>
      <c r="D18" s="1930" t="s">
        <v>999</v>
      </c>
      <c r="E18" s="1592"/>
      <c r="G18" s="1327" t="str">
        <f t="shared" ref="G18:G19" si="0">IF(ISNONTEXT(E18)=TRUE,"","X")</f>
        <v/>
      </c>
      <c r="H18" s="1186" t="str">
        <f t="shared" ref="H18:H19" si="1">IF(AND(E18&gt;=0)=TRUE,"","X")</f>
        <v/>
      </c>
      <c r="I18" s="1322" t="str">
        <f t="shared" ref="I18:I19" si="2">IF(E18&lt;&gt;""=TRUE,"","X")</f>
        <v>X</v>
      </c>
    </row>
    <row r="19" spans="2:9">
      <c r="B19" s="1217" t="s">
        <v>1455</v>
      </c>
      <c r="C19" s="1935" t="s">
        <v>1124</v>
      </c>
      <c r="D19" s="1936" t="s">
        <v>997</v>
      </c>
      <c r="E19" s="1594"/>
      <c r="G19" s="1327" t="str">
        <f t="shared" si="0"/>
        <v/>
      </c>
      <c r="H19" s="1186" t="str">
        <f t="shared" si="1"/>
        <v/>
      </c>
      <c r="I19" s="1322" t="str">
        <f t="shared" si="2"/>
        <v>X</v>
      </c>
    </row>
    <row r="20" spans="2:9">
      <c r="B20" s="885"/>
      <c r="C20" s="1130" t="s">
        <v>1215</v>
      </c>
      <c r="D20" s="1131"/>
      <c r="E20" s="1131"/>
      <c r="G20" s="1330"/>
      <c r="H20" s="1209"/>
      <c r="I20" s="1331"/>
    </row>
    <row r="21" spans="2:9">
      <c r="B21" s="1217" t="s">
        <v>1456</v>
      </c>
      <c r="C21" s="1938" t="s">
        <v>1125</v>
      </c>
      <c r="D21" s="1939" t="s">
        <v>999</v>
      </c>
      <c r="E21" s="1590"/>
      <c r="G21" s="1327" t="str">
        <f t="shared" ref="G21:G23" si="3">IF(ISNONTEXT(E21)=TRUE,"","X")</f>
        <v/>
      </c>
      <c r="H21" s="1186" t="str">
        <f t="shared" ref="H21:H23" si="4">IF(AND(E21&gt;=0)=TRUE,"","X")</f>
        <v/>
      </c>
      <c r="I21" s="1328"/>
    </row>
    <row r="22" spans="2:9">
      <c r="B22" s="1217" t="s">
        <v>1457</v>
      </c>
      <c r="C22" s="1940" t="s">
        <v>1126</v>
      </c>
      <c r="D22" s="1937" t="s">
        <v>999</v>
      </c>
      <c r="E22" s="1592"/>
      <c r="G22" s="1327" t="str">
        <f t="shared" si="3"/>
        <v/>
      </c>
      <c r="H22" s="1186" t="str">
        <f t="shared" si="4"/>
        <v/>
      </c>
      <c r="I22" s="1328"/>
    </row>
    <row r="23" spans="2:9">
      <c r="B23" s="1217" t="s">
        <v>1458</v>
      </c>
      <c r="C23" s="1941" t="s">
        <v>1127</v>
      </c>
      <c r="D23" s="1942" t="s">
        <v>999</v>
      </c>
      <c r="E23" s="1594"/>
      <c r="G23" s="1329" t="str">
        <f t="shared" si="3"/>
        <v/>
      </c>
      <c r="H23" s="1323" t="str">
        <f t="shared" si="4"/>
        <v/>
      </c>
      <c r="I23" s="1333"/>
    </row>
    <row r="24" spans="2:9">
      <c r="B24" s="949"/>
      <c r="C24" s="1385"/>
      <c r="D24" s="1386"/>
      <c r="E24" s="1386"/>
    </row>
    <row r="25" spans="2:9" ht="15" customHeight="1">
      <c r="C25" s="1427" t="s">
        <v>1537</v>
      </c>
      <c r="D25" s="1433"/>
      <c r="E25" s="1433"/>
    </row>
    <row r="26" spans="2:9" ht="15" customHeight="1">
      <c r="C26" s="1429" t="s">
        <v>1593</v>
      </c>
      <c r="D26" s="1430"/>
      <c r="E26" s="1430"/>
    </row>
    <row r="27" spans="2:9" ht="18" customHeight="1">
      <c r="C27" s="1549" t="s">
        <v>94</v>
      </c>
      <c r="D27" s="989"/>
      <c r="E27" s="1387"/>
    </row>
    <row r="28" spans="2:9" ht="15" customHeight="1">
      <c r="B28" s="886"/>
      <c r="C28" s="886"/>
      <c r="D28" s="886"/>
      <c r="E28" s="886"/>
      <c r="G28" s="20"/>
      <c r="H28" s="20"/>
    </row>
    <row r="29" spans="2:9" ht="19.5" customHeight="1">
      <c r="B29" s="1"/>
      <c r="C29" s="1136" t="s">
        <v>1216</v>
      </c>
      <c r="D29" s="1137"/>
      <c r="E29" s="1761">
        <f>E10</f>
        <v>0</v>
      </c>
      <c r="G29" s="20"/>
      <c r="H29" s="20"/>
    </row>
    <row r="30" spans="2:9">
      <c r="B30" s="1"/>
    </row>
    <row r="31" spans="2:9" s="20" customFormat="1" ht="24" customHeight="1">
      <c r="B31" s="1135"/>
      <c r="C31" s="1388"/>
      <c r="D31" s="889" t="s">
        <v>1118</v>
      </c>
      <c r="E31" s="1230" t="s">
        <v>1333</v>
      </c>
      <c r="F31" s="1175"/>
      <c r="G31" s="1449" t="s">
        <v>1293</v>
      </c>
      <c r="H31" s="1450" t="s">
        <v>1294</v>
      </c>
      <c r="I31" s="1451" t="s">
        <v>1295</v>
      </c>
    </row>
    <row r="32" spans="2:9" ht="18.75" customHeight="1">
      <c r="B32" s="1217" t="s">
        <v>1459</v>
      </c>
      <c r="C32" s="1134" t="s">
        <v>1089</v>
      </c>
      <c r="D32" s="1133" t="s">
        <v>1000</v>
      </c>
      <c r="E32" s="1722"/>
      <c r="G32" s="1414" t="str">
        <f t="shared" ref="G32" si="5">IF(ISNONTEXT(E32)=TRUE,"","X")</f>
        <v/>
      </c>
      <c r="H32" s="1415" t="str">
        <f t="shared" ref="H32" si="6">IF(AND(E32&gt;=0)=TRUE,"","X")</f>
        <v/>
      </c>
      <c r="I32" s="1416" t="str">
        <f t="shared" ref="I32" si="7">IF(E32&lt;&gt;""=TRUE,"","X")</f>
        <v>X</v>
      </c>
    </row>
    <row r="33" spans="2:9" ht="18.5">
      <c r="B33" s="588"/>
      <c r="C33" s="1384"/>
      <c r="D33" s="1386"/>
      <c r="E33" s="1389"/>
      <c r="G33" s="20"/>
      <c r="H33" s="20"/>
    </row>
    <row r="34" spans="2:9" ht="15" customHeight="1">
      <c r="C34" s="1427" t="s">
        <v>1594</v>
      </c>
      <c r="D34" s="1433"/>
      <c r="E34" s="1433"/>
      <c r="G34" s="20"/>
      <c r="H34" s="20"/>
    </row>
    <row r="35" spans="2:9" ht="15" customHeight="1">
      <c r="C35" s="1429" t="s">
        <v>96</v>
      </c>
      <c r="D35" s="1430"/>
      <c r="E35" s="1430"/>
      <c r="G35" s="20"/>
      <c r="H35" s="20"/>
    </row>
    <row r="36" spans="2:9" ht="18" customHeight="1">
      <c r="C36" s="1549" t="s">
        <v>95</v>
      </c>
      <c r="D36" s="989"/>
      <c r="E36" s="1387"/>
      <c r="G36" s="20"/>
      <c r="H36" s="20"/>
    </row>
    <row r="37" spans="2:9" ht="15" customHeight="1">
      <c r="B37" s="886"/>
      <c r="C37" s="886"/>
      <c r="D37" s="886"/>
      <c r="E37" s="886"/>
      <c r="G37" s="20"/>
    </row>
    <row r="38" spans="2:9" s="20" customFormat="1" ht="24" customHeight="1">
      <c r="B38" s="591"/>
      <c r="D38" s="889" t="s">
        <v>1118</v>
      </c>
      <c r="E38" s="1347" t="s">
        <v>983</v>
      </c>
      <c r="F38" s="1175"/>
      <c r="H38" s="1452" t="s">
        <v>1310</v>
      </c>
      <c r="I38" s="1451" t="s">
        <v>1295</v>
      </c>
    </row>
    <row r="39" spans="2:9" ht="17.25" customHeight="1">
      <c r="B39" s="1217" t="s">
        <v>1460</v>
      </c>
      <c r="C39" s="1134" t="s">
        <v>96</v>
      </c>
      <c r="D39" s="1133" t="s">
        <v>93</v>
      </c>
      <c r="E39" s="1620"/>
      <c r="G39" s="20"/>
      <c r="H39" s="1414" t="str">
        <f>IF(AND(E39&lt;=1,E39&gt;=0)=TRUE,"","X")</f>
        <v/>
      </c>
      <c r="I39" s="1416" t="str">
        <f t="shared" ref="I39" si="8">IF(E39&lt;&gt;""=TRUE,"","X")</f>
        <v>X</v>
      </c>
    </row>
    <row r="40" spans="2:9" ht="15.75" customHeight="1">
      <c r="B40" s="588"/>
      <c r="C40" s="1132"/>
      <c r="G40" s="20"/>
      <c r="H40" s="20"/>
    </row>
    <row r="41" spans="2:9" ht="15.75" customHeight="1">
      <c r="B41" s="588"/>
      <c r="C41" s="1132"/>
      <c r="G41" s="20"/>
      <c r="H41" s="20"/>
    </row>
    <row r="42" spans="2:9">
      <c r="B42" s="16"/>
    </row>
    <row r="43" spans="2:9">
      <c r="B43" s="579"/>
      <c r="C43" s="1354" t="s">
        <v>1471</v>
      </c>
      <c r="D43" s="1852"/>
      <c r="E43" s="579"/>
    </row>
    <row r="44" spans="2:9">
      <c r="B44" s="16"/>
      <c r="C44" s="1847" t="s">
        <v>1495</v>
      </c>
      <c r="D44" s="579"/>
      <c r="E44" s="579"/>
    </row>
    <row r="45" spans="2:9">
      <c r="B45" s="16"/>
      <c r="C45" s="579"/>
      <c r="D45" s="579"/>
      <c r="E45" s="579"/>
    </row>
    <row r="46" spans="2:9">
      <c r="B46" s="16"/>
      <c r="C46" s="579"/>
      <c r="D46" s="579"/>
      <c r="E46" s="579"/>
    </row>
  </sheetData>
  <mergeCells count="1">
    <mergeCell ref="G9:H9"/>
  </mergeCells>
  <phoneticPr fontId="85" type="noConversion"/>
  <conditionalFormatting sqref="C43">
    <cfRule type="cellIs" dxfId="43" priority="1" operator="equal">
      <formula>FALSE</formula>
    </cfRule>
  </conditionalFormatting>
  <dataValidations count="1">
    <dataValidation allowBlank="1" showErrorMessage="1" sqref="T1:XFD1048576 E38 A44:S1048576 C6:E7 C25:E26 C34:E35 A1:A43" xr:uid="{0ED77252-67F8-435B-BC2D-048A5B19E287}"/>
  </dataValidations>
  <pageMargins left="0.7" right="0.7" top="0.75" bottom="0.75" header="0.3" footer="0.3"/>
  <pageSetup paperSize="8" scale="32"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rgb="FF4B2D88"/>
    <pageSetUpPr fitToPage="1"/>
  </sheetPr>
  <dimension ref="A1:DV49"/>
  <sheetViews>
    <sheetView workbookViewId="0"/>
  </sheetViews>
  <sheetFormatPr defaultColWidth="9.1796875" defaultRowHeight="18.75" customHeight="1"/>
  <cols>
    <col min="1" max="1" width="5.6328125" style="1" customWidth="1"/>
    <col min="2" max="2" width="25.6328125" style="1" customWidth="1"/>
    <col min="3" max="3" width="40.81640625" style="1" customWidth="1"/>
    <col min="4" max="4" width="15" style="578" bestFit="1" customWidth="1"/>
    <col min="5" max="5" width="13.453125" style="578" customWidth="1"/>
    <col min="6" max="22" width="7.81640625" style="1" customWidth="1"/>
    <col min="23" max="23" width="5.6328125" style="1" customWidth="1"/>
    <col min="24" max="35" width="7.81640625" style="1" customWidth="1"/>
    <col min="36" max="36" width="9.1796875" style="1"/>
    <col min="37" max="38" width="3.54296875" style="1" customWidth="1"/>
    <col min="39" max="39" width="4.453125" style="1" customWidth="1"/>
    <col min="40" max="41" width="3.54296875" style="1" customWidth="1"/>
    <col min="42" max="42" width="4.1796875" style="1" customWidth="1"/>
    <col min="43" max="44" width="3.54296875" style="1" customWidth="1"/>
    <col min="45" max="45" width="4.453125" style="1" customWidth="1"/>
    <col min="46" max="47" width="3.54296875" style="1" customWidth="1"/>
    <col min="48" max="48" width="4" style="1" customWidth="1"/>
    <col min="49" max="50" width="3.54296875" style="1" customWidth="1"/>
    <col min="51" max="126" width="4.1796875" style="1" customWidth="1"/>
    <col min="127" max="16384" width="9.1796875" style="1"/>
  </cols>
  <sheetData>
    <row r="1" spans="1:126" s="990" customFormat="1" ht="20" customHeight="1">
      <c r="B1" s="1"/>
      <c r="C1" s="914" t="str">
        <f>dms_SheetHeading1</f>
        <v>ANNUAL INFORMATION ORDER</v>
      </c>
      <c r="D1" s="1028"/>
      <c r="E1" s="1028"/>
      <c r="F1" s="916"/>
      <c r="G1" s="1029"/>
      <c r="H1" s="1029"/>
      <c r="I1" s="1029"/>
      <c r="J1" s="1029"/>
      <c r="K1" s="1029"/>
      <c r="L1" s="1029"/>
      <c r="M1" s="1029"/>
      <c r="N1" s="1029"/>
      <c r="O1" s="1029"/>
      <c r="P1" s="1029"/>
      <c r="Q1" s="1029"/>
      <c r="R1" s="1029"/>
      <c r="S1" s="1029"/>
      <c r="T1" s="1029"/>
      <c r="U1" s="1029"/>
      <c r="V1" s="1029"/>
      <c r="W1" s="1029"/>
      <c r="X1" s="1029"/>
      <c r="Y1" s="1029"/>
      <c r="Z1" s="1029"/>
      <c r="AA1" s="1029"/>
      <c r="AB1" s="1029"/>
      <c r="AC1" s="1029"/>
      <c r="AD1" s="1029"/>
      <c r="AE1" s="1029"/>
      <c r="AF1" s="1029"/>
      <c r="AG1" s="1029"/>
      <c r="AH1" s="1029"/>
      <c r="AI1" s="1029"/>
      <c r="AK1" s="1556" t="s">
        <v>1003</v>
      </c>
      <c r="AL1" s="1556"/>
      <c r="AM1" s="1556"/>
      <c r="AN1" s="1556"/>
      <c r="AO1" s="1556"/>
      <c r="AP1" s="1556"/>
      <c r="AQ1" s="1557" t="s">
        <v>1002</v>
      </c>
      <c r="AR1" s="1556"/>
      <c r="AS1" s="1556"/>
      <c r="AT1" s="1556"/>
      <c r="AU1" s="1556"/>
      <c r="AV1" s="1556"/>
      <c r="AW1" s="1556"/>
    </row>
    <row r="2" spans="1:126" s="990" customFormat="1" ht="20" customHeight="1">
      <c r="B2" s="1"/>
      <c r="C2" s="915" t="str">
        <f>dms_SheetHeading2</f>
        <v>Australian Transmission Co.</v>
      </c>
      <c r="D2" s="1028"/>
      <c r="E2" s="1028"/>
      <c r="F2" s="915"/>
      <c r="G2" s="1029"/>
      <c r="H2" s="1029"/>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29"/>
      <c r="AI2" s="1029"/>
      <c r="AK2" s="1558" t="s">
        <v>1004</v>
      </c>
      <c r="AL2" s="1558"/>
      <c r="AM2" s="1558"/>
      <c r="AN2" s="1558"/>
      <c r="AO2" s="1558"/>
      <c r="AP2" s="1558"/>
      <c r="AQ2" s="1559" t="s">
        <v>179</v>
      </c>
      <c r="AR2" s="1558"/>
      <c r="AS2" s="1558"/>
      <c r="AT2" s="1558"/>
      <c r="AU2" s="1558"/>
      <c r="AV2" s="1558"/>
      <c r="AW2" s="1558"/>
    </row>
    <row r="3" spans="1:126" s="990" customFormat="1" ht="20" customHeight="1">
      <c r="B3" s="1"/>
      <c r="C3" s="916" t="str">
        <f>dms_SheetHeading3</f>
        <v>REPORTING STATEMENT: 2025-26</v>
      </c>
      <c r="D3" s="1028"/>
      <c r="E3" s="1028"/>
      <c r="F3" s="916"/>
      <c r="G3" s="1022"/>
      <c r="H3" s="1022"/>
      <c r="I3" s="1022"/>
      <c r="J3" s="1022"/>
      <c r="K3" s="1022"/>
      <c r="L3" s="1022"/>
      <c r="M3" s="1022"/>
      <c r="N3" s="1022"/>
      <c r="O3" s="1022"/>
      <c r="P3" s="1030"/>
      <c r="Q3" s="1030"/>
      <c r="R3" s="1030"/>
      <c r="S3" s="1030"/>
      <c r="T3" s="1030"/>
      <c r="U3" s="1030"/>
      <c r="V3" s="1030"/>
      <c r="W3" s="1031"/>
      <c r="X3" s="1031"/>
      <c r="Y3" s="1031"/>
      <c r="Z3" s="1031"/>
      <c r="AA3" s="1031"/>
      <c r="AB3" s="1031"/>
      <c r="AC3" s="1031"/>
      <c r="AD3" s="1031"/>
      <c r="AE3" s="1031"/>
      <c r="AF3" s="1031"/>
      <c r="AG3" s="1031"/>
      <c r="AH3" s="1031"/>
      <c r="AI3" s="1031"/>
      <c r="AK3" s="1560" t="s">
        <v>1005</v>
      </c>
      <c r="AL3" s="1560"/>
      <c r="AM3" s="1560"/>
      <c r="AN3" s="1560"/>
      <c r="AO3" s="1560"/>
      <c r="AP3" s="1560"/>
      <c r="AQ3" s="1561" t="s">
        <v>180</v>
      </c>
      <c r="AR3" s="1560"/>
      <c r="AS3" s="1560"/>
      <c r="AT3" s="1560"/>
      <c r="AU3" s="1560"/>
      <c r="AV3" s="1560"/>
      <c r="AW3" s="1560"/>
    </row>
    <row r="4" spans="1:126" s="990" customFormat="1" ht="20" customHeight="1">
      <c r="B4" s="1"/>
      <c r="C4" s="966" t="s">
        <v>1197</v>
      </c>
      <c r="D4" s="1033"/>
      <c r="E4" s="1033"/>
      <c r="F4" s="966"/>
      <c r="G4" s="966"/>
      <c r="H4" s="966"/>
      <c r="I4" s="966"/>
      <c r="J4" s="966"/>
      <c r="K4" s="966"/>
      <c r="L4" s="966"/>
      <c r="M4" s="966"/>
      <c r="N4" s="966"/>
      <c r="O4" s="966"/>
      <c r="P4" s="966"/>
      <c r="Q4" s="966"/>
      <c r="R4" s="966"/>
      <c r="S4" s="966"/>
      <c r="T4" s="966"/>
      <c r="U4" s="966"/>
      <c r="V4" s="966"/>
      <c r="W4" s="966"/>
      <c r="X4" s="966"/>
      <c r="Y4" s="966"/>
      <c r="Z4" s="966"/>
      <c r="AA4" s="966"/>
      <c r="AB4" s="966"/>
      <c r="AC4" s="966"/>
      <c r="AD4" s="966"/>
      <c r="AE4" s="966"/>
      <c r="AF4" s="966"/>
      <c r="AG4" s="966"/>
      <c r="AH4" s="966"/>
      <c r="AI4" s="966"/>
      <c r="AK4" s="1562" t="s">
        <v>1007</v>
      </c>
      <c r="AL4" s="1563"/>
      <c r="AM4" s="1564"/>
      <c r="AN4" s="1565"/>
      <c r="AO4" s="1565"/>
      <c r="AP4" s="1565"/>
      <c r="AQ4" s="1566" t="s">
        <v>1006</v>
      </c>
      <c r="AR4" s="1565"/>
      <c r="AS4" s="1565"/>
      <c r="AT4" s="1565"/>
      <c r="AU4" s="1565"/>
      <c r="AV4" s="1565"/>
      <c r="AW4" s="1565"/>
    </row>
    <row r="5" spans="1:126" ht="13.5" customHeight="1">
      <c r="D5" s="1"/>
      <c r="E5" s="1"/>
    </row>
    <row r="6" spans="1:126" ht="15" customHeight="1">
      <c r="C6" s="1427" t="s">
        <v>1510</v>
      </c>
      <c r="D6" s="1433"/>
      <c r="E6" s="1433"/>
      <c r="F6" s="1435"/>
      <c r="G6" s="1435"/>
      <c r="H6" s="1435"/>
      <c r="I6" s="1435"/>
      <c r="J6" s="1435"/>
      <c r="K6" s="1435"/>
      <c r="L6" s="1435"/>
      <c r="M6" s="1435"/>
      <c r="N6" s="1435"/>
      <c r="O6" s="1435"/>
      <c r="P6" s="1435"/>
      <c r="Q6" s="1435"/>
      <c r="R6" s="1435"/>
      <c r="S6" s="1435"/>
      <c r="T6" s="1435"/>
      <c r="U6" s="1435"/>
      <c r="V6" s="1435"/>
      <c r="W6" s="1435"/>
      <c r="X6" s="1435"/>
      <c r="Y6" s="1435"/>
      <c r="Z6" s="1435"/>
      <c r="AA6" s="1435"/>
      <c r="AB6" s="1435"/>
      <c r="AC6" s="1435"/>
      <c r="AD6" s="1435"/>
      <c r="AE6" s="1435"/>
      <c r="AF6" s="1435"/>
      <c r="AG6" s="1435"/>
      <c r="AH6" s="1435"/>
      <c r="AI6" s="1435"/>
      <c r="AK6" s="1398"/>
      <c r="AL6" s="1398"/>
      <c r="AM6" s="1398"/>
      <c r="AN6" s="1398"/>
      <c r="AO6" s="1398"/>
      <c r="AP6" s="1398"/>
      <c r="AQ6" s="1398"/>
      <c r="AR6" s="1398"/>
      <c r="AS6" s="1398"/>
      <c r="AT6" s="1398"/>
      <c r="AU6" s="1398"/>
      <c r="AV6" s="1398"/>
      <c r="AW6" s="1398"/>
      <c r="AX6" s="1398"/>
      <c r="AY6" s="1398"/>
      <c r="AZ6" s="1398"/>
      <c r="BA6" s="1398"/>
      <c r="BB6" s="1398"/>
      <c r="BC6" s="1398"/>
      <c r="BD6" s="1398"/>
      <c r="BE6" s="1398"/>
      <c r="BF6" s="1398"/>
      <c r="BG6" s="1398"/>
      <c r="BH6" s="1398"/>
      <c r="BI6" s="1398"/>
      <c r="BJ6" s="1398"/>
      <c r="BK6" s="1398"/>
      <c r="BL6" s="1398"/>
      <c r="BM6" s="1398"/>
      <c r="BN6" s="1398"/>
      <c r="BO6" s="1398"/>
      <c r="BP6" s="1398"/>
      <c r="BQ6" s="1398"/>
      <c r="BR6" s="1398"/>
      <c r="BS6" s="1398"/>
      <c r="BT6" s="1398"/>
      <c r="BU6" s="1398"/>
      <c r="BV6" s="1398"/>
      <c r="BW6" s="1398"/>
      <c r="BX6" s="1398"/>
      <c r="BY6" s="1398"/>
      <c r="BZ6" s="1398"/>
      <c r="CA6" s="1398"/>
      <c r="CB6" s="1398"/>
      <c r="CC6" s="1398"/>
      <c r="CD6" s="1398"/>
      <c r="CE6" s="1398"/>
      <c r="CF6" s="1398"/>
      <c r="CG6" s="1398"/>
      <c r="CH6" s="1398"/>
      <c r="CI6" s="1398"/>
      <c r="CJ6" s="1398"/>
      <c r="CK6" s="1398"/>
      <c r="CL6" s="1398"/>
      <c r="CM6" s="1398"/>
      <c r="CN6" s="1398"/>
      <c r="CO6" s="1398"/>
      <c r="CP6" s="1398"/>
      <c r="CQ6" s="1398"/>
      <c r="CR6" s="1398"/>
      <c r="CS6" s="1398"/>
      <c r="CT6" s="1398"/>
      <c r="CU6" s="1398"/>
      <c r="CV6" s="1398"/>
    </row>
    <row r="7" spans="1:126" ht="15" customHeight="1">
      <c r="C7" s="1429" t="s">
        <v>1511</v>
      </c>
      <c r="D7" s="1430"/>
      <c r="E7" s="1430"/>
      <c r="F7" s="1430"/>
      <c r="G7" s="1430"/>
      <c r="H7" s="1430"/>
      <c r="I7" s="1430"/>
      <c r="J7" s="1430"/>
      <c r="K7" s="1430"/>
      <c r="L7" s="1430"/>
      <c r="M7" s="1430"/>
      <c r="N7" s="1430"/>
      <c r="O7" s="1430"/>
      <c r="P7" s="1430"/>
      <c r="Q7" s="1430"/>
      <c r="R7" s="1430"/>
      <c r="S7" s="1430"/>
      <c r="T7" s="1430"/>
      <c r="U7" s="1430"/>
      <c r="V7" s="1430"/>
      <c r="W7" s="1430"/>
      <c r="X7" s="1430"/>
      <c r="Y7" s="1430"/>
      <c r="Z7" s="1430"/>
      <c r="AA7" s="1430"/>
      <c r="AB7" s="1430"/>
      <c r="AC7" s="1430"/>
      <c r="AD7" s="1430"/>
      <c r="AE7" s="1430"/>
      <c r="AF7" s="1430"/>
      <c r="AG7" s="1430"/>
      <c r="AH7" s="1430"/>
      <c r="AI7" s="1430"/>
      <c r="AK7" s="982"/>
      <c r="AL7" s="982"/>
      <c r="AM7" s="982"/>
      <c r="AN7" s="982"/>
      <c r="AO7" s="982"/>
      <c r="AP7" s="982"/>
      <c r="AQ7" s="982"/>
      <c r="AR7" s="982"/>
      <c r="AS7" s="982"/>
      <c r="AT7" s="982"/>
      <c r="AU7" s="982"/>
      <c r="AV7" s="982"/>
      <c r="AW7" s="982"/>
      <c r="AX7" s="982"/>
      <c r="AY7" s="982"/>
      <c r="AZ7" s="982"/>
      <c r="BA7" s="982"/>
      <c r="BB7" s="982"/>
      <c r="BC7" s="982"/>
      <c r="BD7" s="982"/>
      <c r="BE7" s="982"/>
      <c r="BF7" s="982"/>
      <c r="BG7" s="982"/>
      <c r="BH7" s="982"/>
      <c r="BI7" s="982"/>
      <c r="BJ7" s="982"/>
      <c r="BK7" s="982"/>
      <c r="BL7" s="982"/>
      <c r="BM7" s="982"/>
      <c r="BN7" s="982"/>
      <c r="BO7" s="982"/>
      <c r="BP7" s="982"/>
      <c r="BQ7" s="982"/>
      <c r="BR7" s="982"/>
      <c r="BS7" s="982"/>
      <c r="BT7" s="982"/>
      <c r="BU7" s="982"/>
      <c r="BV7" s="982"/>
      <c r="BW7" s="982"/>
      <c r="BX7" s="982"/>
      <c r="BY7" s="982"/>
      <c r="BZ7" s="982"/>
      <c r="CA7" s="982"/>
      <c r="CB7" s="982"/>
      <c r="CC7" s="982"/>
      <c r="CD7" s="982"/>
      <c r="CE7" s="982"/>
      <c r="CF7" s="982"/>
      <c r="CG7" s="982"/>
      <c r="CH7" s="982"/>
      <c r="CI7" s="982"/>
      <c r="CJ7" s="982"/>
      <c r="CK7" s="982"/>
      <c r="CL7" s="982"/>
      <c r="CM7" s="982"/>
      <c r="CN7" s="982"/>
      <c r="CO7" s="982"/>
      <c r="CP7" s="982"/>
      <c r="CQ7" s="982"/>
      <c r="CR7" s="982"/>
      <c r="CS7" s="982"/>
      <c r="CT7" s="982"/>
      <c r="CU7" s="982"/>
      <c r="CV7" s="982"/>
    </row>
    <row r="8" spans="1:126" ht="18" customHeight="1">
      <c r="C8" s="1549" t="s">
        <v>1196</v>
      </c>
      <c r="D8" s="989"/>
      <c r="E8" s="989"/>
      <c r="F8" s="989"/>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row>
    <row r="9" spans="1:126" ht="14.5">
      <c r="D9" s="1"/>
      <c r="E9" s="1"/>
      <c r="AK9" s="1443" t="s">
        <v>1293</v>
      </c>
      <c r="AL9" s="1444" t="s">
        <v>1294</v>
      </c>
      <c r="AM9" s="1842" t="s">
        <v>1295</v>
      </c>
      <c r="AN9" s="1443" t="s">
        <v>1293</v>
      </c>
      <c r="AO9" s="1444" t="s">
        <v>1294</v>
      </c>
      <c r="AP9" s="1842" t="s">
        <v>1295</v>
      </c>
      <c r="AQ9" s="1443" t="s">
        <v>1293</v>
      </c>
      <c r="AR9" s="1444" t="s">
        <v>1294</v>
      </c>
      <c r="AS9" s="1842" t="s">
        <v>1295</v>
      </c>
      <c r="AT9" s="1443" t="s">
        <v>1293</v>
      </c>
      <c r="AU9" s="1444" t="s">
        <v>1294</v>
      </c>
      <c r="AV9" s="1842" t="s">
        <v>1295</v>
      </c>
      <c r="AW9" s="1443" t="s">
        <v>1293</v>
      </c>
      <c r="AX9" s="1444" t="s">
        <v>1294</v>
      </c>
      <c r="AY9" s="1842" t="s">
        <v>1295</v>
      </c>
      <c r="AZ9" s="1443" t="s">
        <v>1293</v>
      </c>
      <c r="BA9" s="1444" t="s">
        <v>1294</v>
      </c>
      <c r="BB9" s="1843" t="s">
        <v>1295</v>
      </c>
      <c r="BC9" s="1443" t="s">
        <v>1293</v>
      </c>
      <c r="BD9" s="1444" t="s">
        <v>1294</v>
      </c>
      <c r="BE9" s="1842" t="s">
        <v>1295</v>
      </c>
      <c r="BF9" s="1445" t="s">
        <v>1293</v>
      </c>
      <c r="BG9" s="1444" t="s">
        <v>1294</v>
      </c>
      <c r="BH9" s="1843" t="s">
        <v>1295</v>
      </c>
      <c r="BI9" s="1443" t="s">
        <v>1293</v>
      </c>
      <c r="BJ9" s="1444" t="s">
        <v>1294</v>
      </c>
      <c r="BK9" s="1842" t="s">
        <v>1295</v>
      </c>
      <c r="BL9" s="1445" t="s">
        <v>1293</v>
      </c>
      <c r="BM9" s="1444" t="s">
        <v>1294</v>
      </c>
      <c r="BN9" s="1843" t="s">
        <v>1295</v>
      </c>
      <c r="BO9" s="1443" t="s">
        <v>1293</v>
      </c>
      <c r="BP9" s="1444" t="s">
        <v>1294</v>
      </c>
      <c r="BQ9" s="1842" t="s">
        <v>1295</v>
      </c>
      <c r="BR9" s="1445" t="s">
        <v>1293</v>
      </c>
      <c r="BS9" s="1444" t="s">
        <v>1294</v>
      </c>
      <c r="BT9" s="1843" t="s">
        <v>1295</v>
      </c>
      <c r="BU9" s="1443" t="s">
        <v>1293</v>
      </c>
      <c r="BV9" s="1444" t="s">
        <v>1294</v>
      </c>
      <c r="BW9" s="1842" t="s">
        <v>1295</v>
      </c>
      <c r="BX9" s="1445" t="s">
        <v>1293</v>
      </c>
      <c r="BY9" s="1444" t="s">
        <v>1294</v>
      </c>
      <c r="BZ9" s="1843" t="s">
        <v>1295</v>
      </c>
      <c r="CA9" s="1443" t="s">
        <v>1293</v>
      </c>
      <c r="CB9" s="1444" t="s">
        <v>1294</v>
      </c>
      <c r="CC9" s="1842" t="s">
        <v>1295</v>
      </c>
      <c r="CD9" s="1445" t="s">
        <v>1293</v>
      </c>
      <c r="CE9" s="1444" t="s">
        <v>1294</v>
      </c>
      <c r="CF9" s="1843" t="s">
        <v>1295</v>
      </c>
      <c r="CG9" s="1443" t="s">
        <v>1293</v>
      </c>
      <c r="CH9" s="1444" t="s">
        <v>1294</v>
      </c>
      <c r="CI9" s="1842" t="s">
        <v>1295</v>
      </c>
      <c r="CJ9" s="1445" t="s">
        <v>1293</v>
      </c>
      <c r="CK9" s="1444" t="s">
        <v>1294</v>
      </c>
      <c r="CL9" s="1843" t="s">
        <v>1295</v>
      </c>
      <c r="CM9" s="1443" t="s">
        <v>1293</v>
      </c>
      <c r="CN9" s="1444" t="s">
        <v>1294</v>
      </c>
      <c r="CO9" s="1842" t="s">
        <v>1295</v>
      </c>
      <c r="CP9" s="1445" t="s">
        <v>1293</v>
      </c>
      <c r="CQ9" s="1444" t="s">
        <v>1294</v>
      </c>
      <c r="CR9" s="1843" t="s">
        <v>1295</v>
      </c>
      <c r="CS9" s="1443" t="s">
        <v>1293</v>
      </c>
      <c r="CT9" s="1444" t="s">
        <v>1294</v>
      </c>
      <c r="CU9" s="1842" t="s">
        <v>1295</v>
      </c>
      <c r="CV9" s="1445" t="s">
        <v>1293</v>
      </c>
      <c r="CW9" s="1444" t="s">
        <v>1294</v>
      </c>
      <c r="CX9" s="1843" t="s">
        <v>1295</v>
      </c>
      <c r="CY9" s="1443" t="s">
        <v>1293</v>
      </c>
      <c r="CZ9" s="1444" t="s">
        <v>1294</v>
      </c>
      <c r="DA9" s="1842" t="s">
        <v>1295</v>
      </c>
      <c r="DB9" s="1445" t="s">
        <v>1293</v>
      </c>
      <c r="DC9" s="1444" t="s">
        <v>1294</v>
      </c>
      <c r="DD9" s="1843" t="s">
        <v>1295</v>
      </c>
      <c r="DE9" s="1443" t="s">
        <v>1293</v>
      </c>
      <c r="DF9" s="1444" t="s">
        <v>1294</v>
      </c>
      <c r="DG9" s="1842" t="s">
        <v>1295</v>
      </c>
      <c r="DH9" s="1445" t="s">
        <v>1293</v>
      </c>
      <c r="DI9" s="1444" t="s">
        <v>1294</v>
      </c>
      <c r="DJ9" s="1843" t="s">
        <v>1295</v>
      </c>
      <c r="DK9" s="1443" t="s">
        <v>1293</v>
      </c>
      <c r="DL9" s="1444" t="s">
        <v>1294</v>
      </c>
      <c r="DM9" s="1842" t="s">
        <v>1295</v>
      </c>
      <c r="DN9" s="1445" t="s">
        <v>1293</v>
      </c>
      <c r="DO9" s="1444" t="s">
        <v>1294</v>
      </c>
      <c r="DP9" s="1843" t="s">
        <v>1295</v>
      </c>
      <c r="DQ9" s="1443" t="s">
        <v>1293</v>
      </c>
      <c r="DR9" s="1444" t="s">
        <v>1294</v>
      </c>
      <c r="DS9" s="1842" t="s">
        <v>1295</v>
      </c>
      <c r="DT9" s="1445" t="s">
        <v>1293</v>
      </c>
      <c r="DU9" s="1444" t="s">
        <v>1294</v>
      </c>
      <c r="DV9" s="1842" t="s">
        <v>1295</v>
      </c>
    </row>
    <row r="10" spans="1:126" s="984" customFormat="1" ht="25.5" customHeight="1">
      <c r="B10" s="579"/>
      <c r="C10" s="957"/>
      <c r="D10" s="889" t="s">
        <v>1118</v>
      </c>
      <c r="E10" s="1732" t="s">
        <v>1649</v>
      </c>
      <c r="F10" s="1727" t="str">
        <f>CRY</f>
        <v>2025-26</v>
      </c>
      <c r="G10" s="1728" t="str">
        <f>IF(dms_RPT="financial",(VALUE(LEFT(F10,4)-1)&amp;"-"&amp;MID(F10,3,2)),VALUE(LEFT(F10,4)-1))</f>
        <v>2024-25</v>
      </c>
      <c r="H10" s="1728" t="str">
        <f t="shared" ref="H10:AI10" si="0">IF(dms_RPT="financial",(VALUE(LEFT(G10,4)-1)&amp;"-"&amp;MID(G10,3,2)),VALUE(LEFT(G10,4)-1))</f>
        <v>2023-24</v>
      </c>
      <c r="I10" s="1728" t="str">
        <f t="shared" si="0"/>
        <v>2022-23</v>
      </c>
      <c r="J10" s="1728" t="str">
        <f t="shared" si="0"/>
        <v>2021-22</v>
      </c>
      <c r="K10" s="1728" t="str">
        <f t="shared" si="0"/>
        <v>2020-21</v>
      </c>
      <c r="L10" s="1726" t="str">
        <f t="shared" si="0"/>
        <v>2019-20</v>
      </c>
      <c r="M10" s="1724" t="str">
        <f t="shared" si="0"/>
        <v>2018-19</v>
      </c>
      <c r="N10" s="1725" t="str">
        <f t="shared" si="0"/>
        <v>2017-18</v>
      </c>
      <c r="O10" s="1725" t="str">
        <f t="shared" si="0"/>
        <v>2016-17</v>
      </c>
      <c r="P10" s="1725" t="str">
        <f t="shared" si="0"/>
        <v>2015-16</v>
      </c>
      <c r="Q10" s="1725" t="str">
        <f t="shared" si="0"/>
        <v>2014-15</v>
      </c>
      <c r="R10" s="1725" t="str">
        <f t="shared" si="0"/>
        <v>2013-14</v>
      </c>
      <c r="S10" s="1725" t="str">
        <f t="shared" si="0"/>
        <v>2012-13</v>
      </c>
      <c r="T10" s="1725" t="str">
        <f t="shared" si="0"/>
        <v>2011-12</v>
      </c>
      <c r="U10" s="1725" t="str">
        <f t="shared" si="0"/>
        <v>2010-11</v>
      </c>
      <c r="V10" s="1726" t="str">
        <f t="shared" si="0"/>
        <v>2009-10</v>
      </c>
      <c r="W10" s="1724" t="str">
        <f t="shared" si="0"/>
        <v>2008-09</v>
      </c>
      <c r="X10" s="1725" t="str">
        <f t="shared" si="0"/>
        <v>2007-08</v>
      </c>
      <c r="Y10" s="1725" t="str">
        <f t="shared" si="0"/>
        <v>2006-07</v>
      </c>
      <c r="Z10" s="1725" t="str">
        <f t="shared" si="0"/>
        <v>2005-06</v>
      </c>
      <c r="AA10" s="1725" t="str">
        <f t="shared" si="0"/>
        <v>2004-05</v>
      </c>
      <c r="AB10" s="1725" t="str">
        <f t="shared" si="0"/>
        <v>2003-04</v>
      </c>
      <c r="AC10" s="1725" t="str">
        <f t="shared" si="0"/>
        <v>2002-03</v>
      </c>
      <c r="AD10" s="1725" t="str">
        <f t="shared" si="0"/>
        <v>2001-02</v>
      </c>
      <c r="AE10" s="1725" t="str">
        <f t="shared" si="0"/>
        <v>2000-01</v>
      </c>
      <c r="AF10" s="1726" t="str">
        <f t="shared" si="0"/>
        <v>1999-00</v>
      </c>
      <c r="AG10" s="1723" t="str">
        <f t="shared" si="0"/>
        <v>1998-99</v>
      </c>
      <c r="AH10" s="1074" t="str">
        <f t="shared" si="0"/>
        <v>1997-98</v>
      </c>
      <c r="AI10" s="1075" t="str">
        <f t="shared" si="0"/>
        <v>1996-97</v>
      </c>
      <c r="AK10" s="2040" t="str">
        <f>F10</f>
        <v>2025-26</v>
      </c>
      <c r="AL10" s="2041"/>
      <c r="AM10" s="2041"/>
      <c r="AN10" s="2040" t="str">
        <f>G10</f>
        <v>2024-25</v>
      </c>
      <c r="AO10" s="2041"/>
      <c r="AP10" s="2041"/>
      <c r="AQ10" s="2040" t="str">
        <f>H10</f>
        <v>2023-24</v>
      </c>
      <c r="AR10" s="2041"/>
      <c r="AS10" s="2041"/>
      <c r="AT10" s="2040" t="str">
        <f>I10</f>
        <v>2022-23</v>
      </c>
      <c r="AU10" s="2041"/>
      <c r="AV10" s="2041"/>
      <c r="AW10" s="2040" t="str">
        <f>J10</f>
        <v>2021-22</v>
      </c>
      <c r="AX10" s="2041"/>
      <c r="AY10" s="2041"/>
      <c r="AZ10" s="2040" t="str">
        <f>K10</f>
        <v>2020-21</v>
      </c>
      <c r="BA10" s="2041"/>
      <c r="BB10" s="2041"/>
      <c r="BC10" s="2040" t="str">
        <f>L10</f>
        <v>2019-20</v>
      </c>
      <c r="BD10" s="2041"/>
      <c r="BE10" s="2042"/>
      <c r="BF10" s="2041" t="str">
        <f>M10</f>
        <v>2018-19</v>
      </c>
      <c r="BG10" s="2041"/>
      <c r="BH10" s="2041"/>
      <c r="BI10" s="2040" t="str">
        <f>N10</f>
        <v>2017-18</v>
      </c>
      <c r="BJ10" s="2041"/>
      <c r="BK10" s="2042"/>
      <c r="BL10" s="2041" t="str">
        <f>O10</f>
        <v>2016-17</v>
      </c>
      <c r="BM10" s="2041"/>
      <c r="BN10" s="2041"/>
      <c r="BO10" s="2040" t="str">
        <f>P10</f>
        <v>2015-16</v>
      </c>
      <c r="BP10" s="2041"/>
      <c r="BQ10" s="2042"/>
      <c r="BR10" s="2041" t="str">
        <f>Q10</f>
        <v>2014-15</v>
      </c>
      <c r="BS10" s="2041"/>
      <c r="BT10" s="2041"/>
      <c r="BU10" s="2040" t="str">
        <f>R10</f>
        <v>2013-14</v>
      </c>
      <c r="BV10" s="2041"/>
      <c r="BW10" s="2042"/>
      <c r="BX10" s="2041" t="str">
        <f>S10</f>
        <v>2012-13</v>
      </c>
      <c r="BY10" s="2041"/>
      <c r="BZ10" s="2041"/>
      <c r="CA10" s="2040" t="str">
        <f>T10</f>
        <v>2011-12</v>
      </c>
      <c r="CB10" s="2041"/>
      <c r="CC10" s="2042"/>
      <c r="CD10" s="2041" t="str">
        <f>U10</f>
        <v>2010-11</v>
      </c>
      <c r="CE10" s="2041"/>
      <c r="CF10" s="2041"/>
      <c r="CG10" s="2040" t="str">
        <f>V10</f>
        <v>2009-10</v>
      </c>
      <c r="CH10" s="2041"/>
      <c r="CI10" s="2042"/>
      <c r="CJ10" s="2041" t="str">
        <f>W10</f>
        <v>2008-09</v>
      </c>
      <c r="CK10" s="2041"/>
      <c r="CL10" s="2041"/>
      <c r="CM10" s="2040" t="str">
        <f>X10</f>
        <v>2007-08</v>
      </c>
      <c r="CN10" s="2041"/>
      <c r="CO10" s="2042"/>
      <c r="CP10" s="2041" t="str">
        <f>Y10</f>
        <v>2006-07</v>
      </c>
      <c r="CQ10" s="2041"/>
      <c r="CR10" s="2041"/>
      <c r="CS10" s="2040" t="str">
        <f>Z10</f>
        <v>2005-06</v>
      </c>
      <c r="CT10" s="2041"/>
      <c r="CU10" s="2042"/>
      <c r="CV10" s="2041" t="str">
        <f>AA10</f>
        <v>2004-05</v>
      </c>
      <c r="CW10" s="2041"/>
      <c r="CX10" s="2041"/>
      <c r="CY10" s="2040" t="str">
        <f>AB10</f>
        <v>2003-04</v>
      </c>
      <c r="CZ10" s="2041"/>
      <c r="DA10" s="2042"/>
      <c r="DB10" s="2041" t="str">
        <f>AC10</f>
        <v>2002-03</v>
      </c>
      <c r="DC10" s="2041"/>
      <c r="DD10" s="2041"/>
      <c r="DE10" s="2040" t="str">
        <f>AD10</f>
        <v>2001-02</v>
      </c>
      <c r="DF10" s="2041"/>
      <c r="DG10" s="2042"/>
      <c r="DH10" s="2041" t="str">
        <f>AE10</f>
        <v>2000-01</v>
      </c>
      <c r="DI10" s="2041"/>
      <c r="DJ10" s="2041"/>
      <c r="DK10" s="2040" t="str">
        <f>AF10</f>
        <v>1999-00</v>
      </c>
      <c r="DL10" s="2041"/>
      <c r="DM10" s="2042"/>
      <c r="DN10" s="2041" t="str">
        <f>AG10</f>
        <v>1998-99</v>
      </c>
      <c r="DO10" s="2041"/>
      <c r="DP10" s="2041"/>
      <c r="DQ10" s="2040" t="str">
        <f>AH10</f>
        <v>1997-98</v>
      </c>
      <c r="DR10" s="2041"/>
      <c r="DS10" s="2042"/>
      <c r="DT10" s="2041" t="str">
        <f>AI10</f>
        <v>1996-97</v>
      </c>
      <c r="DU10" s="2041"/>
      <c r="DV10" s="2042"/>
    </row>
    <row r="11" spans="1:126" s="579" customFormat="1" ht="15" customHeight="1">
      <c r="A11" s="576"/>
      <c r="B11" s="1"/>
      <c r="C11" s="1011" t="s">
        <v>57</v>
      </c>
      <c r="D11" s="1730" t="s">
        <v>990</v>
      </c>
      <c r="E11" s="1734">
        <f>SUM(F11:AI11)</f>
        <v>0</v>
      </c>
      <c r="F11" s="1295"/>
      <c r="G11" s="1048"/>
      <c r="H11" s="1048"/>
      <c r="I11" s="1048"/>
      <c r="J11" s="1048"/>
      <c r="K11" s="1048"/>
      <c r="L11" s="1048"/>
      <c r="M11" s="1048"/>
      <c r="N11" s="1048"/>
      <c r="O11" s="1048"/>
      <c r="P11" s="1048"/>
      <c r="Q11" s="1048"/>
      <c r="R11" s="1048"/>
      <c r="S11" s="1048"/>
      <c r="T11" s="1048"/>
      <c r="U11" s="1048"/>
      <c r="V11" s="1048"/>
      <c r="W11" s="1048"/>
      <c r="X11" s="1048"/>
      <c r="Y11" s="1048"/>
      <c r="Z11" s="1048"/>
      <c r="AA11" s="1048"/>
      <c r="AB11" s="1048"/>
      <c r="AC11" s="1048"/>
      <c r="AD11" s="1048"/>
      <c r="AE11" s="1048"/>
      <c r="AF11" s="1048"/>
      <c r="AG11" s="1048"/>
      <c r="AH11" s="1048"/>
      <c r="AI11" s="977"/>
      <c r="AK11" s="1202" t="str">
        <f>IF(ISNONTEXT(F11)=TRUE,"","X")</f>
        <v/>
      </c>
      <c r="AL11" s="1203" t="str">
        <f>IF(AND(F11&gt;=0)=TRUE,"","X")</f>
        <v/>
      </c>
      <c r="AM11" s="1436"/>
      <c r="AN11" s="1202" t="str">
        <f>IF(ISNONTEXT(G11)=TRUE,"","X")</f>
        <v/>
      </c>
      <c r="AO11" s="1203" t="str">
        <f>IF(AND(G11&gt;=0)=TRUE,"","X")</f>
        <v/>
      </c>
      <c r="AP11" s="1436"/>
      <c r="AQ11" s="1202" t="str">
        <f>IF(ISNONTEXT(H11)=TRUE,"","X")</f>
        <v/>
      </c>
      <c r="AR11" s="1203" t="str">
        <f>IF(AND(H11&gt;=0)=TRUE,"","X")</f>
        <v/>
      </c>
      <c r="AS11" s="1436"/>
      <c r="AT11" s="1202" t="str">
        <f>IF(ISNONTEXT(I11)=TRUE,"","X")</f>
        <v/>
      </c>
      <c r="AU11" s="1203" t="str">
        <f>IF(AND(I11&gt;=0)=TRUE,"","X")</f>
        <v/>
      </c>
      <c r="AV11" s="1436"/>
      <c r="AW11" s="1202" t="str">
        <f>IF(ISNONTEXT(J11)=TRUE,"","X")</f>
        <v/>
      </c>
      <c r="AX11" s="1203" t="str">
        <f>IF(AND(J11&gt;=0)=TRUE,"","X")</f>
        <v/>
      </c>
      <c r="AY11" s="1436"/>
      <c r="AZ11" s="1202" t="str">
        <f>IF(ISNONTEXT(K11)=TRUE,"","X")</f>
        <v/>
      </c>
      <c r="BA11" s="1203" t="str">
        <f>IF(AND(K11&gt;=0)=TRUE,"","X")</f>
        <v/>
      </c>
      <c r="BB11" s="1437"/>
      <c r="BC11" s="1202" t="str">
        <f>IF(ISNONTEXT(L11)=TRUE,"","X")</f>
        <v/>
      </c>
      <c r="BD11" s="1203" t="str">
        <f>IF(AND(L11&gt;=0)=TRUE,"","X")</f>
        <v/>
      </c>
      <c r="BE11" s="1287"/>
      <c r="BF11" s="1438" t="str">
        <f>IF(ISNONTEXT(M11)=TRUE,"","X")</f>
        <v/>
      </c>
      <c r="BG11" s="1203" t="str">
        <f>IF(AND(M11&gt;=0)=TRUE,"","X")</f>
        <v/>
      </c>
      <c r="BH11" s="1288"/>
      <c r="BI11" s="1202" t="str">
        <f>IF(ISNONTEXT(N11)=TRUE,"","X")</f>
        <v/>
      </c>
      <c r="BJ11" s="1203" t="str">
        <f>IF(AND(N11&gt;=0)=TRUE,"","X")</f>
        <v/>
      </c>
      <c r="BK11" s="1287"/>
      <c r="BL11" s="1438" t="str">
        <f>IF(ISNONTEXT(O11)=TRUE,"","X")</f>
        <v/>
      </c>
      <c r="BM11" s="1203" t="str">
        <f>IF(AND(O11&gt;=0)=TRUE,"","X")</f>
        <v/>
      </c>
      <c r="BN11" s="1288"/>
      <c r="BO11" s="1202" t="str">
        <f>IF(ISNONTEXT(P11)=TRUE,"","X")</f>
        <v/>
      </c>
      <c r="BP11" s="1203" t="str">
        <f>IF(AND(P11&gt;=0)=TRUE,"","X")</f>
        <v/>
      </c>
      <c r="BQ11" s="1287"/>
      <c r="BR11" s="1438" t="str">
        <f>IF(ISNONTEXT(Q11)=TRUE,"","X")</f>
        <v/>
      </c>
      <c r="BS11" s="1203" t="str">
        <f>IF(AND(Q11&gt;=0)=TRUE,"","X")</f>
        <v/>
      </c>
      <c r="BT11" s="1288"/>
      <c r="BU11" s="1202" t="str">
        <f>IF(ISNONTEXT(R11)=TRUE,"","X")</f>
        <v/>
      </c>
      <c r="BV11" s="1203" t="str">
        <f>IF(AND(R11&gt;=0)=TRUE,"","X")</f>
        <v/>
      </c>
      <c r="BW11" s="1287"/>
      <c r="BX11" s="1438" t="str">
        <f>IF(ISNONTEXT(S11)=TRUE,"","X")</f>
        <v/>
      </c>
      <c r="BY11" s="1203" t="str">
        <f>IF(AND(S11&gt;=0)=TRUE,"","X")</f>
        <v/>
      </c>
      <c r="BZ11" s="1288"/>
      <c r="CA11" s="1202" t="str">
        <f>IF(ISNONTEXT(T11)=TRUE,"","X")</f>
        <v/>
      </c>
      <c r="CB11" s="1203" t="str">
        <f>IF(AND(T11&gt;=0)=TRUE,"","X")</f>
        <v/>
      </c>
      <c r="CC11" s="1287"/>
      <c r="CD11" s="1438" t="str">
        <f>IF(ISNONTEXT(U11)=TRUE,"","X")</f>
        <v/>
      </c>
      <c r="CE11" s="1203" t="str">
        <f>IF(AND(U11&gt;=0)=TRUE,"","X")</f>
        <v/>
      </c>
      <c r="CF11" s="1288"/>
      <c r="CG11" s="1202" t="str">
        <f>IF(ISNONTEXT(V11)=TRUE,"","X")</f>
        <v/>
      </c>
      <c r="CH11" s="1203" t="str">
        <f>IF(AND(V11&gt;=0)=TRUE,"","X")</f>
        <v/>
      </c>
      <c r="CI11" s="1287"/>
      <c r="CJ11" s="1438" t="str">
        <f>IF(ISNONTEXT(W11)=TRUE,"","X")</f>
        <v/>
      </c>
      <c r="CK11" s="1203" t="str">
        <f>IF(AND(W11&gt;=0)=TRUE,"","X")</f>
        <v/>
      </c>
      <c r="CL11" s="1288"/>
      <c r="CM11" s="1202" t="str">
        <f>IF(ISNONTEXT(X11)=TRUE,"","X")</f>
        <v/>
      </c>
      <c r="CN11" s="1203" t="str">
        <f>IF(AND(X11&gt;=0)=TRUE,"","X")</f>
        <v/>
      </c>
      <c r="CO11" s="1287"/>
      <c r="CP11" s="1438" t="str">
        <f>IF(ISNONTEXT(Y11)=TRUE,"","X")</f>
        <v/>
      </c>
      <c r="CQ11" s="1203" t="str">
        <f>IF(AND(Y11&gt;=0)=TRUE,"","X")</f>
        <v/>
      </c>
      <c r="CR11" s="1288"/>
      <c r="CS11" s="1202" t="str">
        <f>IF(ISNONTEXT(Z11)=TRUE,"","X")</f>
        <v/>
      </c>
      <c r="CT11" s="1203" t="str">
        <f>IF(AND(Z11&gt;=0)=TRUE,"","X")</f>
        <v/>
      </c>
      <c r="CU11" s="1287"/>
      <c r="CV11" s="1438" t="str">
        <f>IF(ISNONTEXT(AA11)=TRUE,"","X")</f>
        <v/>
      </c>
      <c r="CW11" s="1203" t="str">
        <f>IF(AND(AA11&gt;=0)=TRUE,"","X")</f>
        <v/>
      </c>
      <c r="CX11" s="1288"/>
      <c r="CY11" s="1202" t="str">
        <f>IF(ISNONTEXT(AB11)=TRUE,"","X")</f>
        <v/>
      </c>
      <c r="CZ11" s="1203" t="str">
        <f>IF(AND(AB11&gt;=0)=TRUE,"","X")</f>
        <v/>
      </c>
      <c r="DA11" s="1287"/>
      <c r="DB11" s="1438" t="str">
        <f>IF(ISNONTEXT(AC11)=TRUE,"","X")</f>
        <v/>
      </c>
      <c r="DC11" s="1203" t="str">
        <f>IF(AND(AC11&gt;=0)=TRUE,"","X")</f>
        <v/>
      </c>
      <c r="DD11" s="1288"/>
      <c r="DE11" s="1202" t="str">
        <f>IF(ISNONTEXT(AD11)=TRUE,"","X")</f>
        <v/>
      </c>
      <c r="DF11" s="1203" t="str">
        <f>IF(AND(AD11&gt;=0)=TRUE,"","X")</f>
        <v/>
      </c>
      <c r="DG11" s="1287"/>
      <c r="DH11" s="1438" t="str">
        <f>IF(ISNONTEXT(AE11)=TRUE,"","X")</f>
        <v/>
      </c>
      <c r="DI11" s="1203" t="str">
        <f>IF(AND(AE11&gt;=0)=TRUE,"","X")</f>
        <v/>
      </c>
      <c r="DJ11" s="1288"/>
      <c r="DK11" s="1202" t="str">
        <f>IF(ISNONTEXT(AF11)=TRUE,"","X")</f>
        <v/>
      </c>
      <c r="DL11" s="1203" t="str">
        <f>IF(AND(AF11&gt;=0)=TRUE,"","X")</f>
        <v/>
      </c>
      <c r="DM11" s="1287"/>
      <c r="DN11" s="1438" t="str">
        <f>IF(ISNONTEXT(AG11)=TRUE,"","X")</f>
        <v/>
      </c>
      <c r="DO11" s="1203" t="str">
        <f>IF(AND(AG11&gt;=0)=TRUE,"","X")</f>
        <v/>
      </c>
      <c r="DP11" s="1288"/>
      <c r="DQ11" s="1202" t="str">
        <f>IF(ISNONTEXT(AH11)=TRUE,"","X")</f>
        <v/>
      </c>
      <c r="DR11" s="1203" t="str">
        <f>IF(AND(AH11&gt;=0)=TRUE,"","X")</f>
        <v/>
      </c>
      <c r="DS11" s="1287"/>
      <c r="DT11" s="1438" t="str">
        <f>IF(ISNONTEXT(AI11)=TRUE,"","X")</f>
        <v/>
      </c>
      <c r="DU11" s="1203" t="str">
        <f>IF(AND(AI11&gt;=0)=TRUE,"","X")</f>
        <v/>
      </c>
      <c r="DV11" s="1287"/>
    </row>
    <row r="12" spans="1:126" s="579" customFormat="1" ht="15" customHeight="1">
      <c r="A12" s="576"/>
      <c r="B12" s="952"/>
      <c r="C12" s="1015" t="s">
        <v>58</v>
      </c>
      <c r="D12" s="1729" t="s">
        <v>990</v>
      </c>
      <c r="E12" s="1733">
        <f t="shared" ref="E12:E19" si="1">SUM(F12:AI12)</f>
        <v>0</v>
      </c>
      <c r="F12" s="1042"/>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978"/>
      <c r="AK12" s="1182" t="str">
        <f t="shared" ref="AK12:AK15" si="2">IF(ISNONTEXT(F12)=TRUE,"","X")</f>
        <v/>
      </c>
      <c r="AL12" s="1178" t="str">
        <f t="shared" ref="AL12:AL15" si="3">IF(AND(F12&gt;=0)=TRUE,"","X")</f>
        <v/>
      </c>
      <c r="AM12" s="1179"/>
      <c r="AN12" s="1182" t="str">
        <f t="shared" ref="AN12:AN15" si="4">IF(ISNONTEXT(G12)=TRUE,"","X")</f>
        <v/>
      </c>
      <c r="AO12" s="1178" t="str">
        <f t="shared" ref="AO12:AO15" si="5">IF(AND(G12&gt;=0)=TRUE,"","X")</f>
        <v/>
      </c>
      <c r="AP12" s="1179"/>
      <c r="AQ12" s="1182" t="str">
        <f t="shared" ref="AQ12:AQ15" si="6">IF(ISNONTEXT(H12)=TRUE,"","X")</f>
        <v/>
      </c>
      <c r="AR12" s="1178" t="str">
        <f t="shared" ref="AR12:AR15" si="7">IF(AND(H12&gt;=0)=TRUE,"","X")</f>
        <v/>
      </c>
      <c r="AS12" s="1179"/>
      <c r="AT12" s="1182" t="str">
        <f t="shared" ref="AT12:AT15" si="8">IF(ISNONTEXT(I12)=TRUE,"","X")</f>
        <v/>
      </c>
      <c r="AU12" s="1178" t="str">
        <f t="shared" ref="AU12:AU15" si="9">IF(AND(I12&gt;=0)=TRUE,"","X")</f>
        <v/>
      </c>
      <c r="AV12" s="1179"/>
      <c r="AW12" s="1182" t="str">
        <f t="shared" ref="AW12:AW15" si="10">IF(ISNONTEXT(J12)=TRUE,"","X")</f>
        <v/>
      </c>
      <c r="AX12" s="1178" t="str">
        <f t="shared" ref="AX12:AX15" si="11">IF(AND(J12&gt;=0)=TRUE,"","X")</f>
        <v/>
      </c>
      <c r="AY12" s="1179"/>
      <c r="AZ12" s="1182" t="str">
        <f t="shared" ref="AZ12:AZ15" si="12">IF(ISNONTEXT(N12)=TRUE,"","X")</f>
        <v/>
      </c>
      <c r="BA12" s="1178" t="str">
        <f t="shared" ref="BA12:BA15" si="13">IF(AND(N12&gt;=0)=TRUE,"","X")</f>
        <v/>
      </c>
      <c r="BB12" s="1439"/>
      <c r="BC12" s="1182" t="str">
        <f t="shared" ref="BC12:BC19" si="14">IF(ISNONTEXT(L12)=TRUE,"","X")</f>
        <v/>
      </c>
      <c r="BD12" s="1178" t="str">
        <f t="shared" ref="BD12:BD19" si="15">IF(AND(L12&gt;=0)=TRUE,"","X")</f>
        <v/>
      </c>
      <c r="BE12" s="1228"/>
      <c r="BF12" s="1440" t="str">
        <f t="shared" ref="BF12:BF19" si="16">IF(ISNONTEXT(M12)=TRUE,"","X")</f>
        <v/>
      </c>
      <c r="BG12" s="1178" t="str">
        <f t="shared" ref="BG12:BG19" si="17">IF(AND(M12&gt;=0)=TRUE,"","X")</f>
        <v/>
      </c>
      <c r="BH12" s="1285"/>
      <c r="BI12" s="1182" t="str">
        <f t="shared" ref="BI12:BI19" si="18">IF(ISNONTEXT(N12)=TRUE,"","X")</f>
        <v/>
      </c>
      <c r="BJ12" s="1178" t="str">
        <f t="shared" ref="BJ12:BJ19" si="19">IF(AND(N12&gt;=0)=TRUE,"","X")</f>
        <v/>
      </c>
      <c r="BK12" s="1228"/>
      <c r="BL12" s="1440" t="str">
        <f t="shared" ref="BL12:BL19" si="20">IF(ISNONTEXT(O12)=TRUE,"","X")</f>
        <v/>
      </c>
      <c r="BM12" s="1178" t="str">
        <f t="shared" ref="BM12:BM19" si="21">IF(AND(O12&gt;=0)=TRUE,"","X")</f>
        <v/>
      </c>
      <c r="BN12" s="1285"/>
      <c r="BO12" s="1182" t="str">
        <f t="shared" ref="BO12:BO19" si="22">IF(ISNONTEXT(P12)=TRUE,"","X")</f>
        <v/>
      </c>
      <c r="BP12" s="1178" t="str">
        <f t="shared" ref="BP12:BP19" si="23">IF(AND(P12&gt;=0)=TRUE,"","X")</f>
        <v/>
      </c>
      <c r="BQ12" s="1228"/>
      <c r="BR12" s="1440" t="str">
        <f t="shared" ref="BR12:BR19" si="24">IF(ISNONTEXT(Q12)=TRUE,"","X")</f>
        <v/>
      </c>
      <c r="BS12" s="1178" t="str">
        <f t="shared" ref="BS12:BS19" si="25">IF(AND(Q12&gt;=0)=TRUE,"","X")</f>
        <v/>
      </c>
      <c r="BT12" s="1285"/>
      <c r="BU12" s="1182" t="str">
        <f t="shared" ref="BU12:BU19" si="26">IF(ISNONTEXT(R12)=TRUE,"","X")</f>
        <v/>
      </c>
      <c r="BV12" s="1178" t="str">
        <f t="shared" ref="BV12:BV19" si="27">IF(AND(R12&gt;=0)=TRUE,"","X")</f>
        <v/>
      </c>
      <c r="BW12" s="1228"/>
      <c r="BX12" s="1440" t="str">
        <f t="shared" ref="BX12:BX19" si="28">IF(ISNONTEXT(S12)=TRUE,"","X")</f>
        <v/>
      </c>
      <c r="BY12" s="1178" t="str">
        <f t="shared" ref="BY12:BY19" si="29">IF(AND(S12&gt;=0)=TRUE,"","X")</f>
        <v/>
      </c>
      <c r="BZ12" s="1285"/>
      <c r="CA12" s="1182" t="str">
        <f t="shared" ref="CA12:CA19" si="30">IF(ISNONTEXT(T12)=TRUE,"","X")</f>
        <v/>
      </c>
      <c r="CB12" s="1178" t="str">
        <f t="shared" ref="CB12:CB19" si="31">IF(AND(T12&gt;=0)=TRUE,"","X")</f>
        <v/>
      </c>
      <c r="CC12" s="1228"/>
      <c r="CD12" s="1440" t="str">
        <f t="shared" ref="CD12:CD19" si="32">IF(ISNONTEXT(U12)=TRUE,"","X")</f>
        <v/>
      </c>
      <c r="CE12" s="1178" t="str">
        <f t="shared" ref="CE12:CE19" si="33">IF(AND(U12&gt;=0)=TRUE,"","X")</f>
        <v/>
      </c>
      <c r="CF12" s="1285"/>
      <c r="CG12" s="1182" t="str">
        <f t="shared" ref="CG12:CG19" si="34">IF(ISNONTEXT(V12)=TRUE,"","X")</f>
        <v/>
      </c>
      <c r="CH12" s="1178" t="str">
        <f t="shared" ref="CH12:CH19" si="35">IF(AND(V12&gt;=0)=TRUE,"","X")</f>
        <v/>
      </c>
      <c r="CI12" s="1228"/>
      <c r="CJ12" s="1440" t="str">
        <f t="shared" ref="CJ12:CJ19" si="36">IF(ISNONTEXT(W12)=TRUE,"","X")</f>
        <v/>
      </c>
      <c r="CK12" s="1178" t="str">
        <f t="shared" ref="CK12:CK19" si="37">IF(AND(W12&gt;=0)=TRUE,"","X")</f>
        <v/>
      </c>
      <c r="CL12" s="1285"/>
      <c r="CM12" s="1182" t="str">
        <f t="shared" ref="CM12:CM19" si="38">IF(ISNONTEXT(X12)=TRUE,"","X")</f>
        <v/>
      </c>
      <c r="CN12" s="1178" t="str">
        <f t="shared" ref="CN12:CN19" si="39">IF(AND(X12&gt;=0)=TRUE,"","X")</f>
        <v/>
      </c>
      <c r="CO12" s="1228"/>
      <c r="CP12" s="1440" t="str">
        <f t="shared" ref="CP12:CP19" si="40">IF(ISNONTEXT(Y12)=TRUE,"","X")</f>
        <v/>
      </c>
      <c r="CQ12" s="1178" t="str">
        <f t="shared" ref="CQ12:CQ19" si="41">IF(AND(Y12&gt;=0)=TRUE,"","X")</f>
        <v/>
      </c>
      <c r="CR12" s="1285"/>
      <c r="CS12" s="1182" t="str">
        <f t="shared" ref="CS12:CS19" si="42">IF(ISNONTEXT(Z12)=TRUE,"","X")</f>
        <v/>
      </c>
      <c r="CT12" s="1178" t="str">
        <f t="shared" ref="CT12:CT19" si="43">IF(AND(Z12&gt;=0)=TRUE,"","X")</f>
        <v/>
      </c>
      <c r="CU12" s="1228"/>
      <c r="CV12" s="1440" t="str">
        <f t="shared" ref="CV12:CV19" si="44">IF(ISNONTEXT(AA12)=TRUE,"","X")</f>
        <v/>
      </c>
      <c r="CW12" s="1178" t="str">
        <f t="shared" ref="CW12:CW19" si="45">IF(AND(AA12&gt;=0)=TRUE,"","X")</f>
        <v/>
      </c>
      <c r="CX12" s="1285"/>
      <c r="CY12" s="1182" t="str">
        <f t="shared" ref="CY12:CY19" si="46">IF(ISNONTEXT(AB12)=TRUE,"","X")</f>
        <v/>
      </c>
      <c r="CZ12" s="1178" t="str">
        <f t="shared" ref="CZ12:CZ19" si="47">IF(AND(AB12&gt;=0)=TRUE,"","X")</f>
        <v/>
      </c>
      <c r="DA12" s="1228"/>
      <c r="DB12" s="1440" t="str">
        <f t="shared" ref="DB12:DB19" si="48">IF(ISNONTEXT(AC12)=TRUE,"","X")</f>
        <v/>
      </c>
      <c r="DC12" s="1178" t="str">
        <f t="shared" ref="DC12:DC19" si="49">IF(AND(AC12&gt;=0)=TRUE,"","X")</f>
        <v/>
      </c>
      <c r="DD12" s="1285"/>
      <c r="DE12" s="1182" t="str">
        <f t="shared" ref="DE12:DE19" si="50">IF(ISNONTEXT(AD12)=TRUE,"","X")</f>
        <v/>
      </c>
      <c r="DF12" s="1178" t="str">
        <f t="shared" ref="DF12:DF19" si="51">IF(AND(AD12&gt;=0)=TRUE,"","X")</f>
        <v/>
      </c>
      <c r="DG12" s="1228"/>
      <c r="DH12" s="1440" t="str">
        <f t="shared" ref="DH12:DH19" si="52">IF(ISNONTEXT(AE12)=TRUE,"","X")</f>
        <v/>
      </c>
      <c r="DI12" s="1178" t="str">
        <f t="shared" ref="DI12:DI19" si="53">IF(AND(AE12&gt;=0)=TRUE,"","X")</f>
        <v/>
      </c>
      <c r="DJ12" s="1285"/>
      <c r="DK12" s="1182" t="str">
        <f>IF(ISNONTEXT(AF12)=TRUE,"","X")</f>
        <v/>
      </c>
      <c r="DL12" s="1178" t="str">
        <f>IF(AND(AF12&gt;=0)=TRUE,"","X")</f>
        <v/>
      </c>
      <c r="DM12" s="1228"/>
      <c r="DN12" s="1440" t="str">
        <f t="shared" ref="DN12:DN19" si="54">IF(ISNONTEXT(AG12)=TRUE,"","X")</f>
        <v/>
      </c>
      <c r="DO12" s="1178" t="str">
        <f t="shared" ref="DO12:DO19" si="55">IF(AND(AG12&gt;=0)=TRUE,"","X")</f>
        <v/>
      </c>
      <c r="DP12" s="1285"/>
      <c r="DQ12" s="1182" t="str">
        <f t="shared" ref="DQ12:DQ19" si="56">IF(ISNONTEXT(AH12)=TRUE,"","X")</f>
        <v/>
      </c>
      <c r="DR12" s="1178" t="str">
        <f t="shared" ref="DR12:DR19" si="57">IF(AND(AH12&gt;=0)=TRUE,"","X")</f>
        <v/>
      </c>
      <c r="DS12" s="1228"/>
      <c r="DT12" s="1440" t="str">
        <f t="shared" ref="DT12:DT19" si="58">IF(ISNONTEXT(AI12)=TRUE,"","X")</f>
        <v/>
      </c>
      <c r="DU12" s="1178" t="str">
        <f t="shared" ref="DU12:DU19" si="59">IF(AND(AI12&gt;=0)=TRUE,"","X")</f>
        <v/>
      </c>
      <c r="DV12" s="1228"/>
    </row>
    <row r="13" spans="1:126" s="579" customFormat="1" ht="15" customHeight="1">
      <c r="A13" s="576"/>
      <c r="B13" s="952"/>
      <c r="C13" s="1015" t="s">
        <v>59</v>
      </c>
      <c r="D13" s="1729" t="s">
        <v>45</v>
      </c>
      <c r="E13" s="1844">
        <f t="shared" si="1"/>
        <v>0</v>
      </c>
      <c r="F13" s="1380"/>
      <c r="G13" s="1381"/>
      <c r="H13" s="1381"/>
      <c r="I13" s="1381"/>
      <c r="J13" s="1381"/>
      <c r="K13" s="1381"/>
      <c r="L13" s="1381"/>
      <c r="M13" s="1381"/>
      <c r="N13" s="1381"/>
      <c r="O13" s="1381"/>
      <c r="P13" s="1381"/>
      <c r="Q13" s="1381"/>
      <c r="R13" s="1381"/>
      <c r="S13" s="1381"/>
      <c r="T13" s="1381"/>
      <c r="U13" s="1381"/>
      <c r="V13" s="1381"/>
      <c r="W13" s="1381"/>
      <c r="X13" s="1381"/>
      <c r="Y13" s="1381"/>
      <c r="Z13" s="1381"/>
      <c r="AA13" s="1381"/>
      <c r="AB13" s="1381"/>
      <c r="AC13" s="1381"/>
      <c r="AD13" s="1381"/>
      <c r="AE13" s="1381"/>
      <c r="AF13" s="1381"/>
      <c r="AG13" s="1381"/>
      <c r="AH13" s="1381"/>
      <c r="AI13" s="1382"/>
      <c r="AK13" s="1182" t="str">
        <f t="shared" si="2"/>
        <v/>
      </c>
      <c r="AL13" s="1178" t="str">
        <f t="shared" si="3"/>
        <v/>
      </c>
      <c r="AM13" s="1179"/>
      <c r="AN13" s="1182" t="str">
        <f t="shared" si="4"/>
        <v/>
      </c>
      <c r="AO13" s="1178" t="str">
        <f t="shared" si="5"/>
        <v/>
      </c>
      <c r="AP13" s="1179"/>
      <c r="AQ13" s="1182" t="str">
        <f t="shared" si="6"/>
        <v/>
      </c>
      <c r="AR13" s="1178" t="str">
        <f t="shared" si="7"/>
        <v/>
      </c>
      <c r="AS13" s="1179"/>
      <c r="AT13" s="1182" t="str">
        <f t="shared" si="8"/>
        <v/>
      </c>
      <c r="AU13" s="1178" t="str">
        <f t="shared" si="9"/>
        <v/>
      </c>
      <c r="AV13" s="1179"/>
      <c r="AW13" s="1182" t="str">
        <f t="shared" si="10"/>
        <v/>
      </c>
      <c r="AX13" s="1178" t="str">
        <f t="shared" si="11"/>
        <v/>
      </c>
      <c r="AY13" s="1179"/>
      <c r="AZ13" s="1182" t="str">
        <f t="shared" si="12"/>
        <v/>
      </c>
      <c r="BA13" s="1178" t="str">
        <f t="shared" si="13"/>
        <v/>
      </c>
      <c r="BB13" s="1439"/>
      <c r="BC13" s="1182" t="str">
        <f t="shared" si="14"/>
        <v/>
      </c>
      <c r="BD13" s="1178" t="str">
        <f t="shared" si="15"/>
        <v/>
      </c>
      <c r="BE13" s="1228"/>
      <c r="BF13" s="1440" t="str">
        <f t="shared" si="16"/>
        <v/>
      </c>
      <c r="BG13" s="1178" t="str">
        <f t="shared" si="17"/>
        <v/>
      </c>
      <c r="BH13" s="1285"/>
      <c r="BI13" s="1182" t="str">
        <f t="shared" si="18"/>
        <v/>
      </c>
      <c r="BJ13" s="1178" t="str">
        <f t="shared" si="19"/>
        <v/>
      </c>
      <c r="BK13" s="1228"/>
      <c r="BL13" s="1440" t="str">
        <f t="shared" si="20"/>
        <v/>
      </c>
      <c r="BM13" s="1178" t="str">
        <f t="shared" si="21"/>
        <v/>
      </c>
      <c r="BN13" s="1285"/>
      <c r="BO13" s="1182" t="str">
        <f t="shared" si="22"/>
        <v/>
      </c>
      <c r="BP13" s="1178" t="str">
        <f t="shared" si="23"/>
        <v/>
      </c>
      <c r="BQ13" s="1228"/>
      <c r="BR13" s="1440" t="str">
        <f t="shared" si="24"/>
        <v/>
      </c>
      <c r="BS13" s="1178" t="str">
        <f t="shared" si="25"/>
        <v/>
      </c>
      <c r="BT13" s="1285"/>
      <c r="BU13" s="1182" t="str">
        <f t="shared" si="26"/>
        <v/>
      </c>
      <c r="BV13" s="1178" t="str">
        <f t="shared" si="27"/>
        <v/>
      </c>
      <c r="BW13" s="1228"/>
      <c r="BX13" s="1440" t="str">
        <f t="shared" si="28"/>
        <v/>
      </c>
      <c r="BY13" s="1178" t="str">
        <f t="shared" si="29"/>
        <v/>
      </c>
      <c r="BZ13" s="1285"/>
      <c r="CA13" s="1182" t="str">
        <f t="shared" si="30"/>
        <v/>
      </c>
      <c r="CB13" s="1178" t="str">
        <f t="shared" si="31"/>
        <v/>
      </c>
      <c r="CC13" s="1228"/>
      <c r="CD13" s="1440" t="str">
        <f t="shared" si="32"/>
        <v/>
      </c>
      <c r="CE13" s="1178" t="str">
        <f t="shared" si="33"/>
        <v/>
      </c>
      <c r="CF13" s="1285"/>
      <c r="CG13" s="1182" t="str">
        <f t="shared" si="34"/>
        <v/>
      </c>
      <c r="CH13" s="1178" t="str">
        <f t="shared" si="35"/>
        <v/>
      </c>
      <c r="CI13" s="1228"/>
      <c r="CJ13" s="1440" t="str">
        <f t="shared" si="36"/>
        <v/>
      </c>
      <c r="CK13" s="1178" t="str">
        <f t="shared" si="37"/>
        <v/>
      </c>
      <c r="CL13" s="1285"/>
      <c r="CM13" s="1182" t="str">
        <f t="shared" si="38"/>
        <v/>
      </c>
      <c r="CN13" s="1178" t="str">
        <f t="shared" si="39"/>
        <v/>
      </c>
      <c r="CO13" s="1228"/>
      <c r="CP13" s="1440" t="str">
        <f t="shared" si="40"/>
        <v/>
      </c>
      <c r="CQ13" s="1178" t="str">
        <f t="shared" si="41"/>
        <v/>
      </c>
      <c r="CR13" s="1285"/>
      <c r="CS13" s="1182" t="str">
        <f t="shared" si="42"/>
        <v/>
      </c>
      <c r="CT13" s="1178" t="str">
        <f t="shared" si="43"/>
        <v/>
      </c>
      <c r="CU13" s="1228"/>
      <c r="CV13" s="1440" t="str">
        <f t="shared" si="44"/>
        <v/>
      </c>
      <c r="CW13" s="1178" t="str">
        <f t="shared" si="45"/>
        <v/>
      </c>
      <c r="CX13" s="1285"/>
      <c r="CY13" s="1182" t="str">
        <f t="shared" si="46"/>
        <v/>
      </c>
      <c r="CZ13" s="1178" t="str">
        <f t="shared" si="47"/>
        <v/>
      </c>
      <c r="DA13" s="1228"/>
      <c r="DB13" s="1440" t="str">
        <f t="shared" si="48"/>
        <v/>
      </c>
      <c r="DC13" s="1178" t="str">
        <f t="shared" si="49"/>
        <v/>
      </c>
      <c r="DD13" s="1285"/>
      <c r="DE13" s="1182" t="str">
        <f t="shared" si="50"/>
        <v/>
      </c>
      <c r="DF13" s="1178" t="str">
        <f t="shared" si="51"/>
        <v/>
      </c>
      <c r="DG13" s="1228"/>
      <c r="DH13" s="1440" t="str">
        <f t="shared" si="52"/>
        <v/>
      </c>
      <c r="DI13" s="1178" t="str">
        <f t="shared" si="53"/>
        <v/>
      </c>
      <c r="DJ13" s="1285"/>
      <c r="DK13" s="1182" t="str">
        <f>IF(ISNONTEXT(AF13)=TRUE,"","X")</f>
        <v/>
      </c>
      <c r="DL13" s="1178" t="str">
        <f>IF(AND(AF13&gt;=0)=TRUE,"","X")</f>
        <v/>
      </c>
      <c r="DM13" s="1228"/>
      <c r="DN13" s="1440" t="str">
        <f t="shared" si="54"/>
        <v/>
      </c>
      <c r="DO13" s="1178" t="str">
        <f t="shared" si="55"/>
        <v/>
      </c>
      <c r="DP13" s="1285"/>
      <c r="DQ13" s="1182" t="str">
        <f t="shared" si="56"/>
        <v/>
      </c>
      <c r="DR13" s="1178" t="str">
        <f t="shared" si="57"/>
        <v/>
      </c>
      <c r="DS13" s="1228"/>
      <c r="DT13" s="1440" t="str">
        <f t="shared" si="58"/>
        <v/>
      </c>
      <c r="DU13" s="1178" t="str">
        <f t="shared" si="59"/>
        <v/>
      </c>
      <c r="DV13" s="1228"/>
    </row>
    <row r="14" spans="1:126" s="579" customFormat="1" ht="15" customHeight="1">
      <c r="A14" s="576"/>
      <c r="B14" s="952"/>
      <c r="C14" s="1015" t="s">
        <v>60</v>
      </c>
      <c r="D14" s="1729" t="s">
        <v>45</v>
      </c>
      <c r="E14" s="1844">
        <f t="shared" si="1"/>
        <v>0</v>
      </c>
      <c r="F14" s="1380"/>
      <c r="G14" s="1381"/>
      <c r="H14" s="1381"/>
      <c r="I14" s="1381"/>
      <c r="J14" s="1381"/>
      <c r="K14" s="1381"/>
      <c r="L14" s="1381"/>
      <c r="M14" s="1381"/>
      <c r="N14" s="1381"/>
      <c r="O14" s="1381"/>
      <c r="P14" s="1381"/>
      <c r="Q14" s="1381"/>
      <c r="R14" s="1381"/>
      <c r="S14" s="1381"/>
      <c r="T14" s="1381"/>
      <c r="U14" s="1381"/>
      <c r="V14" s="1381"/>
      <c r="W14" s="1381"/>
      <c r="X14" s="1381"/>
      <c r="Y14" s="1381"/>
      <c r="Z14" s="1381"/>
      <c r="AA14" s="1381"/>
      <c r="AB14" s="1381"/>
      <c r="AC14" s="1381"/>
      <c r="AD14" s="1381"/>
      <c r="AE14" s="1381"/>
      <c r="AF14" s="1381"/>
      <c r="AG14" s="1381"/>
      <c r="AH14" s="1381"/>
      <c r="AI14" s="1382"/>
      <c r="AK14" s="1182" t="str">
        <f t="shared" si="2"/>
        <v/>
      </c>
      <c r="AL14" s="1178" t="str">
        <f t="shared" si="3"/>
        <v/>
      </c>
      <c r="AM14" s="1179"/>
      <c r="AN14" s="1182" t="str">
        <f t="shared" si="4"/>
        <v/>
      </c>
      <c r="AO14" s="1178" t="str">
        <f t="shared" si="5"/>
        <v/>
      </c>
      <c r="AP14" s="1179"/>
      <c r="AQ14" s="1182" t="str">
        <f t="shared" si="6"/>
        <v/>
      </c>
      <c r="AR14" s="1178" t="str">
        <f t="shared" si="7"/>
        <v/>
      </c>
      <c r="AS14" s="1179"/>
      <c r="AT14" s="1182" t="str">
        <f t="shared" si="8"/>
        <v/>
      </c>
      <c r="AU14" s="1178" t="str">
        <f t="shared" si="9"/>
        <v/>
      </c>
      <c r="AV14" s="1179"/>
      <c r="AW14" s="1182" t="str">
        <f t="shared" si="10"/>
        <v/>
      </c>
      <c r="AX14" s="1178" t="str">
        <f t="shared" si="11"/>
        <v/>
      </c>
      <c r="AY14" s="1179"/>
      <c r="AZ14" s="1182" t="str">
        <f t="shared" si="12"/>
        <v/>
      </c>
      <c r="BA14" s="1178" t="str">
        <f t="shared" si="13"/>
        <v/>
      </c>
      <c r="BB14" s="1439"/>
      <c r="BC14" s="1182" t="str">
        <f t="shared" si="14"/>
        <v/>
      </c>
      <c r="BD14" s="1178" t="str">
        <f t="shared" si="15"/>
        <v/>
      </c>
      <c r="BE14" s="1228"/>
      <c r="BF14" s="1440" t="str">
        <f t="shared" si="16"/>
        <v/>
      </c>
      <c r="BG14" s="1178" t="str">
        <f t="shared" si="17"/>
        <v/>
      </c>
      <c r="BH14" s="1285"/>
      <c r="BI14" s="1182" t="str">
        <f t="shared" si="18"/>
        <v/>
      </c>
      <c r="BJ14" s="1178" t="str">
        <f t="shared" si="19"/>
        <v/>
      </c>
      <c r="BK14" s="1228"/>
      <c r="BL14" s="1440" t="str">
        <f t="shared" si="20"/>
        <v/>
      </c>
      <c r="BM14" s="1178" t="str">
        <f t="shared" si="21"/>
        <v/>
      </c>
      <c r="BN14" s="1285"/>
      <c r="BO14" s="1182" t="str">
        <f t="shared" si="22"/>
        <v/>
      </c>
      <c r="BP14" s="1178" t="str">
        <f t="shared" si="23"/>
        <v/>
      </c>
      <c r="BQ14" s="1228"/>
      <c r="BR14" s="1440" t="str">
        <f t="shared" si="24"/>
        <v/>
      </c>
      <c r="BS14" s="1178" t="str">
        <f t="shared" si="25"/>
        <v/>
      </c>
      <c r="BT14" s="1285"/>
      <c r="BU14" s="1182" t="str">
        <f t="shared" si="26"/>
        <v/>
      </c>
      <c r="BV14" s="1178" t="str">
        <f t="shared" si="27"/>
        <v/>
      </c>
      <c r="BW14" s="1228"/>
      <c r="BX14" s="1440" t="str">
        <f t="shared" si="28"/>
        <v/>
      </c>
      <c r="BY14" s="1178" t="str">
        <f t="shared" si="29"/>
        <v/>
      </c>
      <c r="BZ14" s="1285"/>
      <c r="CA14" s="1182" t="str">
        <f t="shared" si="30"/>
        <v/>
      </c>
      <c r="CB14" s="1178" t="str">
        <f t="shared" si="31"/>
        <v/>
      </c>
      <c r="CC14" s="1228"/>
      <c r="CD14" s="1440" t="str">
        <f t="shared" si="32"/>
        <v/>
      </c>
      <c r="CE14" s="1178" t="str">
        <f t="shared" si="33"/>
        <v/>
      </c>
      <c r="CF14" s="1285"/>
      <c r="CG14" s="1182" t="str">
        <f t="shared" si="34"/>
        <v/>
      </c>
      <c r="CH14" s="1178" t="str">
        <f t="shared" si="35"/>
        <v/>
      </c>
      <c r="CI14" s="1228"/>
      <c r="CJ14" s="1440" t="str">
        <f t="shared" si="36"/>
        <v/>
      </c>
      <c r="CK14" s="1178" t="str">
        <f t="shared" si="37"/>
        <v/>
      </c>
      <c r="CL14" s="1285"/>
      <c r="CM14" s="1182" t="str">
        <f t="shared" si="38"/>
        <v/>
      </c>
      <c r="CN14" s="1178" t="str">
        <f t="shared" si="39"/>
        <v/>
      </c>
      <c r="CO14" s="1228"/>
      <c r="CP14" s="1440" t="str">
        <f t="shared" si="40"/>
        <v/>
      </c>
      <c r="CQ14" s="1178" t="str">
        <f t="shared" si="41"/>
        <v/>
      </c>
      <c r="CR14" s="1285"/>
      <c r="CS14" s="1182" t="str">
        <f t="shared" si="42"/>
        <v/>
      </c>
      <c r="CT14" s="1178" t="str">
        <f t="shared" si="43"/>
        <v/>
      </c>
      <c r="CU14" s="1228"/>
      <c r="CV14" s="1440" t="str">
        <f t="shared" si="44"/>
        <v/>
      </c>
      <c r="CW14" s="1178" t="str">
        <f t="shared" si="45"/>
        <v/>
      </c>
      <c r="CX14" s="1285"/>
      <c r="CY14" s="1182" t="str">
        <f t="shared" si="46"/>
        <v/>
      </c>
      <c r="CZ14" s="1178" t="str">
        <f t="shared" si="47"/>
        <v/>
      </c>
      <c r="DA14" s="1228"/>
      <c r="DB14" s="1440" t="str">
        <f t="shared" si="48"/>
        <v/>
      </c>
      <c r="DC14" s="1178" t="str">
        <f t="shared" si="49"/>
        <v/>
      </c>
      <c r="DD14" s="1285"/>
      <c r="DE14" s="1182" t="str">
        <f t="shared" si="50"/>
        <v/>
      </c>
      <c r="DF14" s="1178" t="str">
        <f t="shared" si="51"/>
        <v/>
      </c>
      <c r="DG14" s="1228"/>
      <c r="DH14" s="1440" t="str">
        <f t="shared" si="52"/>
        <v/>
      </c>
      <c r="DI14" s="1178" t="str">
        <f t="shared" si="53"/>
        <v/>
      </c>
      <c r="DJ14" s="1285"/>
      <c r="DK14" s="1182" t="str">
        <f t="shared" ref="DK14:DK19" si="60">IF(ISNONTEXT(AF14)=TRUE,"","X")</f>
        <v/>
      </c>
      <c r="DL14" s="1178" t="str">
        <f t="shared" ref="DL14:DL19" si="61">IF(AND(AF14&gt;=0)=TRUE,"","X")</f>
        <v/>
      </c>
      <c r="DM14" s="1228"/>
      <c r="DN14" s="1440" t="str">
        <f t="shared" si="54"/>
        <v/>
      </c>
      <c r="DO14" s="1178" t="str">
        <f t="shared" si="55"/>
        <v/>
      </c>
      <c r="DP14" s="1285"/>
      <c r="DQ14" s="1182" t="str">
        <f t="shared" si="56"/>
        <v/>
      </c>
      <c r="DR14" s="1178" t="str">
        <f t="shared" si="57"/>
        <v/>
      </c>
      <c r="DS14" s="1228"/>
      <c r="DT14" s="1440" t="str">
        <f t="shared" si="58"/>
        <v/>
      </c>
      <c r="DU14" s="1178" t="str">
        <f t="shared" si="59"/>
        <v/>
      </c>
      <c r="DV14" s="1228"/>
    </row>
    <row r="15" spans="1:126" s="579" customFormat="1" ht="15" customHeight="1">
      <c r="A15" s="576"/>
      <c r="B15" s="952"/>
      <c r="C15" s="1015" t="s">
        <v>993</v>
      </c>
      <c r="D15" s="1729" t="s">
        <v>990</v>
      </c>
      <c r="E15" s="1733">
        <f t="shared" si="1"/>
        <v>0</v>
      </c>
      <c r="F15" s="1042"/>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978"/>
      <c r="AK15" s="1182" t="str">
        <f t="shared" si="2"/>
        <v/>
      </c>
      <c r="AL15" s="1178" t="str">
        <f t="shared" si="3"/>
        <v/>
      </c>
      <c r="AM15" s="1179"/>
      <c r="AN15" s="1182" t="str">
        <f t="shared" si="4"/>
        <v/>
      </c>
      <c r="AO15" s="1178" t="str">
        <f t="shared" si="5"/>
        <v/>
      </c>
      <c r="AP15" s="1179"/>
      <c r="AQ15" s="1182" t="str">
        <f t="shared" si="6"/>
        <v/>
      </c>
      <c r="AR15" s="1178" t="str">
        <f t="shared" si="7"/>
        <v/>
      </c>
      <c r="AS15" s="1179"/>
      <c r="AT15" s="1182" t="str">
        <f t="shared" si="8"/>
        <v/>
      </c>
      <c r="AU15" s="1178" t="str">
        <f t="shared" si="9"/>
        <v/>
      </c>
      <c r="AV15" s="1179"/>
      <c r="AW15" s="1182" t="str">
        <f t="shared" si="10"/>
        <v/>
      </c>
      <c r="AX15" s="1178" t="str">
        <f t="shared" si="11"/>
        <v/>
      </c>
      <c r="AY15" s="1179"/>
      <c r="AZ15" s="1182" t="str">
        <f t="shared" si="12"/>
        <v/>
      </c>
      <c r="BA15" s="1178" t="str">
        <f t="shared" si="13"/>
        <v/>
      </c>
      <c r="BB15" s="1439"/>
      <c r="BC15" s="1182" t="str">
        <f t="shared" si="14"/>
        <v/>
      </c>
      <c r="BD15" s="1178" t="str">
        <f t="shared" si="15"/>
        <v/>
      </c>
      <c r="BE15" s="1228"/>
      <c r="BF15" s="1440" t="str">
        <f t="shared" si="16"/>
        <v/>
      </c>
      <c r="BG15" s="1178" t="str">
        <f t="shared" si="17"/>
        <v/>
      </c>
      <c r="BH15" s="1285"/>
      <c r="BI15" s="1182" t="str">
        <f t="shared" si="18"/>
        <v/>
      </c>
      <c r="BJ15" s="1178" t="str">
        <f t="shared" si="19"/>
        <v/>
      </c>
      <c r="BK15" s="1228"/>
      <c r="BL15" s="1440" t="str">
        <f t="shared" si="20"/>
        <v/>
      </c>
      <c r="BM15" s="1178" t="str">
        <f t="shared" si="21"/>
        <v/>
      </c>
      <c r="BN15" s="1285"/>
      <c r="BO15" s="1182" t="str">
        <f t="shared" si="22"/>
        <v/>
      </c>
      <c r="BP15" s="1178" t="str">
        <f t="shared" si="23"/>
        <v/>
      </c>
      <c r="BQ15" s="1228"/>
      <c r="BR15" s="1440" t="str">
        <f t="shared" si="24"/>
        <v/>
      </c>
      <c r="BS15" s="1178" t="str">
        <f t="shared" si="25"/>
        <v/>
      </c>
      <c r="BT15" s="1285"/>
      <c r="BU15" s="1182" t="str">
        <f t="shared" si="26"/>
        <v/>
      </c>
      <c r="BV15" s="1178" t="str">
        <f t="shared" si="27"/>
        <v/>
      </c>
      <c r="BW15" s="1228"/>
      <c r="BX15" s="1440" t="str">
        <f t="shared" si="28"/>
        <v/>
      </c>
      <c r="BY15" s="1178" t="str">
        <f t="shared" si="29"/>
        <v/>
      </c>
      <c r="BZ15" s="1285"/>
      <c r="CA15" s="1182" t="str">
        <f t="shared" si="30"/>
        <v/>
      </c>
      <c r="CB15" s="1178" t="str">
        <f t="shared" si="31"/>
        <v/>
      </c>
      <c r="CC15" s="1228"/>
      <c r="CD15" s="1440" t="str">
        <f t="shared" si="32"/>
        <v/>
      </c>
      <c r="CE15" s="1178" t="str">
        <f t="shared" si="33"/>
        <v/>
      </c>
      <c r="CF15" s="1285"/>
      <c r="CG15" s="1182" t="str">
        <f t="shared" si="34"/>
        <v/>
      </c>
      <c r="CH15" s="1178" t="str">
        <f t="shared" si="35"/>
        <v/>
      </c>
      <c r="CI15" s="1228"/>
      <c r="CJ15" s="1440" t="str">
        <f t="shared" si="36"/>
        <v/>
      </c>
      <c r="CK15" s="1178" t="str">
        <f t="shared" si="37"/>
        <v/>
      </c>
      <c r="CL15" s="1285"/>
      <c r="CM15" s="1182" t="str">
        <f t="shared" si="38"/>
        <v/>
      </c>
      <c r="CN15" s="1178" t="str">
        <f t="shared" si="39"/>
        <v/>
      </c>
      <c r="CO15" s="1228"/>
      <c r="CP15" s="1440" t="str">
        <f t="shared" si="40"/>
        <v/>
      </c>
      <c r="CQ15" s="1178" t="str">
        <f t="shared" si="41"/>
        <v/>
      </c>
      <c r="CR15" s="1285"/>
      <c r="CS15" s="1182" t="str">
        <f t="shared" si="42"/>
        <v/>
      </c>
      <c r="CT15" s="1178" t="str">
        <f t="shared" si="43"/>
        <v/>
      </c>
      <c r="CU15" s="1228"/>
      <c r="CV15" s="1440" t="str">
        <f t="shared" si="44"/>
        <v/>
      </c>
      <c r="CW15" s="1178" t="str">
        <f t="shared" si="45"/>
        <v/>
      </c>
      <c r="CX15" s="1285"/>
      <c r="CY15" s="1182" t="str">
        <f t="shared" si="46"/>
        <v/>
      </c>
      <c r="CZ15" s="1178" t="str">
        <f t="shared" si="47"/>
        <v/>
      </c>
      <c r="DA15" s="1228"/>
      <c r="DB15" s="1440" t="str">
        <f t="shared" si="48"/>
        <v/>
      </c>
      <c r="DC15" s="1178" t="str">
        <f t="shared" si="49"/>
        <v/>
      </c>
      <c r="DD15" s="1285"/>
      <c r="DE15" s="1182" t="str">
        <f t="shared" si="50"/>
        <v/>
      </c>
      <c r="DF15" s="1178" t="str">
        <f t="shared" si="51"/>
        <v/>
      </c>
      <c r="DG15" s="1228"/>
      <c r="DH15" s="1440" t="str">
        <f t="shared" si="52"/>
        <v/>
      </c>
      <c r="DI15" s="1178" t="str">
        <f t="shared" si="53"/>
        <v/>
      </c>
      <c r="DJ15" s="1285"/>
      <c r="DK15" s="1182" t="str">
        <f t="shared" si="60"/>
        <v/>
      </c>
      <c r="DL15" s="1178" t="str">
        <f t="shared" si="61"/>
        <v/>
      </c>
      <c r="DM15" s="1228"/>
      <c r="DN15" s="1440" t="str">
        <f t="shared" si="54"/>
        <v/>
      </c>
      <c r="DO15" s="1178" t="str">
        <f t="shared" si="55"/>
        <v/>
      </c>
      <c r="DP15" s="1285"/>
      <c r="DQ15" s="1182" t="str">
        <f t="shared" si="56"/>
        <v/>
      </c>
      <c r="DR15" s="1178" t="str">
        <f t="shared" si="57"/>
        <v/>
      </c>
      <c r="DS15" s="1228"/>
      <c r="DT15" s="1440" t="str">
        <f t="shared" si="58"/>
        <v/>
      </c>
      <c r="DU15" s="1178" t="str">
        <f t="shared" si="59"/>
        <v/>
      </c>
      <c r="DV15" s="1228"/>
    </row>
    <row r="16" spans="1:126" s="579" customFormat="1" ht="15" customHeight="1">
      <c r="A16" s="576"/>
      <c r="B16" s="952"/>
      <c r="C16" s="1015" t="s">
        <v>61</v>
      </c>
      <c r="D16" s="1729" t="s">
        <v>85</v>
      </c>
      <c r="E16" s="1844">
        <f t="shared" si="1"/>
        <v>0</v>
      </c>
      <c r="F16" s="1380"/>
      <c r="G16" s="1381"/>
      <c r="H16" s="1381"/>
      <c r="I16" s="1381"/>
      <c r="J16" s="1381"/>
      <c r="K16" s="1381"/>
      <c r="L16" s="1381"/>
      <c r="M16" s="1381"/>
      <c r="N16" s="1381"/>
      <c r="O16" s="1381"/>
      <c r="P16" s="1381"/>
      <c r="Q16" s="1381"/>
      <c r="R16" s="1381"/>
      <c r="S16" s="1381"/>
      <c r="T16" s="1381"/>
      <c r="U16" s="1381"/>
      <c r="V16" s="1381"/>
      <c r="W16" s="1381"/>
      <c r="X16" s="1381"/>
      <c r="Y16" s="1381"/>
      <c r="Z16" s="1381"/>
      <c r="AA16" s="1381"/>
      <c r="AB16" s="1381"/>
      <c r="AC16" s="1381"/>
      <c r="AD16" s="1381"/>
      <c r="AE16" s="1381"/>
      <c r="AF16" s="1381"/>
      <c r="AG16" s="1381"/>
      <c r="AH16" s="1381"/>
      <c r="AI16" s="1382"/>
      <c r="AK16" s="1182" t="str">
        <f t="shared" ref="AK16:AK19" si="62">IF(ISNONTEXT(F16)=TRUE,"","X")</f>
        <v/>
      </c>
      <c r="AL16" s="1178" t="str">
        <f t="shared" ref="AL16:AL19" si="63">IF(AND(F16&gt;=0)=TRUE,"","X")</f>
        <v/>
      </c>
      <c r="AM16" s="1179"/>
      <c r="AN16" s="1182" t="str">
        <f t="shared" ref="AN16:AN19" si="64">IF(ISNONTEXT(G16)=TRUE,"","X")</f>
        <v/>
      </c>
      <c r="AO16" s="1178" t="str">
        <f t="shared" ref="AO16:AO19" si="65">IF(AND(G16&gt;=0)=TRUE,"","X")</f>
        <v/>
      </c>
      <c r="AP16" s="1179"/>
      <c r="AQ16" s="1182" t="str">
        <f t="shared" ref="AQ16:AQ19" si="66">IF(ISNONTEXT(H16)=TRUE,"","X")</f>
        <v/>
      </c>
      <c r="AR16" s="1178" t="str">
        <f t="shared" ref="AR16:AR19" si="67">IF(AND(H16&gt;=0)=TRUE,"","X")</f>
        <v/>
      </c>
      <c r="AS16" s="1179"/>
      <c r="AT16" s="1182" t="str">
        <f t="shared" ref="AT16:AT19" si="68">IF(ISNONTEXT(I16)=TRUE,"","X")</f>
        <v/>
      </c>
      <c r="AU16" s="1178" t="str">
        <f t="shared" ref="AU16:AU19" si="69">IF(AND(I16&gt;=0)=TRUE,"","X")</f>
        <v/>
      </c>
      <c r="AV16" s="1179"/>
      <c r="AW16" s="1182" t="str">
        <f t="shared" ref="AW16:AW19" si="70">IF(ISNONTEXT(J16)=TRUE,"","X")</f>
        <v/>
      </c>
      <c r="AX16" s="1178" t="str">
        <f t="shared" ref="AX16:AX19" si="71">IF(AND(J16&gt;=0)=TRUE,"","X")</f>
        <v/>
      </c>
      <c r="AY16" s="1179"/>
      <c r="AZ16" s="1182" t="str">
        <f t="shared" ref="AZ16:AZ19" si="72">IF(ISNONTEXT(N16)=TRUE,"","X")</f>
        <v/>
      </c>
      <c r="BA16" s="1178" t="str">
        <f t="shared" ref="BA16:BA19" si="73">IF(AND(N16&gt;=0)=TRUE,"","X")</f>
        <v/>
      </c>
      <c r="BB16" s="1439"/>
      <c r="BC16" s="1182" t="str">
        <f t="shared" si="14"/>
        <v/>
      </c>
      <c r="BD16" s="1178" t="str">
        <f t="shared" si="15"/>
        <v/>
      </c>
      <c r="BE16" s="1228"/>
      <c r="BF16" s="1440" t="str">
        <f t="shared" si="16"/>
        <v/>
      </c>
      <c r="BG16" s="1178" t="str">
        <f t="shared" si="17"/>
        <v/>
      </c>
      <c r="BH16" s="1285"/>
      <c r="BI16" s="1182" t="str">
        <f t="shared" si="18"/>
        <v/>
      </c>
      <c r="BJ16" s="1178" t="str">
        <f t="shared" si="19"/>
        <v/>
      </c>
      <c r="BK16" s="1228"/>
      <c r="BL16" s="1440" t="str">
        <f t="shared" si="20"/>
        <v/>
      </c>
      <c r="BM16" s="1178" t="str">
        <f t="shared" si="21"/>
        <v/>
      </c>
      <c r="BN16" s="1285"/>
      <c r="BO16" s="1182" t="str">
        <f t="shared" si="22"/>
        <v/>
      </c>
      <c r="BP16" s="1178" t="str">
        <f t="shared" si="23"/>
        <v/>
      </c>
      <c r="BQ16" s="1228"/>
      <c r="BR16" s="1440" t="str">
        <f t="shared" si="24"/>
        <v/>
      </c>
      <c r="BS16" s="1178" t="str">
        <f t="shared" si="25"/>
        <v/>
      </c>
      <c r="BT16" s="1285"/>
      <c r="BU16" s="1182" t="str">
        <f t="shared" si="26"/>
        <v/>
      </c>
      <c r="BV16" s="1178" t="str">
        <f t="shared" si="27"/>
        <v/>
      </c>
      <c r="BW16" s="1228"/>
      <c r="BX16" s="1440" t="str">
        <f t="shared" si="28"/>
        <v/>
      </c>
      <c r="BY16" s="1178" t="str">
        <f t="shared" si="29"/>
        <v/>
      </c>
      <c r="BZ16" s="1285"/>
      <c r="CA16" s="1182" t="str">
        <f t="shared" si="30"/>
        <v/>
      </c>
      <c r="CB16" s="1178" t="str">
        <f t="shared" si="31"/>
        <v/>
      </c>
      <c r="CC16" s="1228"/>
      <c r="CD16" s="1440" t="str">
        <f t="shared" si="32"/>
        <v/>
      </c>
      <c r="CE16" s="1178" t="str">
        <f t="shared" si="33"/>
        <v/>
      </c>
      <c r="CF16" s="1285"/>
      <c r="CG16" s="1182" t="str">
        <f t="shared" si="34"/>
        <v/>
      </c>
      <c r="CH16" s="1178" t="str">
        <f t="shared" si="35"/>
        <v/>
      </c>
      <c r="CI16" s="1228"/>
      <c r="CJ16" s="1440" t="str">
        <f t="shared" si="36"/>
        <v/>
      </c>
      <c r="CK16" s="1178" t="str">
        <f t="shared" si="37"/>
        <v/>
      </c>
      <c r="CL16" s="1285"/>
      <c r="CM16" s="1182" t="str">
        <f t="shared" si="38"/>
        <v/>
      </c>
      <c r="CN16" s="1178" t="str">
        <f t="shared" si="39"/>
        <v/>
      </c>
      <c r="CO16" s="1228"/>
      <c r="CP16" s="1440" t="str">
        <f t="shared" si="40"/>
        <v/>
      </c>
      <c r="CQ16" s="1178" t="str">
        <f t="shared" si="41"/>
        <v/>
      </c>
      <c r="CR16" s="1285"/>
      <c r="CS16" s="1182" t="str">
        <f t="shared" si="42"/>
        <v/>
      </c>
      <c r="CT16" s="1178" t="str">
        <f t="shared" si="43"/>
        <v/>
      </c>
      <c r="CU16" s="1228"/>
      <c r="CV16" s="1440" t="str">
        <f t="shared" si="44"/>
        <v/>
      </c>
      <c r="CW16" s="1178" t="str">
        <f t="shared" si="45"/>
        <v/>
      </c>
      <c r="CX16" s="1285"/>
      <c r="CY16" s="1182" t="str">
        <f t="shared" si="46"/>
        <v/>
      </c>
      <c r="CZ16" s="1178" t="str">
        <f t="shared" si="47"/>
        <v/>
      </c>
      <c r="DA16" s="1228"/>
      <c r="DB16" s="1440" t="str">
        <f t="shared" si="48"/>
        <v/>
      </c>
      <c r="DC16" s="1178" t="str">
        <f t="shared" si="49"/>
        <v/>
      </c>
      <c r="DD16" s="1285"/>
      <c r="DE16" s="1182" t="str">
        <f t="shared" si="50"/>
        <v/>
      </c>
      <c r="DF16" s="1178" t="str">
        <f t="shared" si="51"/>
        <v/>
      </c>
      <c r="DG16" s="1228"/>
      <c r="DH16" s="1440" t="str">
        <f t="shared" si="52"/>
        <v/>
      </c>
      <c r="DI16" s="1178" t="str">
        <f t="shared" si="53"/>
        <v/>
      </c>
      <c r="DJ16" s="1285"/>
      <c r="DK16" s="1182" t="str">
        <f t="shared" si="60"/>
        <v/>
      </c>
      <c r="DL16" s="1178" t="str">
        <f t="shared" si="61"/>
        <v/>
      </c>
      <c r="DM16" s="1228"/>
      <c r="DN16" s="1440" t="str">
        <f t="shared" si="54"/>
        <v/>
      </c>
      <c r="DO16" s="1178" t="str">
        <f t="shared" si="55"/>
        <v/>
      </c>
      <c r="DP16" s="1285"/>
      <c r="DQ16" s="1182" t="str">
        <f t="shared" si="56"/>
        <v/>
      </c>
      <c r="DR16" s="1178" t="str">
        <f t="shared" si="57"/>
        <v/>
      </c>
      <c r="DS16" s="1228"/>
      <c r="DT16" s="1440" t="str">
        <f t="shared" si="58"/>
        <v/>
      </c>
      <c r="DU16" s="1178" t="str">
        <f t="shared" si="59"/>
        <v/>
      </c>
      <c r="DV16" s="1228"/>
    </row>
    <row r="17" spans="1:126" s="579" customFormat="1" ht="15" customHeight="1">
      <c r="A17" s="576"/>
      <c r="B17" s="952"/>
      <c r="C17" s="1015" t="s">
        <v>1352</v>
      </c>
      <c r="D17" s="1729" t="s">
        <v>990</v>
      </c>
      <c r="E17" s="1733">
        <f t="shared" si="1"/>
        <v>0</v>
      </c>
      <c r="F17" s="1042"/>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978"/>
      <c r="AK17" s="1182" t="str">
        <f t="shared" si="62"/>
        <v/>
      </c>
      <c r="AL17" s="1178" t="str">
        <f t="shared" si="63"/>
        <v/>
      </c>
      <c r="AM17" s="1179"/>
      <c r="AN17" s="1182" t="str">
        <f t="shared" si="64"/>
        <v/>
      </c>
      <c r="AO17" s="1178" t="str">
        <f t="shared" si="65"/>
        <v/>
      </c>
      <c r="AP17" s="1179"/>
      <c r="AQ17" s="1182" t="str">
        <f t="shared" si="66"/>
        <v/>
      </c>
      <c r="AR17" s="1178" t="str">
        <f t="shared" si="67"/>
        <v/>
      </c>
      <c r="AS17" s="1179"/>
      <c r="AT17" s="1182" t="str">
        <f t="shared" si="68"/>
        <v/>
      </c>
      <c r="AU17" s="1178" t="str">
        <f t="shared" si="69"/>
        <v/>
      </c>
      <c r="AV17" s="1179"/>
      <c r="AW17" s="1182" t="str">
        <f t="shared" si="70"/>
        <v/>
      </c>
      <c r="AX17" s="1178" t="str">
        <f t="shared" si="71"/>
        <v/>
      </c>
      <c r="AY17" s="1179"/>
      <c r="AZ17" s="1182" t="str">
        <f t="shared" si="72"/>
        <v/>
      </c>
      <c r="BA17" s="1178" t="str">
        <f t="shared" si="73"/>
        <v/>
      </c>
      <c r="BB17" s="1439"/>
      <c r="BC17" s="1182" t="str">
        <f t="shared" si="14"/>
        <v/>
      </c>
      <c r="BD17" s="1178" t="str">
        <f t="shared" si="15"/>
        <v/>
      </c>
      <c r="BE17" s="1228"/>
      <c r="BF17" s="1440" t="str">
        <f t="shared" si="16"/>
        <v/>
      </c>
      <c r="BG17" s="1178" t="str">
        <f t="shared" si="17"/>
        <v/>
      </c>
      <c r="BH17" s="1285"/>
      <c r="BI17" s="1182" t="str">
        <f t="shared" si="18"/>
        <v/>
      </c>
      <c r="BJ17" s="1178" t="str">
        <f t="shared" si="19"/>
        <v/>
      </c>
      <c r="BK17" s="1228"/>
      <c r="BL17" s="1440" t="str">
        <f t="shared" si="20"/>
        <v/>
      </c>
      <c r="BM17" s="1178" t="str">
        <f t="shared" si="21"/>
        <v/>
      </c>
      <c r="BN17" s="1285"/>
      <c r="BO17" s="1182" t="str">
        <f t="shared" si="22"/>
        <v/>
      </c>
      <c r="BP17" s="1178" t="str">
        <f t="shared" si="23"/>
        <v/>
      </c>
      <c r="BQ17" s="1228"/>
      <c r="BR17" s="1440" t="str">
        <f t="shared" si="24"/>
        <v/>
      </c>
      <c r="BS17" s="1178" t="str">
        <f t="shared" si="25"/>
        <v/>
      </c>
      <c r="BT17" s="1285"/>
      <c r="BU17" s="1182" t="str">
        <f t="shared" si="26"/>
        <v/>
      </c>
      <c r="BV17" s="1178" t="str">
        <f t="shared" si="27"/>
        <v/>
      </c>
      <c r="BW17" s="1228"/>
      <c r="BX17" s="1440" t="str">
        <f t="shared" si="28"/>
        <v/>
      </c>
      <c r="BY17" s="1178" t="str">
        <f t="shared" si="29"/>
        <v/>
      </c>
      <c r="BZ17" s="1285"/>
      <c r="CA17" s="1182" t="str">
        <f t="shared" si="30"/>
        <v/>
      </c>
      <c r="CB17" s="1178" t="str">
        <f t="shared" si="31"/>
        <v/>
      </c>
      <c r="CC17" s="1228"/>
      <c r="CD17" s="1440" t="str">
        <f t="shared" si="32"/>
        <v/>
      </c>
      <c r="CE17" s="1178" t="str">
        <f t="shared" si="33"/>
        <v/>
      </c>
      <c r="CF17" s="1285"/>
      <c r="CG17" s="1182" t="str">
        <f t="shared" si="34"/>
        <v/>
      </c>
      <c r="CH17" s="1178" t="str">
        <f t="shared" si="35"/>
        <v/>
      </c>
      <c r="CI17" s="1228"/>
      <c r="CJ17" s="1440" t="str">
        <f t="shared" si="36"/>
        <v/>
      </c>
      <c r="CK17" s="1178" t="str">
        <f t="shared" si="37"/>
        <v/>
      </c>
      <c r="CL17" s="1285"/>
      <c r="CM17" s="1182" t="str">
        <f t="shared" si="38"/>
        <v/>
      </c>
      <c r="CN17" s="1178" t="str">
        <f t="shared" si="39"/>
        <v/>
      </c>
      <c r="CO17" s="1228"/>
      <c r="CP17" s="1440" t="str">
        <f t="shared" si="40"/>
        <v/>
      </c>
      <c r="CQ17" s="1178" t="str">
        <f t="shared" si="41"/>
        <v/>
      </c>
      <c r="CR17" s="1285"/>
      <c r="CS17" s="1182" t="str">
        <f t="shared" si="42"/>
        <v/>
      </c>
      <c r="CT17" s="1178" t="str">
        <f t="shared" si="43"/>
        <v/>
      </c>
      <c r="CU17" s="1228"/>
      <c r="CV17" s="1440" t="str">
        <f t="shared" si="44"/>
        <v/>
      </c>
      <c r="CW17" s="1178" t="str">
        <f t="shared" si="45"/>
        <v/>
      </c>
      <c r="CX17" s="1285"/>
      <c r="CY17" s="1182" t="str">
        <f t="shared" si="46"/>
        <v/>
      </c>
      <c r="CZ17" s="1178" t="str">
        <f t="shared" si="47"/>
        <v/>
      </c>
      <c r="DA17" s="1228"/>
      <c r="DB17" s="1440" t="str">
        <f t="shared" si="48"/>
        <v/>
      </c>
      <c r="DC17" s="1178" t="str">
        <f t="shared" si="49"/>
        <v/>
      </c>
      <c r="DD17" s="1285"/>
      <c r="DE17" s="1182" t="str">
        <f t="shared" si="50"/>
        <v/>
      </c>
      <c r="DF17" s="1178" t="str">
        <f t="shared" si="51"/>
        <v/>
      </c>
      <c r="DG17" s="1228"/>
      <c r="DH17" s="1440" t="str">
        <f t="shared" si="52"/>
        <v/>
      </c>
      <c r="DI17" s="1178" t="str">
        <f t="shared" si="53"/>
        <v/>
      </c>
      <c r="DJ17" s="1285"/>
      <c r="DK17" s="1182" t="str">
        <f t="shared" si="60"/>
        <v/>
      </c>
      <c r="DL17" s="1178" t="str">
        <f t="shared" si="61"/>
        <v/>
      </c>
      <c r="DM17" s="1228"/>
      <c r="DN17" s="1440" t="str">
        <f t="shared" si="54"/>
        <v/>
      </c>
      <c r="DO17" s="1178" t="str">
        <f t="shared" si="55"/>
        <v/>
      </c>
      <c r="DP17" s="1285"/>
      <c r="DQ17" s="1182" t="str">
        <f t="shared" si="56"/>
        <v/>
      </c>
      <c r="DR17" s="1178" t="str">
        <f t="shared" si="57"/>
        <v/>
      </c>
      <c r="DS17" s="1228"/>
      <c r="DT17" s="1440" t="str">
        <f t="shared" si="58"/>
        <v/>
      </c>
      <c r="DU17" s="1178" t="str">
        <f t="shared" si="59"/>
        <v/>
      </c>
      <c r="DV17" s="1228"/>
    </row>
    <row r="18" spans="1:126" s="579" customFormat="1" ht="15" customHeight="1">
      <c r="A18" s="576"/>
      <c r="B18" s="952"/>
      <c r="C18" s="1015" t="s">
        <v>994</v>
      </c>
      <c r="D18" s="1729" t="s">
        <v>990</v>
      </c>
      <c r="E18" s="1733">
        <f t="shared" si="1"/>
        <v>0</v>
      </c>
      <c r="F18" s="1042"/>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978"/>
      <c r="AK18" s="1182" t="str">
        <f t="shared" si="62"/>
        <v/>
      </c>
      <c r="AL18" s="1178" t="str">
        <f t="shared" si="63"/>
        <v/>
      </c>
      <c r="AM18" s="1179"/>
      <c r="AN18" s="1182" t="str">
        <f t="shared" si="64"/>
        <v/>
      </c>
      <c r="AO18" s="1178" t="str">
        <f t="shared" si="65"/>
        <v/>
      </c>
      <c r="AP18" s="1179"/>
      <c r="AQ18" s="1182" t="str">
        <f t="shared" si="66"/>
        <v/>
      </c>
      <c r="AR18" s="1178" t="str">
        <f t="shared" si="67"/>
        <v/>
      </c>
      <c r="AS18" s="1179"/>
      <c r="AT18" s="1182" t="str">
        <f t="shared" si="68"/>
        <v/>
      </c>
      <c r="AU18" s="1178" t="str">
        <f t="shared" si="69"/>
        <v/>
      </c>
      <c r="AV18" s="1179"/>
      <c r="AW18" s="1182" t="str">
        <f t="shared" si="70"/>
        <v/>
      </c>
      <c r="AX18" s="1178" t="str">
        <f t="shared" si="71"/>
        <v/>
      </c>
      <c r="AY18" s="1179"/>
      <c r="AZ18" s="1182" t="str">
        <f t="shared" si="72"/>
        <v/>
      </c>
      <c r="BA18" s="1178" t="str">
        <f t="shared" si="73"/>
        <v/>
      </c>
      <c r="BB18" s="1439"/>
      <c r="BC18" s="1182" t="str">
        <f t="shared" si="14"/>
        <v/>
      </c>
      <c r="BD18" s="1178" t="str">
        <f t="shared" si="15"/>
        <v/>
      </c>
      <c r="BE18" s="1228"/>
      <c r="BF18" s="1440" t="str">
        <f t="shared" si="16"/>
        <v/>
      </c>
      <c r="BG18" s="1178" t="str">
        <f t="shared" si="17"/>
        <v/>
      </c>
      <c r="BH18" s="1285"/>
      <c r="BI18" s="1182" t="str">
        <f t="shared" si="18"/>
        <v/>
      </c>
      <c r="BJ18" s="1178" t="str">
        <f t="shared" si="19"/>
        <v/>
      </c>
      <c r="BK18" s="1228"/>
      <c r="BL18" s="1440" t="str">
        <f t="shared" si="20"/>
        <v/>
      </c>
      <c r="BM18" s="1178" t="str">
        <f t="shared" si="21"/>
        <v/>
      </c>
      <c r="BN18" s="1285"/>
      <c r="BO18" s="1182" t="str">
        <f t="shared" si="22"/>
        <v/>
      </c>
      <c r="BP18" s="1178" t="str">
        <f t="shared" si="23"/>
        <v/>
      </c>
      <c r="BQ18" s="1228"/>
      <c r="BR18" s="1440" t="str">
        <f t="shared" si="24"/>
        <v/>
      </c>
      <c r="BS18" s="1178" t="str">
        <f t="shared" si="25"/>
        <v/>
      </c>
      <c r="BT18" s="1285"/>
      <c r="BU18" s="1182" t="str">
        <f t="shared" si="26"/>
        <v/>
      </c>
      <c r="BV18" s="1178" t="str">
        <f t="shared" si="27"/>
        <v/>
      </c>
      <c r="BW18" s="1228"/>
      <c r="BX18" s="1440" t="str">
        <f t="shared" si="28"/>
        <v/>
      </c>
      <c r="BY18" s="1178" t="str">
        <f t="shared" si="29"/>
        <v/>
      </c>
      <c r="BZ18" s="1285"/>
      <c r="CA18" s="1182" t="str">
        <f t="shared" si="30"/>
        <v/>
      </c>
      <c r="CB18" s="1178" t="str">
        <f t="shared" si="31"/>
        <v/>
      </c>
      <c r="CC18" s="1228"/>
      <c r="CD18" s="1440" t="str">
        <f t="shared" si="32"/>
        <v/>
      </c>
      <c r="CE18" s="1178" t="str">
        <f t="shared" si="33"/>
        <v/>
      </c>
      <c r="CF18" s="1285"/>
      <c r="CG18" s="1182" t="str">
        <f t="shared" si="34"/>
        <v/>
      </c>
      <c r="CH18" s="1178" t="str">
        <f t="shared" si="35"/>
        <v/>
      </c>
      <c r="CI18" s="1228"/>
      <c r="CJ18" s="1440" t="str">
        <f t="shared" si="36"/>
        <v/>
      </c>
      <c r="CK18" s="1178" t="str">
        <f t="shared" si="37"/>
        <v/>
      </c>
      <c r="CL18" s="1285"/>
      <c r="CM18" s="1182" t="str">
        <f t="shared" si="38"/>
        <v/>
      </c>
      <c r="CN18" s="1178" t="str">
        <f t="shared" si="39"/>
        <v/>
      </c>
      <c r="CO18" s="1228"/>
      <c r="CP18" s="1440" t="str">
        <f t="shared" si="40"/>
        <v/>
      </c>
      <c r="CQ18" s="1178" t="str">
        <f t="shared" si="41"/>
        <v/>
      </c>
      <c r="CR18" s="1285"/>
      <c r="CS18" s="1182" t="str">
        <f t="shared" si="42"/>
        <v/>
      </c>
      <c r="CT18" s="1178" t="str">
        <f t="shared" si="43"/>
        <v/>
      </c>
      <c r="CU18" s="1228"/>
      <c r="CV18" s="1440" t="str">
        <f t="shared" si="44"/>
        <v/>
      </c>
      <c r="CW18" s="1178" t="str">
        <f t="shared" si="45"/>
        <v/>
      </c>
      <c r="CX18" s="1285"/>
      <c r="CY18" s="1182" t="str">
        <f t="shared" si="46"/>
        <v/>
      </c>
      <c r="CZ18" s="1178" t="str">
        <f t="shared" si="47"/>
        <v/>
      </c>
      <c r="DA18" s="1228"/>
      <c r="DB18" s="1440" t="str">
        <f t="shared" si="48"/>
        <v/>
      </c>
      <c r="DC18" s="1178" t="str">
        <f t="shared" si="49"/>
        <v/>
      </c>
      <c r="DD18" s="1285"/>
      <c r="DE18" s="1182" t="str">
        <f t="shared" si="50"/>
        <v/>
      </c>
      <c r="DF18" s="1178" t="str">
        <f t="shared" si="51"/>
        <v/>
      </c>
      <c r="DG18" s="1228"/>
      <c r="DH18" s="1440" t="str">
        <f t="shared" si="52"/>
        <v/>
      </c>
      <c r="DI18" s="1178" t="str">
        <f t="shared" si="53"/>
        <v/>
      </c>
      <c r="DJ18" s="1285"/>
      <c r="DK18" s="1182" t="str">
        <f t="shared" si="60"/>
        <v/>
      </c>
      <c r="DL18" s="1178" t="str">
        <f t="shared" si="61"/>
        <v/>
      </c>
      <c r="DM18" s="1228"/>
      <c r="DN18" s="1440" t="str">
        <f t="shared" si="54"/>
        <v/>
      </c>
      <c r="DO18" s="1178" t="str">
        <f t="shared" si="55"/>
        <v/>
      </c>
      <c r="DP18" s="1285"/>
      <c r="DQ18" s="1182" t="str">
        <f t="shared" si="56"/>
        <v/>
      </c>
      <c r="DR18" s="1178" t="str">
        <f t="shared" si="57"/>
        <v/>
      </c>
      <c r="DS18" s="1228"/>
      <c r="DT18" s="1440" t="str">
        <f t="shared" si="58"/>
        <v/>
      </c>
      <c r="DU18" s="1178" t="str">
        <f t="shared" si="59"/>
        <v/>
      </c>
      <c r="DV18" s="1228"/>
    </row>
    <row r="19" spans="1:126" s="579" customFormat="1" ht="15" customHeight="1">
      <c r="A19" s="576"/>
      <c r="B19" s="952"/>
      <c r="C19" s="1057" t="s">
        <v>40</v>
      </c>
      <c r="D19" s="1731" t="s">
        <v>990</v>
      </c>
      <c r="E19" s="1735">
        <f t="shared" si="1"/>
        <v>0</v>
      </c>
      <c r="F19" s="1296"/>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044"/>
      <c r="AE19" s="1044"/>
      <c r="AF19" s="1044"/>
      <c r="AG19" s="1044"/>
      <c r="AH19" s="1044"/>
      <c r="AI19" s="979"/>
      <c r="AK19" s="1184" t="str">
        <f t="shared" si="62"/>
        <v/>
      </c>
      <c r="AL19" s="1187" t="str">
        <f t="shared" si="63"/>
        <v/>
      </c>
      <c r="AM19" s="1199"/>
      <c r="AN19" s="1184" t="str">
        <f t="shared" si="64"/>
        <v/>
      </c>
      <c r="AO19" s="1187" t="str">
        <f t="shared" si="65"/>
        <v/>
      </c>
      <c r="AP19" s="1199"/>
      <c r="AQ19" s="1184" t="str">
        <f t="shared" si="66"/>
        <v/>
      </c>
      <c r="AR19" s="1187" t="str">
        <f t="shared" si="67"/>
        <v/>
      </c>
      <c r="AS19" s="1199"/>
      <c r="AT19" s="1184" t="str">
        <f t="shared" si="68"/>
        <v/>
      </c>
      <c r="AU19" s="1187" t="str">
        <f t="shared" si="69"/>
        <v/>
      </c>
      <c r="AV19" s="1199"/>
      <c r="AW19" s="1184" t="str">
        <f t="shared" si="70"/>
        <v/>
      </c>
      <c r="AX19" s="1187" t="str">
        <f t="shared" si="71"/>
        <v/>
      </c>
      <c r="AY19" s="1199"/>
      <c r="AZ19" s="1184" t="str">
        <f t="shared" si="72"/>
        <v/>
      </c>
      <c r="BA19" s="1187" t="str">
        <f t="shared" si="73"/>
        <v/>
      </c>
      <c r="BB19" s="1441"/>
      <c r="BC19" s="1184" t="str">
        <f t="shared" si="14"/>
        <v/>
      </c>
      <c r="BD19" s="1187" t="str">
        <f t="shared" si="15"/>
        <v/>
      </c>
      <c r="BE19" s="1229"/>
      <c r="BF19" s="1442" t="str">
        <f t="shared" si="16"/>
        <v/>
      </c>
      <c r="BG19" s="1187" t="str">
        <f t="shared" si="17"/>
        <v/>
      </c>
      <c r="BH19" s="1286"/>
      <c r="BI19" s="1184" t="str">
        <f t="shared" si="18"/>
        <v/>
      </c>
      <c r="BJ19" s="1187" t="str">
        <f t="shared" si="19"/>
        <v/>
      </c>
      <c r="BK19" s="1229"/>
      <c r="BL19" s="1442" t="str">
        <f t="shared" si="20"/>
        <v/>
      </c>
      <c r="BM19" s="1187" t="str">
        <f t="shared" si="21"/>
        <v/>
      </c>
      <c r="BN19" s="1286"/>
      <c r="BO19" s="1184" t="str">
        <f t="shared" si="22"/>
        <v/>
      </c>
      <c r="BP19" s="1187" t="str">
        <f t="shared" si="23"/>
        <v/>
      </c>
      <c r="BQ19" s="1229"/>
      <c r="BR19" s="1442" t="str">
        <f t="shared" si="24"/>
        <v/>
      </c>
      <c r="BS19" s="1187" t="str">
        <f t="shared" si="25"/>
        <v/>
      </c>
      <c r="BT19" s="1286"/>
      <c r="BU19" s="1184" t="str">
        <f t="shared" si="26"/>
        <v/>
      </c>
      <c r="BV19" s="1187" t="str">
        <f t="shared" si="27"/>
        <v/>
      </c>
      <c r="BW19" s="1229"/>
      <c r="BX19" s="1442" t="str">
        <f t="shared" si="28"/>
        <v/>
      </c>
      <c r="BY19" s="1187" t="str">
        <f t="shared" si="29"/>
        <v/>
      </c>
      <c r="BZ19" s="1286"/>
      <c r="CA19" s="1184" t="str">
        <f t="shared" si="30"/>
        <v/>
      </c>
      <c r="CB19" s="1187" t="str">
        <f t="shared" si="31"/>
        <v/>
      </c>
      <c r="CC19" s="1229"/>
      <c r="CD19" s="1442" t="str">
        <f t="shared" si="32"/>
        <v/>
      </c>
      <c r="CE19" s="1187" t="str">
        <f t="shared" si="33"/>
        <v/>
      </c>
      <c r="CF19" s="1286"/>
      <c r="CG19" s="1184" t="str">
        <f t="shared" si="34"/>
        <v/>
      </c>
      <c r="CH19" s="1187" t="str">
        <f t="shared" si="35"/>
        <v/>
      </c>
      <c r="CI19" s="1229"/>
      <c r="CJ19" s="1442" t="str">
        <f t="shared" si="36"/>
        <v/>
      </c>
      <c r="CK19" s="1187" t="str">
        <f t="shared" si="37"/>
        <v/>
      </c>
      <c r="CL19" s="1286"/>
      <c r="CM19" s="1184" t="str">
        <f t="shared" si="38"/>
        <v/>
      </c>
      <c r="CN19" s="1187" t="str">
        <f t="shared" si="39"/>
        <v/>
      </c>
      <c r="CO19" s="1229"/>
      <c r="CP19" s="1442" t="str">
        <f t="shared" si="40"/>
        <v/>
      </c>
      <c r="CQ19" s="1187" t="str">
        <f t="shared" si="41"/>
        <v/>
      </c>
      <c r="CR19" s="1286"/>
      <c r="CS19" s="1184" t="str">
        <f t="shared" si="42"/>
        <v/>
      </c>
      <c r="CT19" s="1187" t="str">
        <f t="shared" si="43"/>
        <v/>
      </c>
      <c r="CU19" s="1229"/>
      <c r="CV19" s="1442" t="str">
        <f t="shared" si="44"/>
        <v/>
      </c>
      <c r="CW19" s="1187" t="str">
        <f t="shared" si="45"/>
        <v/>
      </c>
      <c r="CX19" s="1286"/>
      <c r="CY19" s="1184" t="str">
        <f t="shared" si="46"/>
        <v/>
      </c>
      <c r="CZ19" s="1187" t="str">
        <f t="shared" si="47"/>
        <v/>
      </c>
      <c r="DA19" s="1229"/>
      <c r="DB19" s="1442" t="str">
        <f t="shared" si="48"/>
        <v/>
      </c>
      <c r="DC19" s="1187" t="str">
        <f t="shared" si="49"/>
        <v/>
      </c>
      <c r="DD19" s="1286"/>
      <c r="DE19" s="1184" t="str">
        <f t="shared" si="50"/>
        <v/>
      </c>
      <c r="DF19" s="1187" t="str">
        <f t="shared" si="51"/>
        <v/>
      </c>
      <c r="DG19" s="1229"/>
      <c r="DH19" s="1442" t="str">
        <f t="shared" si="52"/>
        <v/>
      </c>
      <c r="DI19" s="1187" t="str">
        <f t="shared" si="53"/>
        <v/>
      </c>
      <c r="DJ19" s="1286"/>
      <c r="DK19" s="1184" t="str">
        <f t="shared" si="60"/>
        <v/>
      </c>
      <c r="DL19" s="1187" t="str">
        <f t="shared" si="61"/>
        <v/>
      </c>
      <c r="DM19" s="1229"/>
      <c r="DN19" s="1442" t="str">
        <f t="shared" si="54"/>
        <v/>
      </c>
      <c r="DO19" s="1187" t="str">
        <f t="shared" si="55"/>
        <v/>
      </c>
      <c r="DP19" s="1286"/>
      <c r="DQ19" s="1184" t="str">
        <f t="shared" si="56"/>
        <v/>
      </c>
      <c r="DR19" s="1187" t="str">
        <f t="shared" si="57"/>
        <v/>
      </c>
      <c r="DS19" s="1229"/>
      <c r="DT19" s="1442" t="str">
        <f t="shared" si="58"/>
        <v/>
      </c>
      <c r="DU19" s="1187" t="str">
        <f t="shared" si="59"/>
        <v/>
      </c>
      <c r="DV19" s="1229"/>
    </row>
    <row r="20" spans="1:126" s="579" customFormat="1" ht="15" customHeight="1">
      <c r="D20" s="956"/>
      <c r="E20" s="956"/>
    </row>
    <row r="21" spans="1:126" s="579" customFormat="1" ht="15" customHeight="1">
      <c r="D21" s="956"/>
      <c r="E21" s="956"/>
    </row>
    <row r="22" spans="1:126" s="579" customFormat="1" ht="15" customHeight="1">
      <c r="D22" s="956"/>
      <c r="E22" s="956"/>
    </row>
    <row r="23" spans="1:126" ht="15" customHeight="1">
      <c r="B23" s="579"/>
      <c r="C23" s="1310" t="s">
        <v>1471</v>
      </c>
      <c r="D23" s="1852"/>
      <c r="E23" s="1852"/>
      <c r="F23" s="579"/>
      <c r="G23" s="579"/>
      <c r="H23" s="579"/>
      <c r="I23" s="579"/>
      <c r="J23" s="579"/>
      <c r="K23" s="579"/>
      <c r="L23" s="579"/>
    </row>
    <row r="24" spans="1:126" ht="15" customHeight="1">
      <c r="B24" s="579"/>
      <c r="C24" s="1847" t="s">
        <v>1495</v>
      </c>
      <c r="D24" s="956"/>
      <c r="E24" s="956"/>
      <c r="F24" s="579"/>
      <c r="G24" s="579"/>
      <c r="H24" s="579"/>
      <c r="I24" s="579"/>
      <c r="J24" s="579"/>
      <c r="K24" s="579"/>
      <c r="L24" s="579"/>
    </row>
    <row r="25" spans="1:126" ht="15" customHeight="1">
      <c r="B25" s="579"/>
      <c r="C25" s="579"/>
      <c r="D25" s="956"/>
      <c r="E25" s="956"/>
      <c r="F25" s="579"/>
      <c r="G25" s="579"/>
      <c r="H25" s="579"/>
      <c r="I25" s="579"/>
      <c r="J25" s="579"/>
      <c r="K25" s="579"/>
      <c r="L25" s="579"/>
    </row>
    <row r="26" spans="1:126" ht="15" customHeight="1">
      <c r="B26" s="579"/>
      <c r="C26" s="579"/>
      <c r="D26" s="956"/>
      <c r="E26" s="956"/>
      <c r="F26" s="579"/>
      <c r="G26" s="579"/>
      <c r="H26" s="579"/>
      <c r="I26" s="579"/>
      <c r="J26" s="579"/>
      <c r="K26" s="579"/>
      <c r="L26" s="579"/>
    </row>
    <row r="27" spans="1:126" ht="15" customHeight="1">
      <c r="B27" s="579"/>
      <c r="C27" s="579"/>
      <c r="D27" s="956"/>
      <c r="E27" s="956"/>
      <c r="F27" s="579"/>
      <c r="G27" s="579"/>
      <c r="H27" s="579"/>
      <c r="I27" s="579"/>
      <c r="J27" s="579"/>
      <c r="K27" s="579"/>
      <c r="L27" s="579"/>
    </row>
    <row r="28" spans="1:126" ht="15" customHeight="1">
      <c r="B28" s="579"/>
      <c r="C28" s="579"/>
      <c r="D28" s="956"/>
      <c r="E28" s="956"/>
      <c r="F28" s="579"/>
      <c r="G28" s="579"/>
      <c r="H28" s="579"/>
      <c r="I28" s="579"/>
      <c r="J28" s="579"/>
      <c r="K28" s="579"/>
      <c r="L28" s="579"/>
    </row>
    <row r="29" spans="1:126" ht="15" customHeight="1">
      <c r="B29" s="579"/>
      <c r="C29" s="579"/>
      <c r="D29" s="956"/>
      <c r="E29" s="956"/>
      <c r="F29" s="579"/>
      <c r="G29" s="579"/>
      <c r="H29" s="579"/>
      <c r="I29" s="579"/>
      <c r="J29" s="579"/>
      <c r="K29" s="579"/>
      <c r="L29" s="579"/>
    </row>
    <row r="30" spans="1:126" ht="15" customHeight="1"/>
    <row r="31" spans="1:126" ht="15" customHeight="1"/>
    <row r="32" spans="1:126"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sheetData>
  <mergeCells count="30">
    <mergeCell ref="DK10:DM10"/>
    <mergeCell ref="DN10:DP10"/>
    <mergeCell ref="DQ10:DS10"/>
    <mergeCell ref="DT10:DV10"/>
    <mergeCell ref="CV10:CX10"/>
    <mergeCell ref="CY10:DA10"/>
    <mergeCell ref="DB10:DD10"/>
    <mergeCell ref="DE10:DG10"/>
    <mergeCell ref="DH10:DJ10"/>
    <mergeCell ref="CG10:CI10"/>
    <mergeCell ref="CJ10:CL10"/>
    <mergeCell ref="CM10:CO10"/>
    <mergeCell ref="CP10:CR10"/>
    <mergeCell ref="CS10:CU10"/>
    <mergeCell ref="BR10:BT10"/>
    <mergeCell ref="BU10:BW10"/>
    <mergeCell ref="BX10:BZ10"/>
    <mergeCell ref="CA10:CC10"/>
    <mergeCell ref="CD10:CF10"/>
    <mergeCell ref="BC10:BE10"/>
    <mergeCell ref="BF10:BH10"/>
    <mergeCell ref="BI10:BK10"/>
    <mergeCell ref="BL10:BN10"/>
    <mergeCell ref="BO10:BQ10"/>
    <mergeCell ref="AZ10:BB10"/>
    <mergeCell ref="AQ10:AS10"/>
    <mergeCell ref="AT10:AV10"/>
    <mergeCell ref="AW10:AY10"/>
    <mergeCell ref="AK10:AM10"/>
    <mergeCell ref="AN10:AP10"/>
  </mergeCells>
  <conditionalFormatting sqref="C23">
    <cfRule type="cellIs" dxfId="42" priority="1" operator="equal">
      <formula>FALSE</formula>
    </cfRule>
  </conditionalFormatting>
  <conditionalFormatting sqref="F10:AI10">
    <cfRule type="expression" dxfId="41" priority="35">
      <formula>ISEVEN(VALUE((MID(F10,6,1))))</formula>
    </cfRule>
  </conditionalFormatting>
  <conditionalFormatting sqref="F11:AI19">
    <cfRule type="expression" dxfId="40" priority="34">
      <formula>(VALUE((RIGHT(F$10,1)))=0)</formula>
    </cfRule>
  </conditionalFormatting>
  <dataValidations count="1">
    <dataValidation allowBlank="1" showErrorMessage="1" sqref="A24:DV1048576 DW1:XFD5 DW8:XFD1048576 AK6:XFD7 C6:AI7 A6:A7"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9572B2"/>
    <pageSetUpPr fitToPage="1"/>
  </sheetPr>
  <dimension ref="A1:T29"/>
  <sheetViews>
    <sheetView workbookViewId="0"/>
  </sheetViews>
  <sheetFormatPr defaultColWidth="9.1796875" defaultRowHeight="14.5"/>
  <cols>
    <col min="1" max="1" width="5.6328125" style="1" customWidth="1"/>
    <col min="2" max="2" width="25.6328125" style="1060" customWidth="1"/>
    <col min="3" max="3" width="43.453125" style="1" customWidth="1"/>
    <col min="4" max="4" width="9.81640625" style="1" customWidth="1"/>
    <col min="5" max="6" width="27.81640625" style="1" customWidth="1"/>
    <col min="7" max="7" width="13.453125" style="1" customWidth="1"/>
    <col min="8" max="13" width="5.453125" style="1" customWidth="1"/>
    <col min="14" max="21" width="3.54296875" style="1" customWidth="1"/>
    <col min="22" max="22" width="9.1796875" style="1"/>
    <col min="23" max="23" width="5.6328125" style="1" customWidth="1"/>
    <col min="24" max="16384" width="9.1796875" style="1"/>
  </cols>
  <sheetData>
    <row r="1" spans="1:20" s="952" customFormat="1" ht="20" customHeight="1">
      <c r="A1" s="1"/>
      <c r="B1" s="1077"/>
      <c r="C1" s="914" t="str">
        <f>dms_SheetHeading1</f>
        <v>ANNUAL INFORMATION ORDER</v>
      </c>
      <c r="D1" s="1024"/>
      <c r="E1" s="1024"/>
      <c r="F1" s="1024"/>
      <c r="H1" s="1556" t="s">
        <v>1003</v>
      </c>
      <c r="I1" s="1556"/>
      <c r="J1" s="1556"/>
      <c r="K1" s="1556"/>
      <c r="L1" s="1556"/>
      <c r="M1" s="1556"/>
      <c r="N1" s="1557" t="s">
        <v>1002</v>
      </c>
      <c r="O1" s="1556"/>
      <c r="P1" s="1556"/>
      <c r="Q1" s="1556"/>
      <c r="R1" s="1556"/>
      <c r="S1" s="1556"/>
      <c r="T1" s="1556"/>
    </row>
    <row r="2" spans="1:20" s="952" customFormat="1" ht="20" customHeight="1">
      <c r="A2" s="1"/>
      <c r="B2" s="1077"/>
      <c r="C2" s="915" t="str">
        <f>dms_SheetHeading2</f>
        <v>Australian Transmission Co.</v>
      </c>
      <c r="D2" s="1024"/>
      <c r="E2" s="1024"/>
      <c r="F2" s="1024"/>
      <c r="H2" s="1558" t="s">
        <v>1004</v>
      </c>
      <c r="I2" s="1558"/>
      <c r="J2" s="1558"/>
      <c r="K2" s="1558"/>
      <c r="L2" s="1558"/>
      <c r="M2" s="1558"/>
      <c r="N2" s="1559" t="s">
        <v>179</v>
      </c>
      <c r="O2" s="1558"/>
      <c r="P2" s="1558"/>
      <c r="Q2" s="1558"/>
      <c r="R2" s="1558"/>
      <c r="S2" s="1558"/>
      <c r="T2" s="1558"/>
    </row>
    <row r="3" spans="1:20" s="952" customFormat="1" ht="20" customHeight="1">
      <c r="A3" s="1"/>
      <c r="B3" s="1077"/>
      <c r="C3" s="916" t="str">
        <f>dms_SheetHeading3</f>
        <v>REPORTING STATEMENT: 2025-26</v>
      </c>
      <c r="D3" s="1024"/>
      <c r="E3" s="1024"/>
      <c r="F3" s="1024"/>
      <c r="H3" s="1560" t="s">
        <v>1005</v>
      </c>
      <c r="I3" s="1560"/>
      <c r="J3" s="1560"/>
      <c r="K3" s="1560"/>
      <c r="L3" s="1560"/>
      <c r="M3" s="1560"/>
      <c r="N3" s="1561" t="s">
        <v>180</v>
      </c>
      <c r="O3" s="1560"/>
      <c r="P3" s="1560"/>
      <c r="Q3" s="1560"/>
      <c r="R3" s="1560"/>
      <c r="S3" s="1560"/>
      <c r="T3" s="1560"/>
    </row>
    <row r="4" spans="1:20" s="952" customFormat="1" ht="20" customHeight="1">
      <c r="A4" s="1"/>
      <c r="B4" s="1077"/>
      <c r="C4" s="1025" t="s">
        <v>1464</v>
      </c>
      <c r="D4" s="1026"/>
      <c r="E4" s="1026"/>
      <c r="F4" s="1026"/>
      <c r="H4" s="1562" t="s">
        <v>1007</v>
      </c>
      <c r="I4" s="1563"/>
      <c r="J4" s="1564"/>
      <c r="K4" s="1565"/>
      <c r="L4" s="1565"/>
      <c r="M4" s="1565"/>
      <c r="N4" s="1566" t="s">
        <v>1006</v>
      </c>
      <c r="O4" s="1565"/>
      <c r="P4" s="1565"/>
      <c r="Q4" s="1565"/>
      <c r="R4" s="1565"/>
      <c r="S4" s="1565"/>
      <c r="T4" s="1565"/>
    </row>
    <row r="5" spans="1:20" ht="13.5" customHeight="1">
      <c r="B5" s="1077"/>
      <c r="C5" s="953"/>
    </row>
    <row r="6" spans="1:20" ht="15" customHeight="1">
      <c r="B6" s="1077"/>
      <c r="C6" s="1427" t="s">
        <v>1570</v>
      </c>
      <c r="D6" s="1433"/>
      <c r="E6" s="1433"/>
      <c r="F6" s="1433"/>
    </row>
    <row r="7" spans="1:20" ht="15" customHeight="1">
      <c r="B7" s="1077"/>
      <c r="C7" s="1427" t="s">
        <v>1539</v>
      </c>
      <c r="D7" s="1433"/>
      <c r="E7" s="1433"/>
      <c r="F7" s="1433"/>
    </row>
    <row r="8" spans="1:20" ht="15" customHeight="1">
      <c r="B8" s="1077"/>
      <c r="C8" s="1429" t="s">
        <v>1540</v>
      </c>
      <c r="D8" s="1430"/>
      <c r="E8" s="1430"/>
      <c r="F8" s="1430"/>
    </row>
    <row r="9" spans="1:20" s="581" customFormat="1" ht="18" customHeight="1">
      <c r="A9" s="1"/>
      <c r="B9" s="1077"/>
      <c r="C9" s="1549" t="s">
        <v>1490</v>
      </c>
      <c r="D9" s="989"/>
      <c r="E9" s="1413"/>
      <c r="F9" s="1138"/>
      <c r="G9" s="1213"/>
      <c r="H9" s="1213"/>
      <c r="I9" s="1213"/>
      <c r="J9" s="1214"/>
    </row>
    <row r="10" spans="1:20" s="581" customFormat="1" ht="15.5">
      <c r="A10" s="1"/>
      <c r="B10" s="1077"/>
      <c r="C10" s="15"/>
      <c r="D10" s="15"/>
      <c r="E10" s="15"/>
      <c r="F10" s="15"/>
      <c r="G10" s="15"/>
      <c r="H10" s="1213"/>
      <c r="I10" s="1213"/>
      <c r="J10" s="1214"/>
    </row>
    <row r="11" spans="1:20" ht="18.5">
      <c r="B11" s="1077"/>
      <c r="C11" s="1082"/>
      <c r="D11" s="1082"/>
      <c r="E11" s="2015" t="s">
        <v>1009</v>
      </c>
      <c r="F11" s="2017"/>
      <c r="H11" s="1412" t="s">
        <v>1293</v>
      </c>
      <c r="I11" s="1411" t="s">
        <v>1294</v>
      </c>
      <c r="J11" s="1479" t="s">
        <v>1487</v>
      </c>
      <c r="K11" s="1412" t="s">
        <v>1293</v>
      </c>
      <c r="L11" s="1411" t="s">
        <v>1294</v>
      </c>
      <c r="M11" s="1479" t="s">
        <v>1487</v>
      </c>
      <c r="N11" s="581"/>
    </row>
    <row r="12" spans="1:20" ht="22.5" customHeight="1">
      <c r="B12" s="1077"/>
      <c r="C12" s="1000" t="s">
        <v>1138</v>
      </c>
      <c r="D12" s="889" t="s">
        <v>1118</v>
      </c>
      <c r="E12" s="1535" t="s">
        <v>1488</v>
      </c>
      <c r="F12" s="1537" t="s">
        <v>1489</v>
      </c>
      <c r="H12" s="2052" t="s">
        <v>1345</v>
      </c>
      <c r="I12" s="2052"/>
      <c r="J12" s="2052"/>
      <c r="K12" s="2114" t="s">
        <v>1346</v>
      </c>
      <c r="L12" s="2114"/>
      <c r="M12" s="2114"/>
      <c r="N12" s="581"/>
    </row>
    <row r="13" spans="1:20" ht="15" customHeight="1">
      <c r="B13" s="1077"/>
      <c r="C13" s="1095"/>
      <c r="D13" s="1012" t="s">
        <v>66</v>
      </c>
      <c r="E13" s="1013"/>
      <c r="F13" s="1014"/>
      <c r="H13" s="1849" t="str">
        <f>IF(ISNONTEXT(E13)=TRUE,"","X")</f>
        <v/>
      </c>
      <c r="I13" s="1850" t="str">
        <f>IF(AND(E13&gt;=0)=TRUE,"","X")</f>
        <v/>
      </c>
      <c r="J13" s="1848" t="str">
        <f>IF(AND(E13&lt;&gt;"",$C13&lt;&gt;""),"",IF(AND(ISBLANK(E13),LEFT($C13,5)="&lt;TNSP"),"",IF(AND(ISBLANK(E13),ISBLANK($C13)),"","X")))</f>
        <v/>
      </c>
      <c r="K13" s="1849" t="str">
        <f t="shared" ref="K13:K19" si="0">IF(ISNONTEXT(F13)=TRUE,"","X")</f>
        <v/>
      </c>
      <c r="L13" s="1850" t="str">
        <f t="shared" ref="L13:L19" si="1">IF(AND(F13&gt;=0)=TRUE,"","X")</f>
        <v/>
      </c>
      <c r="M13" s="1848" t="str">
        <f>IF(AND(F13&lt;&gt;"",$C13&lt;&gt;""),"",IF(AND(ISBLANK(F13),LEFT($C13,5)="&lt;TNSP"),"",IF(AND(ISBLANK(F13),ISBLANK($C13)),"","X")))</f>
        <v/>
      </c>
      <c r="N13" s="581"/>
    </row>
    <row r="14" spans="1:20" ht="15.5">
      <c r="B14" s="1077"/>
      <c r="C14" s="1096"/>
      <c r="D14" s="1016" t="s">
        <v>66</v>
      </c>
      <c r="E14" s="1017"/>
      <c r="F14" s="1018"/>
      <c r="H14" s="1327" t="str">
        <f t="shared" ref="H14:H19" si="2">IF(ISNONTEXT(E14)=TRUE,"","X")</f>
        <v/>
      </c>
      <c r="I14" s="1186" t="str">
        <f t="shared" ref="I14:I19" si="3">IF(AND(E14&gt;=0)=TRUE,"","X")</f>
        <v/>
      </c>
      <c r="J14" s="1322" t="str">
        <f t="shared" ref="J14:J19" si="4">IF(AND(E14&lt;&gt;"",$C14&lt;&gt;""),"",IF(AND(ISBLANK(E14),LEFT($C14,5)="&lt;TNSP"),"",IF(AND(ISBLANK(E14),ISBLANK($C14)),"","X")))</f>
        <v/>
      </c>
      <c r="K14" s="1327" t="str">
        <f t="shared" si="0"/>
        <v/>
      </c>
      <c r="L14" s="1186" t="str">
        <f t="shared" si="1"/>
        <v/>
      </c>
      <c r="M14" s="1322" t="str">
        <f t="shared" ref="M14:M19" si="5">IF(AND(F14&lt;&gt;"",$C14&lt;&gt;""),"",IF(AND(ISBLANK(F14),LEFT($C14,5)="&lt;TNSP"),"",IF(AND(ISBLANK(F14),ISBLANK($C14)),"","X")))</f>
        <v/>
      </c>
      <c r="N14" s="581"/>
    </row>
    <row r="15" spans="1:20" ht="15" customHeight="1">
      <c r="B15" s="1077"/>
      <c r="C15" s="1096"/>
      <c r="D15" s="1016" t="s">
        <v>66</v>
      </c>
      <c r="E15" s="1017"/>
      <c r="F15" s="1018"/>
      <c r="H15" s="1327" t="str">
        <f t="shared" si="2"/>
        <v/>
      </c>
      <c r="I15" s="1186" t="str">
        <f t="shared" si="3"/>
        <v/>
      </c>
      <c r="J15" s="1322" t="str">
        <f t="shared" si="4"/>
        <v/>
      </c>
      <c r="K15" s="1327" t="str">
        <f t="shared" si="0"/>
        <v/>
      </c>
      <c r="L15" s="1186" t="str">
        <f t="shared" si="1"/>
        <v/>
      </c>
      <c r="M15" s="1322" t="str">
        <f t="shared" si="5"/>
        <v/>
      </c>
      <c r="N15" s="581"/>
    </row>
    <row r="16" spans="1:20">
      <c r="B16" s="1077"/>
      <c r="C16" s="1096"/>
      <c r="D16" s="1016" t="s">
        <v>66</v>
      </c>
      <c r="E16" s="1017"/>
      <c r="F16" s="1018"/>
      <c r="H16" s="1327" t="str">
        <f t="shared" si="2"/>
        <v/>
      </c>
      <c r="I16" s="1186" t="str">
        <f t="shared" si="3"/>
        <v/>
      </c>
      <c r="J16" s="1322" t="str">
        <f t="shared" si="4"/>
        <v/>
      </c>
      <c r="K16" s="1327" t="str">
        <f t="shared" si="0"/>
        <v/>
      </c>
      <c r="L16" s="1186" t="str">
        <f t="shared" si="1"/>
        <v/>
      </c>
      <c r="M16" s="1322" t="str">
        <f t="shared" si="5"/>
        <v/>
      </c>
    </row>
    <row r="17" spans="2:13">
      <c r="B17" s="1077"/>
      <c r="C17" s="1096"/>
      <c r="D17" s="1016" t="s">
        <v>66</v>
      </c>
      <c r="E17" s="1017"/>
      <c r="F17" s="1018"/>
      <c r="H17" s="1327" t="str">
        <f t="shared" si="2"/>
        <v/>
      </c>
      <c r="I17" s="1186" t="str">
        <f t="shared" si="3"/>
        <v/>
      </c>
      <c r="J17" s="1322" t="str">
        <f t="shared" si="4"/>
        <v/>
      </c>
      <c r="K17" s="1327" t="str">
        <f t="shared" si="0"/>
        <v/>
      </c>
      <c r="L17" s="1186" t="str">
        <f t="shared" si="1"/>
        <v/>
      </c>
      <c r="M17" s="1322" t="str">
        <f t="shared" si="5"/>
        <v/>
      </c>
    </row>
    <row r="18" spans="2:13">
      <c r="C18" s="1096"/>
      <c r="D18" s="1016" t="s">
        <v>66</v>
      </c>
      <c r="E18" s="1017"/>
      <c r="F18" s="1018"/>
      <c r="H18" s="1327" t="str">
        <f t="shared" si="2"/>
        <v/>
      </c>
      <c r="I18" s="1186" t="str">
        <f t="shared" si="3"/>
        <v/>
      </c>
      <c r="J18" s="1322" t="str">
        <f t="shared" si="4"/>
        <v/>
      </c>
      <c r="K18" s="1327" t="str">
        <f t="shared" si="0"/>
        <v/>
      </c>
      <c r="L18" s="1186" t="str">
        <f t="shared" si="1"/>
        <v/>
      </c>
      <c r="M18" s="1322" t="str">
        <f t="shared" si="5"/>
        <v/>
      </c>
    </row>
    <row r="19" spans="2:13">
      <c r="B19" s="1909" t="s">
        <v>1334</v>
      </c>
      <c r="C19" s="1097"/>
      <c r="D19" s="1019" t="s">
        <v>66</v>
      </c>
      <c r="E19" s="1020"/>
      <c r="F19" s="1021"/>
      <c r="H19" s="1329" t="str">
        <f t="shared" si="2"/>
        <v/>
      </c>
      <c r="I19" s="1323" t="str">
        <f t="shared" si="3"/>
        <v/>
      </c>
      <c r="J19" s="1324" t="str">
        <f t="shared" si="4"/>
        <v/>
      </c>
      <c r="K19" s="1329" t="str">
        <f t="shared" si="0"/>
        <v/>
      </c>
      <c r="L19" s="1323" t="str">
        <f t="shared" si="1"/>
        <v/>
      </c>
      <c r="M19" s="1324" t="str">
        <f t="shared" si="5"/>
        <v/>
      </c>
    </row>
    <row r="22" spans="2:13">
      <c r="B22" s="912"/>
      <c r="C22" s="579"/>
      <c r="D22" s="579"/>
      <c r="E22" s="579"/>
      <c r="F22" s="579"/>
    </row>
    <row r="23" spans="2:13">
      <c r="B23" s="579"/>
      <c r="C23" s="1310" t="s">
        <v>1471</v>
      </c>
      <c r="D23" s="1852"/>
      <c r="E23" s="579"/>
      <c r="F23" s="579"/>
    </row>
    <row r="24" spans="2:13">
      <c r="B24" s="912"/>
      <c r="C24" s="1847" t="s">
        <v>1495</v>
      </c>
      <c r="D24" s="579"/>
      <c r="E24" s="579"/>
      <c r="F24" s="579"/>
    </row>
    <row r="25" spans="2:13">
      <c r="B25" s="912"/>
      <c r="C25" s="579"/>
      <c r="D25" s="579"/>
      <c r="E25" s="579"/>
      <c r="F25" s="579"/>
    </row>
    <row r="26" spans="2:13">
      <c r="B26" s="912"/>
      <c r="C26" s="579"/>
      <c r="D26" s="579"/>
      <c r="E26" s="579"/>
      <c r="F26" s="579"/>
    </row>
    <row r="27" spans="2:13">
      <c r="B27" s="912"/>
      <c r="C27" s="579"/>
      <c r="D27" s="579"/>
      <c r="E27" s="579"/>
      <c r="F27" s="579"/>
    </row>
    <row r="28" spans="2:13">
      <c r="B28" s="912"/>
      <c r="C28" s="579"/>
      <c r="D28" s="579"/>
      <c r="E28" s="579"/>
      <c r="F28" s="579"/>
    </row>
    <row r="29" spans="2:13">
      <c r="B29" s="912"/>
      <c r="C29" s="579"/>
      <c r="D29" s="579"/>
      <c r="E29" s="579"/>
      <c r="F29" s="579"/>
    </row>
  </sheetData>
  <mergeCells count="3">
    <mergeCell ref="K12:M12"/>
    <mergeCell ref="H12:J12"/>
    <mergeCell ref="E11:F11"/>
  </mergeCells>
  <conditionalFormatting sqref="C23">
    <cfRule type="cellIs" dxfId="39" priority="1" operator="equal">
      <formula>FALSE</formula>
    </cfRule>
  </conditionalFormatting>
  <conditionalFormatting sqref="E13:F19">
    <cfRule type="expression" dxfId="38" priority="9">
      <formula>dms_worksheet210flag="Worksheet 2.10"</formula>
    </cfRule>
  </conditionalFormatting>
  <dataValidations count="1">
    <dataValidation allowBlank="1" showErrorMessage="1" sqref="C24" xr:uid="{4AFB8A01-878C-4AA4-805E-EFBC128092D7}"/>
  </dataValidations>
  <pageMargins left="0.7" right="0.7" top="0.75" bottom="0.75" header="0.3" footer="0.3"/>
  <pageSetup paperSize="9" scale="6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FCC42-CAB8-436C-93E1-8D9723A2D561}">
  <sheetPr codeName="Sheet20"/>
  <dimension ref="B1:J40"/>
  <sheetViews>
    <sheetView workbookViewId="0"/>
  </sheetViews>
  <sheetFormatPr defaultColWidth="9.1796875" defaultRowHeight="14.5"/>
  <cols>
    <col min="1" max="1" width="5.6328125" style="1500" customWidth="1"/>
    <col min="2" max="2" width="62.81640625" style="1500" customWidth="1"/>
    <col min="3" max="3" width="100.54296875" style="1500" customWidth="1"/>
    <col min="4" max="6" width="14.453125" style="1500" customWidth="1"/>
    <col min="7" max="16384" width="9.1796875" style="1500"/>
  </cols>
  <sheetData>
    <row r="1" spans="2:10" ht="15" customHeight="1">
      <c r="B1" s="1498"/>
      <c r="C1" s="1499"/>
    </row>
    <row r="2" spans="2:10" s="1499" customFormat="1" ht="22" customHeight="1">
      <c r="B2" s="1980" t="s">
        <v>1545</v>
      </c>
      <c r="C2" s="1981"/>
      <c r="D2" s="1501"/>
      <c r="E2" s="1501"/>
      <c r="F2" s="1501"/>
      <c r="G2" s="1501"/>
      <c r="H2" s="1501"/>
      <c r="I2" s="1501"/>
      <c r="J2" s="1501"/>
    </row>
    <row r="3" spans="2:10" s="1499" customFormat="1" ht="10.5" customHeight="1">
      <c r="B3" s="1502"/>
      <c r="C3" s="1502"/>
      <c r="D3" s="1501"/>
      <c r="E3" s="1501"/>
      <c r="F3" s="1501"/>
      <c r="G3" s="1501"/>
      <c r="H3" s="1501"/>
      <c r="I3" s="1501"/>
      <c r="J3" s="1501"/>
    </row>
    <row r="4" spans="2:10" s="1504" customFormat="1" ht="20.149999999999999" customHeight="1">
      <c r="B4" s="1982" t="s">
        <v>1548</v>
      </c>
      <c r="C4" s="1982"/>
      <c r="D4" s="1503"/>
    </row>
    <row r="5" spans="2:10" s="1504" customFormat="1" ht="7.5" customHeight="1"/>
    <row r="6" spans="2:10" s="1504" customFormat="1" ht="25" customHeight="1">
      <c r="B6" s="1505" t="s">
        <v>1549</v>
      </c>
      <c r="C6" s="1505"/>
      <c r="D6" s="1503"/>
    </row>
    <row r="7" spans="2:10" s="1504" customFormat="1" ht="25" customHeight="1">
      <c r="B7" s="1505" t="s">
        <v>1651</v>
      </c>
      <c r="C7" s="1505"/>
      <c r="D7" s="1503"/>
    </row>
    <row r="8" spans="2:10" s="1504" customFormat="1" ht="25" customHeight="1">
      <c r="B8" s="1505" t="s">
        <v>1550</v>
      </c>
      <c r="C8" s="1505"/>
      <c r="D8" s="1503"/>
    </row>
    <row r="9" spans="2:10" s="1504" customFormat="1" ht="25" customHeight="1">
      <c r="B9" s="1505" t="s">
        <v>1551</v>
      </c>
      <c r="C9" s="1505"/>
      <c r="D9" s="1503"/>
    </row>
    <row r="10" spans="2:10" s="1499" customFormat="1" ht="25" customHeight="1">
      <c r="B10" s="1505" t="s">
        <v>1552</v>
      </c>
      <c r="C10" s="1505"/>
      <c r="D10" s="1501"/>
      <c r="E10" s="1501"/>
      <c r="F10" s="1501"/>
      <c r="G10" s="1501"/>
      <c r="H10" s="1501"/>
      <c r="I10" s="1501"/>
      <c r="J10" s="1501"/>
    </row>
    <row r="11" spans="2:10" s="1504" customFormat="1" ht="25" customHeight="1">
      <c r="B11" s="1505" t="s">
        <v>1553</v>
      </c>
      <c r="C11" s="1505"/>
      <c r="D11" s="1503"/>
    </row>
    <row r="12" spans="2:10" s="1504" customFormat="1" ht="25" customHeight="1">
      <c r="B12" s="1759" t="s">
        <v>1652</v>
      </c>
      <c r="C12" s="1505"/>
      <c r="D12" s="1503"/>
    </row>
    <row r="13" spans="2:10" s="1504" customFormat="1" ht="25" customHeight="1">
      <c r="B13" s="1505" t="s">
        <v>1554</v>
      </c>
      <c r="C13" s="1505"/>
      <c r="D13" s="1503"/>
    </row>
    <row r="14" spans="2:10" s="1504" customFormat="1" ht="9" customHeight="1">
      <c r="B14" s="1506"/>
      <c r="C14" s="1506"/>
      <c r="D14" s="1503"/>
    </row>
    <row r="15" spans="2:10" s="1504" customFormat="1" ht="20.149999999999999" customHeight="1">
      <c r="B15" s="1982" t="s">
        <v>1555</v>
      </c>
      <c r="C15" s="1982"/>
      <c r="D15" s="1503"/>
    </row>
    <row r="16" spans="2:10" s="1504" customFormat="1" ht="6.75" customHeight="1">
      <c r="B16" s="1507"/>
      <c r="C16" s="1508"/>
      <c r="D16" s="1503"/>
    </row>
    <row r="17" spans="2:6" s="1499" customFormat="1" ht="35.25" customHeight="1">
      <c r="B17" s="1983" t="s">
        <v>1556</v>
      </c>
      <c r="C17" s="1983"/>
      <c r="D17" s="1509"/>
    </row>
    <row r="18" spans="2:6" s="1504" customFormat="1" ht="11.25" customHeight="1">
      <c r="B18" s="1507"/>
      <c r="C18" s="1508"/>
      <c r="D18" s="1503"/>
    </row>
    <row r="19" spans="2:6" s="1504" customFormat="1" ht="20.149999999999999" customHeight="1">
      <c r="B19" s="1982" t="s">
        <v>1557</v>
      </c>
      <c r="C19" s="1982"/>
      <c r="D19" s="1503"/>
    </row>
    <row r="20" spans="2:6" s="1499" customFormat="1" ht="11.25" customHeight="1"/>
    <row r="21" spans="2:6" s="1499" customFormat="1" ht="22" customHeight="1">
      <c r="B21" s="1983" t="s">
        <v>1650</v>
      </c>
      <c r="C21" s="1983"/>
      <c r="D21" s="1509"/>
    </row>
    <row r="22" spans="2:6" s="1499" customFormat="1" ht="24.75" customHeight="1">
      <c r="B22" s="1984" t="s">
        <v>1669</v>
      </c>
      <c r="C22" s="1984"/>
      <c r="D22" s="1509"/>
    </row>
    <row r="24" spans="2:6" s="1504" customFormat="1" ht="20.149999999999999" customHeight="1">
      <c r="B24" s="1982" t="s">
        <v>1558</v>
      </c>
      <c r="C24" s="1982"/>
      <c r="D24" s="1503"/>
    </row>
    <row r="25" spans="2:6" s="1499" customFormat="1" ht="11.25" customHeight="1"/>
    <row r="26" spans="2:6">
      <c r="B26" s="1510" t="s">
        <v>991</v>
      </c>
      <c r="C26" s="1510"/>
      <c r="D26" s="1511" t="s">
        <v>1559</v>
      </c>
      <c r="E26" s="1511" t="s">
        <v>1560</v>
      </c>
      <c r="F26" s="1511" t="s">
        <v>1493</v>
      </c>
    </row>
    <row r="27" spans="2:6">
      <c r="B27" s="1768" t="s">
        <v>35</v>
      </c>
      <c r="C27" s="1313"/>
      <c r="D27" s="1512">
        <f>MROUND('2.1 Expenditure summary'!F29,1)</f>
        <v>0</v>
      </c>
      <c r="E27" s="1512">
        <f>MROUND(SUM('2.7 Vegetation management'!E12:E17),1)</f>
        <v>0</v>
      </c>
      <c r="F27" s="1513">
        <f>ABS(D27-E27)</f>
        <v>0</v>
      </c>
    </row>
    <row r="28" spans="2:6">
      <c r="B28" s="1768" t="s">
        <v>36</v>
      </c>
      <c r="C28" s="1313"/>
      <c r="D28" s="1512">
        <f>MROUND('2.1 Expenditure summary'!F30,1)</f>
        <v>0</v>
      </c>
      <c r="E28" s="1512">
        <f>MROUND(SUM('2.8 Maintenance'!E28:F32),1)</f>
        <v>0</v>
      </c>
      <c r="F28" s="1513">
        <f t="shared" ref="F28:F29" si="0">ABS(D28-E28)</f>
        <v>0</v>
      </c>
    </row>
    <row r="29" spans="2:6">
      <c r="B29" s="1768" t="s">
        <v>1668</v>
      </c>
      <c r="C29" s="1313"/>
      <c r="D29" s="1512">
        <f>MROUND('2.1 Expenditure summary'!F35,1)</f>
        <v>0</v>
      </c>
      <c r="E29" s="1512">
        <f>MROUND('8.5 Opex'!F49,1)</f>
        <v>0</v>
      </c>
      <c r="F29" s="1513">
        <f t="shared" si="0"/>
        <v>0</v>
      </c>
    </row>
    <row r="30" spans="2:6">
      <c r="B30" s="1768" t="s">
        <v>1704</v>
      </c>
      <c r="C30" s="1515"/>
      <c r="D30" s="1512">
        <f>MROUND('8.5 Opex'!F29,1)</f>
        <v>0</v>
      </c>
      <c r="E30" s="1512">
        <f>MROUND('8.5 Opex'!E49+'8.5 Opex'!F49,1)</f>
        <v>0</v>
      </c>
      <c r="F30" s="1513">
        <f>ABS(D30-E30)</f>
        <v>0</v>
      </c>
    </row>
    <row r="31" spans="2:6">
      <c r="B31" s="579"/>
      <c r="C31" s="579"/>
      <c r="D31" s="1512"/>
      <c r="E31" s="1512"/>
      <c r="F31" s="1514"/>
    </row>
    <row r="32" spans="2:6">
      <c r="B32" s="1312" t="s">
        <v>1472</v>
      </c>
      <c r="C32" s="1510"/>
    </row>
    <row r="33" spans="2:8">
      <c r="B33" s="1768" t="s">
        <v>1473</v>
      </c>
      <c r="C33" s="1313"/>
      <c r="D33" s="1512">
        <f>MROUND('2.10 Overheads'!K14,1)</f>
        <v>0</v>
      </c>
      <c r="E33" s="1512">
        <f>MROUND('2.10 Overheads'!L14+'2.10 Overheads'!M14,1)</f>
        <v>0</v>
      </c>
      <c r="F33" s="1513">
        <f>ABS(D33-E33)</f>
        <v>0</v>
      </c>
      <c r="G33" s="1517"/>
    </row>
    <row r="34" spans="2:8">
      <c r="B34" s="1768" t="s">
        <v>1474</v>
      </c>
      <c r="C34" s="1313"/>
      <c r="D34" s="1516">
        <f>MROUND('2.10 Overheads'!K15,1)</f>
        <v>0</v>
      </c>
      <c r="E34" s="1512">
        <f>MROUND('2.10 Overheads'!L15+'2.10 Overheads'!M15,1)</f>
        <v>0</v>
      </c>
      <c r="F34" s="1513">
        <f>ABS(D34-E34)</f>
        <v>0</v>
      </c>
      <c r="G34" s="1758"/>
      <c r="H34" s="1758"/>
    </row>
    <row r="35" spans="2:8">
      <c r="B35" s="579"/>
      <c r="C35" s="579"/>
      <c r="D35" s="1758"/>
      <c r="E35" s="1758"/>
      <c r="F35" s="1758"/>
      <c r="G35" s="1758"/>
      <c r="H35" s="1758"/>
    </row>
    <row r="36" spans="2:8">
      <c r="B36" s="1312" t="s">
        <v>1475</v>
      </c>
      <c r="C36" s="1510"/>
      <c r="D36" s="1758"/>
      <c r="E36" s="1758"/>
      <c r="F36" s="1758"/>
      <c r="G36" s="1758"/>
    </row>
    <row r="37" spans="2:8">
      <c r="B37" s="1714" t="s">
        <v>1136</v>
      </c>
      <c r="C37" s="1510"/>
      <c r="D37" s="1758">
        <f>MROUND('2.10 Overheads'!K20,1)</f>
        <v>0</v>
      </c>
      <c r="E37" s="1512">
        <f>MROUND('2.10 Overheads'!L20+'2.10 Overheads'!M20,1)</f>
        <v>0</v>
      </c>
      <c r="F37" s="1513">
        <f t="shared" ref="F37:F40" si="1">ABS(D37-E37)</f>
        <v>0</v>
      </c>
    </row>
    <row r="38" spans="2:8">
      <c r="B38" s="1768" t="s">
        <v>1476</v>
      </c>
      <c r="C38" s="1313"/>
      <c r="D38" s="1758">
        <f>MROUND('2.10 Overheads'!K21,1)</f>
        <v>0</v>
      </c>
      <c r="E38" s="1512">
        <f>MROUND('2.10 Overheads'!L21+'2.10 Overheads'!M21,1)</f>
        <v>0</v>
      </c>
      <c r="F38" s="1513">
        <f t="shared" si="1"/>
        <v>0</v>
      </c>
    </row>
    <row r="39" spans="2:8">
      <c r="B39" s="1768" t="s">
        <v>1477</v>
      </c>
      <c r="C39" s="1313"/>
      <c r="D39" s="1758">
        <f>MROUND('2.10 Overheads'!K22,1)</f>
        <v>0</v>
      </c>
      <c r="E39" s="1512">
        <f>MROUND('2.10 Overheads'!L22+'2.10 Overheads'!M22,1)</f>
        <v>0</v>
      </c>
      <c r="F39" s="1513">
        <f t="shared" si="1"/>
        <v>0</v>
      </c>
    </row>
    <row r="40" spans="2:8">
      <c r="B40" s="1713" t="s">
        <v>1137</v>
      </c>
      <c r="C40" s="1313"/>
      <c r="D40" s="1758">
        <f>MROUND('2.10 Overheads'!K23,1)</f>
        <v>0</v>
      </c>
      <c r="E40" s="1512">
        <f>MROUND('2.10 Overheads'!L23+'2.10 Overheads'!M23,1)</f>
        <v>0</v>
      </c>
      <c r="F40" s="1513">
        <f t="shared" si="1"/>
        <v>0</v>
      </c>
    </row>
  </sheetData>
  <mergeCells count="8">
    <mergeCell ref="B2:C2"/>
    <mergeCell ref="B4:C4"/>
    <mergeCell ref="B21:C21"/>
    <mergeCell ref="B24:C24"/>
    <mergeCell ref="B15:C15"/>
    <mergeCell ref="B17:C17"/>
    <mergeCell ref="B19:C19"/>
    <mergeCell ref="B22:C22"/>
  </mergeCells>
  <dataValidations count="1">
    <dataValidation allowBlank="1" showErrorMessage="1" sqref="B29:B30" xr:uid="{EAA9A382-260C-4918-B34A-7119D51CD37A}"/>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9572B2"/>
    <pageSetUpPr fitToPage="1"/>
  </sheetPr>
  <dimension ref="B1:S22"/>
  <sheetViews>
    <sheetView workbookViewId="0"/>
  </sheetViews>
  <sheetFormatPr defaultColWidth="9.1796875" defaultRowHeight="14.5"/>
  <cols>
    <col min="1" max="1" width="5.6328125" style="1" customWidth="1"/>
    <col min="2" max="2" width="25.6328125" style="1060" customWidth="1"/>
    <col min="3" max="3" width="78.453125" style="1" bestFit="1" customWidth="1"/>
    <col min="4" max="4" width="9.81640625" style="1" customWidth="1"/>
    <col min="5" max="5" width="17.1796875" style="1" customWidth="1"/>
    <col min="6" max="6" width="17.453125" style="1" customWidth="1"/>
    <col min="7" max="8" width="3.54296875" style="1" customWidth="1"/>
    <col min="9" max="9" width="4.54296875" style="1" customWidth="1"/>
    <col min="10" max="19" width="3.54296875" style="1" customWidth="1"/>
    <col min="20" max="22" width="9.1796875" style="1"/>
    <col min="23" max="23" width="5.6328125" style="1" customWidth="1"/>
    <col min="24" max="16384" width="9.1796875" style="1"/>
  </cols>
  <sheetData>
    <row r="1" spans="2:19" s="952" customFormat="1" ht="20" customHeight="1">
      <c r="B1" s="1060"/>
      <c r="C1" s="914" t="str">
        <f>dms_SheetHeading1</f>
        <v>ANNUAL INFORMATION ORDER</v>
      </c>
      <c r="D1" s="1024"/>
      <c r="E1" s="1024"/>
      <c r="G1" s="1556" t="s">
        <v>1003</v>
      </c>
      <c r="H1" s="1556"/>
      <c r="I1" s="1556"/>
      <c r="J1" s="1556"/>
      <c r="K1" s="1556"/>
      <c r="L1" s="1556"/>
      <c r="M1" s="1557" t="s">
        <v>1002</v>
      </c>
      <c r="N1" s="1556"/>
      <c r="O1" s="1556"/>
      <c r="P1" s="1556"/>
      <c r="Q1" s="1556"/>
      <c r="R1" s="1556"/>
      <c r="S1" s="1556"/>
    </row>
    <row r="2" spans="2:19" s="952" customFormat="1" ht="20" customHeight="1">
      <c r="B2" s="1060"/>
      <c r="C2" s="915" t="str">
        <f>dms_SheetHeading2</f>
        <v>Australian Transmission Co.</v>
      </c>
      <c r="D2" s="1024"/>
      <c r="E2" s="1024"/>
      <c r="G2" s="1558" t="s">
        <v>1004</v>
      </c>
      <c r="H2" s="1558"/>
      <c r="I2" s="1558"/>
      <c r="J2" s="1558"/>
      <c r="K2" s="1558"/>
      <c r="L2" s="1558"/>
      <c r="M2" s="1559" t="s">
        <v>179</v>
      </c>
      <c r="N2" s="1558"/>
      <c r="O2" s="1558"/>
      <c r="P2" s="1558"/>
      <c r="Q2" s="1558"/>
      <c r="R2" s="1558"/>
      <c r="S2" s="1558"/>
    </row>
    <row r="3" spans="2:19" s="952" customFormat="1" ht="20" customHeight="1">
      <c r="B3" s="1060"/>
      <c r="C3" s="916" t="str">
        <f>dms_SheetHeading3</f>
        <v>REPORTING STATEMENT: 2025-26</v>
      </c>
      <c r="D3" s="1024"/>
      <c r="E3" s="1024"/>
      <c r="G3" s="1560" t="s">
        <v>1005</v>
      </c>
      <c r="H3" s="1560"/>
      <c r="I3" s="1560"/>
      <c r="J3" s="1560"/>
      <c r="K3" s="1560"/>
      <c r="L3" s="1560"/>
      <c r="M3" s="1561" t="s">
        <v>180</v>
      </c>
      <c r="N3" s="1560"/>
      <c r="O3" s="1560"/>
      <c r="P3" s="1560"/>
      <c r="Q3" s="1560"/>
      <c r="R3" s="1560"/>
      <c r="S3" s="1560"/>
    </row>
    <row r="4" spans="2:19" s="952" customFormat="1" ht="20" customHeight="1">
      <c r="B4" s="1060"/>
      <c r="C4" s="1025" t="s">
        <v>1467</v>
      </c>
      <c r="D4" s="1026"/>
      <c r="E4" s="1026"/>
      <c r="G4" s="1562" t="s">
        <v>1007</v>
      </c>
      <c r="H4" s="1563"/>
      <c r="I4" s="1564"/>
      <c r="J4" s="1565"/>
      <c r="K4" s="1565"/>
      <c r="L4" s="1565"/>
      <c r="M4" s="1566" t="s">
        <v>1006</v>
      </c>
      <c r="N4" s="1565"/>
      <c r="O4" s="1565"/>
      <c r="P4" s="1565"/>
      <c r="Q4" s="1565"/>
      <c r="R4" s="1565"/>
      <c r="S4" s="1565"/>
    </row>
    <row r="5" spans="2:19" ht="13.5" customHeight="1">
      <c r="C5" s="953"/>
    </row>
    <row r="6" spans="2:19" ht="15" customHeight="1">
      <c r="C6" s="1448" t="s">
        <v>1534</v>
      </c>
      <c r="D6" s="1433"/>
      <c r="E6" s="1433"/>
    </row>
    <row r="7" spans="2:19" ht="15" customHeight="1">
      <c r="C7" s="1429" t="s">
        <v>1535</v>
      </c>
      <c r="D7" s="1430"/>
      <c r="E7" s="1430"/>
    </row>
    <row r="8" spans="2:19" ht="18" customHeight="1">
      <c r="C8" s="1549" t="s">
        <v>1290</v>
      </c>
      <c r="D8" s="989"/>
      <c r="E8" s="989"/>
    </row>
    <row r="9" spans="2:19" s="581" customFormat="1" ht="15.5">
      <c r="C9" s="970"/>
      <c r="G9" s="1472" t="s">
        <v>1293</v>
      </c>
      <c r="H9" s="1477" t="s">
        <v>1294</v>
      </c>
      <c r="I9" s="1478" t="s">
        <v>1295</v>
      </c>
    </row>
    <row r="10" spans="2:19" ht="25.5" customHeight="1">
      <c r="B10" s="1"/>
      <c r="C10" s="957" t="s">
        <v>1074</v>
      </c>
      <c r="D10" s="889" t="s">
        <v>1118</v>
      </c>
      <c r="E10" s="958" t="s">
        <v>1189</v>
      </c>
      <c r="G10" s="2115" t="s">
        <v>1189</v>
      </c>
      <c r="H10" s="2116"/>
      <c r="I10" s="2117"/>
    </row>
    <row r="11" spans="2:19">
      <c r="B11" s="1"/>
      <c r="C11" s="1086" t="s">
        <v>1075</v>
      </c>
      <c r="D11" s="941" t="s">
        <v>66</v>
      </c>
      <c r="E11" s="977"/>
      <c r="G11" s="1849" t="str">
        <f>IF(ISNONTEXT(E11)=TRUE,"","X")</f>
        <v/>
      </c>
      <c r="H11" s="1850" t="str">
        <f>IF(AND(E11&gt;=0)=TRUE,"","X")</f>
        <v/>
      </c>
      <c r="I11" s="1865"/>
    </row>
    <row r="12" spans="2:19">
      <c r="B12" s="1"/>
      <c r="C12" s="1087" t="s">
        <v>1076</v>
      </c>
      <c r="D12" s="943" t="s">
        <v>66</v>
      </c>
      <c r="E12" s="979"/>
      <c r="G12" s="1329" t="str">
        <f>IF(ISNONTEXT(E12)=TRUE,"","X")</f>
        <v/>
      </c>
      <c r="H12" s="1323" t="str">
        <f>IF(AND(E12&gt;=0)=TRUE,"","X")</f>
        <v/>
      </c>
      <c r="I12" s="1333"/>
    </row>
    <row r="13" spans="2:19">
      <c r="B13" s="1"/>
      <c r="C13" s="579"/>
      <c r="D13" s="579"/>
      <c r="E13" s="579"/>
    </row>
    <row r="14" spans="2:19">
      <c r="B14" s="1"/>
      <c r="C14" s="1088" t="s">
        <v>1220</v>
      </c>
      <c r="D14" s="945" t="s">
        <v>66</v>
      </c>
      <c r="E14" s="1089"/>
      <c r="F14" s="1117"/>
      <c r="G14" s="1866" t="str">
        <f>IF(ISNONTEXT(E14)=TRUE,"","X")</f>
        <v/>
      </c>
      <c r="H14" s="1867" t="str">
        <f>IF(AND(E14&gt;=0)=TRUE,"","X")</f>
        <v/>
      </c>
      <c r="I14" s="1868"/>
    </row>
    <row r="15" spans="2:19">
      <c r="B15" s="1"/>
    </row>
    <row r="16" spans="2:19">
      <c r="B16" s="579"/>
      <c r="C16" s="579"/>
      <c r="D16" s="579"/>
      <c r="E16" s="579"/>
      <c r="F16" s="579"/>
    </row>
    <row r="17" spans="2:6">
      <c r="B17" s="912"/>
      <c r="C17" s="579"/>
      <c r="D17" s="579"/>
      <c r="E17" s="579"/>
      <c r="F17" s="579"/>
    </row>
    <row r="18" spans="2:6">
      <c r="B18" s="579"/>
      <c r="C18" s="1310" t="s">
        <v>1471</v>
      </c>
      <c r="D18" s="1852"/>
      <c r="E18" s="579"/>
      <c r="F18" s="579"/>
    </row>
    <row r="19" spans="2:6">
      <c r="B19" s="912"/>
      <c r="C19" s="1847" t="s">
        <v>1495</v>
      </c>
      <c r="D19" s="579"/>
      <c r="E19" s="579"/>
      <c r="F19" s="579"/>
    </row>
    <row r="20" spans="2:6">
      <c r="B20" s="912"/>
      <c r="C20" s="579"/>
      <c r="D20" s="579"/>
      <c r="E20" s="579"/>
      <c r="F20" s="579"/>
    </row>
    <row r="21" spans="2:6">
      <c r="B21" s="912"/>
      <c r="C21" s="579"/>
      <c r="D21" s="579"/>
      <c r="E21" s="579"/>
      <c r="F21" s="579"/>
    </row>
    <row r="22" spans="2:6">
      <c r="B22" s="912"/>
      <c r="C22" s="579"/>
      <c r="D22" s="579"/>
      <c r="E22" s="579"/>
      <c r="F22" s="579"/>
    </row>
  </sheetData>
  <mergeCells count="1">
    <mergeCell ref="G10:I10"/>
  </mergeCells>
  <conditionalFormatting sqref="C18">
    <cfRule type="cellIs" dxfId="37" priority="1" operator="equal">
      <formula>FALSE</formula>
    </cfRule>
  </conditionalFormatting>
  <conditionalFormatting sqref="E11:E12">
    <cfRule type="expression" dxfId="36" priority="6">
      <formula>dms_worksheet210flag="Worksheet 2.10"</formula>
    </cfRule>
  </conditionalFormatting>
  <conditionalFormatting sqref="E14">
    <cfRule type="expression" dxfId="35" priority="4">
      <formula>dms_worksheet210flag="Worksheet 2.10"</formula>
    </cfRule>
  </conditionalFormatting>
  <dataValidations count="2">
    <dataValidation allowBlank="1" showErrorMessage="1" sqref="C19" xr:uid="{4F2ACAB0-BAE2-4133-8D73-9298BAE1EEC0}"/>
    <dataValidation allowBlank="1" sqref="G9:I9" xr:uid="{9B453BA9-81D6-4FB6-AB9F-CC7084C812F1}"/>
  </dataValidations>
  <pageMargins left="0.7" right="0.7" top="0.75" bottom="0.75" header="0.3" footer="0.3"/>
  <pageSetup paperSize="9" scale="6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9572B2"/>
    <pageSetUpPr fitToPage="1"/>
  </sheetPr>
  <dimension ref="A1:U31"/>
  <sheetViews>
    <sheetView workbookViewId="0"/>
  </sheetViews>
  <sheetFormatPr defaultColWidth="9.1796875" defaultRowHeight="14.5"/>
  <cols>
    <col min="1" max="1" width="5.6328125" style="1" customWidth="1"/>
    <col min="2" max="2" width="25.6328125" style="1060" customWidth="1"/>
    <col min="3" max="3" width="37.81640625" style="1" customWidth="1"/>
    <col min="4" max="4" width="44.1796875" style="1" customWidth="1"/>
    <col min="5" max="5" width="35.453125" style="1" customWidth="1"/>
    <col min="6" max="6" width="22" style="1" customWidth="1"/>
    <col min="7" max="7" width="27.453125" style="1" customWidth="1"/>
    <col min="8" max="8" width="17.453125" style="1" customWidth="1"/>
    <col min="9" max="10" width="11.54296875" style="1" customWidth="1"/>
    <col min="11" max="11" width="6" style="1" customWidth="1"/>
    <col min="12" max="12" width="7.54296875" style="1" customWidth="1"/>
    <col min="13" max="13" width="6.1796875" style="1" customWidth="1"/>
    <col min="14" max="14" width="11.54296875" style="1" customWidth="1"/>
    <col min="15" max="18" width="5.54296875" style="1" customWidth="1"/>
    <col min="19" max="22" width="3.54296875" style="1" customWidth="1"/>
    <col min="23" max="23" width="5.6328125" style="1" customWidth="1"/>
    <col min="24" max="24" width="3.54296875" style="1" customWidth="1"/>
    <col min="25" max="25" width="14.54296875" style="1" customWidth="1"/>
    <col min="26" max="16384" width="9.1796875" style="1"/>
  </cols>
  <sheetData>
    <row r="1" spans="1:21" s="952" customFormat="1" ht="20" customHeight="1">
      <c r="B1" s="1"/>
      <c r="C1" s="914" t="str">
        <f>dms_SheetHeading1</f>
        <v>ANNUAL INFORMATION ORDER</v>
      </c>
      <c r="D1" s="916"/>
      <c r="E1" s="916"/>
      <c r="F1" s="916"/>
      <c r="G1" s="1024"/>
      <c r="I1" s="1556" t="s">
        <v>1003</v>
      </c>
      <c r="J1" s="1556"/>
      <c r="K1" s="1557" t="s">
        <v>1002</v>
      </c>
      <c r="L1" s="1556"/>
      <c r="M1" s="1556"/>
      <c r="N1" s="1556"/>
      <c r="O1" s="1616"/>
      <c r="P1" s="1556"/>
      <c r="Q1" s="1556"/>
      <c r="R1" s="1556"/>
      <c r="S1" s="1"/>
      <c r="T1" s="1"/>
      <c r="U1" s="1"/>
    </row>
    <row r="2" spans="1:21" s="952" customFormat="1" ht="20" customHeight="1">
      <c r="B2" s="1"/>
      <c r="C2" s="915" t="str">
        <f>dms_SheetHeading2</f>
        <v>Australian Transmission Co.</v>
      </c>
      <c r="D2" s="915"/>
      <c r="E2" s="915"/>
      <c r="F2" s="915"/>
      <c r="G2" s="1024"/>
      <c r="I2" s="1558" t="s">
        <v>1004</v>
      </c>
      <c r="J2" s="1558"/>
      <c r="K2" s="1559" t="s">
        <v>179</v>
      </c>
      <c r="L2" s="1558"/>
      <c r="M2" s="1558"/>
      <c r="N2" s="1558"/>
      <c r="O2" s="1617"/>
      <c r="P2" s="1558"/>
      <c r="Q2" s="1558"/>
      <c r="R2" s="1558"/>
      <c r="S2" s="1"/>
      <c r="T2" s="1"/>
      <c r="U2" s="1"/>
    </row>
    <row r="3" spans="1:21" s="952" customFormat="1" ht="20" customHeight="1">
      <c r="B3" s="1"/>
      <c r="C3" s="916" t="str">
        <f>dms_SheetHeading3</f>
        <v>REPORTING STATEMENT: 2025-26</v>
      </c>
      <c r="D3" s="916"/>
      <c r="E3" s="916"/>
      <c r="F3" s="916"/>
      <c r="G3" s="1024"/>
      <c r="I3" s="1560" t="s">
        <v>1005</v>
      </c>
      <c r="J3" s="1560"/>
      <c r="K3" s="1561" t="s">
        <v>180</v>
      </c>
      <c r="L3" s="1560"/>
      <c r="M3" s="1560"/>
      <c r="N3" s="1560"/>
      <c r="O3" s="1618"/>
      <c r="P3" s="1560"/>
      <c r="Q3" s="1560"/>
      <c r="R3" s="1560"/>
      <c r="S3" s="1"/>
      <c r="T3" s="1"/>
      <c r="U3" s="1"/>
    </row>
    <row r="4" spans="1:21" s="952" customFormat="1" ht="20" customHeight="1">
      <c r="B4" s="1"/>
      <c r="C4" s="1025" t="s">
        <v>1468</v>
      </c>
      <c r="D4" s="1025"/>
      <c r="E4" s="1025"/>
      <c r="F4" s="1025"/>
      <c r="G4" s="1026"/>
      <c r="I4" s="1562" t="s">
        <v>1007</v>
      </c>
      <c r="J4" s="1563"/>
      <c r="K4" s="1566" t="s">
        <v>1006</v>
      </c>
      <c r="L4" s="1565"/>
      <c r="M4" s="1565"/>
      <c r="N4" s="1565"/>
      <c r="O4" s="1619"/>
      <c r="P4" s="1565"/>
      <c r="Q4" s="1565"/>
      <c r="R4" s="1565"/>
      <c r="S4" s="1"/>
      <c r="T4" s="1"/>
      <c r="U4" s="1"/>
    </row>
    <row r="5" spans="1:21" ht="13.5" customHeight="1">
      <c r="B5" s="1"/>
      <c r="C5" s="953"/>
      <c r="D5" s="953"/>
      <c r="E5" s="953"/>
      <c r="F5" s="953"/>
    </row>
    <row r="6" spans="1:21" ht="15" customHeight="1">
      <c r="C6" s="1448" t="s">
        <v>1534</v>
      </c>
      <c r="D6" s="1433"/>
      <c r="E6" s="1433"/>
      <c r="F6" s="1433"/>
      <c r="G6" s="1433"/>
    </row>
    <row r="7" spans="1:21" ht="15" customHeight="1">
      <c r="C7" s="1429" t="s">
        <v>1595</v>
      </c>
      <c r="D7" s="1430"/>
      <c r="E7" s="1430"/>
      <c r="F7" s="1430"/>
      <c r="G7" s="1430"/>
    </row>
    <row r="8" spans="1:21" ht="18" customHeight="1">
      <c r="C8" s="1549" t="s">
        <v>1291</v>
      </c>
      <c r="D8" s="989"/>
      <c r="E8" s="989"/>
      <c r="F8" s="1050"/>
      <c r="G8" s="1050"/>
    </row>
    <row r="9" spans="1:21">
      <c r="B9" s="579"/>
      <c r="C9" s="1080"/>
      <c r="D9" s="1080"/>
      <c r="E9" s="1080"/>
      <c r="F9" s="1080"/>
      <c r="G9" s="579"/>
      <c r="H9" s="579"/>
      <c r="I9" s="1752" t="s">
        <v>1304</v>
      </c>
      <c r="J9" s="1754" t="s">
        <v>1304</v>
      </c>
      <c r="K9" s="1755" t="s">
        <v>1536</v>
      </c>
      <c r="L9" s="1756" t="s">
        <v>1608</v>
      </c>
      <c r="M9" s="1755" t="s">
        <v>1536</v>
      </c>
      <c r="N9" s="1754" t="s">
        <v>1304</v>
      </c>
      <c r="O9" s="1755" t="s">
        <v>1536</v>
      </c>
      <c r="P9" s="1754" t="s">
        <v>1293</v>
      </c>
      <c r="Q9" s="1757" t="s">
        <v>1294</v>
      </c>
      <c r="R9" s="1755" t="s">
        <v>1536</v>
      </c>
    </row>
    <row r="10" spans="1:21" s="581" customFormat="1" ht="26">
      <c r="A10" s="1"/>
      <c r="C10" s="938" t="s">
        <v>1664</v>
      </c>
      <c r="D10" s="938" t="s">
        <v>1314</v>
      </c>
      <c r="E10" s="938" t="s">
        <v>1663</v>
      </c>
      <c r="F10" s="938" t="s">
        <v>1316</v>
      </c>
      <c r="G10" s="958" t="s">
        <v>1206</v>
      </c>
      <c r="H10" s="579"/>
      <c r="I10" s="1753" t="s">
        <v>1313</v>
      </c>
      <c r="J10" s="2069" t="s">
        <v>1314</v>
      </c>
      <c r="K10" s="2071"/>
      <c r="L10" s="2069" t="s">
        <v>1315</v>
      </c>
      <c r="M10" s="2071"/>
      <c r="N10" s="2069" t="s">
        <v>1316</v>
      </c>
      <c r="O10" s="2071"/>
      <c r="P10" s="2069" t="s">
        <v>1189</v>
      </c>
      <c r="Q10" s="2070"/>
      <c r="R10" s="2071"/>
    </row>
    <row r="11" spans="1:21" ht="20.5" customHeight="1">
      <c r="B11" s="889"/>
      <c r="C11" s="957" t="s">
        <v>1077</v>
      </c>
      <c r="D11" s="1080"/>
      <c r="E11" s="1080"/>
      <c r="F11" s="1080"/>
      <c r="G11" s="956" t="s">
        <v>66</v>
      </c>
      <c r="H11" s="579"/>
      <c r="I11" s="1621"/>
      <c r="J11" s="1621"/>
      <c r="K11" s="1621"/>
      <c r="L11" s="1621"/>
      <c r="M11" s="1621"/>
      <c r="N11" s="1621"/>
      <c r="O11" s="1621"/>
      <c r="P11" s="1621"/>
      <c r="Q11" s="1621"/>
      <c r="R11" s="1621"/>
    </row>
    <row r="12" spans="1:21" ht="15.75" customHeight="1">
      <c r="B12" s="579"/>
      <c r="C12" s="1741"/>
      <c r="D12" s="1742"/>
      <c r="E12" s="1737"/>
      <c r="F12" s="1743"/>
      <c r="G12" s="1744"/>
      <c r="H12" s="1177"/>
      <c r="I12" s="2118" t="s">
        <v>1317</v>
      </c>
      <c r="J12" s="2121" t="s">
        <v>1317</v>
      </c>
      <c r="K12" s="1712" t="str">
        <f>IF(AND(D12&lt;&gt;"",$C12&lt;&gt;""),"",IF(AND(ISBLANK(D12),LEFT($C12,5)="&lt;TNSP"),"",IF(AND(ISBLANK(D12),ISBLANK($C12)),"","X")))</f>
        <v/>
      </c>
      <c r="L12" s="1711" t="str">
        <f>IF(E12="","",IF(OR(E12="Prescribed",E12="Negotiated",E12="Unregulated"),"","X"))</f>
        <v/>
      </c>
      <c r="M12" s="1712" t="str">
        <f>IF(AND(E12&lt;&gt;"",$C12&lt;&gt;""),"",IF(AND(ISBLANK(E12),LEFT($C12,5)="&lt;TNSP"),"",IF(AND(ISBLANK(E12),ISBLANK($C12)),"","X")))</f>
        <v/>
      </c>
      <c r="N12" s="2121" t="s">
        <v>1317</v>
      </c>
      <c r="O12" s="1709"/>
      <c r="P12" s="1711" t="str">
        <f>IF(ISNONTEXT(G12)=TRUE,"","X")</f>
        <v/>
      </c>
      <c r="Q12" s="1345" t="str">
        <f>IF(G12&gt;=0=TRUE,"","X")</f>
        <v/>
      </c>
      <c r="R12" s="1712" t="str">
        <f>IF(AND(G12&lt;&gt;"",$C12&lt;&gt;""),"",IF(AND(ISBLANK(G12),LEFT($C12,5)="&lt;TNSP"),"",IF(AND(ISBLANK(G12),ISBLANK($C12)),"","X")))</f>
        <v/>
      </c>
    </row>
    <row r="13" spans="1:21" ht="15.75" customHeight="1">
      <c r="B13" s="1078"/>
      <c r="C13" s="1745"/>
      <c r="D13" s="1739"/>
      <c r="E13" s="1740"/>
      <c r="F13" s="1738"/>
      <c r="G13" s="1746"/>
      <c r="H13" s="579"/>
      <c r="I13" s="2119"/>
      <c r="J13" s="2122"/>
      <c r="K13" s="1322" t="str">
        <f>IF(AND(D13&lt;&gt;"",$C13&lt;&gt;""),"",IF(AND(ISBLANK(D13),LEFT($C13,5)="&lt;TNSP"),"",IF(AND(ISBLANK(D13),ISBLANK($C13)),"","X")))</f>
        <v/>
      </c>
      <c r="L13" s="1327" t="str">
        <f>IF(E13="","",IF(OR(E13="Prescribed",E13="Negotiated",E13="Unregulated"),"","X"))</f>
        <v/>
      </c>
      <c r="M13" s="1322" t="str">
        <f>IF(AND(E13&lt;&gt;"",$C13&lt;&gt;""),"",IF(AND(ISBLANK(E13),LEFT($C13,5)="&lt;TNSP"),"",IF(AND(ISBLANK(E13),ISBLANK($C13)),"","X")))</f>
        <v/>
      </c>
      <c r="N13" s="2122"/>
      <c r="O13" s="1328"/>
      <c r="P13" s="1327" t="str">
        <f t="shared" ref="P13:P16" si="0">IF(ISNONTEXT(G13)=TRUE,"","X")</f>
        <v/>
      </c>
      <c r="Q13" s="1186" t="str">
        <f t="shared" ref="Q13:Q16" si="1">IF(G13&gt;=0=TRUE,"","X")</f>
        <v/>
      </c>
      <c r="R13" s="1322" t="str">
        <f t="shared" ref="R13:R16" si="2">IF(AND(G13&lt;&gt;"",$C13&lt;&gt;""),"",IF(AND(ISBLANK(G13),LEFT($C13,5)="&lt;TNSP"),"",IF(AND(ISBLANK(G13),ISBLANK($C13)),"","X")))</f>
        <v/>
      </c>
    </row>
    <row r="14" spans="1:21" ht="15.75" customHeight="1">
      <c r="B14" s="1078"/>
      <c r="C14" s="1745"/>
      <c r="D14" s="1739"/>
      <c r="E14" s="1740"/>
      <c r="F14" s="1738"/>
      <c r="G14" s="1746"/>
      <c r="H14" s="579"/>
      <c r="I14" s="2119"/>
      <c r="J14" s="2122"/>
      <c r="K14" s="1322" t="str">
        <f>IF(AND(D14&lt;&gt;"",$C14&lt;&gt;""),"",IF(AND(ISBLANK(D14),LEFT($C14,5)="&lt;TNSP"),"",IF(AND(ISBLANK(D14),ISBLANK($C14)),"","X")))</f>
        <v/>
      </c>
      <c r="L14" s="1327" t="str">
        <f>IF(E14="","",IF(OR(E14="Prescribed",E14="Negotiated",E14="Unregulated"),"","X"))</f>
        <v/>
      </c>
      <c r="M14" s="1322" t="str">
        <f>IF(AND(E14&lt;&gt;"",$C14&lt;&gt;""),"",IF(AND(ISBLANK(E14),LEFT($C14,5)="&lt;TNSP"),"",IF(AND(ISBLANK(E14),ISBLANK($C14)),"","X")))</f>
        <v/>
      </c>
      <c r="N14" s="2122"/>
      <c r="O14" s="1328"/>
      <c r="P14" s="1327" t="str">
        <f t="shared" si="0"/>
        <v/>
      </c>
      <c r="Q14" s="1186" t="str">
        <f t="shared" si="1"/>
        <v/>
      </c>
      <c r="R14" s="1322" t="str">
        <f t="shared" si="2"/>
        <v/>
      </c>
    </row>
    <row r="15" spans="1:21" ht="15.75" customHeight="1">
      <c r="B15" s="1078"/>
      <c r="C15" s="1745"/>
      <c r="D15" s="1739"/>
      <c r="E15" s="1740"/>
      <c r="F15" s="1738"/>
      <c r="G15" s="1746"/>
      <c r="H15" s="579"/>
      <c r="I15" s="2119"/>
      <c r="J15" s="2122"/>
      <c r="K15" s="1322" t="str">
        <f>IF(AND(D15&lt;&gt;"",$C15&lt;&gt;""),"",IF(AND(ISBLANK(D15),LEFT($C15,5)="&lt;TNSP"),"",IF(AND(ISBLANK(D15),ISBLANK($C15)),"","X")))</f>
        <v/>
      </c>
      <c r="L15" s="1327" t="str">
        <f>IF(E15="","",IF(OR(E15="Prescribed",E15="Negotiated",E15="Unregulated"),"","X"))</f>
        <v/>
      </c>
      <c r="M15" s="1322" t="str">
        <f>IF(AND(E15&lt;&gt;"",$C15&lt;&gt;""),"",IF(AND(ISBLANK(E15),LEFT($C15,5)="&lt;TNSP"),"",IF(AND(ISBLANK(E15),ISBLANK($C15)),"","X")))</f>
        <v/>
      </c>
      <c r="N15" s="2122"/>
      <c r="O15" s="1328"/>
      <c r="P15" s="1327" t="str">
        <f t="shared" si="0"/>
        <v/>
      </c>
      <c r="Q15" s="1186" t="str">
        <f t="shared" si="1"/>
        <v/>
      </c>
      <c r="R15" s="1322" t="str">
        <f t="shared" si="2"/>
        <v/>
      </c>
    </row>
    <row r="16" spans="1:21" ht="15.75" customHeight="1">
      <c r="B16" s="1909" t="s">
        <v>1334</v>
      </c>
      <c r="C16" s="1747"/>
      <c r="D16" s="1748"/>
      <c r="E16" s="1749"/>
      <c r="F16" s="1750"/>
      <c r="G16" s="1751"/>
      <c r="H16" s="579"/>
      <c r="I16" s="2120"/>
      <c r="J16" s="2123"/>
      <c r="K16" s="1324" t="str">
        <f>IF(AND(D16&lt;&gt;"",$C16&lt;&gt;""),"",IF(AND(ISBLANK(D16),LEFT($C16,5)="&lt;TNSP"),"",IF(AND(ISBLANK(D16),ISBLANK($C16)),"","X")))</f>
        <v/>
      </c>
      <c r="L16" s="1329" t="str">
        <f>IF(E16="","",IF(OR(E16="Prescribed",E16="Negotiated",E16="Unregulated"),"","X"))</f>
        <v/>
      </c>
      <c r="M16" s="1324" t="str">
        <f>IF(AND(E16&lt;&gt;"",$C16&lt;&gt;""),"",IF(AND(ISBLANK(E16),LEFT($C16,5)="&lt;TNSP"),"",IF(AND(ISBLANK(E16),ISBLANK($C16)),"","X")))</f>
        <v/>
      </c>
      <c r="N16" s="2123"/>
      <c r="O16" s="1333"/>
      <c r="P16" s="1329" t="str">
        <f t="shared" si="0"/>
        <v/>
      </c>
      <c r="Q16" s="1323" t="str">
        <f t="shared" si="1"/>
        <v/>
      </c>
      <c r="R16" s="1324" t="str">
        <f t="shared" si="2"/>
        <v/>
      </c>
    </row>
    <row r="17" spans="2:19" ht="8.25" customHeight="1">
      <c r="B17" s="579"/>
      <c r="C17" s="1094"/>
      <c r="D17" s="1094"/>
      <c r="E17" s="1094"/>
      <c r="F17" s="1094"/>
      <c r="G17" s="1736"/>
      <c r="H17" s="579"/>
    </row>
    <row r="18" spans="2:19">
      <c r="B18" s="912"/>
      <c r="C18" s="957" t="s">
        <v>1078</v>
      </c>
      <c r="D18" s="957"/>
      <c r="E18" s="957"/>
      <c r="F18" s="957"/>
      <c r="G18" s="1889" t="s">
        <v>66</v>
      </c>
      <c r="H18" s="579"/>
      <c r="I18" s="579"/>
      <c r="J18" s="579"/>
      <c r="K18" s="579"/>
      <c r="L18" s="579"/>
      <c r="M18" s="579"/>
      <c r="N18" s="579"/>
      <c r="O18" s="579"/>
      <c r="P18" s="579"/>
      <c r="Q18" s="579"/>
      <c r="R18" s="579"/>
      <c r="S18" s="579"/>
    </row>
    <row r="19" spans="2:19">
      <c r="B19" s="912"/>
      <c r="C19" s="1741"/>
      <c r="D19" s="1742"/>
      <c r="E19" s="1737"/>
      <c r="F19" s="1737"/>
      <c r="G19" s="1744"/>
      <c r="H19" s="579"/>
      <c r="I19" s="2118" t="s">
        <v>1317</v>
      </c>
      <c r="J19" s="2121" t="s">
        <v>1317</v>
      </c>
      <c r="K19" s="1712" t="str">
        <f>IF(AND(D19&lt;&gt;"",$C19&lt;&gt;""),"",IF(AND(ISBLANK(D19),LEFT($C19,5)="&lt;TNSP"),"",IF(AND(ISBLANK(D19),ISBLANK($C19)),"","X")))</f>
        <v/>
      </c>
      <c r="L19" s="1711" t="str">
        <f>IF(E19="","",IF(OR(E19="Prescribed",E19="Negotiated",E19="Unregulated"),"","X"))</f>
        <v/>
      </c>
      <c r="M19" s="1712" t="str">
        <f>IF(AND(E19&lt;&gt;"",$C19&lt;&gt;""),"",IF(AND(ISBLANK(E19),LEFT($C19,5)="&lt;TNSP"),"",IF(AND(ISBLANK(E19),ISBLANK($C19)),"","X")))</f>
        <v/>
      </c>
      <c r="N19" s="2121" t="s">
        <v>1317</v>
      </c>
      <c r="O19" s="1709"/>
      <c r="P19" s="1849" t="str">
        <f>IF(ISNONTEXT(G19)=TRUE,"","X")</f>
        <v/>
      </c>
      <c r="Q19" s="1850" t="str">
        <f>IF(G19&gt;=0=TRUE,"","X")</f>
        <v/>
      </c>
      <c r="R19" s="1848" t="str">
        <f>IF(AND(G19&lt;&gt;"",$C19&lt;&gt;""),"",IF(AND(ISBLANK(G19),LEFT($C19,5)="&lt;TNSP"),"",IF(AND(ISBLANK(G19),ISBLANK($C19)),"","X")))</f>
        <v/>
      </c>
    </row>
    <row r="20" spans="2:19">
      <c r="B20" s="912"/>
      <c r="C20" s="1745"/>
      <c r="D20" s="1739"/>
      <c r="E20" s="1740"/>
      <c r="F20" s="1740"/>
      <c r="G20" s="1746"/>
      <c r="H20" s="579"/>
      <c r="I20" s="2119"/>
      <c r="J20" s="2122"/>
      <c r="K20" s="1322" t="str">
        <f>IF(AND(D20&lt;&gt;"",$C20&lt;&gt;""),"",IF(AND(ISBLANK(D20),LEFT($C20,5)="&lt;TNSP"),"",IF(AND(ISBLANK(D20),ISBLANK($C20)),"","X")))</f>
        <v/>
      </c>
      <c r="L20" s="1327" t="str">
        <f>IF(E20="","",IF(OR(E20="Prescribed",E20="Negotiated",E20="Unregulated"),"","X"))</f>
        <v/>
      </c>
      <c r="M20" s="1322" t="str">
        <f>IF(AND(E20&lt;&gt;"",$C20&lt;&gt;""),"",IF(AND(ISBLANK(E20),LEFT($C20,5)="&lt;TNSP"),"",IF(AND(ISBLANK(E20),ISBLANK($C20)),"","X")))</f>
        <v/>
      </c>
      <c r="N20" s="2122"/>
      <c r="O20" s="1328"/>
      <c r="P20" s="1327" t="str">
        <f t="shared" ref="P20:P23" si="3">IF(ISNONTEXT(G20)=TRUE,"","X")</f>
        <v/>
      </c>
      <c r="Q20" s="1186" t="str">
        <f t="shared" ref="Q20:Q23" si="4">IF(G20&gt;=0=TRUE,"","X")</f>
        <v/>
      </c>
      <c r="R20" s="1322" t="str">
        <f t="shared" ref="R20:R23" si="5">IF(AND(G20&lt;&gt;"",$C20&lt;&gt;""),"",IF(AND(ISBLANK(G20),LEFT($C20,5)="&lt;TNSP"),"",IF(AND(ISBLANK(G20),ISBLANK($C20)),"","X")))</f>
        <v/>
      </c>
    </row>
    <row r="21" spans="2:19">
      <c r="B21" s="912"/>
      <c r="C21" s="1745"/>
      <c r="D21" s="1739"/>
      <c r="E21" s="1740"/>
      <c r="F21" s="1740"/>
      <c r="G21" s="1746"/>
      <c r="H21" s="579"/>
      <c r="I21" s="2119"/>
      <c r="J21" s="2122"/>
      <c r="K21" s="1322" t="str">
        <f>IF(AND(D21&lt;&gt;"",$C21&lt;&gt;""),"",IF(AND(ISBLANK(D21),LEFT($C21,5)="&lt;TNSP"),"",IF(AND(ISBLANK(D21),ISBLANK($C21)),"","X")))</f>
        <v/>
      </c>
      <c r="L21" s="1327" t="str">
        <f>IF(E21="","",IF(OR(E21="Prescribed",E21="Negotiated",E21="Unregulated"),"","X"))</f>
        <v/>
      </c>
      <c r="M21" s="1322" t="str">
        <f>IF(AND(E21&lt;&gt;"",$C21&lt;&gt;""),"",IF(AND(ISBLANK(E21),LEFT($C21,5)="&lt;TNSP"),"",IF(AND(ISBLANK(E21),ISBLANK($C21)),"","X")))</f>
        <v/>
      </c>
      <c r="N21" s="2122"/>
      <c r="O21" s="1328"/>
      <c r="P21" s="1327" t="str">
        <f t="shared" si="3"/>
        <v/>
      </c>
      <c r="Q21" s="1186" t="str">
        <f t="shared" si="4"/>
        <v/>
      </c>
      <c r="R21" s="1322" t="str">
        <f t="shared" si="5"/>
        <v/>
      </c>
    </row>
    <row r="22" spans="2:19">
      <c r="B22" s="912"/>
      <c r="C22" s="1745"/>
      <c r="D22" s="1739"/>
      <c r="E22" s="1740"/>
      <c r="F22" s="1740"/>
      <c r="G22" s="1746"/>
      <c r="H22" s="579"/>
      <c r="I22" s="2119"/>
      <c r="J22" s="2122"/>
      <c r="K22" s="1322" t="str">
        <f>IF(AND(D22&lt;&gt;"",$C22&lt;&gt;""),"",IF(AND(ISBLANK(D22),LEFT($C22,5)="&lt;TNSP"),"",IF(AND(ISBLANK(D22),ISBLANK($C22)),"","X")))</f>
        <v/>
      </c>
      <c r="L22" s="1327" t="str">
        <f>IF(E22="","",IF(OR(E22="Prescribed",E22="Negotiated",E22="Unregulated"),"","X"))</f>
        <v/>
      </c>
      <c r="M22" s="1322" t="str">
        <f>IF(AND(E22&lt;&gt;"",$C22&lt;&gt;""),"",IF(AND(ISBLANK(E22),LEFT($C22,5)="&lt;TNSP"),"",IF(AND(ISBLANK(E22),ISBLANK($C22)),"","X")))</f>
        <v/>
      </c>
      <c r="N22" s="2122"/>
      <c r="O22" s="1328"/>
      <c r="P22" s="1327" t="str">
        <f t="shared" si="3"/>
        <v/>
      </c>
      <c r="Q22" s="1186" t="str">
        <f t="shared" si="4"/>
        <v/>
      </c>
      <c r="R22" s="1322" t="str">
        <f t="shared" si="5"/>
        <v/>
      </c>
    </row>
    <row r="23" spans="2:19">
      <c r="B23" s="1909" t="s">
        <v>1334</v>
      </c>
      <c r="C23" s="1747"/>
      <c r="D23" s="1748"/>
      <c r="E23" s="1749"/>
      <c r="F23" s="1749"/>
      <c r="G23" s="1751"/>
      <c r="H23" s="579"/>
      <c r="I23" s="2120"/>
      <c r="J23" s="2123"/>
      <c r="K23" s="1324" t="str">
        <f>IF(AND(D23&lt;&gt;"",$C23&lt;&gt;""),"",IF(AND(ISBLANK(D23),LEFT($C23,5)="&lt;TNSP"),"",IF(AND(ISBLANK(D23),ISBLANK($C23)),"","X")))</f>
        <v/>
      </c>
      <c r="L23" s="1329" t="str">
        <f>IF(E23="","",IF(OR(E23="Prescribed",E23="Negotiated",E23="Unregulated"),"","X"))</f>
        <v/>
      </c>
      <c r="M23" s="1324" t="str">
        <f>IF(AND(E23&lt;&gt;"",$C23&lt;&gt;""),"",IF(AND(ISBLANK(E23),LEFT($C23,5)="&lt;TNSP"),"",IF(AND(ISBLANK(E23),ISBLANK($C23)),"","X")))</f>
        <v/>
      </c>
      <c r="N23" s="2123"/>
      <c r="O23" s="1333"/>
      <c r="P23" s="1329" t="str">
        <f t="shared" si="3"/>
        <v/>
      </c>
      <c r="Q23" s="1323" t="str">
        <f t="shared" si="4"/>
        <v/>
      </c>
      <c r="R23" s="1324" t="str">
        <f t="shared" si="5"/>
        <v/>
      </c>
    </row>
    <row r="24" spans="2:19">
      <c r="B24" s="912"/>
      <c r="C24" s="579"/>
      <c r="D24" s="579"/>
      <c r="E24" s="579"/>
      <c r="F24" s="579"/>
      <c r="G24" s="579"/>
      <c r="H24" s="579"/>
    </row>
    <row r="25" spans="2:19">
      <c r="B25" s="912"/>
      <c r="C25" s="579"/>
      <c r="D25" s="579"/>
      <c r="E25" s="579"/>
      <c r="F25" s="579"/>
      <c r="G25" s="579"/>
      <c r="H25" s="579"/>
    </row>
    <row r="26" spans="2:19">
      <c r="B26" s="912"/>
      <c r="C26" s="579"/>
      <c r="D26" s="579"/>
      <c r="E26" s="579"/>
      <c r="F26" s="579"/>
      <c r="G26" s="579"/>
      <c r="H26" s="579"/>
    </row>
    <row r="27" spans="2:19">
      <c r="B27" s="579"/>
      <c r="C27" s="1310" t="s">
        <v>1471</v>
      </c>
      <c r="D27" s="1852"/>
      <c r="E27" s="579"/>
      <c r="F27" s="579"/>
      <c r="G27" s="579"/>
      <c r="H27" s="579"/>
    </row>
    <row r="28" spans="2:19">
      <c r="B28" s="912"/>
      <c r="C28" s="1847" t="s">
        <v>1495</v>
      </c>
      <c r="D28" s="579"/>
      <c r="E28" s="579"/>
      <c r="F28" s="579"/>
      <c r="G28" s="579"/>
      <c r="H28" s="579"/>
    </row>
    <row r="29" spans="2:19">
      <c r="B29" s="912"/>
      <c r="C29" s="579"/>
      <c r="D29" s="579"/>
      <c r="E29" s="579"/>
      <c r="F29" s="579"/>
      <c r="G29" s="579"/>
      <c r="H29" s="579"/>
    </row>
    <row r="30" spans="2:19">
      <c r="B30" s="912"/>
      <c r="C30" s="912"/>
      <c r="D30" s="579"/>
      <c r="E30" s="579"/>
      <c r="F30" s="579"/>
      <c r="G30" s="579"/>
    </row>
    <row r="31" spans="2:19">
      <c r="B31" s="912"/>
      <c r="C31" s="579"/>
      <c r="D31" s="579"/>
      <c r="E31" s="579"/>
      <c r="F31" s="579"/>
      <c r="G31" s="579"/>
    </row>
  </sheetData>
  <mergeCells count="10">
    <mergeCell ref="I19:I23"/>
    <mergeCell ref="J19:J23"/>
    <mergeCell ref="N19:N23"/>
    <mergeCell ref="I12:I16"/>
    <mergeCell ref="P10:R10"/>
    <mergeCell ref="J10:K10"/>
    <mergeCell ref="J12:J16"/>
    <mergeCell ref="L10:M10"/>
    <mergeCell ref="N10:O10"/>
    <mergeCell ref="N12:N16"/>
  </mergeCells>
  <conditionalFormatting sqref="C27">
    <cfRule type="cellIs" dxfId="34" priority="4" operator="equal">
      <formula>FALSE</formula>
    </cfRule>
  </conditionalFormatting>
  <conditionalFormatting sqref="C12:G16 C19:G23">
    <cfRule type="expression" dxfId="33" priority="3">
      <formula>dms_worksheet210flag="Worksheet 2.10"</formula>
    </cfRule>
  </conditionalFormatting>
  <dataValidations count="1">
    <dataValidation allowBlank="1" showErrorMessage="1" sqref="E19 C28 E12 T1:XFD1048576 B11 C10:G10 C6:G7 A31:S1048576" xr:uid="{A6E5D0A3-9960-4462-9154-D1C463ED3028}"/>
  </dataValidations>
  <pageMargins left="0.7" right="0.7" top="0.75" bottom="0.75" header="0.3" footer="0.3"/>
  <pageSetup paperSize="9" scale="64"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rgb="FF9572B2"/>
    <pageSetUpPr fitToPage="1"/>
  </sheetPr>
  <dimension ref="B1:W29"/>
  <sheetViews>
    <sheetView workbookViewId="0"/>
  </sheetViews>
  <sheetFormatPr defaultColWidth="9.1796875" defaultRowHeight="14.5"/>
  <cols>
    <col min="1" max="1" width="5.6328125" style="1" customWidth="1"/>
    <col min="2" max="2" width="25.6328125" style="15" customWidth="1"/>
    <col min="3" max="3" width="13" style="1" customWidth="1"/>
    <col min="4" max="4" width="24.1796875" style="1" bestFit="1" customWidth="1"/>
    <col min="5" max="5" width="18.54296875" style="1" customWidth="1"/>
    <col min="6" max="6" width="18.453125" style="1" customWidth="1"/>
    <col min="7" max="7" width="2.1796875" style="1" customWidth="1"/>
    <col min="8" max="9" width="18.453125" style="1" customWidth="1"/>
    <col min="10" max="10" width="9.1796875" style="1"/>
    <col min="11" max="16" width="4.54296875" style="1" customWidth="1"/>
    <col min="17" max="19" width="5.1796875" style="1" customWidth="1"/>
    <col min="20" max="22" width="4.54296875" style="1" customWidth="1"/>
    <col min="23" max="23" width="5.6328125" style="1" customWidth="1"/>
    <col min="24" max="27" width="3.54296875" style="1" customWidth="1"/>
    <col min="28" max="16384" width="9.1796875" style="1"/>
  </cols>
  <sheetData>
    <row r="1" spans="2:23" s="952" customFormat="1" ht="20" customHeight="1">
      <c r="B1" s="19"/>
      <c r="C1" s="914" t="str">
        <f>dms_SheetHeading1</f>
        <v>ANNUAL INFORMATION ORDER</v>
      </c>
      <c r="D1" s="916"/>
      <c r="E1" s="1034"/>
      <c r="F1" s="1034"/>
      <c r="G1" s="1034"/>
      <c r="H1" s="1034"/>
      <c r="I1" s="1034"/>
      <c r="K1" s="1556" t="s">
        <v>1003</v>
      </c>
      <c r="L1" s="1556"/>
      <c r="M1" s="1556"/>
      <c r="N1" s="1556"/>
      <c r="O1" s="1556"/>
      <c r="P1" s="1556"/>
      <c r="Q1" s="1557" t="s">
        <v>1002</v>
      </c>
      <c r="R1" s="1556"/>
      <c r="S1" s="1556"/>
      <c r="T1" s="1556"/>
      <c r="U1" s="1556"/>
      <c r="V1" s="1556"/>
      <c r="W1" s="1"/>
    </row>
    <row r="2" spans="2:23" s="952" customFormat="1" ht="20" customHeight="1">
      <c r="B2" s="19"/>
      <c r="C2" s="915" t="str">
        <f>dms_SheetHeading2</f>
        <v>Australian Transmission Co.</v>
      </c>
      <c r="D2" s="915"/>
      <c r="E2" s="1034"/>
      <c r="F2" s="1034"/>
      <c r="G2" s="1034"/>
      <c r="H2" s="1034"/>
      <c r="I2" s="1034"/>
      <c r="K2" s="1558" t="s">
        <v>1004</v>
      </c>
      <c r="L2" s="1558"/>
      <c r="M2" s="1558"/>
      <c r="N2" s="1558"/>
      <c r="O2" s="1558"/>
      <c r="P2" s="1558"/>
      <c r="Q2" s="1559" t="s">
        <v>179</v>
      </c>
      <c r="R2" s="1558"/>
      <c r="S2" s="1558"/>
      <c r="T2" s="1558"/>
      <c r="U2" s="1558"/>
      <c r="V2" s="1558"/>
      <c r="W2" s="1"/>
    </row>
    <row r="3" spans="2:23" s="952" customFormat="1" ht="20" customHeight="1">
      <c r="B3" s="19"/>
      <c r="C3" s="916" t="str">
        <f>dms_SheetHeading3</f>
        <v>REPORTING STATEMENT: 2025-26</v>
      </c>
      <c r="D3" s="916"/>
      <c r="E3" s="1031"/>
      <c r="F3" s="1031"/>
      <c r="G3" s="1031"/>
      <c r="H3" s="1031"/>
      <c r="I3" s="1031"/>
      <c r="K3" s="1560" t="s">
        <v>1005</v>
      </c>
      <c r="L3" s="1560"/>
      <c r="M3" s="1560"/>
      <c r="N3" s="1560"/>
      <c r="O3" s="1560"/>
      <c r="P3" s="1560"/>
      <c r="Q3" s="1561" t="s">
        <v>180</v>
      </c>
      <c r="R3" s="1560"/>
      <c r="S3" s="1560"/>
      <c r="T3" s="1560"/>
      <c r="U3" s="1560"/>
      <c r="V3" s="1560"/>
      <c r="W3" s="1"/>
    </row>
    <row r="4" spans="2:23" s="952" customFormat="1" ht="20" customHeight="1">
      <c r="B4" s="19"/>
      <c r="C4" s="1032" t="s">
        <v>1221</v>
      </c>
      <c r="D4" s="1032"/>
      <c r="E4" s="1032"/>
      <c r="F4" s="1032"/>
      <c r="G4" s="1032"/>
      <c r="H4" s="1032"/>
      <c r="I4" s="1032"/>
      <c r="K4" s="1562" t="s">
        <v>1007</v>
      </c>
      <c r="L4" s="1563"/>
      <c r="M4" s="1564"/>
      <c r="N4" s="1565"/>
      <c r="O4" s="1565"/>
      <c r="P4" s="1565"/>
      <c r="Q4" s="1566" t="s">
        <v>1006</v>
      </c>
      <c r="R4" s="1565"/>
      <c r="S4" s="1565"/>
      <c r="T4" s="1565"/>
      <c r="U4" s="1565"/>
      <c r="V4" s="1565"/>
      <c r="W4" s="1"/>
    </row>
    <row r="5" spans="2:23" ht="13.5" customHeight="1">
      <c r="B5" s="19"/>
      <c r="F5" s="948"/>
      <c r="G5" s="948"/>
      <c r="H5" s="948"/>
      <c r="I5" s="948"/>
    </row>
    <row r="6" spans="2:23" ht="13.5" customHeight="1">
      <c r="C6" s="1427" t="s">
        <v>1537</v>
      </c>
      <c r="D6" s="1427"/>
      <c r="E6" s="1433"/>
      <c r="F6" s="1433"/>
      <c r="G6" s="1433"/>
      <c r="H6" s="1433"/>
      <c r="I6" s="1433"/>
    </row>
    <row r="7" spans="2:23" ht="13.5" customHeight="1">
      <c r="C7" s="1429" t="s">
        <v>1538</v>
      </c>
      <c r="D7" s="1429"/>
      <c r="E7" s="1430"/>
      <c r="F7" s="1430"/>
      <c r="G7" s="1430"/>
      <c r="H7" s="1430"/>
      <c r="I7" s="1430"/>
    </row>
    <row r="8" spans="2:23" s="581" customFormat="1" ht="18.5">
      <c r="C8" s="1549" t="s">
        <v>1090</v>
      </c>
      <c r="D8" s="989"/>
      <c r="E8" s="989"/>
      <c r="F8" s="989"/>
      <c r="G8" s="989"/>
      <c r="H8" s="989"/>
      <c r="I8" s="989"/>
    </row>
    <row r="9" spans="2:23" s="581" customFormat="1" ht="15.5">
      <c r="B9" s="584"/>
      <c r="C9" s="584"/>
      <c r="D9" s="584"/>
      <c r="E9" s="584"/>
      <c r="F9" s="584"/>
      <c r="G9" s="584"/>
      <c r="H9" s="584"/>
      <c r="I9" s="584"/>
      <c r="J9" s="584"/>
    </row>
    <row r="10" spans="2:23" ht="15.5">
      <c r="B10" s="1"/>
      <c r="E10" s="1598" t="s">
        <v>1091</v>
      </c>
      <c r="F10" s="1599"/>
      <c r="G10" s="584"/>
      <c r="H10" s="1598" t="s">
        <v>1088</v>
      </c>
      <c r="I10" s="1599"/>
      <c r="K10" s="1480" t="s">
        <v>1293</v>
      </c>
      <c r="L10" s="1474" t="s">
        <v>1294</v>
      </c>
      <c r="M10" s="1475" t="s">
        <v>1295</v>
      </c>
      <c r="N10" s="1480" t="s">
        <v>1293</v>
      </c>
      <c r="O10" s="1474" t="s">
        <v>1294</v>
      </c>
      <c r="P10" s="1475" t="s">
        <v>1295</v>
      </c>
      <c r="Q10" s="1480" t="s">
        <v>1293</v>
      </c>
      <c r="R10" s="1474" t="s">
        <v>1294</v>
      </c>
      <c r="S10" s="1475" t="s">
        <v>1295</v>
      </c>
      <c r="T10" s="1480" t="s">
        <v>1293</v>
      </c>
      <c r="U10" s="1474" t="s">
        <v>1294</v>
      </c>
      <c r="V10" s="1475" t="s">
        <v>1295</v>
      </c>
    </row>
    <row r="11" spans="2:23" ht="17.25" customHeight="1">
      <c r="C11" s="1600" t="s">
        <v>1219</v>
      </c>
      <c r="D11" s="889" t="s">
        <v>1118</v>
      </c>
      <c r="E11" s="1604" t="s">
        <v>1217</v>
      </c>
      <c r="F11" s="1605" t="s">
        <v>1218</v>
      </c>
      <c r="G11" s="1603"/>
      <c r="H11" s="1601" t="s">
        <v>1217</v>
      </c>
      <c r="I11" s="1602" t="s">
        <v>1218</v>
      </c>
      <c r="K11" s="2124" t="s">
        <v>1318</v>
      </c>
      <c r="L11" s="2125"/>
      <c r="M11" s="2126"/>
      <c r="N11" s="2124" t="s">
        <v>1319</v>
      </c>
      <c r="O11" s="2125"/>
      <c r="P11" s="2126"/>
      <c r="Q11" s="2124" t="s">
        <v>1320</v>
      </c>
      <c r="R11" s="2125"/>
      <c r="S11" s="2126"/>
      <c r="T11" s="2124" t="s">
        <v>1321</v>
      </c>
      <c r="U11" s="2125"/>
      <c r="V11" s="2126"/>
    </row>
    <row r="12" spans="2:23" ht="15.5">
      <c r="B12" s="588"/>
      <c r="C12" s="1595" t="s">
        <v>1092</v>
      </c>
      <c r="D12" s="1606" t="s">
        <v>1000</v>
      </c>
      <c r="E12" s="1607"/>
      <c r="F12" s="1590"/>
      <c r="G12" s="584"/>
      <c r="H12" s="1589"/>
      <c r="I12" s="1590"/>
      <c r="K12" s="1202" t="str">
        <f t="shared" ref="K12:K23" si="0">IF(ISNONTEXT(E12)=TRUE,"","X")</f>
        <v/>
      </c>
      <c r="L12" s="1203" t="str">
        <f t="shared" ref="L12:L23" si="1">IF(AND(E12&gt;=0)=TRUE,"","X")</f>
        <v/>
      </c>
      <c r="M12" s="1197" t="str">
        <f t="shared" ref="M12:M23" si="2">IF(E12&lt;&gt;""=TRUE,"","X")</f>
        <v>X</v>
      </c>
      <c r="N12" s="1202" t="str">
        <f t="shared" ref="N12:N23" si="3">IF(ISNONTEXT(F12)=TRUE,"","X")</f>
        <v/>
      </c>
      <c r="O12" s="1203" t="str">
        <f t="shared" ref="O12:O23" si="4">IF(AND(F12&gt;=0)=TRUE,"","X")</f>
        <v/>
      </c>
      <c r="P12" s="1197" t="str">
        <f t="shared" ref="P12:P23" si="5">IF(F12&lt;&gt;""=TRUE,"","X")</f>
        <v>X</v>
      </c>
      <c r="Q12" s="1202" t="str">
        <f>IF(ISNONTEXT(H12)=TRUE,"","X")</f>
        <v/>
      </c>
      <c r="R12" s="1203" t="str">
        <f>IF(AND(H12&gt;=0)=TRUE,"","X")</f>
        <v/>
      </c>
      <c r="S12" s="1197" t="str">
        <f>IF(H12&lt;&gt;""=TRUE,"","X")</f>
        <v>X</v>
      </c>
      <c r="T12" s="1202" t="str">
        <f>IF(ISNONTEXT(I12)=TRUE,"","X")</f>
        <v/>
      </c>
      <c r="U12" s="1203" t="str">
        <f>IF(AND(I12&gt;=0)=TRUE,"","X")</f>
        <v/>
      </c>
      <c r="V12" s="1197" t="str">
        <f>IF(I12&lt;&gt;""=TRUE,"","X")</f>
        <v>X</v>
      </c>
    </row>
    <row r="13" spans="2:23" ht="15.5">
      <c r="B13" s="588"/>
      <c r="C13" s="1596" t="s">
        <v>1093</v>
      </c>
      <c r="D13" s="1587" t="s">
        <v>1000</v>
      </c>
      <c r="E13" s="1588"/>
      <c r="F13" s="1592"/>
      <c r="G13" s="584"/>
      <c r="H13" s="1591"/>
      <c r="I13" s="1592"/>
      <c r="K13" s="1202" t="str">
        <f t="shared" si="0"/>
        <v/>
      </c>
      <c r="L13" s="1203" t="str">
        <f t="shared" si="1"/>
        <v/>
      </c>
      <c r="M13" s="1197" t="str">
        <f t="shared" si="2"/>
        <v>X</v>
      </c>
      <c r="N13" s="1202" t="str">
        <f t="shared" si="3"/>
        <v/>
      </c>
      <c r="O13" s="1203" t="str">
        <f t="shared" si="4"/>
        <v/>
      </c>
      <c r="P13" s="1197" t="str">
        <f t="shared" si="5"/>
        <v>X</v>
      </c>
      <c r="Q13" s="1202" t="str">
        <f t="shared" ref="Q13:Q23" si="6">IF(ISNONTEXT(H13)=TRUE,"","X")</f>
        <v/>
      </c>
      <c r="R13" s="1203" t="str">
        <f t="shared" ref="R13:R23" si="7">IF(AND(H13&gt;=0)=TRUE,"","X")</f>
        <v/>
      </c>
      <c r="S13" s="1197" t="str">
        <f t="shared" ref="S13:S23" si="8">IF(H13&lt;&gt;""=TRUE,"","X")</f>
        <v>X</v>
      </c>
      <c r="T13" s="1202" t="str">
        <f t="shared" ref="T13:T23" si="9">IF(ISNONTEXT(I13)=TRUE,"","X")</f>
        <v/>
      </c>
      <c r="U13" s="1203" t="str">
        <f t="shared" ref="U13:U23" si="10">IF(AND(I13&gt;=0)=TRUE,"","X")</f>
        <v/>
      </c>
      <c r="V13" s="1197" t="str">
        <f t="shared" ref="V13:V23" si="11">IF(I13&lt;&gt;""=TRUE,"","X")</f>
        <v>X</v>
      </c>
    </row>
    <row r="14" spans="2:23" ht="15.5">
      <c r="B14" s="588"/>
      <c r="C14" s="1596" t="s">
        <v>516</v>
      </c>
      <c r="D14" s="1587" t="s">
        <v>1000</v>
      </c>
      <c r="E14" s="1588"/>
      <c r="F14" s="1592"/>
      <c r="G14" s="584"/>
      <c r="H14" s="1591"/>
      <c r="I14" s="1592"/>
      <c r="K14" s="1202" t="str">
        <f t="shared" si="0"/>
        <v/>
      </c>
      <c r="L14" s="1203" t="str">
        <f t="shared" si="1"/>
        <v/>
      </c>
      <c r="M14" s="1197" t="str">
        <f t="shared" si="2"/>
        <v>X</v>
      </c>
      <c r="N14" s="1202" t="str">
        <f t="shared" si="3"/>
        <v/>
      </c>
      <c r="O14" s="1203" t="str">
        <f t="shared" si="4"/>
        <v/>
      </c>
      <c r="P14" s="1197" t="str">
        <f t="shared" si="5"/>
        <v>X</v>
      </c>
      <c r="Q14" s="1202" t="str">
        <f t="shared" si="6"/>
        <v/>
      </c>
      <c r="R14" s="1203" t="str">
        <f t="shared" si="7"/>
        <v/>
      </c>
      <c r="S14" s="1197" t="str">
        <f t="shared" si="8"/>
        <v>X</v>
      </c>
      <c r="T14" s="1202" t="str">
        <f t="shared" si="9"/>
        <v/>
      </c>
      <c r="U14" s="1203" t="str">
        <f t="shared" si="10"/>
        <v/>
      </c>
      <c r="V14" s="1197" t="str">
        <f t="shared" si="11"/>
        <v>X</v>
      </c>
    </row>
    <row r="15" spans="2:23" ht="15.5">
      <c r="B15" s="588"/>
      <c r="C15" s="1596" t="s">
        <v>1094</v>
      </c>
      <c r="D15" s="1587" t="s">
        <v>1000</v>
      </c>
      <c r="E15" s="1588"/>
      <c r="F15" s="1592"/>
      <c r="G15" s="584"/>
      <c r="H15" s="1591"/>
      <c r="I15" s="1592"/>
      <c r="K15" s="1202" t="str">
        <f t="shared" si="0"/>
        <v/>
      </c>
      <c r="L15" s="1203" t="str">
        <f t="shared" si="1"/>
        <v/>
      </c>
      <c r="M15" s="1197" t="str">
        <f t="shared" si="2"/>
        <v>X</v>
      </c>
      <c r="N15" s="1202" t="str">
        <f t="shared" si="3"/>
        <v/>
      </c>
      <c r="O15" s="1203" t="str">
        <f t="shared" si="4"/>
        <v/>
      </c>
      <c r="P15" s="1197" t="str">
        <f t="shared" si="5"/>
        <v>X</v>
      </c>
      <c r="Q15" s="1202" t="str">
        <f t="shared" si="6"/>
        <v/>
      </c>
      <c r="R15" s="1203" t="str">
        <f t="shared" si="7"/>
        <v/>
      </c>
      <c r="S15" s="1197" t="str">
        <f t="shared" si="8"/>
        <v>X</v>
      </c>
      <c r="T15" s="1202" t="str">
        <f t="shared" si="9"/>
        <v/>
      </c>
      <c r="U15" s="1203" t="str">
        <f t="shared" si="10"/>
        <v/>
      </c>
      <c r="V15" s="1197" t="str">
        <f t="shared" si="11"/>
        <v>X</v>
      </c>
    </row>
    <row r="16" spans="2:23" ht="15.5">
      <c r="B16" s="588"/>
      <c r="C16" s="1596" t="s">
        <v>1095</v>
      </c>
      <c r="D16" s="1587" t="s">
        <v>1000</v>
      </c>
      <c r="E16" s="1588"/>
      <c r="F16" s="1592"/>
      <c r="G16" s="584"/>
      <c r="H16" s="1591"/>
      <c r="I16" s="1592"/>
      <c r="K16" s="1202" t="str">
        <f t="shared" si="0"/>
        <v/>
      </c>
      <c r="L16" s="1203" t="str">
        <f t="shared" si="1"/>
        <v/>
      </c>
      <c r="M16" s="1197" t="str">
        <f t="shared" si="2"/>
        <v>X</v>
      </c>
      <c r="N16" s="1202" t="str">
        <f t="shared" si="3"/>
        <v/>
      </c>
      <c r="O16" s="1203" t="str">
        <f t="shared" si="4"/>
        <v/>
      </c>
      <c r="P16" s="1197" t="str">
        <f t="shared" si="5"/>
        <v>X</v>
      </c>
      <c r="Q16" s="1202" t="str">
        <f t="shared" si="6"/>
        <v/>
      </c>
      <c r="R16" s="1203" t="str">
        <f t="shared" si="7"/>
        <v/>
      </c>
      <c r="S16" s="1197" t="str">
        <f t="shared" si="8"/>
        <v>X</v>
      </c>
      <c r="T16" s="1202" t="str">
        <f t="shared" si="9"/>
        <v/>
      </c>
      <c r="U16" s="1203" t="str">
        <f t="shared" si="10"/>
        <v/>
      </c>
      <c r="V16" s="1197" t="str">
        <f t="shared" si="11"/>
        <v>X</v>
      </c>
    </row>
    <row r="17" spans="2:22" ht="15.5">
      <c r="B17" s="588"/>
      <c r="C17" s="1596" t="s">
        <v>535</v>
      </c>
      <c r="D17" s="1587" t="s">
        <v>1000</v>
      </c>
      <c r="E17" s="1588"/>
      <c r="F17" s="1592"/>
      <c r="G17" s="584"/>
      <c r="H17" s="1591"/>
      <c r="I17" s="1592"/>
      <c r="K17" s="1202" t="str">
        <f t="shared" si="0"/>
        <v/>
      </c>
      <c r="L17" s="1203" t="str">
        <f t="shared" si="1"/>
        <v/>
      </c>
      <c r="M17" s="1197" t="str">
        <f t="shared" si="2"/>
        <v>X</v>
      </c>
      <c r="N17" s="1202" t="str">
        <f t="shared" si="3"/>
        <v/>
      </c>
      <c r="O17" s="1203" t="str">
        <f t="shared" si="4"/>
        <v/>
      </c>
      <c r="P17" s="1197" t="str">
        <f t="shared" si="5"/>
        <v>X</v>
      </c>
      <c r="Q17" s="1202" t="str">
        <f t="shared" si="6"/>
        <v/>
      </c>
      <c r="R17" s="1203" t="str">
        <f t="shared" si="7"/>
        <v/>
      </c>
      <c r="S17" s="1197" t="str">
        <f t="shared" si="8"/>
        <v>X</v>
      </c>
      <c r="T17" s="1202" t="str">
        <f t="shared" si="9"/>
        <v/>
      </c>
      <c r="U17" s="1203" t="str">
        <f t="shared" si="10"/>
        <v/>
      </c>
      <c r="V17" s="1197" t="str">
        <f t="shared" si="11"/>
        <v>X</v>
      </c>
    </row>
    <row r="18" spans="2:22" ht="15.5">
      <c r="B18" s="588"/>
      <c r="C18" s="1596" t="s">
        <v>1096</v>
      </c>
      <c r="D18" s="1587" t="s">
        <v>1000</v>
      </c>
      <c r="E18" s="1588"/>
      <c r="F18" s="1592"/>
      <c r="G18" s="584"/>
      <c r="H18" s="1591"/>
      <c r="I18" s="1592"/>
      <c r="K18" s="1202" t="str">
        <f t="shared" si="0"/>
        <v/>
      </c>
      <c r="L18" s="1203" t="str">
        <f t="shared" si="1"/>
        <v/>
      </c>
      <c r="M18" s="1197" t="str">
        <f t="shared" si="2"/>
        <v>X</v>
      </c>
      <c r="N18" s="1202" t="str">
        <f t="shared" si="3"/>
        <v/>
      </c>
      <c r="O18" s="1203" t="str">
        <f t="shared" si="4"/>
        <v/>
      </c>
      <c r="P18" s="1197" t="str">
        <f t="shared" si="5"/>
        <v>X</v>
      </c>
      <c r="Q18" s="1202" t="str">
        <f t="shared" si="6"/>
        <v/>
      </c>
      <c r="R18" s="1203" t="str">
        <f t="shared" si="7"/>
        <v/>
      </c>
      <c r="S18" s="1197" t="str">
        <f t="shared" si="8"/>
        <v>X</v>
      </c>
      <c r="T18" s="1202" t="str">
        <f t="shared" si="9"/>
        <v/>
      </c>
      <c r="U18" s="1203" t="str">
        <f t="shared" si="10"/>
        <v/>
      </c>
      <c r="V18" s="1197" t="str">
        <f t="shared" si="11"/>
        <v>X</v>
      </c>
    </row>
    <row r="19" spans="2:22" ht="15.5">
      <c r="C19" s="1596" t="s">
        <v>1097</v>
      </c>
      <c r="D19" s="1587" t="s">
        <v>1000</v>
      </c>
      <c r="E19" s="1588"/>
      <c r="F19" s="1592"/>
      <c r="G19" s="584"/>
      <c r="H19" s="1591"/>
      <c r="I19" s="1592"/>
      <c r="K19" s="1202" t="str">
        <f t="shared" si="0"/>
        <v/>
      </c>
      <c r="L19" s="1203" t="str">
        <f t="shared" si="1"/>
        <v/>
      </c>
      <c r="M19" s="1197" t="str">
        <f t="shared" si="2"/>
        <v>X</v>
      </c>
      <c r="N19" s="1202" t="str">
        <f t="shared" si="3"/>
        <v/>
      </c>
      <c r="O19" s="1203" t="str">
        <f t="shared" si="4"/>
        <v/>
      </c>
      <c r="P19" s="1197" t="str">
        <f t="shared" si="5"/>
        <v>X</v>
      </c>
      <c r="Q19" s="1202" t="str">
        <f t="shared" si="6"/>
        <v/>
      </c>
      <c r="R19" s="1203" t="str">
        <f t="shared" si="7"/>
        <v/>
      </c>
      <c r="S19" s="1197" t="str">
        <f t="shared" si="8"/>
        <v>X</v>
      </c>
      <c r="T19" s="1202" t="str">
        <f t="shared" si="9"/>
        <v/>
      </c>
      <c r="U19" s="1203" t="str">
        <f t="shared" si="10"/>
        <v/>
      </c>
      <c r="V19" s="1197" t="str">
        <f t="shared" si="11"/>
        <v>X</v>
      </c>
    </row>
    <row r="20" spans="2:22" ht="15.5">
      <c r="C20" s="1596" t="s">
        <v>1098</v>
      </c>
      <c r="D20" s="1587" t="s">
        <v>1000</v>
      </c>
      <c r="E20" s="1588"/>
      <c r="F20" s="1592"/>
      <c r="G20" s="584"/>
      <c r="H20" s="1591"/>
      <c r="I20" s="1592"/>
      <c r="K20" s="1202" t="str">
        <f t="shared" si="0"/>
        <v/>
      </c>
      <c r="L20" s="1203" t="str">
        <f t="shared" si="1"/>
        <v/>
      </c>
      <c r="M20" s="1197" t="str">
        <f t="shared" si="2"/>
        <v>X</v>
      </c>
      <c r="N20" s="1202" t="str">
        <f t="shared" si="3"/>
        <v/>
      </c>
      <c r="O20" s="1203" t="str">
        <f t="shared" si="4"/>
        <v/>
      </c>
      <c r="P20" s="1197" t="str">
        <f t="shared" si="5"/>
        <v>X</v>
      </c>
      <c r="Q20" s="1202" t="str">
        <f t="shared" si="6"/>
        <v/>
      </c>
      <c r="R20" s="1203" t="str">
        <f t="shared" si="7"/>
        <v/>
      </c>
      <c r="S20" s="1197" t="str">
        <f t="shared" si="8"/>
        <v>X</v>
      </c>
      <c r="T20" s="1202" t="str">
        <f t="shared" si="9"/>
        <v/>
      </c>
      <c r="U20" s="1203" t="str">
        <f t="shared" si="10"/>
        <v/>
      </c>
      <c r="V20" s="1197" t="str">
        <f t="shared" si="11"/>
        <v>X</v>
      </c>
    </row>
    <row r="21" spans="2:22" ht="15.5">
      <c r="C21" s="1596" t="s">
        <v>1099</v>
      </c>
      <c r="D21" s="1587" t="s">
        <v>1000</v>
      </c>
      <c r="E21" s="1588"/>
      <c r="F21" s="1592"/>
      <c r="G21" s="584"/>
      <c r="H21" s="1591"/>
      <c r="I21" s="1592"/>
      <c r="K21" s="1202" t="str">
        <f t="shared" si="0"/>
        <v/>
      </c>
      <c r="L21" s="1203" t="str">
        <f t="shared" si="1"/>
        <v/>
      </c>
      <c r="M21" s="1197" t="str">
        <f t="shared" si="2"/>
        <v>X</v>
      </c>
      <c r="N21" s="1202" t="str">
        <f t="shared" si="3"/>
        <v/>
      </c>
      <c r="O21" s="1203" t="str">
        <f t="shared" si="4"/>
        <v/>
      </c>
      <c r="P21" s="1197" t="str">
        <f t="shared" si="5"/>
        <v>X</v>
      </c>
      <c r="Q21" s="1202" t="str">
        <f t="shared" si="6"/>
        <v/>
      </c>
      <c r="R21" s="1203" t="str">
        <f t="shared" si="7"/>
        <v/>
      </c>
      <c r="S21" s="1197" t="str">
        <f t="shared" si="8"/>
        <v>X</v>
      </c>
      <c r="T21" s="1202" t="str">
        <f t="shared" si="9"/>
        <v/>
      </c>
      <c r="U21" s="1203" t="str">
        <f t="shared" si="10"/>
        <v/>
      </c>
      <c r="V21" s="1197" t="str">
        <f t="shared" si="11"/>
        <v>X</v>
      </c>
    </row>
    <row r="22" spans="2:22" ht="15.5">
      <c r="C22" s="1596" t="s">
        <v>1100</v>
      </c>
      <c r="D22" s="1587" t="s">
        <v>1000</v>
      </c>
      <c r="E22" s="1588"/>
      <c r="F22" s="1592"/>
      <c r="G22" s="584"/>
      <c r="H22" s="1591"/>
      <c r="I22" s="1592"/>
      <c r="K22" s="1202" t="str">
        <f t="shared" si="0"/>
        <v/>
      </c>
      <c r="L22" s="1203" t="str">
        <f t="shared" si="1"/>
        <v/>
      </c>
      <c r="M22" s="1197" t="str">
        <f t="shared" si="2"/>
        <v>X</v>
      </c>
      <c r="N22" s="1202" t="str">
        <f t="shared" si="3"/>
        <v/>
      </c>
      <c r="O22" s="1203" t="str">
        <f t="shared" si="4"/>
        <v/>
      </c>
      <c r="P22" s="1197" t="str">
        <f t="shared" si="5"/>
        <v>X</v>
      </c>
      <c r="Q22" s="1202" t="str">
        <f t="shared" si="6"/>
        <v/>
      </c>
      <c r="R22" s="1203" t="str">
        <f t="shared" si="7"/>
        <v/>
      </c>
      <c r="S22" s="1197" t="str">
        <f t="shared" si="8"/>
        <v>X</v>
      </c>
      <c r="T22" s="1202" t="str">
        <f t="shared" si="9"/>
        <v/>
      </c>
      <c r="U22" s="1203" t="str">
        <f t="shared" si="10"/>
        <v/>
      </c>
      <c r="V22" s="1197" t="str">
        <f t="shared" si="11"/>
        <v>X</v>
      </c>
    </row>
    <row r="23" spans="2:22" ht="15.5">
      <c r="C23" s="1597" t="s">
        <v>1101</v>
      </c>
      <c r="D23" s="1608" t="s">
        <v>1000</v>
      </c>
      <c r="E23" s="1609"/>
      <c r="F23" s="1594"/>
      <c r="G23" s="584"/>
      <c r="H23" s="1593"/>
      <c r="I23" s="1594"/>
      <c r="K23" s="1210" t="str">
        <f t="shared" si="0"/>
        <v/>
      </c>
      <c r="L23" s="1211" t="str">
        <f t="shared" si="1"/>
        <v/>
      </c>
      <c r="M23" s="1212" t="str">
        <f t="shared" si="2"/>
        <v>X</v>
      </c>
      <c r="N23" s="1210" t="str">
        <f t="shared" si="3"/>
        <v/>
      </c>
      <c r="O23" s="1211" t="str">
        <f t="shared" si="4"/>
        <v/>
      </c>
      <c r="P23" s="1212" t="str">
        <f t="shared" si="5"/>
        <v>X</v>
      </c>
      <c r="Q23" s="1210" t="str">
        <f t="shared" si="6"/>
        <v/>
      </c>
      <c r="R23" s="1211" t="str">
        <f t="shared" si="7"/>
        <v/>
      </c>
      <c r="S23" s="1212" t="str">
        <f t="shared" si="8"/>
        <v>X</v>
      </c>
      <c r="T23" s="1210" t="str">
        <f t="shared" si="9"/>
        <v/>
      </c>
      <c r="U23" s="1211" t="str">
        <f t="shared" si="10"/>
        <v/>
      </c>
      <c r="V23" s="1212" t="str">
        <f t="shared" si="11"/>
        <v>X</v>
      </c>
    </row>
    <row r="24" spans="2:22" ht="15.5">
      <c r="G24" s="584"/>
    </row>
    <row r="25" spans="2:22" ht="15.5">
      <c r="G25" s="584"/>
    </row>
    <row r="26" spans="2:22">
      <c r="B26" s="16"/>
      <c r="C26" s="579"/>
      <c r="D26" s="579"/>
      <c r="E26" s="579"/>
      <c r="F26" s="579"/>
      <c r="G26" s="16"/>
      <c r="H26" s="579"/>
    </row>
    <row r="27" spans="2:22">
      <c r="B27" s="579"/>
      <c r="C27" s="1310" t="s">
        <v>1471</v>
      </c>
      <c r="D27" s="1852"/>
      <c r="E27" s="1852"/>
      <c r="F27" s="579"/>
      <c r="G27" s="579"/>
      <c r="H27" s="579"/>
    </row>
    <row r="28" spans="2:22">
      <c r="B28" s="16"/>
      <c r="C28" s="1847" t="s">
        <v>1495</v>
      </c>
      <c r="D28" s="1847"/>
      <c r="E28" s="579"/>
      <c r="F28" s="579"/>
      <c r="G28" s="579"/>
      <c r="H28" s="579"/>
    </row>
    <row r="29" spans="2:22">
      <c r="B29" s="16"/>
      <c r="C29" s="579"/>
      <c r="D29" s="579"/>
      <c r="E29" s="579"/>
      <c r="F29" s="579"/>
      <c r="G29" s="579"/>
      <c r="H29" s="579"/>
    </row>
  </sheetData>
  <mergeCells count="4">
    <mergeCell ref="K11:M11"/>
    <mergeCell ref="N11:P11"/>
    <mergeCell ref="Q11:S11"/>
    <mergeCell ref="T11:V11"/>
  </mergeCells>
  <conditionalFormatting sqref="C27">
    <cfRule type="cellIs" dxfId="32" priority="1" operator="equal">
      <formula>FALSE</formula>
    </cfRule>
  </conditionalFormatting>
  <dataValidations count="1">
    <dataValidation allowBlank="1" showErrorMessage="1" sqref="K10:V10 X1:XFD5 A28:W1048576 X8:XFD1048576 C6:XFD7 A1:A26" xr:uid="{24B27208-4929-40E2-9474-3E76EE8CC87C}"/>
  </dataValidations>
  <pageMargins left="0.7" right="0.7" top="0.75" bottom="0.75" header="0.3" footer="0.3"/>
  <pageSetup paperSize="8" scale="32"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006BA8"/>
    <pageSetUpPr fitToPage="1"/>
  </sheetPr>
  <dimension ref="B1:Y61"/>
  <sheetViews>
    <sheetView workbookViewId="0"/>
  </sheetViews>
  <sheetFormatPr defaultColWidth="9.1796875" defaultRowHeight="14.5"/>
  <cols>
    <col min="1" max="1" width="5.6328125" style="1" customWidth="1"/>
    <col min="2" max="2" width="25.6328125" style="1410" customWidth="1"/>
    <col min="3" max="3" width="51.81640625" style="1" bestFit="1" customWidth="1"/>
    <col min="4" max="4" width="7.81640625" style="1" customWidth="1"/>
    <col min="5" max="5" width="17.1796875" style="1" customWidth="1"/>
    <col min="6" max="7" width="18" style="1" customWidth="1"/>
    <col min="8" max="8" width="18.1796875" style="1" customWidth="1"/>
    <col min="9" max="9" width="17.1796875" style="1" customWidth="1"/>
    <col min="10" max="10" width="14.453125" style="1" customWidth="1"/>
    <col min="11" max="12" width="4.54296875" style="1" customWidth="1"/>
    <col min="13" max="13" width="5.54296875" style="1" customWidth="1"/>
    <col min="14" max="15" width="4.54296875" style="1" customWidth="1"/>
    <col min="16" max="16" width="6.1796875" style="1" customWidth="1"/>
    <col min="17" max="18" width="4.54296875" style="1" customWidth="1"/>
    <col min="19" max="19" width="6.54296875" style="1" customWidth="1"/>
    <col min="20" max="21" width="4.54296875" style="1" customWidth="1"/>
    <col min="22" max="22" width="6" style="1" customWidth="1"/>
    <col min="23" max="23" width="5.6328125" style="1" customWidth="1"/>
    <col min="24" max="24" width="4.54296875" style="1" customWidth="1"/>
    <col min="25" max="25" width="6" style="1" customWidth="1"/>
    <col min="26" max="30" width="3.54296875" style="1" customWidth="1"/>
    <col min="31" max="16384" width="9.1796875" style="1"/>
  </cols>
  <sheetData>
    <row r="1" spans="2:25" ht="20" customHeight="1">
      <c r="B1" s="1405"/>
      <c r="C1" s="914" t="str">
        <f>dms_SheetHeading1</f>
        <v>ANNUAL INFORMATION ORDER</v>
      </c>
      <c r="D1" s="1024"/>
      <c r="E1" s="1024"/>
      <c r="F1" s="1024"/>
      <c r="G1" s="1024"/>
      <c r="H1" s="1024"/>
      <c r="I1" s="1024"/>
      <c r="J1" s="1098"/>
      <c r="K1" s="1556" t="s">
        <v>1003</v>
      </c>
      <c r="L1" s="1556"/>
      <c r="M1" s="1556"/>
      <c r="N1" s="1556"/>
      <c r="O1" s="1556"/>
      <c r="P1" s="1556"/>
      <c r="Q1" s="1557" t="s">
        <v>1002</v>
      </c>
      <c r="R1" s="1556"/>
      <c r="S1" s="1556"/>
      <c r="T1" s="1556"/>
      <c r="U1" s="1556"/>
      <c r="V1" s="1556"/>
      <c r="W1" s="1556"/>
    </row>
    <row r="2" spans="2:25" ht="20" customHeight="1">
      <c r="B2" s="1405"/>
      <c r="C2" s="915" t="str">
        <f>dms_SheetHeading2</f>
        <v>Australian Transmission Co.</v>
      </c>
      <c r="D2" s="1024"/>
      <c r="E2" s="1024"/>
      <c r="F2" s="1024"/>
      <c r="G2" s="1024"/>
      <c r="H2" s="1024"/>
      <c r="I2" s="1024"/>
      <c r="J2" s="1098"/>
      <c r="K2" s="1558" t="s">
        <v>1004</v>
      </c>
      <c r="L2" s="1558"/>
      <c r="M2" s="1558"/>
      <c r="N2" s="1558"/>
      <c r="O2" s="1558"/>
      <c r="P2" s="1558"/>
      <c r="Q2" s="1559" t="s">
        <v>179</v>
      </c>
      <c r="R2" s="1558"/>
      <c r="S2" s="1558"/>
      <c r="T2" s="1558"/>
      <c r="U2" s="1558"/>
      <c r="V2" s="1558"/>
      <c r="W2" s="1558"/>
    </row>
    <row r="3" spans="2:25" ht="20" customHeight="1">
      <c r="B3" s="1405"/>
      <c r="C3" s="916" t="str">
        <f>dms_SheetHeading3</f>
        <v>REPORTING STATEMENT: 2025-26</v>
      </c>
      <c r="D3" s="1024"/>
      <c r="E3" s="1024"/>
      <c r="F3" s="1024"/>
      <c r="G3" s="1024"/>
      <c r="H3" s="1024"/>
      <c r="I3" s="1024"/>
      <c r="J3" s="1098"/>
      <c r="K3" s="1560" t="s">
        <v>1005</v>
      </c>
      <c r="L3" s="1560"/>
      <c r="M3" s="1560"/>
      <c r="N3" s="1560"/>
      <c r="O3" s="1560"/>
      <c r="P3" s="1560"/>
      <c r="Q3" s="1561" t="s">
        <v>180</v>
      </c>
      <c r="R3" s="1560"/>
      <c r="S3" s="1560"/>
      <c r="T3" s="1560"/>
      <c r="U3" s="1560"/>
      <c r="V3" s="1560"/>
      <c r="W3" s="1560"/>
    </row>
    <row r="4" spans="2:25" ht="20" customHeight="1">
      <c r="B4" s="1405"/>
      <c r="C4" s="1025" t="s">
        <v>1672</v>
      </c>
      <c r="D4" s="1026"/>
      <c r="E4" s="1026"/>
      <c r="F4" s="1026"/>
      <c r="G4" s="1026"/>
      <c r="H4" s="1026"/>
      <c r="I4" s="1026"/>
      <c r="J4" s="1099"/>
      <c r="K4" s="1562" t="s">
        <v>1007</v>
      </c>
      <c r="L4" s="1563"/>
      <c r="M4" s="1564"/>
      <c r="N4" s="1565"/>
      <c r="O4" s="1565"/>
      <c r="P4" s="1565"/>
      <c r="Q4" s="1566" t="s">
        <v>1006</v>
      </c>
      <c r="R4" s="1565"/>
      <c r="S4" s="1565"/>
      <c r="T4" s="1565"/>
      <c r="U4" s="1565"/>
      <c r="V4" s="1565"/>
      <c r="W4" s="1565"/>
    </row>
    <row r="5" spans="2:25" ht="13.5" customHeight="1">
      <c r="B5" s="1405"/>
      <c r="C5" s="953"/>
    </row>
    <row r="6" spans="2:25" ht="15" customHeight="1">
      <c r="C6" s="1427" t="s">
        <v>1596</v>
      </c>
      <c r="D6" s="1568"/>
      <c r="E6" s="1568"/>
      <c r="F6" s="1568"/>
      <c r="G6" s="1568"/>
      <c r="H6" s="1568"/>
      <c r="I6" s="1568"/>
    </row>
    <row r="7" spans="2:25" ht="15" customHeight="1">
      <c r="C7" s="1427" t="s">
        <v>1597</v>
      </c>
      <c r="D7" s="1568"/>
      <c r="E7" s="1568"/>
      <c r="F7" s="1568"/>
      <c r="G7" s="1568"/>
      <c r="H7" s="1568"/>
      <c r="I7" s="1568"/>
    </row>
    <row r="8" spans="2:25" ht="15" customHeight="1">
      <c r="C8" s="1429" t="s">
        <v>1598</v>
      </c>
      <c r="D8" s="1429"/>
      <c r="E8" s="1429"/>
      <c r="F8" s="1429"/>
      <c r="G8" s="1429"/>
      <c r="H8" s="1429"/>
      <c r="I8" s="1429"/>
    </row>
    <row r="9" spans="2:25" ht="18" customHeight="1">
      <c r="C9" s="1584" t="s">
        <v>1665</v>
      </c>
      <c r="D9" s="1090"/>
      <c r="E9" s="1090"/>
      <c r="F9" s="1090"/>
      <c r="G9" s="1090"/>
      <c r="H9" s="1090"/>
      <c r="I9" s="1090"/>
      <c r="J9" s="1208"/>
      <c r="K9" s="1208"/>
      <c r="L9" s="1208"/>
      <c r="M9" s="1208"/>
    </row>
    <row r="10" spans="2:25">
      <c r="B10" s="1"/>
    </row>
    <row r="11" spans="2:25" ht="26">
      <c r="B11" s="1"/>
      <c r="C11" s="1046" t="s">
        <v>1012</v>
      </c>
      <c r="D11" s="889" t="s">
        <v>1118</v>
      </c>
      <c r="E11" s="1224" t="s">
        <v>1666</v>
      </c>
      <c r="F11" s="1224" t="s">
        <v>1156</v>
      </c>
      <c r="G11" s="1224" t="s">
        <v>1185</v>
      </c>
      <c r="H11" s="1224" t="s">
        <v>1186</v>
      </c>
      <c r="I11" s="1238" t="s">
        <v>1187</v>
      </c>
      <c r="J11" s="1176"/>
      <c r="K11" s="2127" t="s">
        <v>1302</v>
      </c>
      <c r="L11" s="2128"/>
      <c r="M11" s="2128"/>
      <c r="N11" s="1943" t="s">
        <v>1293</v>
      </c>
      <c r="O11" s="1944" t="s">
        <v>1294</v>
      </c>
      <c r="P11" s="1945" t="s">
        <v>1703</v>
      </c>
      <c r="Q11" s="1943" t="s">
        <v>1293</v>
      </c>
      <c r="R11" s="1944" t="s">
        <v>1294</v>
      </c>
      <c r="S11" s="1945" t="s">
        <v>1703</v>
      </c>
      <c r="T11" s="1943" t="s">
        <v>1293</v>
      </c>
      <c r="U11" s="1944" t="s">
        <v>1294</v>
      </c>
      <c r="V11" s="1945" t="s">
        <v>1703</v>
      </c>
      <c r="W11" s="1943" t="s">
        <v>1293</v>
      </c>
      <c r="X11" s="1944" t="s">
        <v>1294</v>
      </c>
      <c r="Y11" s="1945" t="s">
        <v>1703</v>
      </c>
    </row>
    <row r="12" spans="2:25">
      <c r="B12" s="1406"/>
      <c r="C12" s="896" t="s">
        <v>1529</v>
      </c>
      <c r="D12" s="889"/>
      <c r="E12" s="1463"/>
      <c r="F12" s="1463"/>
      <c r="G12" s="1463"/>
      <c r="H12" s="1463"/>
      <c r="I12" s="1464"/>
      <c r="J12" s="1176"/>
      <c r="K12" s="2129" t="s">
        <v>1298</v>
      </c>
      <c r="L12" s="2130"/>
      <c r="M12" s="2130"/>
      <c r="N12" s="2129" t="s">
        <v>1599</v>
      </c>
      <c r="O12" s="2130"/>
      <c r="P12" s="2135"/>
      <c r="Q12" s="2129" t="s">
        <v>1600</v>
      </c>
      <c r="R12" s="2130"/>
      <c r="S12" s="2135"/>
      <c r="T12" s="2129" t="s">
        <v>1601</v>
      </c>
      <c r="U12" s="2130"/>
      <c r="V12" s="2135"/>
      <c r="W12" s="2130" t="s">
        <v>1187</v>
      </c>
      <c r="X12" s="2130"/>
      <c r="Y12" s="2135"/>
    </row>
    <row r="13" spans="2:25" ht="15" customHeight="1">
      <c r="B13" s="1406"/>
      <c r="C13" s="1239"/>
      <c r="D13" s="1235" t="s">
        <v>66</v>
      </c>
      <c r="E13" s="1231">
        <f>SUM(F13:I13)</f>
        <v>0</v>
      </c>
      <c r="F13" s="1013"/>
      <c r="G13" s="1013"/>
      <c r="H13" s="1013"/>
      <c r="I13" s="1014"/>
      <c r="J13" s="1176"/>
      <c r="K13" s="2121" t="s">
        <v>1306</v>
      </c>
      <c r="L13" s="2131"/>
      <c r="M13" s="2131"/>
      <c r="N13" s="1711" t="str">
        <f t="shared" ref="N13:N16" si="0">IF(ISNONTEXT(F13)=TRUE,"","X")</f>
        <v/>
      </c>
      <c r="O13" s="1345" t="str">
        <f t="shared" ref="O13:O16" si="1">IF(AND(F13&gt;=0)=TRUE,"","X")</f>
        <v/>
      </c>
      <c r="P13" s="1712" t="str">
        <f>IF(AND(F13&lt;&gt;"",$C13&lt;&gt;""),"",IF(AND(ISBLANK(F13),LEFT($C13,5)="&lt;TNSP"),"",IF(AND(ISBLANK(F13),ISBLANK($C13)),"","X")))</f>
        <v/>
      </c>
      <c r="Q13" s="1711" t="str">
        <f>IF(ISNONTEXT(G13)=TRUE,"","X")</f>
        <v/>
      </c>
      <c r="R13" s="1345" t="str">
        <f>IF(AND(G13&gt;=0)=TRUE,"","X")</f>
        <v/>
      </c>
      <c r="S13" s="1712" t="str">
        <f>IF(AND(G13&lt;&gt;"",$C13&lt;&gt;""),"",IF(AND(ISBLANK(G13),LEFT($C13,5)="&lt;TNSP"),"",IF(AND(ISBLANK(G13),ISBLANK($C13)),"","X")))</f>
        <v/>
      </c>
      <c r="T13" s="1711" t="str">
        <f>IF(ISNONTEXT(H13)=TRUE,"","X")</f>
        <v/>
      </c>
      <c r="U13" s="1345" t="str">
        <f>IF(AND(H13&gt;=0)=TRUE,"","X")</f>
        <v/>
      </c>
      <c r="V13" s="1712" t="str">
        <f>IF(AND(H13&lt;&gt;"",$C13&lt;&gt;""),"",IF(AND(ISBLANK(H13),LEFT($C13,5)="&lt;TNSP"),"",IF(AND(ISBLANK(H13),ISBLANK($C13)),"","X")))</f>
        <v/>
      </c>
      <c r="W13" s="1711" t="str">
        <f>IF(ISNONTEXT(I13)=TRUE,"","X")</f>
        <v/>
      </c>
      <c r="X13" s="1345" t="str">
        <f>IF(AND(I13&gt;=0)=TRUE,"","X")</f>
        <v/>
      </c>
      <c r="Y13" s="1712" t="str">
        <f>IF(AND(I13&lt;&gt;"",$C13&lt;&gt;""),"",IF(AND(ISBLANK(I13),LEFT($C13,5)="&lt;TNSP"),"",IF(AND(ISBLANK(I13),ISBLANK($C13)),"","X")))</f>
        <v/>
      </c>
    </row>
    <row r="14" spans="2:25">
      <c r="B14" s="1407"/>
      <c r="C14" s="1240"/>
      <c r="D14" s="1236" t="s">
        <v>66</v>
      </c>
      <c r="E14" s="1232">
        <f t="shared" ref="E14:E18" si="2">SUM(F14:I14)</f>
        <v>0</v>
      </c>
      <c r="F14" s="1017"/>
      <c r="G14" s="1017"/>
      <c r="H14" s="1017"/>
      <c r="I14" s="1018"/>
      <c r="J14" s="1176"/>
      <c r="K14" s="2122"/>
      <c r="L14" s="2132"/>
      <c r="M14" s="2132"/>
      <c r="N14" s="1327" t="str">
        <f t="shared" si="0"/>
        <v/>
      </c>
      <c r="O14" s="1186" t="str">
        <f t="shared" si="1"/>
        <v/>
      </c>
      <c r="P14" s="1322" t="str">
        <f t="shared" ref="P14:P16" si="3">IF(AND(F14&lt;&gt;"",$C14&lt;&gt;""),"",IF(AND(ISBLANK(F14),LEFT($C14,5)="&lt;TNSP"),"",IF(AND(ISBLANK(F14),ISBLANK($C14)),"","X")))</f>
        <v/>
      </c>
      <c r="Q14" s="1327" t="str">
        <f t="shared" ref="Q14:Q16" si="4">IF(ISNONTEXT(G14)=TRUE,"","X")</f>
        <v/>
      </c>
      <c r="R14" s="1186" t="str">
        <f t="shared" ref="R14:R16" si="5">IF(AND(G14&gt;=0)=TRUE,"","X")</f>
        <v/>
      </c>
      <c r="S14" s="1322" t="str">
        <f t="shared" ref="S14:S16" si="6">IF(AND(G14&lt;&gt;"",$C14&lt;&gt;""),"",IF(AND(ISBLANK(G14),LEFT($C14,5)="&lt;TNSP"),"",IF(AND(ISBLANK(G14),ISBLANK($C14)),"","X")))</f>
        <v/>
      </c>
      <c r="T14" s="1327" t="str">
        <f t="shared" ref="T14:T16" si="7">IF(ISNONTEXT(H14)=TRUE,"","X")</f>
        <v/>
      </c>
      <c r="U14" s="1186" t="str">
        <f t="shared" ref="U14:U16" si="8">IF(AND(H14&gt;=0)=TRUE,"","X")</f>
        <v/>
      </c>
      <c r="V14" s="1322" t="str">
        <f t="shared" ref="V14:V16" si="9">IF(AND(H14&lt;&gt;"",$C14&lt;&gt;""),"",IF(AND(ISBLANK(H14),LEFT($C14,5)="&lt;TNSP"),"",IF(AND(ISBLANK(H14),ISBLANK($C14)),"","X")))</f>
        <v/>
      </c>
      <c r="W14" s="1327" t="str">
        <f t="shared" ref="W14:W16" si="10">IF(ISNONTEXT(I14)=TRUE,"","X")</f>
        <v/>
      </c>
      <c r="X14" s="1186" t="str">
        <f t="shared" ref="X14:X16" si="11">IF(AND(I14&gt;=0)=TRUE,"","X")</f>
        <v/>
      </c>
      <c r="Y14" s="1322" t="str">
        <f t="shared" ref="Y14:Y16" si="12">IF(AND(I14&lt;&gt;"",$C14&lt;&gt;""),"",IF(AND(ISBLANK(I14),LEFT($C14,5)="&lt;TNSP"),"",IF(AND(ISBLANK(I14),ISBLANK($C14)),"","X")))</f>
        <v/>
      </c>
    </row>
    <row r="15" spans="2:25">
      <c r="B15" s="1408"/>
      <c r="C15" s="1240"/>
      <c r="D15" s="1236" t="s">
        <v>66</v>
      </c>
      <c r="E15" s="1232">
        <f t="shared" si="2"/>
        <v>0</v>
      </c>
      <c r="F15" s="1017"/>
      <c r="G15" s="1017"/>
      <c r="H15" s="1017"/>
      <c r="I15" s="1018"/>
      <c r="J15" s="1176"/>
      <c r="K15" s="2122"/>
      <c r="L15" s="2132"/>
      <c r="M15" s="2132"/>
      <c r="N15" s="1327" t="str">
        <f t="shared" si="0"/>
        <v/>
      </c>
      <c r="O15" s="1186" t="str">
        <f t="shared" si="1"/>
        <v/>
      </c>
      <c r="P15" s="1322" t="str">
        <f t="shared" si="3"/>
        <v/>
      </c>
      <c r="Q15" s="1327" t="str">
        <f t="shared" si="4"/>
        <v/>
      </c>
      <c r="R15" s="1186" t="str">
        <f t="shared" si="5"/>
        <v/>
      </c>
      <c r="S15" s="1322" t="str">
        <f t="shared" si="6"/>
        <v/>
      </c>
      <c r="T15" s="1327" t="str">
        <f t="shared" si="7"/>
        <v/>
      </c>
      <c r="U15" s="1186" t="str">
        <f t="shared" si="8"/>
        <v/>
      </c>
      <c r="V15" s="1322" t="str">
        <f t="shared" si="9"/>
        <v/>
      </c>
      <c r="W15" s="1327" t="str">
        <f t="shared" si="10"/>
        <v/>
      </c>
      <c r="X15" s="1186" t="str">
        <f t="shared" si="11"/>
        <v/>
      </c>
      <c r="Y15" s="1322" t="str">
        <f t="shared" si="12"/>
        <v/>
      </c>
    </row>
    <row r="16" spans="2:25">
      <c r="B16" s="1408"/>
      <c r="C16" s="1240"/>
      <c r="D16" s="1236" t="s">
        <v>66</v>
      </c>
      <c r="E16" s="1232">
        <f t="shared" si="2"/>
        <v>0</v>
      </c>
      <c r="F16" s="1017"/>
      <c r="G16" s="1017"/>
      <c r="H16" s="1017"/>
      <c r="I16" s="1018"/>
      <c r="J16" s="1176"/>
      <c r="K16" s="2122"/>
      <c r="L16" s="2132"/>
      <c r="M16" s="2132"/>
      <c r="N16" s="1327" t="str">
        <f t="shared" si="0"/>
        <v/>
      </c>
      <c r="O16" s="1186" t="str">
        <f t="shared" si="1"/>
        <v/>
      </c>
      <c r="P16" s="1322" t="str">
        <f t="shared" si="3"/>
        <v/>
      </c>
      <c r="Q16" s="1327" t="str">
        <f t="shared" si="4"/>
        <v/>
      </c>
      <c r="R16" s="1186" t="str">
        <f t="shared" si="5"/>
        <v/>
      </c>
      <c r="S16" s="1322" t="str">
        <f t="shared" si="6"/>
        <v/>
      </c>
      <c r="T16" s="1327" t="str">
        <f t="shared" si="7"/>
        <v/>
      </c>
      <c r="U16" s="1186" t="str">
        <f t="shared" si="8"/>
        <v/>
      </c>
      <c r="V16" s="1322" t="str">
        <f t="shared" si="9"/>
        <v/>
      </c>
      <c r="W16" s="1327" t="str">
        <f t="shared" si="10"/>
        <v/>
      </c>
      <c r="X16" s="1186" t="str">
        <f t="shared" si="11"/>
        <v/>
      </c>
      <c r="Y16" s="1322" t="str">
        <f t="shared" si="12"/>
        <v/>
      </c>
    </row>
    <row r="17" spans="2:25">
      <c r="B17" s="1408"/>
      <c r="C17" s="1240"/>
      <c r="D17" s="1236" t="s">
        <v>66</v>
      </c>
      <c r="E17" s="1232">
        <f t="shared" si="2"/>
        <v>0</v>
      </c>
      <c r="F17" s="1017"/>
      <c r="G17" s="1017"/>
      <c r="H17" s="1017"/>
      <c r="I17" s="1018"/>
      <c r="J17" s="1176"/>
      <c r="K17" s="2122"/>
      <c r="L17" s="2132"/>
      <c r="M17" s="2132"/>
      <c r="N17" s="1327" t="str">
        <f t="shared" ref="N17:N18" si="13">IF(ISNONTEXT(F17)=TRUE,"","X")</f>
        <v/>
      </c>
      <c r="O17" s="1186" t="str">
        <f t="shared" ref="O17:O18" si="14">IF(AND(F17&gt;=0)=TRUE,"","X")</f>
        <v/>
      </c>
      <c r="P17" s="1322" t="str">
        <f t="shared" ref="P17:P18" si="15">IF(AND(F17&lt;&gt;"",$C17&lt;&gt;""),"",IF(AND(ISBLANK(F17),LEFT($C17,5)="&lt;TNSP"),"",IF(AND(ISBLANK(F17),ISBLANK($C17)),"","X")))</f>
        <v/>
      </c>
      <c r="Q17" s="1327" t="str">
        <f t="shared" ref="Q17:Q18" si="16">IF(ISNONTEXT(G17)=TRUE,"","X")</f>
        <v/>
      </c>
      <c r="R17" s="1186" t="str">
        <f t="shared" ref="R17:R18" si="17">IF(AND(G17&gt;=0)=TRUE,"","X")</f>
        <v/>
      </c>
      <c r="S17" s="1322" t="str">
        <f t="shared" ref="S17:S18" si="18">IF(AND(G17&lt;&gt;"",$C17&lt;&gt;""),"",IF(AND(ISBLANK(G17),LEFT($C17,5)="&lt;TNSP"),"",IF(AND(ISBLANK(G17),ISBLANK($C17)),"","X")))</f>
        <v/>
      </c>
      <c r="T17" s="1327" t="str">
        <f t="shared" ref="T17:T18" si="19">IF(ISNONTEXT(H17)=TRUE,"","X")</f>
        <v/>
      </c>
      <c r="U17" s="1186" t="str">
        <f t="shared" ref="U17:U18" si="20">IF(AND(H17&gt;=0)=TRUE,"","X")</f>
        <v/>
      </c>
      <c r="V17" s="1322" t="str">
        <f t="shared" ref="V17:V18" si="21">IF(AND(H17&lt;&gt;"",$C17&lt;&gt;""),"",IF(AND(ISBLANK(H17),LEFT($C17,5)="&lt;TNSP"),"",IF(AND(ISBLANK(H17),ISBLANK($C17)),"","X")))</f>
        <v/>
      </c>
      <c r="W17" s="1327" t="str">
        <f t="shared" ref="W17:W18" si="22">IF(ISNONTEXT(I17)=TRUE,"","X")</f>
        <v/>
      </c>
      <c r="X17" s="1186" t="str">
        <f t="shared" ref="X17:X18" si="23">IF(AND(I17&gt;=0)=TRUE,"","X")</f>
        <v/>
      </c>
      <c r="Y17" s="1322" t="str">
        <f t="shared" ref="Y17:Y18" si="24">IF(AND(I17&lt;&gt;"",$C17&lt;&gt;""),"",IF(AND(ISBLANK(I17),LEFT($C17,5)="&lt;TNSP"),"",IF(AND(ISBLANK(I17),ISBLANK($C17)),"","X")))</f>
        <v/>
      </c>
    </row>
    <row r="18" spans="2:25">
      <c r="B18" s="1909" t="s">
        <v>1334</v>
      </c>
      <c r="C18" s="1241"/>
      <c r="D18" s="1237" t="s">
        <v>66</v>
      </c>
      <c r="E18" s="1233">
        <f t="shared" si="2"/>
        <v>0</v>
      </c>
      <c r="F18" s="1020"/>
      <c r="G18" s="1020"/>
      <c r="H18" s="1020"/>
      <c r="I18" s="1021"/>
      <c r="J18" s="1176"/>
      <c r="K18" s="2133"/>
      <c r="L18" s="2134"/>
      <c r="M18" s="2134"/>
      <c r="N18" s="1458" t="str">
        <f t="shared" si="13"/>
        <v/>
      </c>
      <c r="O18" s="1845" t="str">
        <f t="shared" si="14"/>
        <v/>
      </c>
      <c r="P18" s="1459" t="str">
        <f t="shared" si="15"/>
        <v/>
      </c>
      <c r="Q18" s="1458" t="str">
        <f t="shared" si="16"/>
        <v/>
      </c>
      <c r="R18" s="1845" t="str">
        <f t="shared" si="17"/>
        <v/>
      </c>
      <c r="S18" s="1459" t="str">
        <f t="shared" si="18"/>
        <v/>
      </c>
      <c r="T18" s="1458" t="str">
        <f t="shared" si="19"/>
        <v/>
      </c>
      <c r="U18" s="1845" t="str">
        <f t="shared" si="20"/>
        <v/>
      </c>
      <c r="V18" s="1459" t="str">
        <f t="shared" si="21"/>
        <v/>
      </c>
      <c r="W18" s="1458" t="str">
        <f t="shared" si="22"/>
        <v/>
      </c>
      <c r="X18" s="1845" t="str">
        <f t="shared" si="23"/>
        <v/>
      </c>
      <c r="Y18" s="1459" t="str">
        <f t="shared" si="24"/>
        <v/>
      </c>
    </row>
    <row r="19" spans="2:25">
      <c r="B19" s="1009"/>
      <c r="C19" s="1001" t="s">
        <v>1139</v>
      </c>
      <c r="D19" s="1084" t="s">
        <v>66</v>
      </c>
      <c r="E19" s="913">
        <f>SUM(E13:E18)</f>
        <v>0</v>
      </c>
      <c r="F19" s="913">
        <f>SUM(F13:F18)</f>
        <v>0</v>
      </c>
      <c r="G19" s="913">
        <f>SUM(G13:G18)</f>
        <v>0</v>
      </c>
      <c r="H19" s="913">
        <f>SUM(H13:H18)</f>
        <v>0</v>
      </c>
      <c r="I19" s="913">
        <f>SUM(I13:I18)</f>
        <v>0</v>
      </c>
      <c r="J19" s="1176"/>
      <c r="K19" s="1176"/>
      <c r="L19" s="1176"/>
      <c r="M19" s="1176"/>
      <c r="N19" s="1176"/>
      <c r="O19" s="1176"/>
      <c r="P19" s="1176"/>
      <c r="Q19" s="1176"/>
      <c r="R19" s="1176"/>
      <c r="S19" s="1176"/>
      <c r="T19" s="1176"/>
      <c r="U19" s="1176"/>
      <c r="V19" s="1176"/>
      <c r="W19" s="1176"/>
      <c r="X19" s="1176"/>
      <c r="Y19" s="1176"/>
    </row>
    <row r="20" spans="2:25">
      <c r="B20" s="1406"/>
      <c r="C20" s="957" t="s">
        <v>1013</v>
      </c>
      <c r="D20" s="896"/>
      <c r="E20" s="896"/>
      <c r="F20" s="579"/>
      <c r="G20" s="579"/>
      <c r="H20" s="579"/>
      <c r="I20" s="579"/>
      <c r="J20" s="1176"/>
      <c r="K20" s="1176"/>
      <c r="L20" s="1176"/>
      <c r="M20" s="1176"/>
    </row>
    <row r="21" spans="2:25">
      <c r="B21" s="1406"/>
      <c r="C21" s="896" t="s">
        <v>1529</v>
      </c>
      <c r="D21" s="896"/>
      <c r="E21" s="896"/>
      <c r="F21" s="579"/>
      <c r="G21" s="579"/>
      <c r="H21" s="579"/>
      <c r="I21" s="579"/>
      <c r="J21" s="1176"/>
      <c r="K21" s="1176"/>
      <c r="L21" s="1176"/>
      <c r="M21" s="1176"/>
    </row>
    <row r="22" spans="2:25" ht="15" customHeight="1">
      <c r="B22" s="1406"/>
      <c r="C22" s="1239"/>
      <c r="D22" s="1012" t="s">
        <v>66</v>
      </c>
      <c r="E22" s="1231">
        <f t="shared" ref="E22:E27" si="25">SUM(F22:I22)</f>
        <v>0</v>
      </c>
      <c r="F22" s="1013"/>
      <c r="G22" s="1013"/>
      <c r="H22" s="1013"/>
      <c r="I22" s="1014"/>
      <c r="J22" s="1176"/>
      <c r="K22" s="2136" t="s">
        <v>1306</v>
      </c>
      <c r="L22" s="2137"/>
      <c r="M22" s="2138"/>
      <c r="N22" s="1711" t="str">
        <f>IF(ISNONTEXT(F22)=TRUE,"","X")</f>
        <v/>
      </c>
      <c r="O22" s="1345" t="str">
        <f>IF(AND(F22&gt;=0)=TRUE,"","X")</f>
        <v/>
      </c>
      <c r="P22" s="1712" t="str">
        <f t="shared" ref="P22:P27" si="26">IF(AND(F22&lt;&gt;"",$C22&lt;&gt;""),"",IF(AND(ISBLANK(F22),LEFT($C22,5)="&lt;TNSP"),"",IF(AND(ISBLANK(F22),ISBLANK($C22)),"","X")))</f>
        <v/>
      </c>
      <c r="Q22" s="1711" t="str">
        <f t="shared" ref="Q22:Q27" si="27">IF(ISNONTEXT(G22)=TRUE,"","X")</f>
        <v/>
      </c>
      <c r="R22" s="1345" t="str">
        <f t="shared" ref="R22:R27" si="28">IF(AND(G22&gt;=0)=TRUE,"","X")</f>
        <v/>
      </c>
      <c r="S22" s="1712" t="str">
        <f>IF(AND(G22&lt;&gt;"",$C22&lt;&gt;""),"",IF(AND(ISBLANK(G22),LEFT($C22,5)="&lt;TNSP"),"",IF(AND(ISBLANK(G22),ISBLANK($C22)),"","X")))</f>
        <v/>
      </c>
      <c r="T22" s="1711" t="str">
        <f t="shared" ref="T22:T27" si="29">IF(ISNONTEXT(H22)=TRUE,"","X")</f>
        <v/>
      </c>
      <c r="U22" s="1345" t="str">
        <f t="shared" ref="U22:U27" si="30">IF(AND(H22&gt;=0)=TRUE,"","X")</f>
        <v/>
      </c>
      <c r="V22" s="1712" t="str">
        <f>IF(AND(H22&lt;&gt;"",$C22&lt;&gt;""),"",IF(AND(ISBLANK(H22),LEFT($C22,5)="&lt;TNSP"),"",IF(AND(ISBLANK(H22),ISBLANK($C22)),"","X")))</f>
        <v/>
      </c>
      <c r="W22" s="1711" t="str">
        <f t="shared" ref="W22:W27" si="31">IF(ISNONTEXT(I22)=TRUE,"","X")</f>
        <v/>
      </c>
      <c r="X22" s="1345" t="str">
        <f t="shared" ref="X22:X27" si="32">IF(AND(I22&gt;=0)=TRUE,"","X")</f>
        <v/>
      </c>
      <c r="Y22" s="1712" t="str">
        <f>IF(AND(I22&lt;&gt;"",$C22&lt;&gt;""),"",IF(AND(ISBLANK(I22),LEFT($C22,5)="&lt;TNSP"),"",IF(AND(ISBLANK(I22),ISBLANK($C22)),"","X")))</f>
        <v/>
      </c>
    </row>
    <row r="23" spans="2:25">
      <c r="B23" s="1407"/>
      <c r="C23" s="1240"/>
      <c r="D23" s="1016" t="s">
        <v>66</v>
      </c>
      <c r="E23" s="1232">
        <f t="shared" si="25"/>
        <v>0</v>
      </c>
      <c r="F23" s="1017"/>
      <c r="G23" s="1017"/>
      <c r="H23" s="1017"/>
      <c r="I23" s="1018"/>
      <c r="J23" s="1176"/>
      <c r="K23" s="2122"/>
      <c r="L23" s="2132"/>
      <c r="M23" s="2139"/>
      <c r="N23" s="1327" t="str">
        <f t="shared" ref="N23:N27" si="33">IF(ISNONTEXT(F23)=TRUE,"","X")</f>
        <v/>
      </c>
      <c r="O23" s="1186" t="str">
        <f t="shared" ref="O23:O27" si="34">IF(AND(F23&gt;=0)=TRUE,"","X")</f>
        <v/>
      </c>
      <c r="P23" s="1322" t="str">
        <f t="shared" si="26"/>
        <v/>
      </c>
      <c r="Q23" s="1327" t="str">
        <f t="shared" si="27"/>
        <v/>
      </c>
      <c r="R23" s="1186" t="str">
        <f t="shared" si="28"/>
        <v/>
      </c>
      <c r="S23" s="1322" t="str">
        <f t="shared" ref="S23:S27" si="35">IF(AND(G23&lt;&gt;"",$C23&lt;&gt;""),"",IF(AND(ISBLANK(G23),LEFT($C23,5)="&lt;TNSP"),"",IF(AND(ISBLANK(G23),ISBLANK($C23)),"","X")))</f>
        <v/>
      </c>
      <c r="T23" s="1327" t="str">
        <f t="shared" si="29"/>
        <v/>
      </c>
      <c r="U23" s="1186" t="str">
        <f t="shared" si="30"/>
        <v/>
      </c>
      <c r="V23" s="1322" t="str">
        <f t="shared" ref="V23:V27" si="36">IF(AND(H23&lt;&gt;"",$C23&lt;&gt;""),"",IF(AND(ISBLANK(H23),LEFT($C23,5)="&lt;TNSP"),"",IF(AND(ISBLANK(H23),ISBLANK($C23)),"","X")))</f>
        <v/>
      </c>
      <c r="W23" s="1327" t="str">
        <f t="shared" si="31"/>
        <v/>
      </c>
      <c r="X23" s="1186" t="str">
        <f t="shared" si="32"/>
        <v/>
      </c>
      <c r="Y23" s="1322" t="str">
        <f t="shared" ref="Y23:Y27" si="37">IF(AND(I23&lt;&gt;"",$C23&lt;&gt;""),"",IF(AND(ISBLANK(I23),LEFT($C23,5)="&lt;TNSP"),"",IF(AND(ISBLANK(I23),ISBLANK($C23)),"","X")))</f>
        <v/>
      </c>
    </row>
    <row r="24" spans="2:25">
      <c r="B24" s="1408"/>
      <c r="C24" s="1240"/>
      <c r="D24" s="1016" t="s">
        <v>66</v>
      </c>
      <c r="E24" s="1232">
        <f t="shared" si="25"/>
        <v>0</v>
      </c>
      <c r="F24" s="1017"/>
      <c r="G24" s="1017"/>
      <c r="H24" s="1017"/>
      <c r="I24" s="1018"/>
      <c r="J24" s="1176"/>
      <c r="K24" s="2122"/>
      <c r="L24" s="2132"/>
      <c r="M24" s="2139"/>
      <c r="N24" s="1327" t="str">
        <f t="shared" si="33"/>
        <v/>
      </c>
      <c r="O24" s="1186" t="str">
        <f t="shared" si="34"/>
        <v/>
      </c>
      <c r="P24" s="1322" t="str">
        <f t="shared" si="26"/>
        <v/>
      </c>
      <c r="Q24" s="1327" t="str">
        <f t="shared" si="27"/>
        <v/>
      </c>
      <c r="R24" s="1186" t="str">
        <f t="shared" si="28"/>
        <v/>
      </c>
      <c r="S24" s="1322" t="str">
        <f t="shared" si="35"/>
        <v/>
      </c>
      <c r="T24" s="1327" t="str">
        <f t="shared" si="29"/>
        <v/>
      </c>
      <c r="U24" s="1186" t="str">
        <f t="shared" si="30"/>
        <v/>
      </c>
      <c r="V24" s="1322" t="str">
        <f t="shared" si="36"/>
        <v/>
      </c>
      <c r="W24" s="1327" t="str">
        <f t="shared" si="31"/>
        <v/>
      </c>
      <c r="X24" s="1186" t="str">
        <f t="shared" si="32"/>
        <v/>
      </c>
      <c r="Y24" s="1322" t="str">
        <f t="shared" si="37"/>
        <v/>
      </c>
    </row>
    <row r="25" spans="2:25">
      <c r="B25" s="1408"/>
      <c r="C25" s="1240"/>
      <c r="D25" s="1016" t="s">
        <v>66</v>
      </c>
      <c r="E25" s="1232">
        <f t="shared" si="25"/>
        <v>0</v>
      </c>
      <c r="F25" s="1017"/>
      <c r="G25" s="1017"/>
      <c r="H25" s="1017"/>
      <c r="I25" s="1018"/>
      <c r="J25" s="1176"/>
      <c r="K25" s="2122"/>
      <c r="L25" s="2132"/>
      <c r="M25" s="2139"/>
      <c r="N25" s="1327" t="str">
        <f t="shared" si="33"/>
        <v/>
      </c>
      <c r="O25" s="1186" t="str">
        <f t="shared" si="34"/>
        <v/>
      </c>
      <c r="P25" s="1322" t="str">
        <f t="shared" si="26"/>
        <v/>
      </c>
      <c r="Q25" s="1327" t="str">
        <f t="shared" si="27"/>
        <v/>
      </c>
      <c r="R25" s="1186" t="str">
        <f t="shared" si="28"/>
        <v/>
      </c>
      <c r="S25" s="1322" t="str">
        <f t="shared" si="35"/>
        <v/>
      </c>
      <c r="T25" s="1327" t="str">
        <f t="shared" si="29"/>
        <v/>
      </c>
      <c r="U25" s="1186" t="str">
        <f t="shared" si="30"/>
        <v/>
      </c>
      <c r="V25" s="1322" t="str">
        <f t="shared" si="36"/>
        <v/>
      </c>
      <c r="W25" s="1327" t="str">
        <f t="shared" si="31"/>
        <v/>
      </c>
      <c r="X25" s="1186" t="str">
        <f t="shared" si="32"/>
        <v/>
      </c>
      <c r="Y25" s="1322" t="str">
        <f t="shared" si="37"/>
        <v/>
      </c>
    </row>
    <row r="26" spans="2:25">
      <c r="B26" s="1408"/>
      <c r="C26" s="1240"/>
      <c r="D26" s="1016" t="s">
        <v>66</v>
      </c>
      <c r="E26" s="1232">
        <f t="shared" si="25"/>
        <v>0</v>
      </c>
      <c r="F26" s="1017"/>
      <c r="G26" s="1017"/>
      <c r="H26" s="1017"/>
      <c r="I26" s="1018"/>
      <c r="J26" s="1176"/>
      <c r="K26" s="2122"/>
      <c r="L26" s="2132"/>
      <c r="M26" s="2139"/>
      <c r="N26" s="1327" t="str">
        <f t="shared" si="33"/>
        <v/>
      </c>
      <c r="O26" s="1186" t="str">
        <f t="shared" si="34"/>
        <v/>
      </c>
      <c r="P26" s="1322" t="str">
        <f t="shared" si="26"/>
        <v/>
      </c>
      <c r="Q26" s="1327" t="str">
        <f t="shared" si="27"/>
        <v/>
      </c>
      <c r="R26" s="1186" t="str">
        <f t="shared" si="28"/>
        <v/>
      </c>
      <c r="S26" s="1322" t="str">
        <f t="shared" si="35"/>
        <v/>
      </c>
      <c r="T26" s="1327" t="str">
        <f t="shared" si="29"/>
        <v/>
      </c>
      <c r="U26" s="1186" t="str">
        <f t="shared" si="30"/>
        <v/>
      </c>
      <c r="V26" s="1322" t="str">
        <f t="shared" si="36"/>
        <v/>
      </c>
      <c r="W26" s="1327" t="str">
        <f t="shared" si="31"/>
        <v/>
      </c>
      <c r="X26" s="1186" t="str">
        <f t="shared" si="32"/>
        <v/>
      </c>
      <c r="Y26" s="1322" t="str">
        <f t="shared" si="37"/>
        <v/>
      </c>
    </row>
    <row r="27" spans="2:25">
      <c r="B27" s="1909" t="s">
        <v>1334</v>
      </c>
      <c r="C27" s="1241"/>
      <c r="D27" s="1019" t="s">
        <v>66</v>
      </c>
      <c r="E27" s="1233">
        <f t="shared" si="25"/>
        <v>0</v>
      </c>
      <c r="F27" s="1020"/>
      <c r="G27" s="1020"/>
      <c r="H27" s="1020"/>
      <c r="I27" s="1021"/>
      <c r="J27" s="1176"/>
      <c r="K27" s="2123"/>
      <c r="L27" s="2140"/>
      <c r="M27" s="2141"/>
      <c r="N27" s="1458" t="str">
        <f t="shared" si="33"/>
        <v/>
      </c>
      <c r="O27" s="1845" t="str">
        <f t="shared" si="34"/>
        <v/>
      </c>
      <c r="P27" s="1459" t="str">
        <f t="shared" si="26"/>
        <v/>
      </c>
      <c r="Q27" s="1458" t="str">
        <f t="shared" si="27"/>
        <v/>
      </c>
      <c r="R27" s="1845" t="str">
        <f t="shared" si="28"/>
        <v/>
      </c>
      <c r="S27" s="1459" t="str">
        <f t="shared" si="35"/>
        <v/>
      </c>
      <c r="T27" s="1458" t="str">
        <f t="shared" si="29"/>
        <v/>
      </c>
      <c r="U27" s="1845" t="str">
        <f t="shared" si="30"/>
        <v/>
      </c>
      <c r="V27" s="1459" t="str">
        <f t="shared" si="36"/>
        <v/>
      </c>
      <c r="W27" s="1458" t="str">
        <f t="shared" si="31"/>
        <v/>
      </c>
      <c r="X27" s="1845" t="str">
        <f t="shared" si="32"/>
        <v/>
      </c>
      <c r="Y27" s="1459" t="str">
        <f t="shared" si="37"/>
        <v/>
      </c>
    </row>
    <row r="28" spans="2:25">
      <c r="B28" s="1009"/>
      <c r="C28" s="1091" t="s">
        <v>1140</v>
      </c>
      <c r="D28" s="1092" t="s">
        <v>66</v>
      </c>
      <c r="E28" s="913">
        <f>SUM(E22:E27)</f>
        <v>0</v>
      </c>
      <c r="F28" s="913">
        <f>SUM(F22:F27)</f>
        <v>0</v>
      </c>
      <c r="G28" s="913">
        <f>SUM(G22:G27)</f>
        <v>0</v>
      </c>
      <c r="H28" s="913">
        <f>SUM(H22:H27)</f>
        <v>0</v>
      </c>
      <c r="I28" s="913">
        <f>SUM(I22:I27)</f>
        <v>0</v>
      </c>
      <c r="J28" s="1176"/>
      <c r="K28" s="1176"/>
      <c r="L28" s="1176"/>
      <c r="M28" s="1176"/>
      <c r="N28" s="1176"/>
      <c r="O28" s="1176"/>
      <c r="P28" s="1176"/>
      <c r="Q28" s="1176"/>
      <c r="R28" s="1176"/>
      <c r="S28" s="1176"/>
      <c r="T28" s="1176"/>
      <c r="U28" s="1176"/>
      <c r="V28" s="1176"/>
      <c r="W28" s="1176"/>
      <c r="X28" s="1176"/>
      <c r="Y28" s="1176"/>
    </row>
    <row r="29" spans="2:25">
      <c r="B29" s="1009"/>
      <c r="C29" s="1093" t="s">
        <v>1488</v>
      </c>
      <c r="D29" s="956" t="s">
        <v>66</v>
      </c>
      <c r="E29" s="913">
        <f>E28+E19</f>
        <v>0</v>
      </c>
      <c r="F29" s="913">
        <f>F28+F19</f>
        <v>0</v>
      </c>
      <c r="G29" s="913">
        <f>G28+G19</f>
        <v>0</v>
      </c>
      <c r="H29" s="913">
        <f>H28+H19</f>
        <v>0</v>
      </c>
      <c r="I29" s="913">
        <f>I28+I19</f>
        <v>0</v>
      </c>
      <c r="J29" s="1176"/>
      <c r="K29" s="1176"/>
      <c r="L29" s="1176"/>
      <c r="M29" s="1176"/>
      <c r="N29" s="1176"/>
      <c r="O29" s="1176"/>
      <c r="P29" s="1176"/>
      <c r="Q29" s="1176"/>
      <c r="R29" s="1176"/>
      <c r="S29" s="1176"/>
      <c r="T29" s="1176"/>
      <c r="U29" s="1176"/>
      <c r="V29" s="1176"/>
      <c r="W29" s="1176"/>
      <c r="X29" s="1176"/>
      <c r="Y29" s="1176"/>
    </row>
    <row r="30" spans="2:25">
      <c r="B30" s="1009"/>
      <c r="C30" s="579"/>
      <c r="D30" s="579"/>
      <c r="E30" s="579"/>
      <c r="F30" s="579"/>
      <c r="G30" s="579"/>
      <c r="H30" s="579"/>
      <c r="I30" s="579"/>
      <c r="J30" s="579"/>
      <c r="K30" s="579"/>
      <c r="L30" s="579"/>
      <c r="M30" s="579"/>
    </row>
    <row r="31" spans="2:25" ht="18" customHeight="1">
      <c r="B31" s="1009"/>
      <c r="C31" s="1584" t="s">
        <v>1667</v>
      </c>
      <c r="D31" s="1090"/>
      <c r="E31" s="1090"/>
      <c r="F31" s="1090"/>
      <c r="G31" s="1090"/>
      <c r="H31" s="1090"/>
      <c r="I31" s="1090"/>
      <c r="J31" s="1208"/>
      <c r="K31" s="1208"/>
      <c r="L31" s="1208"/>
      <c r="M31" s="1208"/>
    </row>
    <row r="32" spans="2:25">
      <c r="B32" s="1405"/>
      <c r="K32" s="1465" t="s">
        <v>1293</v>
      </c>
      <c r="L32" s="1466" t="s">
        <v>1294</v>
      </c>
      <c r="M32" s="1846" t="s">
        <v>1536</v>
      </c>
      <c r="N32" s="1465" t="s">
        <v>1293</v>
      </c>
      <c r="O32" s="1466" t="s">
        <v>1294</v>
      </c>
      <c r="P32" s="1846" t="s">
        <v>1536</v>
      </c>
    </row>
    <row r="33" spans="2:16" ht="26">
      <c r="B33" s="1406"/>
      <c r="C33" s="1046" t="s">
        <v>1012</v>
      </c>
      <c r="D33" s="889" t="s">
        <v>1118</v>
      </c>
      <c r="E33" s="1467" t="s">
        <v>1188</v>
      </c>
      <c r="F33" s="1468" t="s">
        <v>1189</v>
      </c>
      <c r="G33" s="579"/>
      <c r="H33" s="579"/>
      <c r="I33" s="579"/>
      <c r="J33" s="579"/>
      <c r="K33" s="2114" t="s">
        <v>1188</v>
      </c>
      <c r="L33" s="2114"/>
      <c r="M33" s="2114"/>
      <c r="N33" s="2114" t="s">
        <v>1311</v>
      </c>
      <c r="O33" s="2114"/>
      <c r="P33" s="2114"/>
    </row>
    <row r="34" spans="2:16">
      <c r="B34" s="1406"/>
      <c r="C34" s="1469" t="str">
        <f t="shared" ref="C34:C39" si="38">IF(C13="","",C13)</f>
        <v/>
      </c>
      <c r="D34" s="1012" t="s">
        <v>66</v>
      </c>
      <c r="E34" s="1013"/>
      <c r="F34" s="1014"/>
      <c r="G34" s="579"/>
      <c r="H34" s="579"/>
      <c r="I34" s="579"/>
      <c r="J34" s="579"/>
      <c r="K34" s="1711" t="str">
        <f>IF(ISNONTEXT(E34)=TRUE,"","X")</f>
        <v/>
      </c>
      <c r="L34" s="1348"/>
      <c r="M34" s="1712" t="str">
        <f>IF(AND(E34&lt;&gt;"",$C13&lt;&gt;""),"",IF(AND(ISBLANK(E34),LEFT($C13,5)="&lt;TNSP"),"",IF(AND(ISBLANK(E34),ISBLANK($C13)),"","X")))</f>
        <v/>
      </c>
      <c r="N34" s="1711" t="str">
        <f t="shared" ref="N34:N39" si="39">IF(ISNONTEXT(F34)=TRUE,"","X")</f>
        <v/>
      </c>
      <c r="O34" s="1345" t="str">
        <f t="shared" ref="O34:O39" si="40">IF(AND(F34&gt;=0)=TRUE,"","X")</f>
        <v/>
      </c>
      <c r="P34" s="1712" t="str">
        <f>IF(AND(F34&lt;&gt;"",$C13&lt;&gt;""),"",IF(AND(ISBLANK(F34),LEFT($C13,5)="&lt;TNSP"),"",IF(AND(ISBLANK(F34),ISBLANK($C13)),"","X")))</f>
        <v/>
      </c>
    </row>
    <row r="35" spans="2:16">
      <c r="B35" s="1406"/>
      <c r="C35" s="1470" t="str">
        <f t="shared" si="38"/>
        <v/>
      </c>
      <c r="D35" s="1016" t="s">
        <v>66</v>
      </c>
      <c r="E35" s="1017"/>
      <c r="F35" s="1018"/>
      <c r="G35" s="579"/>
      <c r="H35" s="579"/>
      <c r="I35" s="579"/>
      <c r="J35" s="579"/>
      <c r="K35" s="1327" t="str">
        <f t="shared" ref="K35:K39" si="41">IF(ISNONTEXT(E35)=TRUE,"","X")</f>
        <v/>
      </c>
      <c r="L35" s="1185"/>
      <c r="M35" s="1322" t="str">
        <f t="shared" ref="M35:M39" si="42">IF(AND(E35&lt;&gt;"",$C14&lt;&gt;""),"",IF(AND(ISBLANK(E35),LEFT($C14,5)="&lt;TNSP"),"",IF(AND(ISBLANK(E35),ISBLANK($C14)),"","X")))</f>
        <v/>
      </c>
      <c r="N35" s="1327" t="str">
        <f t="shared" si="39"/>
        <v/>
      </c>
      <c r="O35" s="1186" t="str">
        <f t="shared" si="40"/>
        <v/>
      </c>
      <c r="P35" s="1322" t="str">
        <f t="shared" ref="P35:P39" si="43">IF(AND(F35&lt;&gt;"",$C14&lt;&gt;""),"",IF(AND(ISBLANK(F35),LEFT($C14,5)="&lt;TNSP"),"",IF(AND(ISBLANK(F35),ISBLANK($C14)),"","X")))</f>
        <v/>
      </c>
    </row>
    <row r="36" spans="2:16">
      <c r="B36" s="1408"/>
      <c r="C36" s="1470" t="str">
        <f t="shared" si="38"/>
        <v/>
      </c>
      <c r="D36" s="1016" t="s">
        <v>66</v>
      </c>
      <c r="E36" s="1017"/>
      <c r="F36" s="1018"/>
      <c r="G36" s="579"/>
      <c r="H36" s="579"/>
      <c r="I36" s="579"/>
      <c r="J36" s="579"/>
      <c r="K36" s="1327" t="str">
        <f t="shared" si="41"/>
        <v/>
      </c>
      <c r="L36" s="1185"/>
      <c r="M36" s="1322" t="str">
        <f t="shared" si="42"/>
        <v/>
      </c>
      <c r="N36" s="1327" t="str">
        <f t="shared" si="39"/>
        <v/>
      </c>
      <c r="O36" s="1186" t="str">
        <f t="shared" si="40"/>
        <v/>
      </c>
      <c r="P36" s="1322" t="str">
        <f t="shared" si="43"/>
        <v/>
      </c>
    </row>
    <row r="37" spans="2:16">
      <c r="B37" s="1408"/>
      <c r="C37" s="1470" t="str">
        <f t="shared" si="38"/>
        <v/>
      </c>
      <c r="D37" s="1016" t="s">
        <v>66</v>
      </c>
      <c r="E37" s="1017"/>
      <c r="F37" s="1018"/>
      <c r="G37" s="579"/>
      <c r="H37" s="579"/>
      <c r="I37" s="579"/>
      <c r="J37" s="579"/>
      <c r="K37" s="1327" t="str">
        <f t="shared" si="41"/>
        <v/>
      </c>
      <c r="L37" s="1185"/>
      <c r="M37" s="1322" t="str">
        <f t="shared" si="42"/>
        <v/>
      </c>
      <c r="N37" s="1327" t="str">
        <f t="shared" si="39"/>
        <v/>
      </c>
      <c r="O37" s="1186" t="str">
        <f t="shared" si="40"/>
        <v/>
      </c>
      <c r="P37" s="1322" t="str">
        <f t="shared" si="43"/>
        <v/>
      </c>
    </row>
    <row r="38" spans="2:16">
      <c r="B38" s="1408"/>
      <c r="C38" s="1470" t="str">
        <f t="shared" si="38"/>
        <v/>
      </c>
      <c r="D38" s="1016" t="s">
        <v>66</v>
      </c>
      <c r="E38" s="1017"/>
      <c r="F38" s="1018"/>
      <c r="G38" s="579"/>
      <c r="H38" s="579"/>
      <c r="I38" s="579"/>
      <c r="J38" s="579"/>
      <c r="K38" s="1327" t="str">
        <f t="shared" si="41"/>
        <v/>
      </c>
      <c r="L38" s="1185"/>
      <c r="M38" s="1322" t="str">
        <f t="shared" si="42"/>
        <v/>
      </c>
      <c r="N38" s="1327" t="str">
        <f t="shared" si="39"/>
        <v/>
      </c>
      <c r="O38" s="1186" t="str">
        <f t="shared" si="40"/>
        <v/>
      </c>
      <c r="P38" s="1322" t="str">
        <f t="shared" si="43"/>
        <v/>
      </c>
    </row>
    <row r="39" spans="2:16">
      <c r="B39" s="1909" t="s">
        <v>1334</v>
      </c>
      <c r="C39" s="1471" t="str">
        <f t="shared" si="38"/>
        <v/>
      </c>
      <c r="D39" s="1019" t="s">
        <v>66</v>
      </c>
      <c r="E39" s="1020"/>
      <c r="F39" s="1021"/>
      <c r="G39" s="579"/>
      <c r="H39" s="579"/>
      <c r="I39" s="579"/>
      <c r="J39" s="579"/>
      <c r="K39" s="1329" t="str">
        <f t="shared" si="41"/>
        <v/>
      </c>
      <c r="L39" s="1332"/>
      <c r="M39" s="1324" t="str">
        <f t="shared" si="42"/>
        <v/>
      </c>
      <c r="N39" s="1329" t="str">
        <f t="shared" si="39"/>
        <v/>
      </c>
      <c r="O39" s="1323" t="str">
        <f t="shared" si="40"/>
        <v/>
      </c>
      <c r="P39" s="1324" t="str">
        <f t="shared" si="43"/>
        <v/>
      </c>
    </row>
    <row r="40" spans="2:16">
      <c r="B40" s="1009"/>
      <c r="C40" s="1001" t="s">
        <v>1139</v>
      </c>
      <c r="D40" s="1084" t="s">
        <v>66</v>
      </c>
      <c r="E40" s="913">
        <f>SUM(E34:E39)</f>
        <v>0</v>
      </c>
      <c r="F40" s="913">
        <f>SUM(F34:F39)</f>
        <v>0</v>
      </c>
      <c r="G40" s="579"/>
      <c r="H40" s="579"/>
      <c r="I40" s="579"/>
      <c r="J40" s="579"/>
      <c r="K40" s="579"/>
      <c r="L40" s="579"/>
      <c r="M40" s="579"/>
      <c r="N40" s="579"/>
      <c r="O40" s="579"/>
      <c r="P40" s="579"/>
    </row>
    <row r="41" spans="2:16">
      <c r="B41" s="1406"/>
      <c r="C41" s="957" t="s">
        <v>1013</v>
      </c>
      <c r="D41" s="896"/>
      <c r="E41" s="896"/>
      <c r="F41" s="579"/>
      <c r="G41" s="579"/>
      <c r="H41" s="579"/>
      <c r="I41" s="579"/>
      <c r="J41" s="579"/>
      <c r="K41" s="579"/>
      <c r="L41" s="579"/>
      <c r="M41" s="579"/>
      <c r="N41" s="579"/>
      <c r="O41" s="579"/>
      <c r="P41" s="579"/>
    </row>
    <row r="42" spans="2:16">
      <c r="B42" s="1406"/>
      <c r="C42" s="1469" t="str">
        <f t="shared" ref="C42:C47" si="44">IF(C22="","",C22)</f>
        <v/>
      </c>
      <c r="D42" s="1012" t="s">
        <v>66</v>
      </c>
      <c r="E42" s="1013"/>
      <c r="F42" s="1014"/>
      <c r="G42" s="579"/>
      <c r="H42" s="579"/>
      <c r="I42" s="579"/>
      <c r="J42" s="579"/>
      <c r="K42" s="1711" t="str">
        <f>IF(ISNONTEXT(E42)=TRUE,"","X")</f>
        <v/>
      </c>
      <c r="L42" s="1348"/>
      <c r="M42" s="1712" t="str">
        <f>IF(AND(E42&lt;&gt;"",$C22&lt;&gt;""),"",IF(AND(ISBLANK(E42),LEFT($C22,5)="&lt;TNSP"),"",IF(AND(ISBLANK(E42),ISBLANK($C22)),"","X")))</f>
        <v/>
      </c>
      <c r="N42" s="1711" t="str">
        <f t="shared" ref="N42" si="45">IF(ISNONTEXT(F42)=TRUE,"","X")</f>
        <v/>
      </c>
      <c r="O42" s="1345" t="str">
        <f t="shared" ref="O42" si="46">IF(AND(F42&gt;=0)=TRUE,"","X")</f>
        <v/>
      </c>
      <c r="P42" s="1712" t="str">
        <f>IF(AND(F42&lt;&gt;"",$C22&lt;&gt;""),"",IF(AND(ISBLANK(F42),LEFT($C22,5)="&lt;TNSP"),"",IF(AND(ISBLANK(F42),ISBLANK($C22)),"","X")))</f>
        <v/>
      </c>
    </row>
    <row r="43" spans="2:16">
      <c r="B43" s="1406"/>
      <c r="C43" s="1470" t="str">
        <f t="shared" si="44"/>
        <v/>
      </c>
      <c r="D43" s="1016" t="s">
        <v>66</v>
      </c>
      <c r="E43" s="1017"/>
      <c r="F43" s="1018"/>
      <c r="G43" s="579"/>
      <c r="H43" s="579"/>
      <c r="I43" s="579"/>
      <c r="J43" s="579"/>
      <c r="K43" s="1327" t="str">
        <f t="shared" ref="K43:K47" si="47">IF(ISNONTEXT(E43)=TRUE,"","X")</f>
        <v/>
      </c>
      <c r="L43" s="1185"/>
      <c r="M43" s="1322" t="str">
        <f t="shared" ref="M43:M47" si="48">IF(AND(E43&lt;&gt;"",$C23&lt;&gt;""),"",IF(AND(ISBLANK(E43),LEFT($C23,5)="&lt;TNSP"),"",IF(AND(ISBLANK(E43),ISBLANK($C23)),"","X")))</f>
        <v/>
      </c>
      <c r="N43" s="1327" t="str">
        <f t="shared" ref="N43:N47" si="49">IF(ISNONTEXT(F43)=TRUE,"","X")</f>
        <v/>
      </c>
      <c r="O43" s="1186" t="str">
        <f t="shared" ref="O43:O47" si="50">IF(AND(F43&gt;=0)=TRUE,"","X")</f>
        <v/>
      </c>
      <c r="P43" s="1322" t="str">
        <f t="shared" ref="P43:P47" si="51">IF(AND(F43&lt;&gt;"",$C23&lt;&gt;""),"",IF(AND(ISBLANK(F43),LEFT($C23,5)="&lt;TNSP"),"",IF(AND(ISBLANK(F43),ISBLANK($C23)),"","X")))</f>
        <v/>
      </c>
    </row>
    <row r="44" spans="2:16">
      <c r="B44" s="1408"/>
      <c r="C44" s="1470" t="str">
        <f t="shared" si="44"/>
        <v/>
      </c>
      <c r="D44" s="1016" t="s">
        <v>66</v>
      </c>
      <c r="E44" s="1017"/>
      <c r="F44" s="1018"/>
      <c r="G44" s="579"/>
      <c r="H44" s="579"/>
      <c r="I44" s="579"/>
      <c r="J44" s="579"/>
      <c r="K44" s="1327" t="str">
        <f t="shared" si="47"/>
        <v/>
      </c>
      <c r="L44" s="1185"/>
      <c r="M44" s="1322" t="str">
        <f t="shared" si="48"/>
        <v/>
      </c>
      <c r="N44" s="1327" t="str">
        <f t="shared" si="49"/>
        <v/>
      </c>
      <c r="O44" s="1186" t="str">
        <f t="shared" si="50"/>
        <v/>
      </c>
      <c r="P44" s="1322" t="str">
        <f t="shared" si="51"/>
        <v/>
      </c>
    </row>
    <row r="45" spans="2:16">
      <c r="B45" s="1408"/>
      <c r="C45" s="1470" t="str">
        <f t="shared" si="44"/>
        <v/>
      </c>
      <c r="D45" s="1016" t="s">
        <v>66</v>
      </c>
      <c r="E45" s="1017"/>
      <c r="F45" s="1018"/>
      <c r="G45" s="579"/>
      <c r="H45" s="579"/>
      <c r="I45" s="579"/>
      <c r="J45" s="579"/>
      <c r="K45" s="1327" t="str">
        <f t="shared" si="47"/>
        <v/>
      </c>
      <c r="L45" s="1185"/>
      <c r="M45" s="1322" t="str">
        <f t="shared" si="48"/>
        <v/>
      </c>
      <c r="N45" s="1327" t="str">
        <f t="shared" si="49"/>
        <v/>
      </c>
      <c r="O45" s="1186" t="str">
        <f t="shared" si="50"/>
        <v/>
      </c>
      <c r="P45" s="1322" t="str">
        <f t="shared" si="51"/>
        <v/>
      </c>
    </row>
    <row r="46" spans="2:16">
      <c r="B46" s="1408"/>
      <c r="C46" s="1470" t="str">
        <f t="shared" si="44"/>
        <v/>
      </c>
      <c r="D46" s="1016" t="s">
        <v>66</v>
      </c>
      <c r="E46" s="1017"/>
      <c r="F46" s="1018"/>
      <c r="G46" s="579"/>
      <c r="H46" s="579"/>
      <c r="I46" s="579"/>
      <c r="J46" s="579"/>
      <c r="K46" s="1327" t="str">
        <f t="shared" si="47"/>
        <v/>
      </c>
      <c r="L46" s="1185"/>
      <c r="M46" s="1322" t="str">
        <f t="shared" si="48"/>
        <v/>
      </c>
      <c r="N46" s="1327" t="str">
        <f t="shared" si="49"/>
        <v/>
      </c>
      <c r="O46" s="1186" t="str">
        <f t="shared" si="50"/>
        <v/>
      </c>
      <c r="P46" s="1322" t="str">
        <f t="shared" si="51"/>
        <v/>
      </c>
    </row>
    <row r="47" spans="2:16">
      <c r="B47" s="1909" t="s">
        <v>1334</v>
      </c>
      <c r="C47" s="1471" t="str">
        <f t="shared" si="44"/>
        <v/>
      </c>
      <c r="D47" s="1019" t="s">
        <v>66</v>
      </c>
      <c r="E47" s="1020"/>
      <c r="F47" s="1021"/>
      <c r="G47" s="579"/>
      <c r="H47" s="579"/>
      <c r="I47" s="579"/>
      <c r="J47" s="579"/>
      <c r="K47" s="1329" t="str">
        <f t="shared" si="47"/>
        <v/>
      </c>
      <c r="L47" s="1332"/>
      <c r="M47" s="1324" t="str">
        <f t="shared" si="48"/>
        <v/>
      </c>
      <c r="N47" s="1329" t="str">
        <f t="shared" si="49"/>
        <v/>
      </c>
      <c r="O47" s="1323" t="str">
        <f t="shared" si="50"/>
        <v/>
      </c>
      <c r="P47" s="1324" t="str">
        <f t="shared" si="51"/>
        <v/>
      </c>
    </row>
    <row r="48" spans="2:16">
      <c r="B48" s="1009"/>
      <c r="C48" s="1001" t="s">
        <v>1140</v>
      </c>
      <c r="D48" s="1084" t="s">
        <v>66</v>
      </c>
      <c r="E48" s="913">
        <f>SUM(E42:E47)</f>
        <v>0</v>
      </c>
      <c r="F48" s="913">
        <f>SUM(F42:F47)</f>
        <v>0</v>
      </c>
      <c r="G48" s="579"/>
      <c r="H48" s="579"/>
      <c r="I48" s="579"/>
      <c r="J48" s="579"/>
      <c r="K48" s="579"/>
      <c r="L48" s="579"/>
      <c r="M48" s="579"/>
      <c r="N48" s="579"/>
    </row>
    <row r="49" spans="2:14">
      <c r="B49" s="1622" t="s">
        <v>1609</v>
      </c>
      <c r="C49" s="1093" t="s">
        <v>1488</v>
      </c>
      <c r="D49" s="956" t="s">
        <v>66</v>
      </c>
      <c r="E49" s="1715">
        <f>E48+E40</f>
        <v>0</v>
      </c>
      <c r="F49" s="913">
        <f>F48+F40</f>
        <v>0</v>
      </c>
      <c r="G49" s="579"/>
      <c r="H49" s="579"/>
      <c r="I49" s="579"/>
      <c r="J49" s="579"/>
      <c r="K49" s="579"/>
      <c r="L49" s="579"/>
      <c r="M49" s="579"/>
      <c r="N49" s="579"/>
    </row>
    <row r="50" spans="2:14">
      <c r="B50" s="1409"/>
      <c r="C50" s="579"/>
      <c r="D50" s="579"/>
      <c r="E50" s="579"/>
      <c r="F50" s="579"/>
      <c r="G50" s="579"/>
      <c r="H50" s="579"/>
      <c r="I50" s="579"/>
      <c r="J50" s="579"/>
      <c r="K50" s="579"/>
      <c r="L50" s="579"/>
      <c r="M50" s="579"/>
    </row>
    <row r="51" spans="2:14">
      <c r="B51" s="1409"/>
      <c r="C51" s="579"/>
      <c r="D51" s="579"/>
      <c r="E51" s="579"/>
      <c r="F51" s="579"/>
      <c r="G51" s="579"/>
      <c r="H51" s="579"/>
      <c r="I51" s="579"/>
      <c r="J51" s="579"/>
      <c r="K51" s="579"/>
      <c r="L51" s="579"/>
      <c r="M51" s="579"/>
    </row>
    <row r="52" spans="2:14">
      <c r="B52" s="1409"/>
      <c r="C52" s="579"/>
      <c r="D52" s="579"/>
      <c r="E52" s="579"/>
      <c r="F52" s="579"/>
      <c r="G52" s="579"/>
      <c r="H52" s="579"/>
      <c r="I52" s="579"/>
      <c r="J52" s="579"/>
      <c r="K52" s="579"/>
      <c r="L52" s="579"/>
      <c r="M52" s="579"/>
    </row>
    <row r="53" spans="2:14">
      <c r="B53" s="1409"/>
      <c r="C53" s="1354" t="s">
        <v>1471</v>
      </c>
      <c r="D53" s="1852"/>
      <c r="E53" s="1354"/>
      <c r="F53" s="1852"/>
      <c r="G53" s="1354"/>
      <c r="H53" s="579"/>
      <c r="I53" s="579"/>
      <c r="J53" s="579"/>
    </row>
    <row r="54" spans="2:14">
      <c r="B54" s="1009"/>
      <c r="C54" s="1510" t="s">
        <v>991</v>
      </c>
      <c r="D54" s="1510"/>
      <c r="E54" s="1079" t="s">
        <v>1530</v>
      </c>
      <c r="F54" s="1079" t="s">
        <v>40</v>
      </c>
      <c r="G54" s="1079" t="s">
        <v>1493</v>
      </c>
      <c r="H54" s="896" t="s">
        <v>1494</v>
      </c>
      <c r="I54" s="579"/>
      <c r="J54" s="579"/>
    </row>
    <row r="55" spans="2:14">
      <c r="B55" s="1009"/>
      <c r="C55" s="1768" t="s">
        <v>1668</v>
      </c>
      <c r="D55" s="1959" t="str">
        <f>IF(ABS(E55)-ABS(F55)&gt;1,"FALSE","TRUE")</f>
        <v>TRUE</v>
      </c>
      <c r="E55" s="1762">
        <f>MROUND(F29,1)</f>
        <v>0</v>
      </c>
      <c r="F55" s="1762">
        <f>MROUND(E49+F49,1)</f>
        <v>0</v>
      </c>
      <c r="G55" s="1420">
        <f>ABS(F55-E55)</f>
        <v>0</v>
      </c>
      <c r="H55" s="1764"/>
      <c r="I55" s="579"/>
      <c r="J55" s="579"/>
    </row>
    <row r="56" spans="2:14">
      <c r="B56" s="1409"/>
      <c r="C56" s="1768" t="s">
        <v>1478</v>
      </c>
      <c r="D56" s="1959" t="str">
        <f>IF(ABS(E56)-ABS(F56)&gt;1,"FALSE","TRUE")</f>
        <v>TRUE</v>
      </c>
      <c r="E56" s="1763">
        <f>MROUND(F49,1)</f>
        <v>0</v>
      </c>
      <c r="F56" s="1763">
        <f>MROUND('2.1 Expenditure summary'!E35,1)</f>
        <v>0</v>
      </c>
      <c r="G56" s="1420">
        <f>ABS(F56-E56)</f>
        <v>0</v>
      </c>
      <c r="H56" s="1764"/>
      <c r="I56" s="579"/>
      <c r="J56" s="579"/>
    </row>
    <row r="57" spans="2:14">
      <c r="B57" s="1409"/>
      <c r="C57" s="579"/>
      <c r="D57" s="579"/>
      <c r="E57" s="579"/>
      <c r="F57" s="579"/>
      <c r="G57" s="579"/>
      <c r="H57" s="579"/>
      <c r="I57" s="579"/>
      <c r="J57" s="579"/>
    </row>
    <row r="58" spans="2:14">
      <c r="B58" s="1409"/>
      <c r="C58" s="579"/>
      <c r="D58" s="579"/>
      <c r="E58" s="579"/>
      <c r="F58" s="579"/>
      <c r="G58" s="579"/>
      <c r="H58" s="579"/>
      <c r="I58" s="579"/>
      <c r="J58" s="579"/>
    </row>
    <row r="59" spans="2:14">
      <c r="B59" s="1409"/>
      <c r="C59" s="579"/>
      <c r="D59" s="579"/>
      <c r="E59" s="579"/>
      <c r="F59" s="579"/>
      <c r="G59" s="579"/>
      <c r="H59" s="579"/>
      <c r="I59" s="579"/>
      <c r="J59" s="579"/>
    </row>
    <row r="60" spans="2:14">
      <c r="B60" s="1409"/>
      <c r="C60" s="579"/>
      <c r="D60" s="579"/>
      <c r="E60" s="579"/>
      <c r="F60" s="579"/>
      <c r="G60" s="579"/>
      <c r="H60" s="579"/>
      <c r="I60" s="579"/>
      <c r="J60" s="579"/>
    </row>
    <row r="61" spans="2:14">
      <c r="B61" s="1409"/>
      <c r="C61" s="579"/>
      <c r="D61" s="579"/>
      <c r="E61" s="579"/>
      <c r="F61" s="579"/>
      <c r="G61" s="579"/>
      <c r="H61" s="579"/>
      <c r="I61" s="579"/>
      <c r="J61" s="579"/>
    </row>
  </sheetData>
  <mergeCells count="10">
    <mergeCell ref="K11:M11"/>
    <mergeCell ref="K12:M12"/>
    <mergeCell ref="K13:M18"/>
    <mergeCell ref="W12:Y12"/>
    <mergeCell ref="K33:M33"/>
    <mergeCell ref="N33:P33"/>
    <mergeCell ref="N12:P12"/>
    <mergeCell ref="Q12:S12"/>
    <mergeCell ref="T12:V12"/>
    <mergeCell ref="K22:M27"/>
  </mergeCells>
  <conditionalFormatting sqref="C53">
    <cfRule type="cellIs" dxfId="31" priority="1" operator="equal">
      <formula>FALSE</formula>
    </cfRule>
  </conditionalFormatting>
  <conditionalFormatting sqref="E13:I18 E22:I27 E34:F39 E42:F47">
    <cfRule type="expression" dxfId="30" priority="5">
      <formula>dms_worksheet210flag="Worksheet 2.10"</formula>
    </cfRule>
  </conditionalFormatting>
  <dataValidations count="2">
    <dataValidation allowBlank="1" showErrorMessage="1" sqref="N11:Y11 A57:Y1048576 B49:C49 G54:H54 C55 K42:P47 Z1:XFD1048576 C6:I8 C4:E4 C9:F9 E11 T13:U18 Q13:R18 W13:X18 N13:O18 Q22:R27 T22:U27 W22:X27 N22:O27 C31:F31 N32:O32 K32:L32 K34:P39 C29" xr:uid="{4D28A3CF-BD96-49F1-AD09-72AD51879623}"/>
    <dataValidation allowBlank="1" sqref="P32 M32" xr:uid="{0CFB9258-3E0E-4960-8EEB-915247BAA010}"/>
  </dataValidations>
  <pageMargins left="0.7" right="0.7" top="0.75" bottom="0.75" header="0.3" footer="0.3"/>
  <pageSetup paperSize="9" scale="6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006BA8"/>
  </sheetPr>
  <dimension ref="B1:S265"/>
  <sheetViews>
    <sheetView workbookViewId="0"/>
  </sheetViews>
  <sheetFormatPr defaultColWidth="9.1796875" defaultRowHeight="14.5"/>
  <cols>
    <col min="1" max="1" width="5.6328125" style="1" customWidth="1"/>
    <col min="2" max="2" width="25.6328125" style="1" customWidth="1"/>
    <col min="3" max="3" width="63.54296875" style="1" bestFit="1" customWidth="1"/>
    <col min="4" max="4" width="9" style="1" customWidth="1"/>
    <col min="5" max="5" width="19.453125" style="1" customWidth="1"/>
    <col min="6" max="6" width="7.453125" style="1" customWidth="1"/>
    <col min="7" max="9" width="4.54296875" style="1" customWidth="1"/>
    <col min="10" max="18" width="3.54296875" style="1" customWidth="1"/>
    <col min="19" max="22" width="9.1796875" style="1"/>
    <col min="23" max="23" width="5.6328125" style="1" customWidth="1"/>
    <col min="24" max="16384" width="9.1796875" style="1"/>
  </cols>
  <sheetData>
    <row r="1" spans="3:19" s="952" customFormat="1" ht="20" customHeight="1">
      <c r="C1" s="914" t="str">
        <f>dms_SheetHeading1</f>
        <v>ANNUAL INFORMATION ORDER</v>
      </c>
      <c r="D1" s="916"/>
      <c r="E1" s="1034"/>
      <c r="G1" s="1556" t="s">
        <v>1003</v>
      </c>
      <c r="H1" s="1556"/>
      <c r="I1" s="1556"/>
      <c r="J1" s="1556"/>
      <c r="K1" s="1556"/>
      <c r="L1" s="1556"/>
      <c r="M1" s="1557" t="s">
        <v>1002</v>
      </c>
      <c r="N1" s="1556"/>
      <c r="O1" s="1556"/>
      <c r="P1" s="1556"/>
      <c r="Q1" s="1556"/>
      <c r="R1" s="1556"/>
      <c r="S1" s="1556"/>
    </row>
    <row r="2" spans="3:19" s="952" customFormat="1" ht="20" customHeight="1">
      <c r="C2" s="915" t="str">
        <f>dms_SheetHeading2</f>
        <v>Australian Transmission Co.</v>
      </c>
      <c r="D2" s="915"/>
      <c r="E2" s="1034"/>
      <c r="G2" s="1558" t="s">
        <v>1004</v>
      </c>
      <c r="H2" s="1558"/>
      <c r="I2" s="1558"/>
      <c r="J2" s="1558"/>
      <c r="K2" s="1558"/>
      <c r="L2" s="1558"/>
      <c r="M2" s="1559" t="s">
        <v>179</v>
      </c>
      <c r="N2" s="1558"/>
      <c r="O2" s="1558"/>
      <c r="P2" s="1558"/>
      <c r="Q2" s="1558"/>
      <c r="R2" s="1558"/>
      <c r="S2" s="1558"/>
    </row>
    <row r="3" spans="3:19" s="952" customFormat="1" ht="20" customHeight="1">
      <c r="C3" s="916" t="str">
        <f>dms_SheetHeading3</f>
        <v>REPORTING STATEMENT: 2025-26</v>
      </c>
      <c r="D3" s="916"/>
      <c r="E3" s="974"/>
      <c r="G3" s="1560" t="s">
        <v>1005</v>
      </c>
      <c r="H3" s="1560"/>
      <c r="I3" s="1560"/>
      <c r="J3" s="1560"/>
      <c r="K3" s="1560"/>
      <c r="L3" s="1560"/>
      <c r="M3" s="1561" t="s">
        <v>180</v>
      </c>
      <c r="N3" s="1560"/>
      <c r="O3" s="1560"/>
      <c r="P3" s="1560"/>
      <c r="Q3" s="1560"/>
      <c r="R3" s="1560"/>
      <c r="S3" s="1560"/>
    </row>
    <row r="4" spans="3:19" s="952" customFormat="1" ht="20" customHeight="1">
      <c r="C4" s="1032" t="s">
        <v>1288</v>
      </c>
      <c r="D4" s="1032"/>
      <c r="E4" s="1032"/>
      <c r="G4" s="1562" t="s">
        <v>1007</v>
      </c>
      <c r="H4" s="1563"/>
      <c r="I4" s="1564"/>
      <c r="J4" s="1565"/>
      <c r="K4" s="1565"/>
      <c r="L4" s="1565"/>
      <c r="M4" s="1566" t="s">
        <v>1006</v>
      </c>
      <c r="N4" s="1565"/>
      <c r="O4" s="1565"/>
      <c r="P4" s="1565"/>
      <c r="Q4" s="1565"/>
      <c r="R4" s="1565"/>
      <c r="S4" s="1565"/>
    </row>
    <row r="5" spans="3:19" ht="13.5" customHeight="1">
      <c r="E5" s="948"/>
    </row>
    <row r="6" spans="3:19" ht="15" customHeight="1">
      <c r="C6" s="1427" t="s">
        <v>1541</v>
      </c>
      <c r="D6" s="1427"/>
      <c r="E6" s="1433"/>
    </row>
    <row r="7" spans="3:19" ht="15" customHeight="1">
      <c r="C7" s="1429" t="s">
        <v>1542</v>
      </c>
      <c r="D7" s="1429"/>
      <c r="E7" s="1430"/>
    </row>
    <row r="8" spans="3:19" s="581" customFormat="1" ht="18" customHeight="1">
      <c r="C8" s="1549" t="s">
        <v>1469</v>
      </c>
      <c r="D8" s="989"/>
      <c r="E8" s="989"/>
      <c r="F8" s="1"/>
      <c r="G8" s="1"/>
      <c r="H8" s="1"/>
      <c r="I8" s="1"/>
    </row>
    <row r="9" spans="3:19" s="581" customFormat="1" ht="15.5">
      <c r="F9" s="1"/>
      <c r="G9" s="1412" t="s">
        <v>1293</v>
      </c>
      <c r="H9" s="1411" t="s">
        <v>1294</v>
      </c>
      <c r="I9" s="1447" t="s">
        <v>1295</v>
      </c>
    </row>
    <row r="10" spans="3:19" s="581" customFormat="1" ht="26">
      <c r="C10" s="957" t="s">
        <v>1079</v>
      </c>
      <c r="D10" s="889" t="s">
        <v>1118</v>
      </c>
      <c r="E10" s="1230" t="s">
        <v>1206</v>
      </c>
      <c r="F10" s="1"/>
      <c r="G10" s="2052" t="s">
        <v>1206</v>
      </c>
      <c r="H10" s="2052"/>
      <c r="I10" s="2052"/>
    </row>
    <row r="11" spans="3:19" ht="15" customHeight="1">
      <c r="C11" s="946" t="s">
        <v>76</v>
      </c>
      <c r="D11" s="585" t="s">
        <v>66</v>
      </c>
      <c r="E11" s="1109"/>
      <c r="G11" s="1344" t="str">
        <f>IF(ISNONTEXT(E11)=TRUE,"","X")</f>
        <v/>
      </c>
      <c r="H11" s="1345" t="str">
        <f>IF(AND(E11&gt;=0)=TRUE,"","X")</f>
        <v/>
      </c>
      <c r="I11" s="1346" t="str">
        <f>IF(E11&lt;&gt;""=TRUE,"","X")</f>
        <v>X</v>
      </c>
    </row>
    <row r="12" spans="3:19" ht="15" customHeight="1">
      <c r="C12" s="947" t="s">
        <v>77</v>
      </c>
      <c r="D12" s="586" t="s">
        <v>66</v>
      </c>
      <c r="E12" s="1110"/>
      <c r="G12" s="1327" t="str">
        <f t="shared" ref="G12:G16" si="0">IF(ISNONTEXT(E12)=TRUE,"","X")</f>
        <v/>
      </c>
      <c r="H12" s="1186" t="str">
        <f t="shared" ref="H12:H15" si="1">IF(AND(E12&gt;=0)=TRUE,"","X")</f>
        <v/>
      </c>
      <c r="I12" s="1322" t="str">
        <f t="shared" ref="I12:I16" si="2">IF(E12&lt;&gt;""=TRUE,"","X")</f>
        <v>X</v>
      </c>
    </row>
    <row r="13" spans="3:19" ht="15" customHeight="1">
      <c r="C13" s="947" t="s">
        <v>1201</v>
      </c>
      <c r="D13" s="586" t="s">
        <v>66</v>
      </c>
      <c r="E13" s="1110"/>
      <c r="G13" s="1327" t="str">
        <f t="shared" si="0"/>
        <v/>
      </c>
      <c r="H13" s="1186" t="str">
        <f t="shared" si="1"/>
        <v/>
      </c>
      <c r="I13" s="1322" t="str">
        <f t="shared" si="2"/>
        <v>X</v>
      </c>
    </row>
    <row r="14" spans="3:19" ht="15" customHeight="1">
      <c r="C14" s="947" t="s">
        <v>1080</v>
      </c>
      <c r="D14" s="586" t="s">
        <v>66</v>
      </c>
      <c r="E14" s="1110"/>
      <c r="G14" s="1327" t="str">
        <f t="shared" si="0"/>
        <v/>
      </c>
      <c r="H14" s="1186" t="str">
        <f t="shared" si="1"/>
        <v/>
      </c>
      <c r="I14" s="1322" t="str">
        <f t="shared" si="2"/>
        <v>X</v>
      </c>
    </row>
    <row r="15" spans="3:19" ht="15" customHeight="1">
      <c r="C15" s="947" t="s">
        <v>78</v>
      </c>
      <c r="D15" s="586" t="s">
        <v>66</v>
      </c>
      <c r="E15" s="1110"/>
      <c r="G15" s="1327" t="str">
        <f t="shared" si="0"/>
        <v/>
      </c>
      <c r="H15" s="1186" t="str">
        <f t="shared" si="1"/>
        <v/>
      </c>
      <c r="I15" s="1322" t="str">
        <f t="shared" si="2"/>
        <v>X</v>
      </c>
    </row>
    <row r="16" spans="3:19" ht="15" customHeight="1">
      <c r="C16" s="947" t="s">
        <v>996</v>
      </c>
      <c r="D16" s="586" t="s">
        <v>66</v>
      </c>
      <c r="E16" s="1110"/>
      <c r="G16" s="1329" t="str">
        <f t="shared" si="0"/>
        <v/>
      </c>
      <c r="H16" s="1332"/>
      <c r="I16" s="1324" t="str">
        <f t="shared" si="2"/>
        <v>X</v>
      </c>
    </row>
    <row r="17" spans="3:13" ht="15" customHeight="1">
      <c r="C17" s="951" t="s">
        <v>79</v>
      </c>
      <c r="D17" s="587" t="s">
        <v>66</v>
      </c>
      <c r="E17" s="1114">
        <f>E11+E14-E15+E16-E13+E12</f>
        <v>0</v>
      </c>
    </row>
    <row r="18" spans="3:13">
      <c r="C18" s="1120"/>
      <c r="D18" s="1121"/>
      <c r="E18" s="579"/>
    </row>
    <row r="19" spans="3:13" ht="15" customHeight="1">
      <c r="C19" s="1427" t="s">
        <v>1541</v>
      </c>
      <c r="D19" s="1433"/>
      <c r="E19" s="1433"/>
    </row>
    <row r="20" spans="3:13" s="581" customFormat="1" ht="15" customHeight="1">
      <c r="C20" s="1429" t="s">
        <v>1543</v>
      </c>
      <c r="D20" s="1481"/>
      <c r="E20" s="1481"/>
      <c r="F20" s="1"/>
      <c r="G20" s="1"/>
      <c r="H20" s="1"/>
      <c r="I20" s="1"/>
    </row>
    <row r="21" spans="3:13" s="581" customFormat="1" ht="18" customHeight="1">
      <c r="C21" s="1549" t="s">
        <v>1289</v>
      </c>
      <c r="D21" s="989"/>
      <c r="E21" s="989"/>
      <c r="F21" s="1"/>
      <c r="G21" s="1"/>
      <c r="H21" s="1"/>
      <c r="I21" s="1"/>
    </row>
    <row r="22" spans="3:13" s="581" customFormat="1" ht="15.5">
      <c r="C22" s="1115"/>
      <c r="D22" s="579"/>
      <c r="E22" s="579"/>
      <c r="F22" s="1"/>
      <c r="G22" s="1412" t="s">
        <v>1293</v>
      </c>
      <c r="H22" s="1411" t="s">
        <v>1294</v>
      </c>
      <c r="I22" s="1447" t="s">
        <v>1295</v>
      </c>
    </row>
    <row r="23" spans="3:13" s="581" customFormat="1" ht="26">
      <c r="C23" s="957" t="s">
        <v>1079</v>
      </c>
      <c r="D23" s="889" t="s">
        <v>1118</v>
      </c>
      <c r="E23" s="1347" t="s">
        <v>1206</v>
      </c>
      <c r="F23" s="1"/>
      <c r="G23" s="2052" t="s">
        <v>1206</v>
      </c>
      <c r="H23" s="2052"/>
      <c r="I23" s="2052"/>
    </row>
    <row r="24" spans="3:13">
      <c r="C24" s="1111" t="s">
        <v>76</v>
      </c>
      <c r="D24" s="585" t="s">
        <v>66</v>
      </c>
      <c r="E24" s="1109"/>
      <c r="G24" s="1344" t="str">
        <f>IF(ISNONTEXT(E24)=TRUE,"","X")</f>
        <v/>
      </c>
      <c r="H24" s="1345" t="str">
        <f>IF(AND(E24&gt;=0)=TRUE,"","X")</f>
        <v/>
      </c>
      <c r="I24" s="1346" t="str">
        <f>IF(E24&lt;&gt;""=TRUE,"","X")</f>
        <v>X</v>
      </c>
    </row>
    <row r="25" spans="3:13">
      <c r="C25" s="1112" t="s">
        <v>77</v>
      </c>
      <c r="D25" s="586" t="s">
        <v>66</v>
      </c>
      <c r="E25" s="1110"/>
      <c r="G25" s="1327" t="str">
        <f t="shared" ref="G25:G29" si="3">IF(ISNONTEXT(E25)=TRUE,"","X")</f>
        <v/>
      </c>
      <c r="H25" s="1186" t="str">
        <f t="shared" ref="H25:H28" si="4">IF(AND(E25&gt;=0)=TRUE,"","X")</f>
        <v/>
      </c>
      <c r="I25" s="1322" t="str">
        <f t="shared" ref="I25:I29" si="5">IF(E25&lt;&gt;""=TRUE,"","X")</f>
        <v>X</v>
      </c>
    </row>
    <row r="26" spans="3:13">
      <c r="C26" s="947" t="s">
        <v>1201</v>
      </c>
      <c r="D26" s="586" t="s">
        <v>66</v>
      </c>
      <c r="E26" s="1110"/>
      <c r="G26" s="1327" t="str">
        <f t="shared" si="3"/>
        <v/>
      </c>
      <c r="H26" s="1186" t="str">
        <f t="shared" si="4"/>
        <v/>
      </c>
      <c r="I26" s="1322" t="str">
        <f t="shared" si="5"/>
        <v>X</v>
      </c>
    </row>
    <row r="27" spans="3:13">
      <c r="C27" s="1112" t="s">
        <v>1080</v>
      </c>
      <c r="D27" s="586" t="s">
        <v>66</v>
      </c>
      <c r="E27" s="1110"/>
      <c r="F27" s="950"/>
      <c r="G27" s="1327" t="str">
        <f t="shared" si="3"/>
        <v/>
      </c>
      <c r="H27" s="1186" t="str">
        <f t="shared" si="4"/>
        <v/>
      </c>
      <c r="I27" s="1322" t="str">
        <f t="shared" si="5"/>
        <v>X</v>
      </c>
    </row>
    <row r="28" spans="3:13">
      <c r="C28" s="1112" t="s">
        <v>78</v>
      </c>
      <c r="D28" s="586" t="s">
        <v>66</v>
      </c>
      <c r="E28" s="1110"/>
      <c r="F28" s="950"/>
      <c r="G28" s="1327" t="str">
        <f t="shared" si="3"/>
        <v/>
      </c>
      <c r="H28" s="1186" t="str">
        <f t="shared" si="4"/>
        <v/>
      </c>
      <c r="I28" s="1322" t="str">
        <f t="shared" si="5"/>
        <v>X</v>
      </c>
    </row>
    <row r="29" spans="3:13">
      <c r="C29" s="1112" t="s">
        <v>996</v>
      </c>
      <c r="D29" s="586" t="s">
        <v>66</v>
      </c>
      <c r="E29" s="1110"/>
      <c r="F29" s="950"/>
      <c r="G29" s="1329" t="str">
        <f t="shared" si="3"/>
        <v/>
      </c>
      <c r="H29" s="1332"/>
      <c r="I29" s="1324" t="str">
        <f t="shared" si="5"/>
        <v>X</v>
      </c>
    </row>
    <row r="30" spans="3:13">
      <c r="C30" s="1113" t="s">
        <v>79</v>
      </c>
      <c r="D30" s="587" t="s">
        <v>66</v>
      </c>
      <c r="E30" s="1114">
        <f>E24+E27-E28+E29-E26+E25</f>
        <v>0</v>
      </c>
      <c r="F30" s="950"/>
      <c r="G30" s="950"/>
      <c r="H30" s="950"/>
      <c r="I30" s="950"/>
      <c r="J30" s="950"/>
      <c r="K30" s="950"/>
      <c r="L30" s="950"/>
      <c r="M30" s="950"/>
    </row>
    <row r="31" spans="3:13" ht="15.5">
      <c r="C31" s="957" t="s">
        <v>1081</v>
      </c>
      <c r="D31" s="579"/>
      <c r="E31" s="579"/>
      <c r="G31" s="581"/>
    </row>
    <row r="32" spans="3:13">
      <c r="C32" s="1111" t="s">
        <v>76</v>
      </c>
      <c r="D32" s="585" t="s">
        <v>66</v>
      </c>
      <c r="E32" s="1109"/>
      <c r="F32" s="950"/>
      <c r="G32" s="1344" t="str">
        <f>IF(ISNONTEXT(E32)=TRUE,"","X")</f>
        <v/>
      </c>
      <c r="H32" s="1345" t="str">
        <f>IF(AND(E32&gt;=0)=TRUE,"","X")</f>
        <v/>
      </c>
      <c r="I32" s="1346" t="str">
        <f>IF(E32&lt;&gt;""=TRUE,"","X")</f>
        <v>X</v>
      </c>
    </row>
    <row r="33" spans="2:14">
      <c r="C33" s="947" t="s">
        <v>1202</v>
      </c>
      <c r="D33" s="586" t="s">
        <v>66</v>
      </c>
      <c r="E33" s="1110"/>
      <c r="F33" s="950"/>
      <c r="G33" s="1327" t="str">
        <f t="shared" ref="G33:G35" si="6">IF(ISNONTEXT(E33)=TRUE,"","X")</f>
        <v/>
      </c>
      <c r="H33" s="1186" t="str">
        <f t="shared" ref="H33:H35" si="7">IF(AND(E33&gt;=0)=TRUE,"","X")</f>
        <v/>
      </c>
      <c r="I33" s="1322" t="str">
        <f t="shared" ref="I33:I35" si="8">IF(E33&lt;&gt;""=TRUE,"","X")</f>
        <v>X</v>
      </c>
    </row>
    <row r="34" spans="2:14">
      <c r="C34" s="1112" t="s">
        <v>1080</v>
      </c>
      <c r="D34" s="586" t="s">
        <v>66</v>
      </c>
      <c r="E34" s="1110"/>
      <c r="F34" s="950"/>
      <c r="G34" s="1327" t="str">
        <f t="shared" si="6"/>
        <v/>
      </c>
      <c r="H34" s="1186" t="str">
        <f t="shared" si="7"/>
        <v/>
      </c>
      <c r="I34" s="1322" t="str">
        <f t="shared" si="8"/>
        <v>X</v>
      </c>
    </row>
    <row r="35" spans="2:14">
      <c r="C35" s="1112" t="s">
        <v>78</v>
      </c>
      <c r="D35" s="586" t="s">
        <v>66</v>
      </c>
      <c r="E35" s="1110"/>
      <c r="F35" s="950"/>
      <c r="G35" s="1329" t="str">
        <f t="shared" si="6"/>
        <v/>
      </c>
      <c r="H35" s="1323" t="str">
        <f t="shared" si="7"/>
        <v/>
      </c>
      <c r="I35" s="1324" t="str">
        <f t="shared" si="8"/>
        <v>X</v>
      </c>
    </row>
    <row r="36" spans="2:14">
      <c r="C36" s="1113" t="s">
        <v>79</v>
      </c>
      <c r="D36" s="587" t="s">
        <v>66</v>
      </c>
      <c r="E36" s="1114">
        <f>E32+E34-E35-E33</f>
        <v>0</v>
      </c>
      <c r="F36" s="950"/>
      <c r="G36" s="950"/>
      <c r="H36" s="950"/>
      <c r="I36" s="950"/>
      <c r="J36" s="950"/>
      <c r="K36" s="950"/>
      <c r="L36" s="950"/>
      <c r="M36" s="950"/>
      <c r="N36" s="950"/>
    </row>
    <row r="37" spans="2:14" ht="15" customHeight="1"/>
    <row r="38" spans="2:14" ht="15" customHeight="1"/>
    <row r="39" spans="2:14" ht="15" customHeight="1"/>
    <row r="40" spans="2:14" ht="15" customHeight="1">
      <c r="B40" s="579"/>
      <c r="C40" s="1310" t="s">
        <v>1471</v>
      </c>
      <c r="D40" s="1852"/>
      <c r="E40" s="579"/>
    </row>
    <row r="41" spans="2:14" ht="15" customHeight="1">
      <c r="B41" s="579"/>
      <c r="C41" s="1847" t="s">
        <v>1495</v>
      </c>
      <c r="D41" s="579"/>
      <c r="E41" s="579"/>
    </row>
    <row r="42" spans="2:14" ht="15" customHeight="1">
      <c r="B42" s="579"/>
      <c r="C42" s="579"/>
      <c r="D42" s="579"/>
      <c r="E42" s="579"/>
    </row>
    <row r="43" spans="2:14" ht="15" customHeight="1">
      <c r="B43" s="579"/>
      <c r="C43" s="579"/>
      <c r="D43" s="579"/>
      <c r="E43" s="579"/>
    </row>
    <row r="44" spans="2:14" ht="15" customHeight="1">
      <c r="B44" s="579"/>
      <c r="C44" s="579"/>
      <c r="D44" s="579"/>
      <c r="E44" s="579"/>
    </row>
    <row r="45" spans="2:14" ht="15" customHeight="1">
      <c r="B45" s="579"/>
      <c r="C45" s="579"/>
      <c r="D45" s="579"/>
      <c r="E45" s="579"/>
    </row>
    <row r="46" spans="2:14" ht="15" customHeight="1"/>
    <row r="47" spans="2:14" ht="15" customHeight="1"/>
    <row r="48" spans="2:14"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
    <mergeCell ref="G23:I23"/>
    <mergeCell ref="G10:I10"/>
  </mergeCells>
  <conditionalFormatting sqref="C40">
    <cfRule type="cellIs" dxfId="29" priority="1" operator="equal">
      <formula>FALSE</formula>
    </cfRule>
  </conditionalFormatting>
  <dataValidations count="1">
    <dataValidation allowBlank="1" showErrorMessage="1" sqref="H29 A41:S1048576 H16 T1:XFD5 G6:XFD7 T8:XFD18 T21:XFD1048576 F21 C6:E7 C19:XFD20 C1:C4 A22:B39 C6:C8 A5:B5 A6:A8 C19:C21 A19:A21 A1:A4 A9:B18" xr:uid="{94B677F1-E30D-4B5A-ADE0-4B7DF3831289}"/>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006BA8"/>
    <pageSetUpPr fitToPage="1"/>
  </sheetPr>
  <dimension ref="B1:S70"/>
  <sheetViews>
    <sheetView workbookViewId="0"/>
  </sheetViews>
  <sheetFormatPr defaultColWidth="9.1796875" defaultRowHeight="14.5"/>
  <cols>
    <col min="1" max="1" width="5.6328125" style="1" customWidth="1"/>
    <col min="2" max="2" width="25.6328125" style="1060" customWidth="1"/>
    <col min="3" max="3" width="72.54296875" style="1" bestFit="1" customWidth="1"/>
    <col min="4" max="4" width="17.54296875" style="1" customWidth="1"/>
    <col min="5" max="5" width="17.1796875" style="1" customWidth="1"/>
    <col min="6" max="6" width="17.453125" style="1" customWidth="1"/>
    <col min="7" max="7" width="3.54296875" style="1" customWidth="1"/>
    <col min="8" max="8" width="5.453125" style="1" customWidth="1"/>
    <col min="9" max="10" width="3.54296875" style="1" customWidth="1"/>
    <col min="11" max="11" width="4.81640625" style="1" customWidth="1"/>
    <col min="12" max="22" width="3.54296875" style="1" customWidth="1"/>
    <col min="23" max="23" width="5.6328125" style="1" customWidth="1"/>
    <col min="24" max="24" width="3.54296875" style="1" customWidth="1"/>
    <col min="25" max="16384" width="9.1796875" style="1"/>
  </cols>
  <sheetData>
    <row r="1" spans="2:19" s="952" customFormat="1" ht="20" customHeight="1">
      <c r="C1" s="914" t="str">
        <f>dms_SheetHeading1</f>
        <v>ANNUAL INFORMATION ORDER</v>
      </c>
      <c r="D1" s="1024"/>
      <c r="E1" s="1024"/>
      <c r="G1" s="1556" t="s">
        <v>1003</v>
      </c>
      <c r="H1" s="1556"/>
      <c r="I1" s="1556"/>
      <c r="J1" s="1556"/>
      <c r="K1" s="1556"/>
      <c r="L1" s="1556"/>
      <c r="M1" s="1557" t="s">
        <v>1002</v>
      </c>
      <c r="N1" s="1556"/>
      <c r="O1" s="1556"/>
      <c r="P1" s="1556"/>
      <c r="Q1" s="1556"/>
      <c r="R1" s="1556"/>
      <c r="S1" s="1556"/>
    </row>
    <row r="2" spans="2:19" s="952" customFormat="1" ht="20" customHeight="1">
      <c r="C2" s="915" t="str">
        <f>dms_SheetHeading2</f>
        <v>Australian Transmission Co.</v>
      </c>
      <c r="D2" s="1024"/>
      <c r="E2" s="1024"/>
      <c r="G2" s="1558" t="s">
        <v>1004</v>
      </c>
      <c r="H2" s="1558"/>
      <c r="I2" s="1558"/>
      <c r="J2" s="1558"/>
      <c r="K2" s="1558"/>
      <c r="L2" s="1558"/>
      <c r="M2" s="1559" t="s">
        <v>179</v>
      </c>
      <c r="N2" s="1558"/>
      <c r="O2" s="1558"/>
      <c r="P2" s="1558"/>
      <c r="Q2" s="1558"/>
      <c r="R2" s="1558"/>
      <c r="S2" s="1558"/>
    </row>
    <row r="3" spans="2:19" s="952" customFormat="1" ht="20" customHeight="1">
      <c r="C3" s="916" t="str">
        <f>dms_SheetHeading3</f>
        <v>REPORTING STATEMENT: 2025-26</v>
      </c>
      <c r="D3" s="1024"/>
      <c r="E3" s="1024"/>
      <c r="G3" s="1560" t="s">
        <v>1005</v>
      </c>
      <c r="H3" s="1560"/>
      <c r="I3" s="1560"/>
      <c r="J3" s="1560"/>
      <c r="K3" s="1560"/>
      <c r="L3" s="1560"/>
      <c r="M3" s="1561" t="s">
        <v>180</v>
      </c>
      <c r="N3" s="1560"/>
      <c r="O3" s="1560"/>
      <c r="P3" s="1560"/>
      <c r="Q3" s="1560"/>
      <c r="R3" s="1560"/>
      <c r="S3" s="1560"/>
    </row>
    <row r="4" spans="2:19" s="952" customFormat="1" ht="20" customHeight="1">
      <c r="C4" s="1025" t="s">
        <v>1465</v>
      </c>
      <c r="D4" s="1026"/>
      <c r="E4" s="1026"/>
      <c r="G4" s="1562" t="s">
        <v>1007</v>
      </c>
      <c r="H4" s="1563"/>
      <c r="I4" s="1564"/>
      <c r="J4" s="1565"/>
      <c r="K4" s="1565"/>
      <c r="L4" s="1565"/>
      <c r="M4" s="1566" t="s">
        <v>1006</v>
      </c>
      <c r="N4" s="1565"/>
      <c r="O4" s="1565"/>
      <c r="P4" s="1565"/>
      <c r="Q4" s="1565"/>
      <c r="R4" s="1565"/>
      <c r="S4" s="1565"/>
    </row>
    <row r="5" spans="2:19" ht="13.5" customHeight="1">
      <c r="C5" s="953"/>
    </row>
    <row r="6" spans="2:19" ht="15" customHeight="1">
      <c r="C6" s="1427" t="s">
        <v>1541</v>
      </c>
      <c r="D6" s="1433"/>
      <c r="E6" s="1433"/>
    </row>
    <row r="7" spans="2:19" ht="15" customHeight="1">
      <c r="C7" s="1429" t="s">
        <v>1542</v>
      </c>
      <c r="D7" s="1430"/>
      <c r="E7" s="1430"/>
    </row>
    <row r="8" spans="2:19" s="581" customFormat="1" ht="18" customHeight="1">
      <c r="C8" s="1550" t="s">
        <v>1292</v>
      </c>
      <c r="D8" s="1413"/>
      <c r="E8" s="1413"/>
      <c r="F8" s="2142"/>
      <c r="G8" s="2142"/>
      <c r="H8" s="2142"/>
      <c r="I8" s="2142"/>
      <c r="J8" s="1214"/>
    </row>
    <row r="9" spans="2:19" s="581" customFormat="1" ht="15.5">
      <c r="B9" s="1623"/>
      <c r="D9" s="1079"/>
      <c r="E9" s="579"/>
      <c r="F9" s="579"/>
      <c r="G9" s="1482" t="s">
        <v>66</v>
      </c>
      <c r="H9" s="1483" t="s">
        <v>1487</v>
      </c>
      <c r="I9" s="1484" t="s">
        <v>1293</v>
      </c>
      <c r="J9" s="1485" t="s">
        <v>1294</v>
      </c>
      <c r="K9" s="1483" t="s">
        <v>1295</v>
      </c>
    </row>
    <row r="10" spans="2:19" ht="26.25" customHeight="1">
      <c r="B10" s="1076"/>
      <c r="C10" s="957" t="s">
        <v>1035</v>
      </c>
      <c r="D10" s="889" t="s">
        <v>1118</v>
      </c>
      <c r="E10" s="962" t="s">
        <v>1189</v>
      </c>
      <c r="F10" s="579"/>
      <c r="G10" s="2115" t="s">
        <v>1322</v>
      </c>
      <c r="H10" s="2117"/>
      <c r="I10" s="2115" t="s">
        <v>1206</v>
      </c>
      <c r="J10" s="2116"/>
      <c r="K10" s="2117"/>
      <c r="L10" s="581"/>
    </row>
    <row r="11" spans="2:19" ht="15.5">
      <c r="B11" s="1077"/>
      <c r="C11" s="1011" t="s">
        <v>1036</v>
      </c>
      <c r="D11" s="1012" t="s">
        <v>66</v>
      </c>
      <c r="E11" s="1014"/>
      <c r="F11" s="579"/>
      <c r="G11" s="1490"/>
      <c r="H11" s="1491"/>
      <c r="I11" s="1414" t="str">
        <f>IF(ISNONTEXT(E11)=TRUE,"","X")</f>
        <v/>
      </c>
      <c r="J11" s="1415" t="str">
        <f>IF(AND(E11&gt;=0)=TRUE,"","X")</f>
        <v/>
      </c>
      <c r="K11" s="1416" t="str">
        <f>IF(E11&lt;&gt;""=TRUE,"","X")</f>
        <v>X</v>
      </c>
      <c r="L11" s="581"/>
    </row>
    <row r="12" spans="2:19">
      <c r="B12" s="1077"/>
      <c r="C12" s="1015" t="s">
        <v>1037</v>
      </c>
      <c r="D12" s="1016" t="s">
        <v>66</v>
      </c>
      <c r="E12" s="1788">
        <f>SUM(E13:E20)</f>
        <v>0</v>
      </c>
      <c r="F12" s="579"/>
      <c r="G12" s="579"/>
      <c r="H12" s="579"/>
      <c r="I12" s="579"/>
      <c r="J12" s="579"/>
      <c r="K12" s="579"/>
      <c r="L12" s="579"/>
      <c r="M12" s="579"/>
      <c r="N12" s="579"/>
      <c r="O12" s="579"/>
    </row>
    <row r="13" spans="2:19" ht="15.5">
      <c r="B13" s="1077"/>
      <c r="C13" s="1104" t="s">
        <v>1038</v>
      </c>
      <c r="D13" s="1016" t="s">
        <v>66</v>
      </c>
      <c r="E13" s="1018"/>
      <c r="F13" s="579"/>
      <c r="G13" s="1486"/>
      <c r="H13" s="1487"/>
      <c r="I13" s="1344" t="str">
        <f t="shared" ref="I13:I17" si="0">IF(ISNONTEXT(E13)=TRUE,"","X")</f>
        <v/>
      </c>
      <c r="J13" s="1348"/>
      <c r="K13" s="1349"/>
      <c r="L13" s="581"/>
    </row>
    <row r="14" spans="2:19" ht="15.5">
      <c r="B14" s="1077"/>
      <c r="C14" s="1104" t="s">
        <v>1039</v>
      </c>
      <c r="D14" s="1016" t="s">
        <v>66</v>
      </c>
      <c r="E14" s="1018"/>
      <c r="F14" s="579"/>
      <c r="G14" s="1330"/>
      <c r="H14" s="1331"/>
      <c r="I14" s="1327" t="str">
        <f t="shared" si="0"/>
        <v/>
      </c>
      <c r="J14" s="1185"/>
      <c r="K14" s="1328"/>
      <c r="L14" s="581"/>
    </row>
    <row r="15" spans="2:19" ht="15.5">
      <c r="B15" s="1077"/>
      <c r="C15" s="1104" t="s">
        <v>63</v>
      </c>
      <c r="D15" s="1016" t="s">
        <v>66</v>
      </c>
      <c r="E15" s="1018"/>
      <c r="F15" s="579"/>
      <c r="G15" s="1330"/>
      <c r="H15" s="1331"/>
      <c r="I15" s="1327" t="str">
        <f t="shared" si="0"/>
        <v/>
      </c>
      <c r="J15" s="1418"/>
      <c r="K15" s="1328"/>
      <c r="L15" s="581"/>
    </row>
    <row r="16" spans="2:19" ht="15.5">
      <c r="B16" s="1077"/>
      <c r="C16" s="1104" t="s">
        <v>1040</v>
      </c>
      <c r="D16" s="1016" t="s">
        <v>66</v>
      </c>
      <c r="E16" s="1018"/>
      <c r="F16" s="579"/>
      <c r="G16" s="1330"/>
      <c r="H16" s="1331"/>
      <c r="I16" s="1327" t="str">
        <f t="shared" si="0"/>
        <v/>
      </c>
      <c r="J16" s="1185"/>
      <c r="K16" s="1328"/>
      <c r="L16" s="581"/>
    </row>
    <row r="17" spans="2:13" ht="15.5">
      <c r="B17" s="1077"/>
      <c r="C17" s="1104" t="s">
        <v>1041</v>
      </c>
      <c r="D17" s="1016" t="s">
        <v>66</v>
      </c>
      <c r="E17" s="1018"/>
      <c r="F17" s="579"/>
      <c r="G17" s="1330"/>
      <c r="H17" s="1331"/>
      <c r="I17" s="1327" t="str">
        <f t="shared" si="0"/>
        <v/>
      </c>
      <c r="J17" s="1185"/>
      <c r="K17" s="1328"/>
      <c r="L17" s="581"/>
    </row>
    <row r="18" spans="2:13" ht="15.5">
      <c r="B18" s="1077"/>
      <c r="C18" s="1104" t="s">
        <v>1042</v>
      </c>
      <c r="D18" s="1016" t="s">
        <v>66</v>
      </c>
      <c r="E18" s="1018"/>
      <c r="F18" s="579"/>
      <c r="G18" s="1330"/>
      <c r="H18" s="1331"/>
      <c r="I18" s="1327" t="str">
        <f t="shared" ref="I18:I24" si="1">IF(ISNONTEXT(E18)=TRUE,"","X")</f>
        <v/>
      </c>
      <c r="J18" s="1185"/>
      <c r="K18" s="1328"/>
      <c r="L18" s="581"/>
    </row>
    <row r="19" spans="2:13" ht="15.5">
      <c r="B19" s="1077"/>
      <c r="C19" s="1104" t="s">
        <v>1043</v>
      </c>
      <c r="D19" s="1016" t="s">
        <v>66</v>
      </c>
      <c r="E19" s="1018"/>
      <c r="F19" s="579"/>
      <c r="G19" s="1330"/>
      <c r="H19" s="1331"/>
      <c r="I19" s="1327" t="str">
        <f t="shared" si="1"/>
        <v/>
      </c>
      <c r="J19" s="1185"/>
      <c r="K19" s="1328"/>
      <c r="L19" s="581"/>
    </row>
    <row r="20" spans="2:13" ht="15.5">
      <c r="B20" s="1077"/>
      <c r="C20" s="1104" t="s">
        <v>1044</v>
      </c>
      <c r="D20" s="1016" t="s">
        <v>66</v>
      </c>
      <c r="E20" s="1018"/>
      <c r="F20" s="579"/>
      <c r="G20" s="1330"/>
      <c r="H20" s="1331"/>
      <c r="I20" s="1327" t="str">
        <f t="shared" si="1"/>
        <v/>
      </c>
      <c r="J20" s="1185"/>
      <c r="K20" s="1328"/>
      <c r="L20" s="581"/>
    </row>
    <row r="21" spans="2:13" ht="15.5">
      <c r="B21" s="1077"/>
      <c r="C21" s="1057" t="s">
        <v>1045</v>
      </c>
      <c r="D21" s="1019" t="s">
        <v>66</v>
      </c>
      <c r="E21" s="1021"/>
      <c r="F21" s="579"/>
      <c r="G21" s="1488"/>
      <c r="H21" s="1489"/>
      <c r="I21" s="1329" t="str">
        <f t="shared" si="1"/>
        <v/>
      </c>
      <c r="J21" s="1332"/>
      <c r="K21" s="1333"/>
      <c r="L21" s="581"/>
    </row>
    <row r="22" spans="2:13">
      <c r="B22" s="1077"/>
      <c r="C22" s="1105" t="s">
        <v>1066</v>
      </c>
      <c r="D22" s="944" t="s">
        <v>66</v>
      </c>
      <c r="E22" s="1787">
        <f>E11+E12+E21</f>
        <v>0</v>
      </c>
      <c r="F22" s="579"/>
      <c r="G22" s="579"/>
      <c r="H22" s="579"/>
      <c r="I22" s="579"/>
      <c r="J22" s="579"/>
      <c r="K22" s="579"/>
      <c r="L22" s="579"/>
      <c r="M22" s="579"/>
    </row>
    <row r="23" spans="2:13" ht="15.5">
      <c r="B23" s="1076"/>
      <c r="C23" s="1059" t="s">
        <v>1046</v>
      </c>
      <c r="D23" s="1107"/>
      <c r="E23" s="1789"/>
      <c r="F23" s="579"/>
      <c r="G23" s="579"/>
      <c r="H23" s="579"/>
      <c r="I23" s="579"/>
      <c r="J23" s="579"/>
      <c r="K23" s="579"/>
      <c r="L23" s="581"/>
      <c r="M23" s="579"/>
    </row>
    <row r="24" spans="2:13" ht="15.5">
      <c r="B24" s="1077"/>
      <c r="C24" s="1086" t="s">
        <v>1047</v>
      </c>
      <c r="D24" s="941" t="s">
        <v>66</v>
      </c>
      <c r="E24" s="977"/>
      <c r="F24" s="579"/>
      <c r="G24" s="1486"/>
      <c r="H24" s="1487"/>
      <c r="I24" s="1344" t="str">
        <f t="shared" si="1"/>
        <v/>
      </c>
      <c r="J24" s="1345" t="str">
        <f t="shared" ref="J24" si="2">IF(AND(E24&gt;=0)=TRUE,"","X")</f>
        <v/>
      </c>
      <c r="K24" s="1346" t="str">
        <f t="shared" ref="K24" si="3">IF(E24&lt;&gt;""=TRUE,"","X")</f>
        <v>X</v>
      </c>
      <c r="L24" s="581"/>
    </row>
    <row r="25" spans="2:13" ht="15.5">
      <c r="B25" s="1078"/>
      <c r="C25" s="1100" t="s">
        <v>1048</v>
      </c>
      <c r="D25" s="942" t="s">
        <v>66</v>
      </c>
      <c r="E25" s="978"/>
      <c r="F25" s="579"/>
      <c r="G25" s="1330"/>
      <c r="H25" s="1331"/>
      <c r="I25" s="1327" t="str">
        <f t="shared" ref="I25:I32" si="4">IF(ISNONTEXT(E25)=TRUE,"","X")</f>
        <v/>
      </c>
      <c r="J25" s="1186" t="str">
        <f t="shared" ref="J25:J30" si="5">IF(AND(E25&gt;=0)=TRUE,"","X")</f>
        <v/>
      </c>
      <c r="K25" s="1322" t="str">
        <f t="shared" ref="K25:K32" si="6">IF(E25&lt;&gt;""=TRUE,"","X")</f>
        <v>X</v>
      </c>
      <c r="L25" s="581"/>
    </row>
    <row r="26" spans="2:13" ht="15.5">
      <c r="B26" s="1077"/>
      <c r="C26" s="1100" t="s">
        <v>1049</v>
      </c>
      <c r="D26" s="942" t="s">
        <v>66</v>
      </c>
      <c r="E26" s="978"/>
      <c r="F26" s="579"/>
      <c r="G26" s="1330"/>
      <c r="H26" s="1331"/>
      <c r="I26" s="1327" t="str">
        <f t="shared" si="4"/>
        <v/>
      </c>
      <c r="J26" s="1186" t="str">
        <f t="shared" si="5"/>
        <v/>
      </c>
      <c r="K26" s="1322" t="str">
        <f t="shared" si="6"/>
        <v>X</v>
      </c>
      <c r="L26" s="581"/>
    </row>
    <row r="27" spans="2:13" ht="15.5">
      <c r="B27" s="1077"/>
      <c r="C27" s="1100" t="s">
        <v>1050</v>
      </c>
      <c r="D27" s="942" t="s">
        <v>66</v>
      </c>
      <c r="E27" s="978"/>
      <c r="F27" s="579"/>
      <c r="G27" s="1330"/>
      <c r="H27" s="1331"/>
      <c r="I27" s="1327" t="str">
        <f t="shared" si="4"/>
        <v/>
      </c>
      <c r="J27" s="1186" t="str">
        <f t="shared" si="5"/>
        <v/>
      </c>
      <c r="K27" s="1322" t="str">
        <f t="shared" si="6"/>
        <v>X</v>
      </c>
      <c r="L27" s="581"/>
    </row>
    <row r="28" spans="2:13" ht="15.5">
      <c r="B28" s="1077"/>
      <c r="C28" s="1100" t="s">
        <v>1051</v>
      </c>
      <c r="D28" s="942" t="s">
        <v>66</v>
      </c>
      <c r="E28" s="978"/>
      <c r="F28" s="579"/>
      <c r="G28" s="1330"/>
      <c r="H28" s="1331"/>
      <c r="I28" s="1327" t="str">
        <f t="shared" si="4"/>
        <v/>
      </c>
      <c r="J28" s="1186" t="str">
        <f t="shared" si="5"/>
        <v/>
      </c>
      <c r="K28" s="1322" t="str">
        <f t="shared" si="6"/>
        <v>X</v>
      </c>
      <c r="L28" s="581"/>
    </row>
    <row r="29" spans="2:13" ht="15.5">
      <c r="B29" s="1077"/>
      <c r="C29" s="1100" t="s">
        <v>1052</v>
      </c>
      <c r="D29" s="942" t="s">
        <v>66</v>
      </c>
      <c r="E29" s="978"/>
      <c r="F29" s="579"/>
      <c r="G29" s="1330"/>
      <c r="H29" s="1331"/>
      <c r="I29" s="1327" t="str">
        <f t="shared" si="4"/>
        <v/>
      </c>
      <c r="J29" s="1185"/>
      <c r="K29" s="1322" t="str">
        <f t="shared" si="6"/>
        <v>X</v>
      </c>
      <c r="L29" s="581"/>
    </row>
    <row r="30" spans="2:13" ht="15.5">
      <c r="B30" s="1077"/>
      <c r="C30" s="1100" t="s">
        <v>1053</v>
      </c>
      <c r="D30" s="942" t="s">
        <v>66</v>
      </c>
      <c r="E30" s="978"/>
      <c r="F30" s="579"/>
      <c r="G30" s="1330"/>
      <c r="H30" s="1331"/>
      <c r="I30" s="1327" t="str">
        <f t="shared" si="4"/>
        <v/>
      </c>
      <c r="J30" s="1186" t="str">
        <f t="shared" si="5"/>
        <v/>
      </c>
      <c r="K30" s="1322" t="str">
        <f t="shared" si="6"/>
        <v>X</v>
      </c>
      <c r="L30" s="581"/>
    </row>
    <row r="31" spans="2:13" ht="15.5">
      <c r="B31" s="1077"/>
      <c r="C31" s="1100" t="s">
        <v>1054</v>
      </c>
      <c r="D31" s="942" t="s">
        <v>66</v>
      </c>
      <c r="E31" s="978"/>
      <c r="F31" s="579"/>
      <c r="G31" s="1330"/>
      <c r="H31" s="1331"/>
      <c r="I31" s="1327" t="str">
        <f t="shared" si="4"/>
        <v/>
      </c>
      <c r="J31" s="1185"/>
      <c r="K31" s="1322" t="str">
        <f t="shared" si="6"/>
        <v>X</v>
      </c>
      <c r="L31" s="581"/>
    </row>
    <row r="32" spans="2:13" ht="15.5">
      <c r="B32" s="1077"/>
      <c r="C32" s="1087" t="s">
        <v>1055</v>
      </c>
      <c r="D32" s="943" t="s">
        <v>66</v>
      </c>
      <c r="E32" s="979"/>
      <c r="F32" s="579"/>
      <c r="G32" s="1488"/>
      <c r="H32" s="1489"/>
      <c r="I32" s="1329" t="str">
        <f t="shared" si="4"/>
        <v/>
      </c>
      <c r="J32" s="1332"/>
      <c r="K32" s="1324" t="str">
        <f t="shared" si="6"/>
        <v>X</v>
      </c>
      <c r="L32" s="581"/>
    </row>
    <row r="33" spans="2:14">
      <c r="B33" s="1077"/>
      <c r="C33" s="1105" t="s">
        <v>1067</v>
      </c>
      <c r="D33" s="944" t="s">
        <v>66</v>
      </c>
      <c r="E33" s="1787">
        <f>SUM(E24:E32)</f>
        <v>0</v>
      </c>
      <c r="F33" s="579"/>
      <c r="G33" s="579"/>
      <c r="H33" s="579"/>
      <c r="I33" s="579"/>
      <c r="J33" s="579"/>
      <c r="K33" s="579"/>
      <c r="L33" s="579"/>
      <c r="M33" s="579"/>
      <c r="N33" s="579"/>
    </row>
    <row r="34" spans="2:14" ht="15.5">
      <c r="B34" s="1077"/>
      <c r="C34" s="957" t="s">
        <v>1057</v>
      </c>
      <c r="D34" s="579"/>
      <c r="E34" s="1736"/>
      <c r="F34" s="579"/>
      <c r="G34" s="579"/>
      <c r="H34" s="579"/>
      <c r="L34" s="581"/>
    </row>
    <row r="35" spans="2:14">
      <c r="B35" s="1077"/>
      <c r="C35" s="1088" t="s">
        <v>1056</v>
      </c>
      <c r="D35" s="1102" t="s">
        <v>66</v>
      </c>
      <c r="E35" s="1790"/>
      <c r="F35" s="579"/>
      <c r="G35" s="579"/>
      <c r="H35" s="579"/>
      <c r="I35" s="579"/>
      <c r="J35" s="579"/>
      <c r="K35" s="579"/>
      <c r="L35" s="579"/>
      <c r="M35" s="579"/>
    </row>
    <row r="36" spans="2:14" ht="15.5">
      <c r="B36" s="1077"/>
      <c r="C36" s="1106"/>
      <c r="D36" s="944"/>
      <c r="E36" s="1791"/>
      <c r="F36" s="579"/>
      <c r="G36" s="579"/>
      <c r="H36" s="579"/>
      <c r="L36" s="581"/>
    </row>
    <row r="37" spans="2:14">
      <c r="B37" s="1077"/>
      <c r="C37" s="1108" t="s">
        <v>1198</v>
      </c>
      <c r="D37" s="579"/>
      <c r="E37" s="1736"/>
      <c r="F37" s="579"/>
      <c r="G37" s="579"/>
      <c r="H37" s="579"/>
    </row>
    <row r="38" spans="2:14">
      <c r="B38" s="1077"/>
      <c r="C38" s="1011" t="s">
        <v>1047</v>
      </c>
      <c r="D38" s="1012" t="s">
        <v>66</v>
      </c>
      <c r="E38" s="1014"/>
      <c r="F38" s="579"/>
      <c r="G38" s="1486"/>
      <c r="H38" s="1487"/>
      <c r="I38" s="1344" t="str">
        <f t="shared" ref="I38:I44" si="7">IF(ISNONTEXT(E38)=TRUE,"","X")</f>
        <v/>
      </c>
      <c r="J38" s="1345" t="str">
        <f t="shared" ref="J38:J44" si="8">IF(AND(E38&gt;=0)=TRUE,"","X")</f>
        <v/>
      </c>
      <c r="K38" s="1346" t="str">
        <f t="shared" ref="K38:K44" si="9">IF(E38&lt;&gt;""=TRUE,"","X")</f>
        <v>X</v>
      </c>
    </row>
    <row r="39" spans="2:14">
      <c r="B39" s="1077"/>
      <c r="C39" s="1015" t="s">
        <v>1048</v>
      </c>
      <c r="D39" s="1016" t="s">
        <v>66</v>
      </c>
      <c r="E39" s="1018"/>
      <c r="F39" s="579"/>
      <c r="G39" s="1330"/>
      <c r="H39" s="1331"/>
      <c r="I39" s="1327" t="str">
        <f t="shared" si="7"/>
        <v/>
      </c>
      <c r="J39" s="1186" t="str">
        <f t="shared" si="8"/>
        <v/>
      </c>
      <c r="K39" s="1322" t="str">
        <f t="shared" si="9"/>
        <v>X</v>
      </c>
    </row>
    <row r="40" spans="2:14">
      <c r="B40" s="1077"/>
      <c r="C40" s="1015" t="s">
        <v>1058</v>
      </c>
      <c r="D40" s="1016" t="s">
        <v>66</v>
      </c>
      <c r="E40" s="1018"/>
      <c r="F40" s="579"/>
      <c r="G40" s="1330"/>
      <c r="H40" s="1331"/>
      <c r="I40" s="1327" t="str">
        <f t="shared" si="7"/>
        <v/>
      </c>
      <c r="J40" s="1185"/>
      <c r="K40" s="1322" t="str">
        <f t="shared" si="9"/>
        <v>X</v>
      </c>
    </row>
    <row r="41" spans="2:14">
      <c r="B41" s="1077"/>
      <c r="C41" s="1015" t="s">
        <v>1059</v>
      </c>
      <c r="D41" s="1016" t="s">
        <v>66</v>
      </c>
      <c r="E41" s="1018"/>
      <c r="F41" s="579"/>
      <c r="G41" s="1330"/>
      <c r="H41" s="1331"/>
      <c r="I41" s="1327" t="str">
        <f t="shared" si="7"/>
        <v/>
      </c>
      <c r="J41" s="1185"/>
      <c r="K41" s="1322" t="str">
        <f t="shared" si="9"/>
        <v>X</v>
      </c>
    </row>
    <row r="42" spans="2:14">
      <c r="B42" s="1077"/>
      <c r="C42" s="1015" t="s">
        <v>1050</v>
      </c>
      <c r="D42" s="1016" t="s">
        <v>66</v>
      </c>
      <c r="E42" s="1018"/>
      <c r="F42" s="579"/>
      <c r="G42" s="1330"/>
      <c r="H42" s="1331"/>
      <c r="I42" s="1327" t="str">
        <f t="shared" si="7"/>
        <v/>
      </c>
      <c r="J42" s="1186" t="str">
        <f t="shared" si="8"/>
        <v/>
      </c>
      <c r="K42" s="1322" t="str">
        <f t="shared" si="9"/>
        <v>X</v>
      </c>
    </row>
    <row r="43" spans="2:14">
      <c r="B43" s="579"/>
      <c r="C43" s="1015" t="s">
        <v>1051</v>
      </c>
      <c r="D43" s="1016" t="s">
        <v>66</v>
      </c>
      <c r="E43" s="1018"/>
      <c r="F43" s="579"/>
      <c r="G43" s="1330"/>
      <c r="H43" s="1331"/>
      <c r="I43" s="1327" t="str">
        <f t="shared" si="7"/>
        <v/>
      </c>
      <c r="J43" s="1186" t="str">
        <f t="shared" si="8"/>
        <v/>
      </c>
      <c r="K43" s="1322" t="str">
        <f t="shared" si="9"/>
        <v>X</v>
      </c>
    </row>
    <row r="44" spans="2:14">
      <c r="B44" s="1622" t="s">
        <v>1461</v>
      </c>
      <c r="C44" s="1057" t="s">
        <v>995</v>
      </c>
      <c r="D44" s="1019" t="s">
        <v>66</v>
      </c>
      <c r="E44" s="1021"/>
      <c r="F44" s="579"/>
      <c r="G44" s="1488"/>
      <c r="H44" s="1489"/>
      <c r="I44" s="1329" t="str">
        <f t="shared" si="7"/>
        <v/>
      </c>
      <c r="J44" s="1323" t="str">
        <f t="shared" si="8"/>
        <v/>
      </c>
      <c r="K44" s="1324" t="str">
        <f t="shared" si="9"/>
        <v>X</v>
      </c>
    </row>
    <row r="45" spans="2:14">
      <c r="B45" s="1622" t="s">
        <v>1462</v>
      </c>
      <c r="C45" s="1105" t="s">
        <v>1068</v>
      </c>
      <c r="D45" s="944" t="s">
        <v>66</v>
      </c>
      <c r="E45" s="1787">
        <f>SUM(E38:E44)</f>
        <v>0</v>
      </c>
      <c r="F45" s="579"/>
      <c r="G45" s="579"/>
      <c r="H45" s="579"/>
      <c r="I45" s="579"/>
      <c r="J45" s="579"/>
      <c r="K45" s="579"/>
      <c r="L45" s="579"/>
      <c r="M45" s="579"/>
      <c r="N45" s="579"/>
    </row>
    <row r="46" spans="2:14">
      <c r="B46" s="579"/>
      <c r="C46" s="1108" t="s">
        <v>1199</v>
      </c>
      <c r="D46" s="579"/>
      <c r="E46" s="1736"/>
      <c r="F46" s="579"/>
      <c r="G46" s="579"/>
      <c r="H46" s="579"/>
      <c r="I46" s="579"/>
      <c r="J46" s="579"/>
      <c r="K46" s="579"/>
    </row>
    <row r="47" spans="2:14">
      <c r="B47" s="579"/>
      <c r="C47" s="1086" t="s">
        <v>1060</v>
      </c>
      <c r="D47" s="941" t="s">
        <v>66</v>
      </c>
      <c r="E47" s="1792"/>
      <c r="F47" s="579"/>
      <c r="G47" s="579"/>
      <c r="H47" s="579"/>
      <c r="I47" s="579"/>
      <c r="J47" s="579"/>
      <c r="K47" s="579"/>
      <c r="L47" s="579"/>
      <c r="M47" s="579"/>
      <c r="N47" s="579"/>
    </row>
    <row r="48" spans="2:14">
      <c r="B48" s="1078"/>
      <c r="C48" s="1100" t="s">
        <v>1061</v>
      </c>
      <c r="D48" s="942" t="s">
        <v>66</v>
      </c>
      <c r="E48" s="978"/>
      <c r="F48" s="579"/>
      <c r="G48" s="1490"/>
      <c r="H48" s="1491"/>
      <c r="I48" s="1414" t="str">
        <f t="shared" ref="I48:I51" si="10">IF(ISNONTEXT(E48)=TRUE,"","X")</f>
        <v/>
      </c>
      <c r="J48" s="1417"/>
      <c r="K48" s="1416" t="str">
        <f t="shared" ref="K48:K51" si="11">IF(E48&lt;&gt;""=TRUE,"","X")</f>
        <v>X</v>
      </c>
    </row>
    <row r="49" spans="2:17">
      <c r="B49" s="1077"/>
      <c r="C49" s="1100" t="s">
        <v>1062</v>
      </c>
      <c r="D49" s="942" t="s">
        <v>66</v>
      </c>
      <c r="E49" s="1793">
        <f>SUM(E50:E51)</f>
        <v>0</v>
      </c>
      <c r="F49" s="579"/>
      <c r="G49" s="579"/>
      <c r="H49" s="579"/>
      <c r="I49" s="579"/>
      <c r="J49" s="579"/>
      <c r="K49" s="579"/>
      <c r="L49" s="579"/>
      <c r="M49" s="579"/>
    </row>
    <row r="50" spans="2:17">
      <c r="B50" s="1077"/>
      <c r="C50" s="1101" t="s">
        <v>1063</v>
      </c>
      <c r="D50" s="942" t="s">
        <v>66</v>
      </c>
      <c r="E50" s="978"/>
      <c r="F50" s="579"/>
      <c r="G50" s="1486"/>
      <c r="H50" s="1487"/>
      <c r="I50" s="1344" t="str">
        <f t="shared" si="10"/>
        <v/>
      </c>
      <c r="J50" s="1348"/>
      <c r="K50" s="1346" t="str">
        <f t="shared" si="11"/>
        <v>X</v>
      </c>
    </row>
    <row r="51" spans="2:17">
      <c r="B51" s="1077"/>
      <c r="C51" s="1101" t="s">
        <v>1064</v>
      </c>
      <c r="D51" s="942" t="s">
        <v>66</v>
      </c>
      <c r="E51" s="978"/>
      <c r="F51" s="579"/>
      <c r="G51" s="1488"/>
      <c r="H51" s="1489"/>
      <c r="I51" s="1329" t="str">
        <f t="shared" si="10"/>
        <v/>
      </c>
      <c r="J51" s="1332"/>
      <c r="K51" s="1324" t="str">
        <f t="shared" si="11"/>
        <v>X</v>
      </c>
    </row>
    <row r="52" spans="2:17">
      <c r="B52" s="1077"/>
      <c r="C52" s="1087" t="s">
        <v>1065</v>
      </c>
      <c r="D52" s="943" t="s">
        <v>66</v>
      </c>
      <c r="E52" s="1794">
        <f>SUM(E47:E49)</f>
        <v>0</v>
      </c>
      <c r="F52" s="579"/>
      <c r="G52" s="579"/>
      <c r="H52" s="579"/>
      <c r="I52" s="579"/>
      <c r="J52" s="579"/>
      <c r="K52" s="579"/>
      <c r="L52" s="579"/>
    </row>
    <row r="53" spans="2:17" s="581" customFormat="1" ht="15.5">
      <c r="B53" s="579"/>
      <c r="C53" s="579"/>
      <c r="D53" s="579"/>
      <c r="E53" s="1736"/>
      <c r="F53" s="579"/>
      <c r="G53" s="579"/>
      <c r="H53" s="579"/>
    </row>
    <row r="54" spans="2:17" ht="26">
      <c r="B54" s="579"/>
      <c r="C54" s="1108" t="s">
        <v>1200</v>
      </c>
      <c r="D54" s="1227" t="s">
        <v>1706</v>
      </c>
      <c r="E54" s="1736"/>
      <c r="F54" s="579"/>
      <c r="G54" s="579"/>
      <c r="H54" s="579"/>
      <c r="I54" s="579"/>
      <c r="J54" s="579"/>
      <c r="K54" s="579"/>
      <c r="L54" s="579"/>
      <c r="M54" s="579"/>
      <c r="N54" s="579"/>
      <c r="O54" s="579"/>
      <c r="P54" s="579"/>
      <c r="Q54" s="579"/>
    </row>
    <row r="55" spans="2:17">
      <c r="B55" s="1077"/>
      <c r="C55" s="1086" t="s">
        <v>1069</v>
      </c>
      <c r="D55" s="1172" t="s">
        <v>66</v>
      </c>
      <c r="E55" s="977"/>
      <c r="F55" s="579"/>
      <c r="G55" s="1344" t="str">
        <f>IF(LEFT(D55,1)="$","","X")</f>
        <v/>
      </c>
      <c r="H55" s="1346" t="str">
        <f>IF(AND(E55&lt;&gt;"",ISBLANK(D55))=TRUE,"X","")</f>
        <v/>
      </c>
      <c r="I55" s="1345" t="str">
        <f>IF(ISNONTEXT(E55)=TRUE,"","X")</f>
        <v/>
      </c>
      <c r="J55" s="1345" t="str">
        <f>IF(AND(E55&gt;=0)=TRUE,"","X")</f>
        <v/>
      </c>
      <c r="K55" s="1346" t="str">
        <f>IF(E55&lt;&gt;""=TRUE,"","X")</f>
        <v>X</v>
      </c>
    </row>
    <row r="56" spans="2:17">
      <c r="B56" s="1078"/>
      <c r="C56" s="1100" t="s">
        <v>1070</v>
      </c>
      <c r="D56" s="1173" t="s">
        <v>66</v>
      </c>
      <c r="E56" s="978"/>
      <c r="F56" s="579"/>
      <c r="G56" s="1327" t="str">
        <f>IF(LEFT(D56,1)="$","","X")</f>
        <v/>
      </c>
      <c r="H56" s="1322" t="str">
        <f>IF(AND(E56&lt;&gt;"",ISBLANK(D56))=TRUE,"X","")</f>
        <v/>
      </c>
      <c r="I56" s="1186" t="str">
        <f>IF(ISNONTEXT(E56)=TRUE,"","X")</f>
        <v/>
      </c>
      <c r="J56" s="1186" t="str">
        <f>IF(AND(E56&gt;=0)=TRUE,"","X")</f>
        <v/>
      </c>
      <c r="K56" s="1322" t="str">
        <f>IF(E56&lt;&gt;""=TRUE,"","X")</f>
        <v>X</v>
      </c>
    </row>
    <row r="57" spans="2:17">
      <c r="B57" s="1077"/>
      <c r="C57" s="1100" t="s">
        <v>1071</v>
      </c>
      <c r="D57" s="1173" t="s">
        <v>66</v>
      </c>
      <c r="E57" s="1793">
        <f>E56-E55</f>
        <v>0</v>
      </c>
      <c r="F57" s="579"/>
      <c r="G57" s="1350" t="str">
        <f>IF(LEFT(D57,1)="$","","X")</f>
        <v/>
      </c>
      <c r="H57" s="1328"/>
      <c r="I57" s="1185"/>
      <c r="J57" s="1185"/>
      <c r="K57" s="1328"/>
    </row>
    <row r="58" spans="2:17">
      <c r="B58" s="1077"/>
      <c r="C58" s="1100" t="s">
        <v>1072</v>
      </c>
      <c r="D58" s="1173" t="s">
        <v>66</v>
      </c>
      <c r="E58" s="978"/>
      <c r="F58" s="579"/>
      <c r="G58" s="1327" t="str">
        <f>IF(LEFT(D58,1)="$","","X")</f>
        <v/>
      </c>
      <c r="H58" s="1322" t="str">
        <f>IF(AND(E58&lt;&gt;"",ISBLANK(D58))=TRUE,"X","")</f>
        <v/>
      </c>
      <c r="I58" s="1186" t="str">
        <f>IF(ISNONTEXT(E58)=TRUE,"","X")</f>
        <v/>
      </c>
      <c r="J58" s="1185"/>
      <c r="K58" s="1322" t="str">
        <f>IF(E58&lt;&gt;""=TRUE,"","X")</f>
        <v>X</v>
      </c>
    </row>
    <row r="59" spans="2:17">
      <c r="B59" s="1077"/>
      <c r="C59" s="1087" t="s">
        <v>1073</v>
      </c>
      <c r="D59" s="1174" t="s">
        <v>66</v>
      </c>
      <c r="E59" s="979"/>
      <c r="F59" s="579"/>
      <c r="G59" s="1329" t="str">
        <f>IF(LEFT(D59,1)="$","","X")</f>
        <v/>
      </c>
      <c r="H59" s="1324" t="str">
        <f>IF(AND(E59&lt;&gt;"",ISBLANK(D59))=TRUE,"X","")</f>
        <v/>
      </c>
      <c r="I59" s="1323" t="str">
        <f>IF(ISNONTEXT(E59)=TRUE,"","X")</f>
        <v/>
      </c>
      <c r="J59" s="1332"/>
      <c r="K59" s="1324" t="str">
        <f>IF(E59&lt;&gt;""=TRUE,"","X")</f>
        <v>X</v>
      </c>
    </row>
    <row r="60" spans="2:17" ht="15" customHeight="1">
      <c r="B60" s="1077"/>
      <c r="C60" s="1103"/>
      <c r="D60" s="1084"/>
      <c r="E60" s="1736"/>
      <c r="F60" s="579"/>
      <c r="G60" s="579"/>
      <c r="H60" s="579"/>
    </row>
    <row r="61" spans="2:17">
      <c r="B61" s="912"/>
      <c r="C61" s="579"/>
      <c r="D61" s="579"/>
      <c r="E61" s="1736"/>
      <c r="F61" s="579"/>
      <c r="G61" s="579"/>
      <c r="H61" s="579"/>
    </row>
    <row r="62" spans="2:17">
      <c r="B62" s="912"/>
      <c r="C62" s="912"/>
      <c r="D62" s="579"/>
      <c r="E62" s="1736"/>
      <c r="F62" s="579"/>
      <c r="G62" s="579"/>
      <c r="H62" s="579"/>
    </row>
    <row r="63" spans="2:17">
      <c r="B63" s="579"/>
      <c r="C63" s="1310" t="s">
        <v>1471</v>
      </c>
      <c r="D63" s="1852"/>
      <c r="E63" s="1736"/>
      <c r="F63" s="579"/>
    </row>
    <row r="64" spans="2:17">
      <c r="B64" s="912"/>
      <c r="C64" s="1847" t="s">
        <v>1495</v>
      </c>
      <c r="D64" s="579"/>
      <c r="E64" s="1736"/>
      <c r="F64" s="579"/>
      <c r="G64" s="579"/>
      <c r="H64" s="579"/>
    </row>
    <row r="65" spans="2:8">
      <c r="B65" s="912"/>
      <c r="C65" s="579"/>
      <c r="D65" s="579"/>
      <c r="E65" s="579"/>
      <c r="F65" s="579"/>
      <c r="G65" s="579"/>
      <c r="H65" s="579"/>
    </row>
    <row r="66" spans="2:8">
      <c r="B66" s="912"/>
      <c r="C66" s="579"/>
      <c r="D66" s="579"/>
      <c r="E66" s="579"/>
      <c r="F66" s="579"/>
      <c r="G66" s="579"/>
      <c r="H66" s="579"/>
    </row>
    <row r="67" spans="2:8">
      <c r="B67" s="912"/>
      <c r="C67" s="579"/>
      <c r="D67" s="579"/>
      <c r="E67" s="579"/>
      <c r="F67" s="579"/>
      <c r="G67" s="579"/>
      <c r="H67" s="579"/>
    </row>
    <row r="68" spans="2:8">
      <c r="B68" s="912"/>
      <c r="C68" s="579"/>
      <c r="D68" s="579"/>
      <c r="E68" s="579"/>
      <c r="F68" s="579"/>
      <c r="G68" s="579"/>
      <c r="H68" s="579"/>
    </row>
    <row r="69" spans="2:8">
      <c r="B69" s="912"/>
      <c r="C69" s="579"/>
      <c r="D69" s="579"/>
      <c r="E69" s="579"/>
      <c r="F69" s="579"/>
    </row>
    <row r="70" spans="2:8">
      <c r="B70" s="912"/>
      <c r="C70" s="579"/>
      <c r="D70" s="579"/>
      <c r="E70" s="579"/>
      <c r="F70" s="579"/>
    </row>
  </sheetData>
  <mergeCells count="3">
    <mergeCell ref="F8:I8"/>
    <mergeCell ref="I10:K10"/>
    <mergeCell ref="G10:H10"/>
  </mergeCells>
  <conditionalFormatting sqref="C63">
    <cfRule type="cellIs" dxfId="28" priority="1" operator="equal">
      <formula>FALSE</formula>
    </cfRule>
  </conditionalFormatting>
  <conditionalFormatting sqref="E11:E22">
    <cfRule type="expression" dxfId="27" priority="6">
      <formula>dms_worksheet210flag="Worksheet 2.10"</formula>
    </cfRule>
  </conditionalFormatting>
  <conditionalFormatting sqref="E24:E33">
    <cfRule type="expression" dxfId="26" priority="4">
      <formula>dms_worksheet210flag="Worksheet 2.10"</formula>
    </cfRule>
  </conditionalFormatting>
  <conditionalFormatting sqref="E35">
    <cfRule type="expression" dxfId="25" priority="15">
      <formula>dms_worksheet210flag="Worksheet 2.10"</formula>
    </cfRule>
  </conditionalFormatting>
  <conditionalFormatting sqref="E38:E45">
    <cfRule type="expression" dxfId="24" priority="3">
      <formula>dms_worksheet210flag="Worksheet 2.10"</formula>
    </cfRule>
  </conditionalFormatting>
  <conditionalFormatting sqref="E47:E52">
    <cfRule type="expression" dxfId="23" priority="26">
      <formula>dms_worksheet210flag="Worksheet 2.10"</formula>
    </cfRule>
  </conditionalFormatting>
  <conditionalFormatting sqref="E55:E59">
    <cfRule type="expression" dxfId="22" priority="18">
      <formula>dms_worksheet210flag="Worksheet 2.10"</formula>
    </cfRule>
  </conditionalFormatting>
  <dataValidations count="1">
    <dataValidation allowBlank="1" showErrorMessage="1" sqref="C64 A6:A7 C6:XFD7" xr:uid="{EC22FDA6-C306-4566-BE34-0B071E022CB0}"/>
  </dataValidations>
  <pageMargins left="0.7" right="0.7" top="0.75" bottom="0.75" header="0.3" footer="0.3"/>
  <pageSetup paperSize="9" scale="6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6B98BF"/>
    <pageSetUpPr fitToPage="1"/>
  </sheetPr>
  <dimension ref="B1:AC32"/>
  <sheetViews>
    <sheetView workbookViewId="0"/>
  </sheetViews>
  <sheetFormatPr defaultColWidth="9.1796875" defaultRowHeight="14.5"/>
  <cols>
    <col min="1" max="1" width="5.6328125" style="1" customWidth="1"/>
    <col min="2" max="2" width="25.6328125" style="1060" customWidth="1"/>
    <col min="3" max="3" width="40.54296875" style="1" bestFit="1" customWidth="1"/>
    <col min="4" max="4" width="9.81640625" style="1" customWidth="1"/>
    <col min="5" max="9" width="18.453125" style="1" customWidth="1"/>
    <col min="10" max="10" width="9.1796875" style="1"/>
    <col min="11" max="13" width="6.453125" style="1" customWidth="1"/>
    <col min="14" max="16" width="4.54296875" style="1" customWidth="1"/>
    <col min="17" max="17" width="5.54296875" style="1" customWidth="1"/>
    <col min="18" max="20" width="4.54296875" style="1" customWidth="1"/>
    <col min="21" max="21" width="5.54296875" style="1" customWidth="1"/>
    <col min="22" max="22" width="4.54296875" style="1" customWidth="1"/>
    <col min="23" max="23" width="5.6328125" style="1" customWidth="1"/>
    <col min="24" max="24" width="4.54296875" style="1" customWidth="1"/>
    <col min="25" max="25" width="5.54296875" style="1" customWidth="1"/>
    <col min="26" max="28" width="4.54296875" style="1" customWidth="1"/>
    <col min="29" max="29" width="5.453125" style="1" customWidth="1"/>
    <col min="30" max="16384" width="9.1796875" style="1"/>
  </cols>
  <sheetData>
    <row r="1" spans="2:29" s="952" customFormat="1" ht="20" customHeight="1">
      <c r="B1" s="982"/>
      <c r="C1" s="914" t="str">
        <f>dms_SheetHeading1</f>
        <v>ANNUAL INFORMATION ORDER</v>
      </c>
      <c r="D1" s="1024"/>
      <c r="E1" s="1024"/>
      <c r="F1" s="1024"/>
      <c r="G1" s="1024"/>
      <c r="H1" s="1024"/>
      <c r="I1" s="1024"/>
      <c r="K1" s="1556" t="s">
        <v>1003</v>
      </c>
      <c r="L1" s="1556"/>
      <c r="M1" s="1556"/>
      <c r="N1" s="1556"/>
      <c r="O1" s="1556"/>
      <c r="P1" s="1556"/>
      <c r="Q1" s="1557" t="s">
        <v>1002</v>
      </c>
      <c r="R1" s="1556"/>
      <c r="S1" s="1556"/>
      <c r="T1" s="1556"/>
      <c r="U1" s="1556"/>
      <c r="V1" s="1556"/>
      <c r="W1" s="1556"/>
      <c r="X1" s="1"/>
      <c r="Y1" s="1"/>
    </row>
    <row r="2" spans="2:29" s="952" customFormat="1" ht="20" customHeight="1">
      <c r="B2" s="982"/>
      <c r="C2" s="915" t="str">
        <f>dms_SheetHeading2</f>
        <v>Australian Transmission Co.</v>
      </c>
      <c r="D2" s="1024"/>
      <c r="E2" s="1024"/>
      <c r="F2" s="1024"/>
      <c r="G2" s="1024"/>
      <c r="H2" s="1024"/>
      <c r="I2" s="1024"/>
      <c r="K2" s="1558" t="s">
        <v>1004</v>
      </c>
      <c r="L2" s="1558"/>
      <c r="M2" s="1558"/>
      <c r="N2" s="1558"/>
      <c r="O2" s="1558"/>
      <c r="P2" s="1558"/>
      <c r="Q2" s="1559" t="s">
        <v>179</v>
      </c>
      <c r="R2" s="1558"/>
      <c r="S2" s="1558"/>
      <c r="T2" s="1558"/>
      <c r="U2" s="1558"/>
      <c r="V2" s="1558"/>
      <c r="W2" s="1558"/>
      <c r="X2" s="1"/>
      <c r="Y2" s="1"/>
    </row>
    <row r="3" spans="2:29" s="952" customFormat="1" ht="20" customHeight="1">
      <c r="B3" s="982"/>
      <c r="C3" s="916" t="str">
        <f>dms_SheetHeading3</f>
        <v>REPORTING STATEMENT: 2025-26</v>
      </c>
      <c r="D3" s="1024"/>
      <c r="E3" s="1024"/>
      <c r="F3" s="1024"/>
      <c r="G3" s="1024"/>
      <c r="H3" s="1024"/>
      <c r="I3" s="1024"/>
      <c r="K3" s="1560" t="s">
        <v>1005</v>
      </c>
      <c r="L3" s="1560"/>
      <c r="M3" s="1560"/>
      <c r="N3" s="1560"/>
      <c r="O3" s="1560"/>
      <c r="P3" s="1560"/>
      <c r="Q3" s="1561" t="s">
        <v>180</v>
      </c>
      <c r="R3" s="1560"/>
      <c r="S3" s="1560"/>
      <c r="T3" s="1560"/>
      <c r="U3" s="1560"/>
      <c r="V3" s="1560"/>
      <c r="W3" s="1560"/>
      <c r="X3" s="1"/>
      <c r="Y3" s="1"/>
    </row>
    <row r="4" spans="2:29" s="952" customFormat="1" ht="20" customHeight="1">
      <c r="B4" s="982"/>
      <c r="C4" s="1025" t="s">
        <v>1673</v>
      </c>
      <c r="D4" s="1026"/>
      <c r="E4" s="1026"/>
      <c r="F4" s="1026"/>
      <c r="G4" s="1026"/>
      <c r="H4" s="1026"/>
      <c r="I4" s="1026"/>
      <c r="K4" s="1562" t="s">
        <v>1007</v>
      </c>
      <c r="L4" s="1563"/>
      <c r="M4" s="1564"/>
      <c r="N4" s="1565"/>
      <c r="O4" s="1565"/>
      <c r="P4" s="1565"/>
      <c r="Q4" s="1566" t="s">
        <v>1006</v>
      </c>
      <c r="R4" s="1565"/>
      <c r="S4" s="1565"/>
      <c r="T4" s="1565"/>
      <c r="U4" s="1565"/>
      <c r="V4" s="1565"/>
      <c r="W4" s="1565"/>
      <c r="X4" s="1"/>
      <c r="Y4" s="1"/>
    </row>
    <row r="5" spans="2:29">
      <c r="B5" s="982"/>
      <c r="C5" s="982"/>
      <c r="D5" s="982"/>
      <c r="E5" s="982"/>
      <c r="F5" s="982"/>
      <c r="G5" s="982"/>
      <c r="H5" s="982"/>
      <c r="I5" s="982"/>
    </row>
    <row r="6" spans="2:29" ht="15" customHeight="1">
      <c r="C6" s="1448" t="s">
        <v>1532</v>
      </c>
      <c r="D6" s="1433"/>
      <c r="E6" s="1433"/>
      <c r="F6" s="1433"/>
      <c r="G6" s="1433"/>
      <c r="H6" s="1433"/>
      <c r="I6" s="1433"/>
    </row>
    <row r="7" spans="2:29" ht="15" customHeight="1">
      <c r="C7" s="1429" t="s">
        <v>1533</v>
      </c>
      <c r="D7" s="1430"/>
      <c r="E7" s="1430"/>
      <c r="F7" s="1430"/>
      <c r="G7" s="1430"/>
      <c r="H7" s="1430"/>
      <c r="I7" s="1430"/>
    </row>
    <row r="8" spans="2:29" ht="18" customHeight="1">
      <c r="C8" s="1550" t="s">
        <v>1674</v>
      </c>
      <c r="D8" s="892"/>
      <c r="E8" s="892"/>
      <c r="F8" s="892"/>
      <c r="G8" s="892"/>
      <c r="H8" s="892"/>
      <c r="I8" s="892"/>
    </row>
    <row r="9" spans="2:29" ht="18.5">
      <c r="B9" s="1"/>
      <c r="C9" s="13"/>
      <c r="D9" s="13"/>
      <c r="E9" s="13"/>
      <c r="K9" s="2157" t="s">
        <v>1302</v>
      </c>
      <c r="L9" s="2158"/>
      <c r="M9" s="2159"/>
      <c r="N9" s="1473" t="s">
        <v>1293</v>
      </c>
      <c r="O9" s="1474" t="s">
        <v>1294</v>
      </c>
      <c r="P9" s="1475" t="s">
        <v>1295</v>
      </c>
      <c r="Q9" s="1476" t="s">
        <v>1531</v>
      </c>
      <c r="R9" s="1473" t="s">
        <v>1293</v>
      </c>
      <c r="S9" s="1474" t="s">
        <v>1294</v>
      </c>
      <c r="T9" s="1475" t="s">
        <v>1295</v>
      </c>
      <c r="U9" s="1476" t="s">
        <v>1531</v>
      </c>
      <c r="V9" s="1473" t="s">
        <v>1293</v>
      </c>
      <c r="W9" s="1474" t="s">
        <v>1294</v>
      </c>
      <c r="X9" s="1475" t="s">
        <v>1295</v>
      </c>
      <c r="Y9" s="1476" t="s">
        <v>1531</v>
      </c>
      <c r="Z9" s="1473" t="s">
        <v>1293</v>
      </c>
      <c r="AA9" s="1474" t="s">
        <v>1294</v>
      </c>
      <c r="AB9" s="1475" t="s">
        <v>1295</v>
      </c>
      <c r="AC9" s="1476" t="s">
        <v>1531</v>
      </c>
    </row>
    <row r="10" spans="2:29" ht="26">
      <c r="B10" s="1"/>
      <c r="C10" s="1046" t="s">
        <v>1030</v>
      </c>
      <c r="D10" s="889" t="s">
        <v>1118</v>
      </c>
      <c r="E10" s="1795" t="s">
        <v>1666</v>
      </c>
      <c r="F10" s="1071" t="s">
        <v>1156</v>
      </c>
      <c r="G10" s="1071" t="s">
        <v>1185</v>
      </c>
      <c r="H10" s="1071" t="s">
        <v>1186</v>
      </c>
      <c r="I10" s="1081" t="s">
        <v>1187</v>
      </c>
      <c r="K10" s="2160" t="s">
        <v>1298</v>
      </c>
      <c r="L10" s="2161"/>
      <c r="M10" s="2162"/>
      <c r="N10" s="2154" t="s">
        <v>1156</v>
      </c>
      <c r="O10" s="2155"/>
      <c r="P10" s="2155"/>
      <c r="Q10" s="2156"/>
      <c r="R10" s="2154" t="s">
        <v>1185</v>
      </c>
      <c r="S10" s="2155"/>
      <c r="T10" s="2155"/>
      <c r="U10" s="2156"/>
      <c r="V10" s="2154" t="s">
        <v>1186</v>
      </c>
      <c r="W10" s="2155"/>
      <c r="X10" s="2155"/>
      <c r="Y10" s="2156"/>
      <c r="Z10" s="2154" t="s">
        <v>1187</v>
      </c>
      <c r="AA10" s="2155"/>
      <c r="AB10" s="2155"/>
      <c r="AC10" s="2156"/>
    </row>
    <row r="11" spans="2:29" ht="15" customHeight="1">
      <c r="B11" s="1077"/>
      <c r="C11" s="1011" t="s">
        <v>1025</v>
      </c>
      <c r="D11" s="1012" t="s">
        <v>66</v>
      </c>
      <c r="E11" s="1231">
        <f>SUM(F11:I11)</f>
        <v>0</v>
      </c>
      <c r="F11" s="1013"/>
      <c r="G11" s="1013"/>
      <c r="H11" s="1013"/>
      <c r="I11" s="1014"/>
      <c r="K11" s="2148"/>
      <c r="L11" s="2149"/>
      <c r="M11" s="2150"/>
      <c r="N11" s="1711" t="str">
        <f>IF(ISNONTEXT(F11)=TRUE,"","X")</f>
        <v/>
      </c>
      <c r="O11" s="1345" t="str">
        <f>IF(AND(F11&gt;=0)=TRUE,"","X")</f>
        <v/>
      </c>
      <c r="P11" s="1345" t="str">
        <f>IF(F11&lt;&gt;""=TRUE,"","X")</f>
        <v>X</v>
      </c>
      <c r="Q11" s="1709"/>
      <c r="R11" s="1711" t="str">
        <f>IF(ISNONTEXT(G11)=TRUE,"","X")</f>
        <v/>
      </c>
      <c r="S11" s="1345" t="str">
        <f>IF(AND(G11&gt;=0)=TRUE,"","X")</f>
        <v/>
      </c>
      <c r="T11" s="1345" t="str">
        <f>IF(G11&lt;&gt;""=TRUE,"","X")</f>
        <v>X</v>
      </c>
      <c r="U11" s="1709"/>
      <c r="V11" s="1711" t="str">
        <f>IF(ISNONTEXT(H11)=TRUE,"","X")</f>
        <v/>
      </c>
      <c r="W11" s="1345" t="str">
        <f>IF(AND(H11&gt;=0)=TRUE,"","X")</f>
        <v/>
      </c>
      <c r="X11" s="1345" t="str">
        <f>IF(H11&lt;&gt;""=TRUE,"","X")</f>
        <v>X</v>
      </c>
      <c r="Y11" s="1709"/>
      <c r="Z11" s="1711" t="str">
        <f>IF(ISNONTEXT(I11)=TRUE,"","X")</f>
        <v/>
      </c>
      <c r="AA11" s="1345" t="str">
        <f>IF(AND(I11&gt;=0)=TRUE,"","X")</f>
        <v/>
      </c>
      <c r="AB11" s="1345" t="str">
        <f>IF(I11&lt;&gt;""=TRUE,"","X")</f>
        <v>X</v>
      </c>
      <c r="AC11" s="1709"/>
    </row>
    <row r="12" spans="2:29">
      <c r="B12" s="1078"/>
      <c r="C12" s="1057" t="s">
        <v>1026</v>
      </c>
      <c r="D12" s="1019" t="s">
        <v>66</v>
      </c>
      <c r="E12" s="1233">
        <f>SUM(F12:I12)</f>
        <v>0</v>
      </c>
      <c r="F12" s="1020"/>
      <c r="G12" s="1020"/>
      <c r="H12" s="1020"/>
      <c r="I12" s="1021"/>
      <c r="K12" s="2145"/>
      <c r="L12" s="2146"/>
      <c r="M12" s="2147"/>
      <c r="N12" s="1329" t="str">
        <f>IF(ISNONTEXT(F12)=TRUE,"","X")</f>
        <v/>
      </c>
      <c r="O12" s="1323" t="str">
        <f>IF(AND(F12&gt;=0)=TRUE,"","X")</f>
        <v/>
      </c>
      <c r="P12" s="1323" t="str">
        <f>IF(F12&lt;&gt;""=TRUE,"","X")</f>
        <v>X</v>
      </c>
      <c r="Q12" s="1333"/>
      <c r="R12" s="1329" t="str">
        <f>IF(ISNONTEXT(G12)=TRUE,"","X")</f>
        <v/>
      </c>
      <c r="S12" s="1323" t="str">
        <f>IF(AND(G12&gt;=0)=TRUE,"","X")</f>
        <v/>
      </c>
      <c r="T12" s="1323" t="str">
        <f>IF(G12&lt;&gt;""=TRUE,"","X")</f>
        <v>X</v>
      </c>
      <c r="U12" s="1333"/>
      <c r="V12" s="1329" t="str">
        <f>IF(ISNONTEXT(H12)=TRUE,"","X")</f>
        <v/>
      </c>
      <c r="W12" s="1323" t="str">
        <f>IF(AND(H12&gt;=0)=TRUE,"","X")</f>
        <v/>
      </c>
      <c r="X12" s="1323" t="str">
        <f>IF(H12&lt;&gt;""=TRUE,"","X")</f>
        <v>X</v>
      </c>
      <c r="Y12" s="1333"/>
      <c r="Z12" s="1329" t="str">
        <f>IF(ISNONTEXT(I12)=TRUE,"","X")</f>
        <v/>
      </c>
      <c r="AA12" s="1323" t="str">
        <f>IF(AND(I12&gt;=0)=TRUE,"","X")</f>
        <v/>
      </c>
      <c r="AB12" s="1323" t="str">
        <f>IF(I12&lt;&gt;""=TRUE,"","X")</f>
        <v>X</v>
      </c>
      <c r="AC12" s="1333"/>
    </row>
    <row r="13" spans="2:29">
      <c r="B13" s="1076"/>
      <c r="C13" s="957" t="s">
        <v>1024</v>
      </c>
      <c r="D13" s="896"/>
      <c r="E13" s="896"/>
      <c r="F13" s="579"/>
      <c r="G13" s="579"/>
      <c r="H13" s="579"/>
      <c r="I13" s="579"/>
    </row>
    <row r="14" spans="2:29">
      <c r="B14" s="1077"/>
      <c r="C14" s="980" t="s">
        <v>1027</v>
      </c>
      <c r="D14" s="941" t="s">
        <v>66</v>
      </c>
      <c r="E14" s="1231">
        <f t="shared" ref="E14:E17" si="0">SUM(F14:I14)</f>
        <v>0</v>
      </c>
      <c r="F14" s="1013"/>
      <c r="G14" s="1013"/>
      <c r="H14" s="1013"/>
      <c r="I14" s="1014"/>
      <c r="K14" s="2148"/>
      <c r="L14" s="2149"/>
      <c r="M14" s="2150"/>
      <c r="N14" s="1711" t="str">
        <f>IF(ISNONTEXT(F14)=TRUE,"","X")</f>
        <v/>
      </c>
      <c r="O14" s="1345" t="str">
        <f>IF(AND(F14&gt;=0)=TRUE,"","X")</f>
        <v/>
      </c>
      <c r="P14" s="1345" t="str">
        <f>IF(F14&lt;&gt;""=TRUE,"","X")</f>
        <v>X</v>
      </c>
      <c r="Q14" s="1709"/>
      <c r="R14" s="1711" t="str">
        <f>IF(ISNONTEXT(G14)=TRUE,"","X")</f>
        <v/>
      </c>
      <c r="S14" s="1345" t="str">
        <f>IF(AND(G14&gt;=0)=TRUE,"","X")</f>
        <v/>
      </c>
      <c r="T14" s="1345" t="str">
        <f>IF(G14&lt;&gt;""=TRUE,"","X")</f>
        <v>X</v>
      </c>
      <c r="U14" s="1709"/>
      <c r="V14" s="1711" t="str">
        <f>IF(ISNONTEXT(H14)=TRUE,"","X")</f>
        <v/>
      </c>
      <c r="W14" s="1345" t="str">
        <f>IF(AND(H14&gt;=0)=TRUE,"","X")</f>
        <v/>
      </c>
      <c r="X14" s="1345" t="str">
        <f>IF(H14&lt;&gt;""=TRUE,"","X")</f>
        <v>X</v>
      </c>
      <c r="Y14" s="1709"/>
      <c r="Z14" s="1711" t="str">
        <f>IF(ISNONTEXT(I14)=TRUE,"","X")</f>
        <v/>
      </c>
      <c r="AA14" s="1345" t="str">
        <f>IF(AND(I14&gt;=0)=TRUE,"","X")</f>
        <v/>
      </c>
      <c r="AB14" s="1345" t="str">
        <f>IF(I14&lt;&gt;""=TRUE,"","X")</f>
        <v>X</v>
      </c>
      <c r="AC14" s="1709"/>
    </row>
    <row r="15" spans="2:29">
      <c r="B15" s="1077"/>
      <c r="C15" s="1240"/>
      <c r="D15" s="942" t="s">
        <v>66</v>
      </c>
      <c r="E15" s="1232">
        <f t="shared" si="0"/>
        <v>0</v>
      </c>
      <c r="F15" s="1017"/>
      <c r="G15" s="1017"/>
      <c r="H15" s="1017"/>
      <c r="I15" s="1018"/>
      <c r="K15" s="2122" t="s">
        <v>1312</v>
      </c>
      <c r="L15" s="2132"/>
      <c r="M15" s="2143"/>
      <c r="N15" s="1327" t="str">
        <f t="shared" ref="N15:N17" si="1">IF(ISNONTEXT(F15)=TRUE,"","X")</f>
        <v/>
      </c>
      <c r="O15" s="1186" t="str">
        <f t="shared" ref="O15:O17" si="2">IF(AND(F15&gt;=0)=TRUE,"","X")</f>
        <v/>
      </c>
      <c r="P15" s="1185"/>
      <c r="Q15" s="1322" t="str">
        <f>IF(AND(F15&lt;&gt;"",$C15&lt;&gt;""),"",IF(AND(ISBLANK(F15),LEFT($C15,5)="&lt;TNSP"),"",IF(AND(ISBLANK(F15),ISBLANK($C15)),"","X")))</f>
        <v/>
      </c>
      <c r="R15" s="1327" t="str">
        <f t="shared" ref="R15:R17" si="3">IF(ISNONTEXT(G15)=TRUE,"","X")</f>
        <v/>
      </c>
      <c r="S15" s="1186" t="str">
        <f t="shared" ref="S15:S17" si="4">IF(AND(G15&gt;=0)=TRUE,"","X")</f>
        <v/>
      </c>
      <c r="T15" s="1185"/>
      <c r="U15" s="1322" t="str">
        <f>IF(AND(G15&lt;&gt;"",$C15&lt;&gt;""),"",IF(AND(ISBLANK(G15),LEFT($C15,5)="&lt;TNSP"),"",IF(AND(ISBLANK(G15),ISBLANK($C15)),"","X")))</f>
        <v/>
      </c>
      <c r="V15" s="1327" t="str">
        <f t="shared" ref="V15:V17" si="5">IF(ISNONTEXT(H15)=TRUE,"","X")</f>
        <v/>
      </c>
      <c r="W15" s="1186" t="str">
        <f t="shared" ref="W15:W17" si="6">IF(AND(H15&gt;=0)=TRUE,"","X")</f>
        <v/>
      </c>
      <c r="X15" s="1185"/>
      <c r="Y15" s="1322" t="str">
        <f>IF(AND(H15&lt;&gt;"",$C15&lt;&gt;""),"",IF(AND(ISBLANK(H15),LEFT($C15,5)="&lt;TNSP"),"",IF(AND(ISBLANK(H15),ISBLANK($C15)),"","X")))</f>
        <v/>
      </c>
      <c r="Z15" s="1327" t="str">
        <f t="shared" ref="Z15:Z17" si="7">IF(ISNONTEXT(I15)=TRUE,"","X")</f>
        <v/>
      </c>
      <c r="AA15" s="1186" t="str">
        <f t="shared" ref="AA15:AA17" si="8">IF(AND(I15&gt;=0)=TRUE,"","X")</f>
        <v/>
      </c>
      <c r="AB15" s="1185"/>
      <c r="AC15" s="1322" t="str">
        <f>IF(AND(I15&lt;&gt;"",$C15&lt;&gt;""),"",IF(AND(ISBLANK(I15),LEFT($C15,5)="&lt;TNSP"),"",IF(AND(ISBLANK(I15),ISBLANK($C15)),"","X")))</f>
        <v/>
      </c>
    </row>
    <row r="16" spans="2:29">
      <c r="B16" s="1077"/>
      <c r="C16" s="1240"/>
      <c r="D16" s="942" t="s">
        <v>66</v>
      </c>
      <c r="E16" s="1232">
        <f t="shared" si="0"/>
        <v>0</v>
      </c>
      <c r="F16" s="1017"/>
      <c r="G16" s="1017"/>
      <c r="H16" s="1017"/>
      <c r="I16" s="1018"/>
      <c r="K16" s="2122"/>
      <c r="L16" s="2132"/>
      <c r="M16" s="2143"/>
      <c r="N16" s="1327" t="str">
        <f t="shared" si="1"/>
        <v/>
      </c>
      <c r="O16" s="1186" t="str">
        <f t="shared" si="2"/>
        <v/>
      </c>
      <c r="P16" s="1185"/>
      <c r="Q16" s="1322" t="str">
        <f t="shared" ref="Q16:Q17" si="9">IF(AND(F16&lt;&gt;"",$C16&lt;&gt;""),"",IF(AND(ISBLANK(F16),LEFT($C16,5)="&lt;TNSP"),"",IF(AND(ISBLANK(F16),ISBLANK($C16)),"","X")))</f>
        <v/>
      </c>
      <c r="R16" s="1327" t="str">
        <f t="shared" si="3"/>
        <v/>
      </c>
      <c r="S16" s="1186" t="str">
        <f t="shared" si="4"/>
        <v/>
      </c>
      <c r="T16" s="1185"/>
      <c r="U16" s="1322" t="str">
        <f t="shared" ref="U16:U17" si="10">IF(AND(G16&lt;&gt;"",$C16&lt;&gt;""),"",IF(AND(ISBLANK(G16),LEFT($C16,5)="&lt;TNSP"),"",IF(AND(ISBLANK(G16),ISBLANK($C16)),"","X")))</f>
        <v/>
      </c>
      <c r="V16" s="1327" t="str">
        <f t="shared" si="5"/>
        <v/>
      </c>
      <c r="W16" s="1186" t="str">
        <f t="shared" si="6"/>
        <v/>
      </c>
      <c r="X16" s="1185"/>
      <c r="Y16" s="1322" t="str">
        <f t="shared" ref="Y16:Y17" si="11">IF(AND(H16&lt;&gt;"",$C16&lt;&gt;""),"",IF(AND(ISBLANK(H16),LEFT($C16,5)="&lt;TNSP"),"",IF(AND(ISBLANK(H16),ISBLANK($C16)),"","X")))</f>
        <v/>
      </c>
      <c r="Z16" s="1327" t="str">
        <f t="shared" si="7"/>
        <v/>
      </c>
      <c r="AA16" s="1186" t="str">
        <f t="shared" si="8"/>
        <v/>
      </c>
      <c r="AB16" s="1185"/>
      <c r="AC16" s="1322" t="str">
        <f t="shared" ref="AC16:AC17" si="12">IF(AND(I16&lt;&gt;"",$C16&lt;&gt;""),"",IF(AND(ISBLANK(I16),LEFT($C16,5)="&lt;TNSP"),"",IF(AND(ISBLANK(I16),ISBLANK($C16)),"","X")))</f>
        <v/>
      </c>
    </row>
    <row r="17" spans="2:29">
      <c r="B17" s="1909" t="s">
        <v>1334</v>
      </c>
      <c r="C17" s="1241"/>
      <c r="D17" s="943" t="s">
        <v>66</v>
      </c>
      <c r="E17" s="1233">
        <f t="shared" si="0"/>
        <v>0</v>
      </c>
      <c r="F17" s="1020"/>
      <c r="G17" s="1020"/>
      <c r="H17" s="1020"/>
      <c r="I17" s="1021"/>
      <c r="K17" s="2123"/>
      <c r="L17" s="2140"/>
      <c r="M17" s="2144"/>
      <c r="N17" s="1329" t="str">
        <f t="shared" si="1"/>
        <v/>
      </c>
      <c r="O17" s="1323" t="str">
        <f t="shared" si="2"/>
        <v/>
      </c>
      <c r="P17" s="1332"/>
      <c r="Q17" s="1324" t="str">
        <f t="shared" si="9"/>
        <v/>
      </c>
      <c r="R17" s="1329" t="str">
        <f t="shared" si="3"/>
        <v/>
      </c>
      <c r="S17" s="1323" t="str">
        <f t="shared" si="4"/>
        <v/>
      </c>
      <c r="T17" s="1332"/>
      <c r="U17" s="1324" t="str">
        <f t="shared" si="10"/>
        <v/>
      </c>
      <c r="V17" s="1329" t="str">
        <f t="shared" si="5"/>
        <v/>
      </c>
      <c r="W17" s="1323" t="str">
        <f t="shared" si="6"/>
        <v/>
      </c>
      <c r="X17" s="1332"/>
      <c r="Y17" s="1324" t="str">
        <f t="shared" si="11"/>
        <v/>
      </c>
      <c r="Z17" s="1329" t="str">
        <f t="shared" si="7"/>
        <v/>
      </c>
      <c r="AA17" s="1323" t="str">
        <f t="shared" si="8"/>
        <v/>
      </c>
      <c r="AB17" s="1332"/>
      <c r="AC17" s="1324" t="str">
        <f t="shared" si="12"/>
        <v/>
      </c>
    </row>
    <row r="18" spans="2:29">
      <c r="B18" s="579"/>
      <c r="C18" s="957" t="s">
        <v>1029</v>
      </c>
      <c r="D18" s="1079"/>
      <c r="E18" s="579"/>
      <c r="F18" s="579"/>
      <c r="G18" s="579"/>
      <c r="H18" s="579"/>
      <c r="I18" s="579"/>
    </row>
    <row r="19" spans="2:29">
      <c r="B19" s="963"/>
      <c r="C19" s="1049" t="s">
        <v>1136</v>
      </c>
      <c r="D19" s="941" t="s">
        <v>66</v>
      </c>
      <c r="E19" s="1231">
        <f t="shared" ref="E19:E20" si="13">SUM(F19:I19)</f>
        <v>0</v>
      </c>
      <c r="F19" s="1013"/>
      <c r="G19" s="1013"/>
      <c r="H19" s="1013"/>
      <c r="I19" s="1014"/>
      <c r="K19" s="2148"/>
      <c r="L19" s="2149"/>
      <c r="M19" s="2150"/>
      <c r="N19" s="1711" t="str">
        <f>IF(ISNONTEXT(F19)=TRUE,"","X")</f>
        <v/>
      </c>
      <c r="O19" s="1345" t="str">
        <f>IF(AND(F19&gt;=0)=TRUE,"","X")</f>
        <v/>
      </c>
      <c r="P19" s="1345" t="str">
        <f>IF(F19&lt;&gt;""=TRUE,"","X")</f>
        <v>X</v>
      </c>
      <c r="Q19" s="1709"/>
      <c r="R19" s="1711" t="str">
        <f>IF(ISNONTEXT(G19)=TRUE,"","X")</f>
        <v/>
      </c>
      <c r="S19" s="1345" t="str">
        <f>IF(AND(G19&gt;=0)=TRUE,"","X")</f>
        <v/>
      </c>
      <c r="T19" s="1345" t="str">
        <f>IF(G19&lt;&gt;""=TRUE,"","X")</f>
        <v>X</v>
      </c>
      <c r="U19" s="1709"/>
      <c r="V19" s="1711" t="str">
        <f>IF(ISNONTEXT(H19)=TRUE,"","X")</f>
        <v/>
      </c>
      <c r="W19" s="1345" t="str">
        <f>IF(AND(H19&gt;=0)=TRUE,"","X")</f>
        <v/>
      </c>
      <c r="X19" s="1345" t="str">
        <f>IF(H19&lt;&gt;""=TRUE,"","X")</f>
        <v>X</v>
      </c>
      <c r="Y19" s="1709"/>
      <c r="Z19" s="1711" t="str">
        <f>IF(ISNONTEXT(I19)=TRUE,"","X")</f>
        <v/>
      </c>
      <c r="AA19" s="1345" t="str">
        <f>IF(AND(I19&gt;=0)=TRUE,"","X")</f>
        <v/>
      </c>
      <c r="AB19" s="1345" t="str">
        <f>IF(I19&lt;&gt;""=TRUE,"","X")</f>
        <v>X</v>
      </c>
      <c r="AC19" s="1709"/>
    </row>
    <row r="20" spans="2:29">
      <c r="B20" s="1078"/>
      <c r="C20" s="981" t="s">
        <v>1146</v>
      </c>
      <c r="D20" s="943" t="s">
        <v>66</v>
      </c>
      <c r="E20" s="1233">
        <f t="shared" si="13"/>
        <v>0</v>
      </c>
      <c r="F20" s="1020"/>
      <c r="G20" s="1020"/>
      <c r="H20" s="1020"/>
      <c r="I20" s="1021"/>
      <c r="K20" s="2145"/>
      <c r="L20" s="2146"/>
      <c r="M20" s="2147"/>
      <c r="N20" s="1329" t="str">
        <f>IF(ISNONTEXT(F20)=TRUE,"","X")</f>
        <v/>
      </c>
      <c r="O20" s="1323" t="str">
        <f>IF(AND(F20&gt;=0)=TRUE,"","X")</f>
        <v/>
      </c>
      <c r="P20" s="1323" t="str">
        <f>IF(F20&lt;&gt;""=TRUE,"","X")</f>
        <v>X</v>
      </c>
      <c r="Q20" s="1333"/>
      <c r="R20" s="1329" t="str">
        <f>IF(ISNONTEXT(G20)=TRUE,"","X")</f>
        <v/>
      </c>
      <c r="S20" s="1323" t="str">
        <f>IF(AND(G20&gt;=0)=TRUE,"","X")</f>
        <v/>
      </c>
      <c r="T20" s="1323" t="str">
        <f>IF(G20&lt;&gt;""=TRUE,"","X")</f>
        <v>X</v>
      </c>
      <c r="U20" s="1333"/>
      <c r="V20" s="1329" t="str">
        <f>IF(ISNONTEXT(H20)=TRUE,"","X")</f>
        <v/>
      </c>
      <c r="W20" s="1323" t="str">
        <f>IF(AND(H20&gt;=0)=TRUE,"","X")</f>
        <v/>
      </c>
      <c r="X20" s="1323" t="str">
        <f>IF(H20&lt;&gt;""=TRUE,"","X")</f>
        <v>X</v>
      </c>
      <c r="Y20" s="1333"/>
      <c r="Z20" s="1329" t="str">
        <f>IF(ISNONTEXT(I20)=TRUE,"","X")</f>
        <v/>
      </c>
      <c r="AA20" s="1323" t="str">
        <f>IF(AND(I20&gt;=0)=TRUE,"","X")</f>
        <v/>
      </c>
      <c r="AB20" s="1323" t="str">
        <f>IF(I20&lt;&gt;""=TRUE,"","X")</f>
        <v>X</v>
      </c>
      <c r="AC20" s="1333"/>
    </row>
    <row r="21" spans="2:29">
      <c r="B21" s="1076"/>
      <c r="C21" s="957" t="s">
        <v>1028</v>
      </c>
      <c r="D21" s="896"/>
      <c r="E21" s="896"/>
      <c r="F21" s="579"/>
      <c r="G21" s="579"/>
      <c r="H21" s="579"/>
      <c r="I21" s="579"/>
    </row>
    <row r="22" spans="2:29">
      <c r="B22" s="1077"/>
      <c r="C22" s="1011" t="s">
        <v>1147</v>
      </c>
      <c r="D22" s="1012" t="s">
        <v>66</v>
      </c>
      <c r="E22" s="1231">
        <f t="shared" ref="E22:E27" si="14">SUM(F22:I22)</f>
        <v>0</v>
      </c>
      <c r="F22" s="1013"/>
      <c r="G22" s="1013"/>
      <c r="H22" s="1013"/>
      <c r="I22" s="1014"/>
      <c r="K22" s="2148"/>
      <c r="L22" s="2149"/>
      <c r="M22" s="2150"/>
      <c r="N22" s="1711" t="str">
        <f>IF(ISNONTEXT(F22)=TRUE,"","X")</f>
        <v/>
      </c>
      <c r="O22" s="1345" t="str">
        <f>IF(AND(F22&gt;=0)=TRUE,"","X")</f>
        <v/>
      </c>
      <c r="P22" s="1345" t="str">
        <f>IF(F22&lt;&gt;""=TRUE,"","X")</f>
        <v>X</v>
      </c>
      <c r="Q22" s="1709"/>
      <c r="R22" s="1711" t="str">
        <f>IF(ISNONTEXT(G22)=TRUE,"","X")</f>
        <v/>
      </c>
      <c r="S22" s="1345" t="str">
        <f>IF(AND(G22&gt;=0)=TRUE,"","X")</f>
        <v/>
      </c>
      <c r="T22" s="1345" t="str">
        <f>IF(G22&lt;&gt;""=TRUE,"","X")</f>
        <v>X</v>
      </c>
      <c r="U22" s="1709"/>
      <c r="V22" s="1711" t="str">
        <f>IF(ISNONTEXT(H22)=TRUE,"","X")</f>
        <v/>
      </c>
      <c r="W22" s="1345" t="str">
        <f>IF(AND(H22&gt;=0)=TRUE,"","X")</f>
        <v/>
      </c>
      <c r="X22" s="1345" t="str">
        <f>IF(H22&lt;&gt;""=TRUE,"","X")</f>
        <v>X</v>
      </c>
      <c r="Y22" s="1709"/>
      <c r="Z22" s="1711" t="str">
        <f>IF(ISNONTEXT(I22)=TRUE,"","X")</f>
        <v/>
      </c>
      <c r="AA22" s="1345" t="str">
        <f>IF(AND(I22&gt;=0)=TRUE,"","X")</f>
        <v/>
      </c>
      <c r="AB22" s="1345" t="str">
        <f>IF(I22&lt;&gt;""=TRUE,"","X")</f>
        <v>X</v>
      </c>
      <c r="AC22" s="1709"/>
    </row>
    <row r="23" spans="2:29">
      <c r="B23" s="1077"/>
      <c r="C23" s="1015" t="s">
        <v>1148</v>
      </c>
      <c r="D23" s="1016" t="s">
        <v>66</v>
      </c>
      <c r="E23" s="1232">
        <f t="shared" si="14"/>
        <v>0</v>
      </c>
      <c r="F23" s="1017"/>
      <c r="G23" s="1017"/>
      <c r="H23" s="1017"/>
      <c r="I23" s="1018"/>
      <c r="K23" s="2151"/>
      <c r="L23" s="2152"/>
      <c r="M23" s="2153"/>
      <c r="N23" s="1327" t="str">
        <f>IF(ISNONTEXT(F23)=TRUE,"","X")</f>
        <v/>
      </c>
      <c r="O23" s="1186" t="str">
        <f>IF(AND(F23&gt;=0)=TRUE,"","X")</f>
        <v/>
      </c>
      <c r="P23" s="1186" t="str">
        <f>IF(F23&lt;&gt;""=TRUE,"","X")</f>
        <v>X</v>
      </c>
      <c r="Q23" s="1328"/>
      <c r="R23" s="1327" t="str">
        <f>IF(ISNONTEXT(G23)=TRUE,"","X")</f>
        <v/>
      </c>
      <c r="S23" s="1186" t="str">
        <f>IF(AND(G23&gt;=0)=TRUE,"","X")</f>
        <v/>
      </c>
      <c r="T23" s="1186" t="str">
        <f>IF(G23&lt;&gt;""=TRUE,"","X")</f>
        <v>X</v>
      </c>
      <c r="U23" s="1328"/>
      <c r="V23" s="1327" t="str">
        <f>IF(ISNONTEXT(H23)=TRUE,"","X")</f>
        <v/>
      </c>
      <c r="W23" s="1186" t="str">
        <f>IF(AND(H23&gt;=0)=TRUE,"","X")</f>
        <v/>
      </c>
      <c r="X23" s="1186" t="str">
        <f>IF(H23&lt;&gt;""=TRUE,"","X")</f>
        <v>X</v>
      </c>
      <c r="Y23" s="1328"/>
      <c r="Z23" s="1327" t="str">
        <f>IF(ISNONTEXT(I23)=TRUE,"","X")</f>
        <v/>
      </c>
      <c r="AA23" s="1186" t="str">
        <f>IF(AND(I23&gt;=0)=TRUE,"","X")</f>
        <v/>
      </c>
      <c r="AB23" s="1186" t="str">
        <f>IF(I23&lt;&gt;""=TRUE,"","X")</f>
        <v>X</v>
      </c>
      <c r="AC23" s="1328"/>
    </row>
    <row r="24" spans="2:29">
      <c r="B24" s="1077"/>
      <c r="C24" s="1015" t="s">
        <v>1149</v>
      </c>
      <c r="D24" s="1016" t="s">
        <v>66</v>
      </c>
      <c r="E24" s="1232">
        <f t="shared" si="14"/>
        <v>0</v>
      </c>
      <c r="F24" s="1017"/>
      <c r="G24" s="1017"/>
      <c r="H24" s="1017"/>
      <c r="I24" s="1018"/>
      <c r="K24" s="2151"/>
      <c r="L24" s="2152"/>
      <c r="M24" s="2153"/>
      <c r="N24" s="1327" t="str">
        <f>IF(ISNONTEXT(F24)=TRUE,"","X")</f>
        <v/>
      </c>
      <c r="O24" s="1186" t="str">
        <f>IF(AND(F24&gt;=0)=TRUE,"","X")</f>
        <v/>
      </c>
      <c r="P24" s="1186" t="str">
        <f>IF(F24&lt;&gt;""=TRUE,"","X")</f>
        <v>X</v>
      </c>
      <c r="Q24" s="1328"/>
      <c r="R24" s="1327" t="str">
        <f>IF(ISNONTEXT(G24)=TRUE,"","X")</f>
        <v/>
      </c>
      <c r="S24" s="1186" t="str">
        <f>IF(AND(G24&gt;=0)=TRUE,"","X")</f>
        <v/>
      </c>
      <c r="T24" s="1186" t="str">
        <f>IF(G24&lt;&gt;""=TRUE,"","X")</f>
        <v>X</v>
      </c>
      <c r="U24" s="1328"/>
      <c r="V24" s="1327" t="str">
        <f>IF(ISNONTEXT(H24)=TRUE,"","X")</f>
        <v/>
      </c>
      <c r="W24" s="1186" t="str">
        <f>IF(AND(H24&gt;=0)=TRUE,"","X")</f>
        <v/>
      </c>
      <c r="X24" s="1186" t="str">
        <f>IF(H24&lt;&gt;""=TRUE,"","X")</f>
        <v>X</v>
      </c>
      <c r="Y24" s="1328"/>
      <c r="Z24" s="1327" t="str">
        <f>IF(ISNONTEXT(I24)=TRUE,"","X")</f>
        <v/>
      </c>
      <c r="AA24" s="1186" t="str">
        <f>IF(AND(I24&gt;=0)=TRUE,"","X")</f>
        <v/>
      </c>
      <c r="AB24" s="1186" t="str">
        <f>IF(I24&lt;&gt;""=TRUE,"","X")</f>
        <v>X</v>
      </c>
      <c r="AC24" s="1328"/>
    </row>
    <row r="25" spans="2:29">
      <c r="B25" s="1077"/>
      <c r="C25" s="1240"/>
      <c r="D25" s="1016" t="s">
        <v>66</v>
      </c>
      <c r="E25" s="1232">
        <f t="shared" si="14"/>
        <v>0</v>
      </c>
      <c r="F25" s="1017"/>
      <c r="G25" s="1017"/>
      <c r="H25" s="1017"/>
      <c r="I25" s="1018"/>
      <c r="K25" s="2122" t="s">
        <v>1312</v>
      </c>
      <c r="L25" s="2132"/>
      <c r="M25" s="2143"/>
      <c r="N25" s="1327" t="str">
        <f t="shared" ref="N25" si="15">IF(ISNONTEXT(F25)=TRUE,"","X")</f>
        <v/>
      </c>
      <c r="O25" s="1186" t="str">
        <f t="shared" ref="O25" si="16">IF(AND(F25&gt;=0)=TRUE,"","X")</f>
        <v/>
      </c>
      <c r="P25" s="1185"/>
      <c r="Q25" s="1322" t="str">
        <f>IF(AND(F25&lt;&gt;"",$C25&lt;&gt;""),"",IF(AND(ISBLANK(F25),LEFT($C25,5)="&lt;TNSP"),"",IF(AND(ISBLANK(F25),ISBLANK($C25)),"","X")))</f>
        <v/>
      </c>
      <c r="R25" s="1327" t="str">
        <f t="shared" ref="R25:R27" si="17">IF(ISNONTEXT(G25)=TRUE,"","X")</f>
        <v/>
      </c>
      <c r="S25" s="1186" t="str">
        <f t="shared" ref="S25:S27" si="18">IF(AND(G25&gt;=0)=TRUE,"","X")</f>
        <v/>
      </c>
      <c r="T25" s="1185"/>
      <c r="U25" s="1322" t="str">
        <f>IF(AND(G25&lt;&gt;"",$C25&lt;&gt;""),"",IF(AND(ISBLANK(G25),LEFT($C25,5)="&lt;TNSP"),"",IF(AND(ISBLANK(G25),ISBLANK($C25)),"","X")))</f>
        <v/>
      </c>
      <c r="V25" s="1327" t="str">
        <f t="shared" ref="V25:V27" si="19">IF(ISNONTEXT(H25)=TRUE,"","X")</f>
        <v/>
      </c>
      <c r="W25" s="1186" t="str">
        <f t="shared" ref="W25:W27" si="20">IF(AND(H25&gt;=0)=TRUE,"","X")</f>
        <v/>
      </c>
      <c r="X25" s="1185"/>
      <c r="Y25" s="1322" t="str">
        <f>IF(AND(H25&lt;&gt;"",$C25&lt;&gt;""),"",IF(AND(ISBLANK(H25),LEFT($C25,5)="&lt;TNSP"),"",IF(AND(ISBLANK(H25),ISBLANK($C25)),"","X")))</f>
        <v/>
      </c>
      <c r="Z25" s="1327" t="str">
        <f t="shared" ref="Z25:Z27" si="21">IF(ISNONTEXT(I25)=TRUE,"","X")</f>
        <v/>
      </c>
      <c r="AA25" s="1186" t="str">
        <f t="shared" ref="AA25:AA27" si="22">IF(AND(I25&gt;=0)=TRUE,"","X")</f>
        <v/>
      </c>
      <c r="AB25" s="1185"/>
      <c r="AC25" s="1322" t="str">
        <f>IF(AND(I25&lt;&gt;"",$C25&lt;&gt;""),"",IF(AND(ISBLANK(I25),LEFT($C25,5)="&lt;TNSP"),"",IF(AND(ISBLANK(I25),ISBLANK($C25)),"","X")))</f>
        <v/>
      </c>
    </row>
    <row r="26" spans="2:29">
      <c r="B26" s="1077"/>
      <c r="C26" s="1240"/>
      <c r="D26" s="1016" t="s">
        <v>66</v>
      </c>
      <c r="E26" s="1232">
        <f t="shared" si="14"/>
        <v>0</v>
      </c>
      <c r="F26" s="1017"/>
      <c r="G26" s="1017"/>
      <c r="H26" s="1017"/>
      <c r="I26" s="1018"/>
      <c r="K26" s="2122"/>
      <c r="L26" s="2132"/>
      <c r="M26" s="2143"/>
      <c r="N26" s="1327" t="str">
        <f t="shared" ref="N26:N27" si="23">IF(ISNONTEXT(F26)=TRUE,"","X")</f>
        <v/>
      </c>
      <c r="O26" s="1186" t="str">
        <f t="shared" ref="O26:O27" si="24">IF(AND(F26&gt;=0)=TRUE,"","X")</f>
        <v/>
      </c>
      <c r="P26" s="1185"/>
      <c r="Q26" s="1322" t="str">
        <f t="shared" ref="Q26:Q27" si="25">IF(AND(F26&lt;&gt;"",$C26&lt;&gt;""),"",IF(AND(ISBLANK(F26),LEFT($C26,5)="&lt;TNSP"),"",IF(AND(ISBLANK(F26),ISBLANK($C26)),"","X")))</f>
        <v/>
      </c>
      <c r="R26" s="1327" t="str">
        <f t="shared" si="17"/>
        <v/>
      </c>
      <c r="S26" s="1186" t="str">
        <f t="shared" si="18"/>
        <v/>
      </c>
      <c r="T26" s="1185"/>
      <c r="U26" s="1322" t="str">
        <f t="shared" ref="U26:U27" si="26">IF(AND(G26&lt;&gt;"",$C26&lt;&gt;""),"",IF(AND(ISBLANK(G26),LEFT($C26,5)="&lt;TNSP"),"",IF(AND(ISBLANK(G26),ISBLANK($C26)),"","X")))</f>
        <v/>
      </c>
      <c r="V26" s="1327" t="str">
        <f t="shared" si="19"/>
        <v/>
      </c>
      <c r="W26" s="1186" t="str">
        <f t="shared" si="20"/>
        <v/>
      </c>
      <c r="X26" s="1185"/>
      <c r="Y26" s="1322" t="str">
        <f t="shared" ref="Y26:Y27" si="27">IF(AND(H26&lt;&gt;"",$C26&lt;&gt;""),"",IF(AND(ISBLANK(H26),LEFT($C26,5)="&lt;TNSP"),"",IF(AND(ISBLANK(H26),ISBLANK($C26)),"","X")))</f>
        <v/>
      </c>
      <c r="Z26" s="1327" t="str">
        <f t="shared" si="21"/>
        <v/>
      </c>
      <c r="AA26" s="1186" t="str">
        <f t="shared" si="22"/>
        <v/>
      </c>
      <c r="AB26" s="1185"/>
      <c r="AC26" s="1322" t="str">
        <f t="shared" ref="AC26:AC27" si="28">IF(AND(I26&lt;&gt;"",$C26&lt;&gt;""),"",IF(AND(ISBLANK(I26),LEFT($C26,5)="&lt;TNSP"),"",IF(AND(ISBLANK(I26),ISBLANK($C26)),"","X")))</f>
        <v/>
      </c>
    </row>
    <row r="27" spans="2:29" ht="15" customHeight="1">
      <c r="B27" s="1909" t="s">
        <v>1334</v>
      </c>
      <c r="C27" s="1241"/>
      <c r="D27" s="1019" t="s">
        <v>66</v>
      </c>
      <c r="E27" s="1233">
        <f t="shared" si="14"/>
        <v>0</v>
      </c>
      <c r="F27" s="1020"/>
      <c r="G27" s="1020"/>
      <c r="H27" s="1020"/>
      <c r="I27" s="1021"/>
      <c r="K27" s="2123"/>
      <c r="L27" s="2140"/>
      <c r="M27" s="2144"/>
      <c r="N27" s="1329" t="str">
        <f t="shared" si="23"/>
        <v/>
      </c>
      <c r="O27" s="1323" t="str">
        <f t="shared" si="24"/>
        <v/>
      </c>
      <c r="P27" s="1332"/>
      <c r="Q27" s="1324" t="str">
        <f t="shared" si="25"/>
        <v/>
      </c>
      <c r="R27" s="1329" t="str">
        <f t="shared" si="17"/>
        <v/>
      </c>
      <c r="S27" s="1323" t="str">
        <f t="shared" si="18"/>
        <v/>
      </c>
      <c r="T27" s="1332"/>
      <c r="U27" s="1324" t="str">
        <f t="shared" si="26"/>
        <v/>
      </c>
      <c r="V27" s="1329" t="str">
        <f t="shared" si="19"/>
        <v/>
      </c>
      <c r="W27" s="1323" t="str">
        <f t="shared" si="20"/>
        <v/>
      </c>
      <c r="X27" s="1332"/>
      <c r="Y27" s="1324" t="str">
        <f t="shared" si="27"/>
        <v/>
      </c>
      <c r="Z27" s="1329" t="str">
        <f t="shared" si="21"/>
        <v/>
      </c>
      <c r="AA27" s="1323" t="str">
        <f t="shared" si="22"/>
        <v/>
      </c>
      <c r="AB27" s="1332"/>
      <c r="AC27" s="1324" t="str">
        <f t="shared" si="28"/>
        <v/>
      </c>
    </row>
    <row r="31" spans="2:29">
      <c r="B31" s="1"/>
      <c r="C31" s="1310" t="s">
        <v>1471</v>
      </c>
      <c r="D31" s="1311"/>
    </row>
    <row r="32" spans="2:29">
      <c r="C32" s="1847" t="s">
        <v>1495</v>
      </c>
    </row>
  </sheetData>
  <mergeCells count="16">
    <mergeCell ref="V10:Y10"/>
    <mergeCell ref="Z10:AC10"/>
    <mergeCell ref="N10:Q10"/>
    <mergeCell ref="R10:U10"/>
    <mergeCell ref="K9:M9"/>
    <mergeCell ref="K10:M10"/>
    <mergeCell ref="K25:M27"/>
    <mergeCell ref="K15:M17"/>
    <mergeCell ref="K12:M12"/>
    <mergeCell ref="K11:M11"/>
    <mergeCell ref="K22:M22"/>
    <mergeCell ref="K23:M23"/>
    <mergeCell ref="K24:M24"/>
    <mergeCell ref="K20:M20"/>
    <mergeCell ref="K14:M14"/>
    <mergeCell ref="K19:M19"/>
  </mergeCells>
  <phoneticPr fontId="85" type="noConversion"/>
  <conditionalFormatting sqref="C31">
    <cfRule type="cellIs" dxfId="21" priority="1" operator="equal">
      <formula>FALSE</formula>
    </cfRule>
  </conditionalFormatting>
  <conditionalFormatting sqref="E11:I12 E14:I17 E22:I27">
    <cfRule type="expression" dxfId="20" priority="18">
      <formula>dms_worksheet210flag="Worksheet 2.10"</formula>
    </cfRule>
  </conditionalFormatting>
  <conditionalFormatting sqref="E19:I20">
    <cfRule type="expression" dxfId="19" priority="3">
      <formula>dms_worksheet210flag="Worksheet 2.10"</formula>
    </cfRule>
  </conditionalFormatting>
  <dataValidations count="1">
    <dataValidation allowBlank="1" sqref="K9 N9:AC9" xr:uid="{9B9F773F-0E68-4037-8610-0F3A8A4E9117}"/>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6B98BF"/>
    <pageSetUpPr fitToPage="1"/>
  </sheetPr>
  <dimension ref="A1:T42"/>
  <sheetViews>
    <sheetView workbookViewId="0"/>
  </sheetViews>
  <sheetFormatPr defaultColWidth="9.1796875" defaultRowHeight="14.5"/>
  <cols>
    <col min="1" max="1" width="5.6328125" style="1" customWidth="1"/>
    <col min="2" max="2" width="25.6328125" style="1060" customWidth="1"/>
    <col min="3" max="3" width="45.54296875" style="1" customWidth="1"/>
    <col min="4" max="4" width="8.1796875" style="1" customWidth="1"/>
    <col min="5" max="6" width="17.1796875" style="1" customWidth="1"/>
    <col min="7" max="7" width="12.1796875" style="1" customWidth="1"/>
    <col min="8" max="9" width="4.6328125" style="1" customWidth="1"/>
    <col min="10" max="10" width="5" style="1" bestFit="1" customWidth="1"/>
    <col min="11" max="12" width="4.6328125" style="1" customWidth="1"/>
    <col min="13" max="13" width="5" style="1" bestFit="1" customWidth="1"/>
    <col min="14" max="20" width="4.6328125" style="1" customWidth="1"/>
    <col min="21" max="22" width="9.1796875" style="1"/>
    <col min="23" max="23" width="5.6328125" style="1" customWidth="1"/>
    <col min="24" max="16384" width="9.1796875" style="1"/>
  </cols>
  <sheetData>
    <row r="1" spans="1:20" s="952" customFormat="1" ht="20" customHeight="1">
      <c r="B1" s="1"/>
      <c r="C1" s="914" t="str">
        <f>dms_SheetHeading1</f>
        <v>ANNUAL INFORMATION ORDER</v>
      </c>
      <c r="D1" s="1024"/>
      <c r="E1" s="1024"/>
      <c r="F1" s="1024"/>
      <c r="G1" s="982"/>
      <c r="H1" s="1556" t="s">
        <v>1003</v>
      </c>
      <c r="I1" s="1556"/>
      <c r="J1" s="1556"/>
      <c r="K1" s="1556"/>
      <c r="L1" s="1556"/>
      <c r="M1" s="1556"/>
      <c r="N1" s="1557" t="s">
        <v>1002</v>
      </c>
      <c r="O1" s="1556"/>
      <c r="P1" s="1556"/>
      <c r="Q1" s="1556"/>
      <c r="R1" s="1556"/>
      <c r="S1" s="1556"/>
      <c r="T1" s="1556"/>
    </row>
    <row r="2" spans="1:20" s="952" customFormat="1" ht="20" customHeight="1">
      <c r="B2" s="1"/>
      <c r="C2" s="915" t="str">
        <f>dms_SheetHeading2</f>
        <v>Australian Transmission Co.</v>
      </c>
      <c r="D2" s="1024"/>
      <c r="E2" s="1024"/>
      <c r="F2" s="1024"/>
      <c r="G2" s="982"/>
      <c r="H2" s="1558" t="s">
        <v>1004</v>
      </c>
      <c r="I2" s="1558"/>
      <c r="J2" s="1558"/>
      <c r="K2" s="1558"/>
      <c r="L2" s="1558"/>
      <c r="M2" s="1558"/>
      <c r="N2" s="1559" t="s">
        <v>179</v>
      </c>
      <c r="O2" s="1558"/>
      <c r="P2" s="1558"/>
      <c r="Q2" s="1558"/>
      <c r="R2" s="1558"/>
      <c r="S2" s="1558"/>
      <c r="T2" s="1558"/>
    </row>
    <row r="3" spans="1:20" s="952" customFormat="1" ht="20" customHeight="1">
      <c r="B3" s="1"/>
      <c r="C3" s="916" t="str">
        <f>dms_SheetHeading3</f>
        <v>REPORTING STATEMENT: 2025-26</v>
      </c>
      <c r="D3" s="1024"/>
      <c r="E3" s="1024"/>
      <c r="F3" s="1024"/>
      <c r="G3" s="982"/>
      <c r="H3" s="1560" t="s">
        <v>1005</v>
      </c>
      <c r="I3" s="1560"/>
      <c r="J3" s="1560"/>
      <c r="K3" s="1560"/>
      <c r="L3" s="1560"/>
      <c r="M3" s="1560"/>
      <c r="N3" s="1561" t="s">
        <v>180</v>
      </c>
      <c r="O3" s="1560"/>
      <c r="P3" s="1560"/>
      <c r="Q3" s="1560"/>
      <c r="R3" s="1560"/>
      <c r="S3" s="1560"/>
      <c r="T3" s="1560"/>
    </row>
    <row r="4" spans="1:20" s="952" customFormat="1" ht="20" customHeight="1">
      <c r="B4" s="1"/>
      <c r="C4" s="1025" t="s">
        <v>1675</v>
      </c>
      <c r="D4" s="1026"/>
      <c r="E4" s="1026"/>
      <c r="F4" s="1026"/>
      <c r="G4" s="982"/>
      <c r="H4" s="1562" t="s">
        <v>1007</v>
      </c>
      <c r="I4" s="1563"/>
      <c r="J4" s="1564"/>
      <c r="K4" s="1565"/>
      <c r="L4" s="1565"/>
      <c r="M4" s="1565"/>
      <c r="N4" s="1566" t="s">
        <v>1006</v>
      </c>
      <c r="O4" s="1565"/>
      <c r="P4" s="1565"/>
      <c r="Q4" s="1565"/>
      <c r="R4" s="1565"/>
      <c r="S4" s="1565"/>
      <c r="T4" s="1565"/>
    </row>
    <row r="5" spans="1:20" ht="13.5" customHeight="1">
      <c r="A5" s="952"/>
      <c r="B5" s="1"/>
      <c r="C5" s="953"/>
      <c r="G5" s="982"/>
      <c r="H5" s="982"/>
    </row>
    <row r="6" spans="1:20" ht="13.5" customHeight="1">
      <c r="A6" s="952"/>
      <c r="B6" s="1"/>
      <c r="C6" s="1448" t="s">
        <v>1512</v>
      </c>
      <c r="D6" s="1427"/>
      <c r="E6" s="1433"/>
      <c r="F6" s="1433"/>
      <c r="G6" s="982"/>
      <c r="H6" s="982"/>
      <c r="I6" s="982"/>
    </row>
    <row r="7" spans="1:20" ht="13.5" customHeight="1">
      <c r="A7" s="952"/>
      <c r="B7" s="1"/>
      <c r="C7" s="1429" t="s">
        <v>1533</v>
      </c>
      <c r="D7" s="1429"/>
      <c r="E7" s="1430"/>
      <c r="F7" s="1430"/>
      <c r="G7" s="982"/>
      <c r="H7" s="982"/>
      <c r="I7" s="982"/>
    </row>
    <row r="8" spans="1:20" ht="18.5">
      <c r="A8" s="952"/>
      <c r="B8" s="1"/>
      <c r="C8" s="1550" t="s">
        <v>1676</v>
      </c>
      <c r="D8" s="892"/>
      <c r="E8" s="892"/>
      <c r="F8" s="892"/>
      <c r="G8" s="982"/>
    </row>
    <row r="9" spans="1:20" s="581" customFormat="1" ht="18.5">
      <c r="A9" s="952"/>
      <c r="B9" s="1"/>
      <c r="C9" s="896"/>
      <c r="D9" s="896"/>
      <c r="E9" s="896"/>
      <c r="F9" s="579"/>
      <c r="H9" s="1465" t="s">
        <v>1293</v>
      </c>
      <c r="I9" s="1475" t="s">
        <v>1295</v>
      </c>
      <c r="J9" s="1476" t="s">
        <v>1531</v>
      </c>
      <c r="K9" s="1465" t="s">
        <v>1293</v>
      </c>
      <c r="L9" s="1475" t="s">
        <v>1295</v>
      </c>
      <c r="M9" s="1476" t="s">
        <v>1531</v>
      </c>
    </row>
    <row r="10" spans="1:20" ht="26">
      <c r="A10" s="952"/>
      <c r="B10" s="1"/>
      <c r="C10" s="957" t="s">
        <v>1030</v>
      </c>
      <c r="D10" s="889" t="s">
        <v>1118</v>
      </c>
      <c r="E10" s="958" t="s">
        <v>1188</v>
      </c>
      <c r="F10" s="958" t="s">
        <v>1189</v>
      </c>
      <c r="H10" s="2163" t="s">
        <v>1188</v>
      </c>
      <c r="I10" s="2164"/>
      <c r="J10" s="2165"/>
      <c r="K10" s="2163" t="s">
        <v>1189</v>
      </c>
      <c r="L10" s="2164"/>
      <c r="M10" s="2165"/>
    </row>
    <row r="11" spans="1:20">
      <c r="B11" s="1077"/>
      <c r="C11" s="1011" t="s">
        <v>1025</v>
      </c>
      <c r="D11" s="1012" t="s">
        <v>66</v>
      </c>
      <c r="E11" s="1013"/>
      <c r="F11" s="1014"/>
      <c r="H11" s="1182" t="str">
        <f>IF(ISNONTEXT(E11)=TRUE,"","X")</f>
        <v/>
      </c>
      <c r="I11" s="1178" t="str">
        <f>IF(E11&lt;&gt;""=TRUE,"","X")</f>
        <v>X</v>
      </c>
      <c r="J11" s="1180"/>
      <c r="K11" s="1182" t="str">
        <f>IF(ISNONTEXT(F11)=TRUE,"","X")</f>
        <v/>
      </c>
      <c r="L11" s="1178" t="str">
        <f>IF(F11&lt;&gt;""=TRUE,"","X")</f>
        <v>X</v>
      </c>
      <c r="M11" s="1180"/>
    </row>
    <row r="12" spans="1:20">
      <c r="B12" s="1083"/>
      <c r="C12" s="1057" t="s">
        <v>1026</v>
      </c>
      <c r="D12" s="1019" t="s">
        <v>66</v>
      </c>
      <c r="E12" s="1020"/>
      <c r="F12" s="1021"/>
      <c r="H12" s="1184" t="str">
        <f>IF(ISNONTEXT(E12)=TRUE,"","X")</f>
        <v/>
      </c>
      <c r="I12" s="1187" t="str">
        <f>IF(E12&lt;&gt;""=TRUE,"","X")</f>
        <v>X</v>
      </c>
      <c r="J12" s="1200"/>
      <c r="K12" s="1184" t="str">
        <f>IF(ISNONTEXT(F12)=TRUE,"","X")</f>
        <v/>
      </c>
      <c r="L12" s="1187" t="str">
        <f>IF(F12&lt;&gt;""=TRUE,"","X")</f>
        <v>X</v>
      </c>
      <c r="M12" s="1200"/>
    </row>
    <row r="13" spans="1:20" ht="18.5">
      <c r="B13" s="1082"/>
      <c r="C13" s="957" t="s">
        <v>1024</v>
      </c>
      <c r="D13" s="896"/>
      <c r="E13" s="896"/>
      <c r="F13" s="579"/>
    </row>
    <row r="14" spans="1:20">
      <c r="B14" s="1077"/>
      <c r="C14" s="1011" t="s">
        <v>1027</v>
      </c>
      <c r="D14" s="1012" t="s">
        <v>66</v>
      </c>
      <c r="E14" s="1013"/>
      <c r="F14" s="1014"/>
      <c r="H14" s="1192" t="str">
        <f>IF(ISNONTEXT(E14)=TRUE,"","X")</f>
        <v/>
      </c>
      <c r="I14" s="1190" t="str">
        <f>IF(E14&lt;&gt;""=TRUE,"","X")</f>
        <v>X</v>
      </c>
      <c r="J14" s="1201"/>
      <c r="K14" s="1192" t="str">
        <f>IF(ISNONTEXT(F14)=TRUE,"","X")</f>
        <v/>
      </c>
      <c r="L14" s="1190" t="str">
        <f>IF(F14&lt;&gt;""=TRUE,"","X")</f>
        <v>X</v>
      </c>
      <c r="M14" s="1201"/>
    </row>
    <row r="15" spans="1:20">
      <c r="B15" s="1139"/>
      <c r="C15" s="1470" t="str">
        <f>IF('9.1 Income - ASA'!C15="","",'9.1 Income - ASA'!C15)</f>
        <v/>
      </c>
      <c r="D15" s="1016" t="s">
        <v>66</v>
      </c>
      <c r="E15" s="1017"/>
      <c r="F15" s="1018"/>
      <c r="H15" s="1182" t="str">
        <f t="shared" ref="H15:H27" si="0">IF(ISNONTEXT(E15)=TRUE,"","X")</f>
        <v/>
      </c>
      <c r="I15" s="1179"/>
      <c r="J15" s="1181" t="str">
        <f>IF(AND(C15&lt;&gt;"",LEFT(C15,5)&lt;&gt;"&lt;TNSP",ISBLANK(E15))=TRUE,"X","")</f>
        <v/>
      </c>
      <c r="K15" s="1182" t="str">
        <f t="shared" ref="K15:K27" si="1">IF(ISNONTEXT(F15)=TRUE,"","X")</f>
        <v/>
      </c>
      <c r="L15" s="1179"/>
      <c r="M15" s="1181" t="str">
        <f>IF(AND(C15&lt;&gt;"",LEFT(C15,5)&lt;&gt;"&lt;TNSP",ISBLANK(F15))=TRUE,"X","")</f>
        <v/>
      </c>
    </row>
    <row r="16" spans="1:20">
      <c r="B16" s="1077"/>
      <c r="C16" s="1470" t="str">
        <f>IF('9.1 Income - ASA'!C16="","",'9.1 Income - ASA'!C16)</f>
        <v/>
      </c>
      <c r="D16" s="1016" t="s">
        <v>66</v>
      </c>
      <c r="E16" s="1017"/>
      <c r="F16" s="1018"/>
      <c r="H16" s="1182" t="str">
        <f t="shared" si="0"/>
        <v/>
      </c>
      <c r="I16" s="1179"/>
      <c r="J16" s="1181" t="str">
        <f t="shared" ref="J16" si="2">IF(AND(C16&lt;&gt;"",LEFT(C16,5)&lt;&gt;"&lt;TNSP",ISBLANK(E16))=TRUE,"X","")</f>
        <v/>
      </c>
      <c r="K16" s="1182" t="str">
        <f t="shared" ref="K16" si="3">IF(ISNONTEXT(F16)=TRUE,"","X")</f>
        <v/>
      </c>
      <c r="L16" s="1179"/>
      <c r="M16" s="1181" t="str">
        <f t="shared" ref="M16" si="4">IF(AND(C16&lt;&gt;"",LEFT(C16,5)&lt;&gt;"&lt;TNSP",ISBLANK(F16))=TRUE,"X","")</f>
        <v/>
      </c>
    </row>
    <row r="17" spans="1:17">
      <c r="B17" s="1909" t="s">
        <v>1334</v>
      </c>
      <c r="C17" s="1471" t="str">
        <f>IF('9.1 Income - ASA'!C17="","",'9.1 Income - ASA'!C17)</f>
        <v/>
      </c>
      <c r="D17" s="1019" t="s">
        <v>66</v>
      </c>
      <c r="E17" s="1020"/>
      <c r="F17" s="1021"/>
      <c r="H17" s="1184" t="str">
        <f t="shared" si="0"/>
        <v/>
      </c>
      <c r="I17" s="1199"/>
      <c r="J17" s="1183" t="str">
        <f t="shared" ref="J17" si="5">IF(AND(C17&lt;&gt;"",LEFT(C17,5)&lt;&gt;"&lt;TNSP",ISBLANK(E17))=TRUE,"X","")</f>
        <v/>
      </c>
      <c r="K17" s="1184" t="str">
        <f t="shared" ref="K17" si="6">IF(ISNONTEXT(F17)=TRUE,"","X")</f>
        <v/>
      </c>
      <c r="L17" s="1199"/>
      <c r="M17" s="1183" t="str">
        <f t="shared" ref="M17" si="7">IF(AND(C17&lt;&gt;"",LEFT(C17,5)&lt;&gt;"&lt;TNSP",ISBLANK(F17))=TRUE,"X","")</f>
        <v/>
      </c>
    </row>
    <row r="18" spans="1:17">
      <c r="B18" s="1"/>
      <c r="C18" s="957" t="s">
        <v>1029</v>
      </c>
      <c r="D18" s="1079"/>
      <c r="E18" s="579"/>
      <c r="F18" s="579"/>
    </row>
    <row r="19" spans="1:17">
      <c r="B19" s="1077"/>
      <c r="C19" s="1085" t="s">
        <v>1136</v>
      </c>
      <c r="D19" s="1012" t="s">
        <v>66</v>
      </c>
      <c r="E19" s="1013"/>
      <c r="F19" s="1014"/>
      <c r="H19" s="1192" t="str">
        <f t="shared" si="0"/>
        <v/>
      </c>
      <c r="I19" s="1190" t="str">
        <f t="shared" ref="I19:I24" si="8">IF(E19&lt;&gt;""=TRUE,"","X")</f>
        <v>X</v>
      </c>
      <c r="J19" s="1201"/>
      <c r="K19" s="1192" t="str">
        <f t="shared" si="1"/>
        <v/>
      </c>
      <c r="L19" s="1190" t="str">
        <f t="shared" ref="L19:L24" si="9">IF(F19&lt;&gt;""=TRUE,"","X")</f>
        <v>X</v>
      </c>
      <c r="M19" s="1201"/>
    </row>
    <row r="20" spans="1:17">
      <c r="B20" s="1083"/>
      <c r="C20" s="1057" t="s">
        <v>1146</v>
      </c>
      <c r="D20" s="1019" t="s">
        <v>66</v>
      </c>
      <c r="E20" s="1020"/>
      <c r="F20" s="1021"/>
      <c r="H20" s="1184" t="str">
        <f t="shared" si="0"/>
        <v/>
      </c>
      <c r="I20" s="1187" t="str">
        <f t="shared" si="8"/>
        <v>X</v>
      </c>
      <c r="J20" s="1200"/>
      <c r="K20" s="1184" t="str">
        <f t="shared" si="1"/>
        <v/>
      </c>
      <c r="L20" s="1187" t="str">
        <f t="shared" si="9"/>
        <v>X</v>
      </c>
      <c r="M20" s="1200"/>
    </row>
    <row r="21" spans="1:17" ht="18.5">
      <c r="B21" s="1082"/>
      <c r="C21" s="957" t="s">
        <v>1028</v>
      </c>
      <c r="D21" s="896"/>
      <c r="E21" s="896"/>
      <c r="F21" s="579"/>
    </row>
    <row r="22" spans="1:17">
      <c r="B22" s="1077"/>
      <c r="C22" s="1011" t="s">
        <v>1147</v>
      </c>
      <c r="D22" s="1012" t="s">
        <v>66</v>
      </c>
      <c r="E22" s="1013"/>
      <c r="F22" s="1014"/>
      <c r="H22" s="1192" t="str">
        <f t="shared" si="0"/>
        <v/>
      </c>
      <c r="I22" s="1190" t="str">
        <f t="shared" si="8"/>
        <v>X</v>
      </c>
      <c r="J22" s="1201"/>
      <c r="K22" s="1192" t="str">
        <f t="shared" si="1"/>
        <v/>
      </c>
      <c r="L22" s="1190" t="str">
        <f t="shared" si="9"/>
        <v>X</v>
      </c>
      <c r="M22" s="1201"/>
    </row>
    <row r="23" spans="1:17">
      <c r="B23" s="1077"/>
      <c r="C23" s="1015" t="s">
        <v>1148</v>
      </c>
      <c r="D23" s="1016" t="s">
        <v>66</v>
      </c>
      <c r="E23" s="1017"/>
      <c r="F23" s="1018"/>
      <c r="H23" s="1182" t="str">
        <f t="shared" si="0"/>
        <v/>
      </c>
      <c r="I23" s="1178" t="str">
        <f t="shared" si="8"/>
        <v>X</v>
      </c>
      <c r="J23" s="1180"/>
      <c r="K23" s="1182" t="str">
        <f t="shared" si="1"/>
        <v/>
      </c>
      <c r="L23" s="1178" t="str">
        <f t="shared" si="9"/>
        <v>X</v>
      </c>
      <c r="M23" s="1180"/>
    </row>
    <row r="24" spans="1:17">
      <c r="B24" s="1077"/>
      <c r="C24" s="1015" t="s">
        <v>1149</v>
      </c>
      <c r="D24" s="1016" t="s">
        <v>66</v>
      </c>
      <c r="E24" s="1017"/>
      <c r="F24" s="1018"/>
      <c r="H24" s="1182" t="str">
        <f t="shared" si="0"/>
        <v/>
      </c>
      <c r="I24" s="1178" t="str">
        <f t="shared" si="8"/>
        <v>X</v>
      </c>
      <c r="J24" s="1180"/>
      <c r="K24" s="1182" t="str">
        <f t="shared" si="1"/>
        <v/>
      </c>
      <c r="L24" s="1178" t="str">
        <f t="shared" si="9"/>
        <v>X</v>
      </c>
      <c r="M24" s="1180"/>
    </row>
    <row r="25" spans="1:17">
      <c r="B25" s="1083"/>
      <c r="C25" s="1470" t="str">
        <f>IF('9.1 Income - ASA'!C25="","",'9.1 Income - ASA'!C25)</f>
        <v/>
      </c>
      <c r="D25" s="1016" t="s">
        <v>66</v>
      </c>
      <c r="E25" s="1017"/>
      <c r="F25" s="1018"/>
      <c r="H25" s="1182" t="str">
        <f t="shared" si="0"/>
        <v/>
      </c>
      <c r="I25" s="1179"/>
      <c r="J25" s="1181" t="str">
        <f>IF(AND(C25&lt;&gt;"",LEFT(C25,5)&lt;&gt;"&lt;TNSP",ISBLANK(E25))=TRUE,"X","")</f>
        <v/>
      </c>
      <c r="K25" s="1182" t="str">
        <f t="shared" si="1"/>
        <v/>
      </c>
      <c r="L25" s="1179"/>
      <c r="M25" s="1181" t="str">
        <f>IF(AND(C25&lt;&gt;"",LEFT(C25,5)&lt;&gt;"&lt;TNSP",ISBLANK(F25))=TRUE,"X","")</f>
        <v/>
      </c>
    </row>
    <row r="26" spans="1:17">
      <c r="B26" s="1077"/>
      <c r="C26" s="1470" t="str">
        <f>IF('9.1 Income - ASA'!C26="","",'9.1 Income - ASA'!C26)</f>
        <v/>
      </c>
      <c r="D26" s="1016" t="s">
        <v>66</v>
      </c>
      <c r="E26" s="1017"/>
      <c r="F26" s="1018"/>
      <c r="H26" s="1182" t="str">
        <f t="shared" si="0"/>
        <v/>
      </c>
      <c r="I26" s="1179"/>
      <c r="J26" s="1181" t="str">
        <f t="shared" ref="J26:J27" si="10">IF(AND(C26&lt;&gt;"",LEFT(C26,5)&lt;&gt;"&lt;TNSP",ISBLANK(E26))=TRUE,"X","")</f>
        <v/>
      </c>
      <c r="K26" s="1182" t="str">
        <f t="shared" si="1"/>
        <v/>
      </c>
      <c r="L26" s="1179"/>
      <c r="M26" s="1181" t="str">
        <f t="shared" ref="M26:M27" si="11">IF(AND(C26&lt;&gt;"",LEFT(C26,5)&lt;&gt;"&lt;TNSP",ISBLANK(F26))=TRUE,"X","")</f>
        <v/>
      </c>
    </row>
    <row r="27" spans="1:17">
      <c r="B27" s="1909" t="s">
        <v>1334</v>
      </c>
      <c r="C27" s="1471" t="str">
        <f>IF('9.1 Income - ASA'!C27="","",'9.1 Income - ASA'!C27)</f>
        <v/>
      </c>
      <c r="D27" s="1019" t="s">
        <v>66</v>
      </c>
      <c r="E27" s="1020"/>
      <c r="F27" s="1021"/>
      <c r="H27" s="1184" t="str">
        <f t="shared" si="0"/>
        <v/>
      </c>
      <c r="I27" s="1199"/>
      <c r="J27" s="1183" t="str">
        <f t="shared" si="10"/>
        <v/>
      </c>
      <c r="K27" s="1184" t="str">
        <f t="shared" si="1"/>
        <v/>
      </c>
      <c r="L27" s="1199"/>
      <c r="M27" s="1183" t="str">
        <f t="shared" si="11"/>
        <v/>
      </c>
    </row>
    <row r="28" spans="1:17">
      <c r="A28" s="579"/>
      <c r="B28" s="912"/>
      <c r="C28" s="579"/>
      <c r="D28" s="579"/>
      <c r="E28" s="579"/>
      <c r="F28" s="579"/>
      <c r="G28" s="579"/>
      <c r="H28" s="579"/>
      <c r="I28" s="579"/>
      <c r="J28" s="579"/>
      <c r="K28" s="579"/>
      <c r="L28" s="579"/>
      <c r="M28" s="579"/>
      <c r="N28" s="579"/>
      <c r="O28" s="579"/>
      <c r="P28" s="579"/>
      <c r="Q28" s="579"/>
    </row>
    <row r="29" spans="1:17">
      <c r="A29" s="579"/>
      <c r="B29" s="912"/>
      <c r="C29" s="579"/>
      <c r="D29" s="579"/>
      <c r="E29" s="579"/>
      <c r="F29" s="579"/>
      <c r="G29" s="579"/>
      <c r="H29" s="579"/>
      <c r="I29" s="579"/>
      <c r="J29" s="579"/>
      <c r="K29" s="579"/>
      <c r="L29" s="579"/>
      <c r="M29" s="579"/>
      <c r="N29" s="579"/>
      <c r="O29" s="579"/>
      <c r="P29" s="579"/>
      <c r="Q29" s="579"/>
    </row>
    <row r="30" spans="1:17">
      <c r="A30" s="579"/>
      <c r="B30" s="912"/>
      <c r="C30" s="579"/>
      <c r="D30" s="579"/>
      <c r="E30" s="579"/>
      <c r="F30" s="579"/>
      <c r="G30" s="579"/>
      <c r="H30" s="579"/>
      <c r="I30" s="579"/>
      <c r="J30" s="579"/>
      <c r="K30" s="579"/>
      <c r="L30" s="579"/>
      <c r="M30" s="579"/>
      <c r="N30" s="579"/>
      <c r="O30" s="579"/>
      <c r="P30" s="579"/>
      <c r="Q30" s="579"/>
    </row>
    <row r="31" spans="1:17">
      <c r="A31" s="579"/>
      <c r="B31" s="579"/>
      <c r="C31" s="1354" t="s">
        <v>1471</v>
      </c>
      <c r="D31" s="1852"/>
      <c r="E31" s="579"/>
      <c r="F31" s="579"/>
      <c r="G31" s="579"/>
      <c r="H31" s="579"/>
      <c r="I31" s="579"/>
      <c r="J31" s="579"/>
      <c r="K31" s="579"/>
      <c r="L31" s="579"/>
      <c r="M31" s="579"/>
      <c r="N31" s="579"/>
      <c r="O31" s="579"/>
      <c r="P31" s="579"/>
      <c r="Q31" s="579"/>
    </row>
    <row r="32" spans="1:17">
      <c r="A32" s="579"/>
      <c r="B32" s="912"/>
      <c r="C32" s="1847" t="s">
        <v>1495</v>
      </c>
      <c r="D32" s="579"/>
      <c r="E32" s="579"/>
      <c r="F32" s="579"/>
      <c r="G32" s="579"/>
      <c r="H32" s="579"/>
      <c r="I32" s="579"/>
      <c r="J32" s="579"/>
      <c r="K32" s="579"/>
      <c r="L32" s="579"/>
      <c r="M32" s="579"/>
      <c r="N32" s="579"/>
      <c r="O32" s="579"/>
      <c r="P32" s="579"/>
      <c r="Q32" s="579"/>
    </row>
    <row r="33" spans="1:17">
      <c r="A33" s="579"/>
      <c r="B33" s="912"/>
      <c r="C33" s="579"/>
      <c r="D33" s="579"/>
      <c r="E33" s="579"/>
      <c r="F33" s="579"/>
      <c r="G33" s="579"/>
      <c r="H33" s="579"/>
      <c r="I33" s="579"/>
      <c r="J33" s="579"/>
      <c r="K33" s="579"/>
      <c r="L33" s="579"/>
      <c r="M33" s="579"/>
      <c r="N33" s="579"/>
      <c r="O33" s="579"/>
      <c r="P33" s="579"/>
      <c r="Q33" s="579"/>
    </row>
    <row r="34" spans="1:17">
      <c r="A34" s="579"/>
      <c r="B34" s="912"/>
      <c r="C34" s="579"/>
      <c r="D34" s="579"/>
      <c r="E34" s="579"/>
      <c r="F34" s="579"/>
      <c r="G34" s="579"/>
      <c r="H34" s="579"/>
      <c r="I34" s="579"/>
      <c r="J34" s="579"/>
      <c r="K34" s="579"/>
      <c r="L34" s="579"/>
      <c r="M34" s="579"/>
      <c r="N34" s="579"/>
      <c r="O34" s="579"/>
      <c r="P34" s="579"/>
      <c r="Q34" s="579"/>
    </row>
    <row r="35" spans="1:17">
      <c r="A35" s="579"/>
      <c r="B35" s="912"/>
      <c r="C35" s="579"/>
      <c r="D35" s="579"/>
      <c r="E35" s="579"/>
      <c r="F35" s="579"/>
      <c r="G35" s="579"/>
      <c r="H35" s="579"/>
      <c r="I35" s="579"/>
      <c r="J35" s="579"/>
      <c r="K35" s="579"/>
      <c r="L35" s="579"/>
      <c r="M35" s="579"/>
      <c r="N35" s="579"/>
      <c r="O35" s="579"/>
      <c r="P35" s="579"/>
      <c r="Q35" s="579"/>
    </row>
    <row r="36" spans="1:17">
      <c r="A36" s="579"/>
      <c r="B36" s="912"/>
      <c r="C36" s="579"/>
      <c r="D36" s="579"/>
      <c r="E36" s="579"/>
      <c r="F36" s="579"/>
      <c r="G36" s="579"/>
      <c r="H36" s="579"/>
      <c r="I36" s="579"/>
      <c r="J36" s="579"/>
      <c r="K36" s="579"/>
      <c r="L36" s="579"/>
      <c r="M36" s="579"/>
      <c r="N36" s="579"/>
      <c r="O36" s="579"/>
      <c r="P36" s="579"/>
      <c r="Q36" s="579"/>
    </row>
    <row r="37" spans="1:17">
      <c r="A37" s="579"/>
      <c r="B37" s="912"/>
      <c r="C37" s="579"/>
      <c r="D37" s="579"/>
      <c r="E37" s="579"/>
      <c r="F37" s="579"/>
      <c r="G37" s="579"/>
      <c r="H37" s="579"/>
      <c r="I37" s="579"/>
      <c r="J37" s="579"/>
      <c r="K37" s="579"/>
      <c r="L37" s="579"/>
      <c r="M37" s="579"/>
      <c r="N37" s="579"/>
      <c r="O37" s="579"/>
      <c r="P37" s="579"/>
      <c r="Q37" s="579"/>
    </row>
    <row r="38" spans="1:17">
      <c r="A38" s="579"/>
      <c r="B38" s="912"/>
      <c r="C38" s="579"/>
      <c r="D38" s="579"/>
      <c r="E38" s="579"/>
      <c r="F38" s="579"/>
      <c r="G38" s="579"/>
      <c r="H38" s="579"/>
      <c r="I38" s="579"/>
      <c r="J38" s="579"/>
      <c r="K38" s="579"/>
      <c r="L38" s="579"/>
      <c r="M38" s="579"/>
      <c r="N38" s="579"/>
      <c r="O38" s="579"/>
      <c r="P38" s="579"/>
      <c r="Q38" s="579"/>
    </row>
    <row r="39" spans="1:17">
      <c r="A39" s="579"/>
      <c r="B39" s="912"/>
      <c r="C39" s="579"/>
      <c r="D39" s="579"/>
      <c r="E39" s="579"/>
      <c r="F39" s="579"/>
      <c r="G39" s="579"/>
      <c r="H39" s="579"/>
      <c r="I39" s="579"/>
      <c r="J39" s="579"/>
      <c r="K39" s="579"/>
      <c r="L39" s="579"/>
      <c r="M39" s="579"/>
      <c r="N39" s="579"/>
      <c r="O39" s="579"/>
      <c r="P39" s="579"/>
      <c r="Q39" s="579"/>
    </row>
    <row r="40" spans="1:17">
      <c r="A40" s="579"/>
      <c r="B40" s="912"/>
      <c r="C40" s="579"/>
      <c r="D40" s="579"/>
      <c r="E40" s="579"/>
      <c r="F40" s="579"/>
      <c r="G40" s="579"/>
      <c r="H40" s="579"/>
      <c r="I40" s="579"/>
      <c r="J40" s="579"/>
      <c r="K40" s="579"/>
      <c r="L40" s="579"/>
      <c r="M40" s="579"/>
      <c r="N40" s="579"/>
      <c r="O40" s="579"/>
      <c r="P40" s="579"/>
      <c r="Q40" s="579"/>
    </row>
    <row r="41" spans="1:17">
      <c r="C41" s="579"/>
      <c r="D41" s="579"/>
      <c r="E41" s="579"/>
      <c r="F41" s="579"/>
    </row>
    <row r="42" spans="1:17">
      <c r="C42" s="579"/>
      <c r="D42" s="579"/>
      <c r="E42" s="579"/>
      <c r="F42" s="579"/>
    </row>
  </sheetData>
  <mergeCells count="2">
    <mergeCell ref="H10:J10"/>
    <mergeCell ref="K10:M10"/>
  </mergeCells>
  <conditionalFormatting sqref="C31">
    <cfRule type="cellIs" dxfId="18" priority="1" operator="equal">
      <formula>FALSE</formula>
    </cfRule>
  </conditionalFormatting>
  <conditionalFormatting sqref="E11:F12 E14:F17 E22:F27">
    <cfRule type="expression" dxfId="17" priority="6">
      <formula>dms_worksheet210flag="Worksheet 2.10"</formula>
    </cfRule>
  </conditionalFormatting>
  <conditionalFormatting sqref="E19:F20">
    <cfRule type="expression" dxfId="16" priority="4">
      <formula>dms_worksheet210flag="Worksheet 2.10"</formula>
    </cfRule>
  </conditionalFormatting>
  <dataValidations disablePrompts="1" count="2">
    <dataValidation allowBlank="1" sqref="L9:M9 I9:J9" xr:uid="{453B7CF4-FF58-41E6-8A45-B2B8333D0D84}"/>
    <dataValidation allowBlank="1" showErrorMessage="1" sqref="C32" xr:uid="{36C0D88D-B8CD-4AB2-BA06-431E573DF1D2}"/>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796875" defaultRowHeight="14.5"/>
  <cols>
    <col min="1" max="1" width="11.1796875" style="1308" customWidth="1"/>
    <col min="2" max="2" width="22.1796875" style="1308" customWidth="1"/>
    <col min="3" max="3" width="59.1796875" style="1308" customWidth="1"/>
    <col min="4" max="4" width="73.1796875" style="1308" customWidth="1"/>
    <col min="5" max="16384" width="9.1796875" style="1308"/>
  </cols>
  <sheetData>
    <row r="1" spans="2:4" ht="55.5" customHeight="1" thickBot="1">
      <c r="B1" s="2166" t="s">
        <v>101</v>
      </c>
      <c r="C1" s="2166"/>
      <c r="D1" s="2166"/>
    </row>
    <row r="2" spans="2:4" ht="20" customHeight="1">
      <c r="B2" s="2167" t="s">
        <v>102</v>
      </c>
      <c r="C2" s="2168"/>
      <c r="D2" s="2169"/>
    </row>
    <row r="3" spans="2:4" ht="20" customHeight="1" thickBot="1">
      <c r="B3" s="1977" t="s">
        <v>103</v>
      </c>
      <c r="C3" s="1978" t="s">
        <v>104</v>
      </c>
      <c r="D3" s="1979" t="s">
        <v>41</v>
      </c>
    </row>
    <row r="4" spans="2:4" ht="15" customHeight="1">
      <c r="B4" s="1949"/>
      <c r="C4" s="1950"/>
      <c r="D4" s="1951"/>
    </row>
    <row r="5" spans="2:4" ht="15" customHeight="1">
      <c r="B5" s="1952"/>
      <c r="C5" s="1946"/>
      <c r="D5" s="1953"/>
    </row>
    <row r="6" spans="2:4" ht="15" customHeight="1">
      <c r="B6" s="1952"/>
      <c r="C6" s="1946"/>
      <c r="D6" s="1953"/>
    </row>
    <row r="7" spans="2:4" ht="15" customHeight="1">
      <c r="B7" s="1952"/>
      <c r="C7" s="1946"/>
      <c r="D7" s="1953"/>
    </row>
    <row r="8" spans="2:4" ht="15" customHeight="1">
      <c r="B8" s="1952"/>
      <c r="C8" s="1946"/>
      <c r="D8" s="1953"/>
    </row>
    <row r="9" spans="2:4" ht="15" customHeight="1">
      <c r="B9" s="1952"/>
      <c r="C9" s="1947"/>
      <c r="D9" s="1953"/>
    </row>
    <row r="10" spans="2:4" ht="15" customHeight="1">
      <c r="B10" s="1952"/>
      <c r="C10" s="1948"/>
      <c r="D10" s="1953"/>
    </row>
    <row r="11" spans="2:4" ht="15" customHeight="1">
      <c r="B11" s="1952"/>
      <c r="C11" s="1946"/>
      <c r="D11" s="1953"/>
    </row>
    <row r="12" spans="2:4" ht="15" customHeight="1">
      <c r="B12" s="1952"/>
      <c r="C12" s="1946"/>
      <c r="D12" s="1954"/>
    </row>
    <row r="13" spans="2:4" ht="15" customHeight="1">
      <c r="B13" s="1952"/>
      <c r="C13" s="1946"/>
      <c r="D13" s="1954"/>
    </row>
    <row r="14" spans="2:4" ht="15" customHeight="1">
      <c r="B14" s="1952"/>
      <c r="C14" s="1946"/>
      <c r="D14" s="1955"/>
    </row>
    <row r="15" spans="2:4" ht="15" customHeight="1">
      <c r="B15" s="1952"/>
      <c r="C15" s="1946"/>
      <c r="D15" s="1954"/>
    </row>
    <row r="16" spans="2:4" ht="15" customHeight="1" thickBot="1">
      <c r="B16" s="1956"/>
      <c r="C16" s="1957"/>
      <c r="D16" s="1958"/>
    </row>
  </sheetData>
  <mergeCells count="2">
    <mergeCell ref="B1:D1"/>
    <mergeCell ref="B2:D2"/>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796875" defaultRowHeight="14.5"/>
  <cols>
    <col min="1" max="1" width="28.453125" style="1" bestFit="1" customWidth="1"/>
    <col min="2" max="3" width="14.1796875" style="1" customWidth="1"/>
    <col min="4" max="4" width="13.54296875" style="1" bestFit="1" customWidth="1"/>
    <col min="5" max="6" width="14.1796875" style="1" customWidth="1"/>
    <col min="7" max="8" width="17" style="1" customWidth="1"/>
    <col min="9" max="16384" width="9.1796875" style="1"/>
  </cols>
  <sheetData>
    <row r="1" spans="1:8">
      <c r="A1" s="1164" t="s">
        <v>1208</v>
      </c>
      <c r="B1" s="1126"/>
      <c r="C1" s="1126"/>
      <c r="D1" s="1126"/>
      <c r="E1" s="1127"/>
      <c r="F1" s="1127"/>
      <c r="G1" s="1126"/>
      <c r="H1" s="1126"/>
    </row>
    <row r="2" spans="1:8" ht="15" customHeight="1">
      <c r="A2" s="2173" t="s">
        <v>1209</v>
      </c>
      <c r="B2" s="2173"/>
      <c r="C2" s="2173"/>
      <c r="D2" s="2173"/>
      <c r="E2" s="2173"/>
      <c r="F2" s="2173"/>
      <c r="G2" s="2173"/>
      <c r="H2" s="2173"/>
    </row>
    <row r="3" spans="1:8">
      <c r="A3" s="1167" t="s">
        <v>1210</v>
      </c>
      <c r="B3" s="1168" t="s">
        <v>156</v>
      </c>
      <c r="C3" s="1168" t="s">
        <v>161</v>
      </c>
      <c r="D3" s="1168" t="s">
        <v>176</v>
      </c>
      <c r="E3" s="1168" t="s">
        <v>1211</v>
      </c>
      <c r="F3" s="1169" t="s">
        <v>172</v>
      </c>
      <c r="G3" s="1169" t="s">
        <v>168</v>
      </c>
      <c r="H3" s="1169" t="s">
        <v>159</v>
      </c>
    </row>
    <row r="4" spans="1:8">
      <c r="A4" s="1170" t="s">
        <v>1212</v>
      </c>
      <c r="B4" s="1165">
        <v>0.05</v>
      </c>
      <c r="C4" s="1165">
        <v>0.05</v>
      </c>
      <c r="D4" s="1165">
        <v>0.1</v>
      </c>
      <c r="E4" s="1165">
        <v>0.05</v>
      </c>
      <c r="F4" s="1166">
        <v>0.05</v>
      </c>
      <c r="G4" s="1166" t="s">
        <v>1344</v>
      </c>
      <c r="H4" s="1166" t="s">
        <v>1344</v>
      </c>
    </row>
    <row r="5" spans="1:8">
      <c r="A5" s="1171" t="s">
        <v>1213</v>
      </c>
      <c r="B5" s="1128">
        <v>0.3</v>
      </c>
      <c r="C5" s="1128">
        <v>0.2</v>
      </c>
      <c r="D5" s="1128">
        <v>1</v>
      </c>
      <c r="E5" s="1128">
        <v>0.25</v>
      </c>
      <c r="F5" s="1129">
        <v>0.4</v>
      </c>
      <c r="G5" s="1129" t="s">
        <v>1344</v>
      </c>
      <c r="H5" s="1129" t="s">
        <v>1344</v>
      </c>
    </row>
    <row r="7" spans="1:8">
      <c r="E7" s="2170" t="s">
        <v>1242</v>
      </c>
      <c r="F7" s="2170"/>
    </row>
    <row r="8" spans="1:8">
      <c r="B8" s="579"/>
      <c r="C8" s="579"/>
      <c r="E8" s="1079" t="s">
        <v>1225</v>
      </c>
      <c r="F8" s="1079" t="s">
        <v>150</v>
      </c>
      <c r="G8" s="579" t="s">
        <v>1269</v>
      </c>
    </row>
    <row r="9" spans="1:8">
      <c r="A9" s="1154" t="s">
        <v>1268</v>
      </c>
      <c r="B9" s="1161">
        <v>0.05</v>
      </c>
      <c r="C9" s="2171" t="s">
        <v>1243</v>
      </c>
      <c r="D9" s="2172"/>
      <c r="E9" s="1218" t="s">
        <v>1226</v>
      </c>
      <c r="F9" s="1219" t="s">
        <v>1234</v>
      </c>
    </row>
    <row r="10" spans="1:8">
      <c r="A10" s="1155"/>
      <c r="B10" s="1159">
        <v>0.1</v>
      </c>
      <c r="C10" s="1160"/>
      <c r="D10" s="1156"/>
      <c r="E10" s="1220" t="s">
        <v>1227</v>
      </c>
      <c r="F10" s="1221" t="s">
        <v>1235</v>
      </c>
    </row>
    <row r="11" spans="1:8">
      <c r="A11" s="1155"/>
      <c r="B11" s="1159">
        <v>0.15</v>
      </c>
      <c r="C11" s="1160"/>
      <c r="D11" s="1156"/>
      <c r="E11" s="1220" t="s">
        <v>1244</v>
      </c>
      <c r="F11" s="1221" t="s">
        <v>1245</v>
      </c>
    </row>
    <row r="12" spans="1:8">
      <c r="A12" s="1155"/>
      <c r="B12" s="1159">
        <v>0.2</v>
      </c>
      <c r="C12" s="1160"/>
      <c r="D12" s="1156"/>
      <c r="E12" s="1220" t="s">
        <v>1228</v>
      </c>
      <c r="F12" s="1221" t="s">
        <v>1236</v>
      </c>
    </row>
    <row r="13" spans="1:8">
      <c r="A13" s="1155"/>
      <c r="B13" s="1159">
        <v>0.25</v>
      </c>
      <c r="C13" s="1160"/>
      <c r="D13" s="1156"/>
      <c r="E13" s="1220" t="s">
        <v>1229</v>
      </c>
      <c r="F13" s="1221" t="s">
        <v>1237</v>
      </c>
    </row>
    <row r="14" spans="1:8">
      <c r="A14" s="1155"/>
      <c r="B14" s="1159">
        <v>0.3</v>
      </c>
      <c r="C14" s="1160"/>
      <c r="D14" s="1156"/>
      <c r="E14" s="1220" t="s">
        <v>1230</v>
      </c>
      <c r="F14" s="1221" t="s">
        <v>1238</v>
      </c>
    </row>
    <row r="15" spans="1:8">
      <c r="A15" s="1155"/>
      <c r="B15" s="1159">
        <v>0.35</v>
      </c>
      <c r="C15" s="1160"/>
      <c r="D15" s="1156"/>
      <c r="E15" s="1220" t="s">
        <v>1246</v>
      </c>
      <c r="F15" s="1221" t="s">
        <v>1247</v>
      </c>
    </row>
    <row r="16" spans="1:8">
      <c r="A16" s="1155"/>
      <c r="B16" s="1159">
        <v>0.4</v>
      </c>
      <c r="C16" s="1160"/>
      <c r="D16" s="1156"/>
      <c r="E16" s="1220" t="s">
        <v>1248</v>
      </c>
      <c r="F16" s="1221" t="s">
        <v>1258</v>
      </c>
    </row>
    <row r="17" spans="1:9">
      <c r="A17" s="1155"/>
      <c r="B17" s="1159">
        <v>0.45</v>
      </c>
      <c r="C17" s="1160"/>
      <c r="D17" s="1156"/>
      <c r="E17" s="1220" t="s">
        <v>1249</v>
      </c>
      <c r="F17" s="1221" t="s">
        <v>1259</v>
      </c>
    </row>
    <row r="18" spans="1:9">
      <c r="A18" s="1155"/>
      <c r="B18" s="1159">
        <v>0.5</v>
      </c>
      <c r="C18" s="1160"/>
      <c r="D18" s="1156"/>
      <c r="E18" s="1220" t="s">
        <v>1231</v>
      </c>
      <c r="F18" s="1221" t="s">
        <v>1239</v>
      </c>
    </row>
    <row r="19" spans="1:9">
      <c r="A19" s="1155"/>
      <c r="B19" s="1159">
        <v>0.55000000000000004</v>
      </c>
      <c r="C19" s="1160"/>
      <c r="D19" s="1156"/>
      <c r="E19" s="1220" t="s">
        <v>1250</v>
      </c>
      <c r="F19" s="1221" t="s">
        <v>1260</v>
      </c>
    </row>
    <row r="20" spans="1:9">
      <c r="A20" s="1155"/>
      <c r="B20" s="1159">
        <v>0.6</v>
      </c>
      <c r="C20" s="1160"/>
      <c r="D20" s="1156"/>
      <c r="E20" s="1220" t="s">
        <v>1251</v>
      </c>
      <c r="F20" s="1221" t="s">
        <v>1261</v>
      </c>
    </row>
    <row r="21" spans="1:9">
      <c r="A21" s="1155"/>
      <c r="B21" s="1159">
        <v>0.65</v>
      </c>
      <c r="C21" s="1160"/>
      <c r="D21" s="1156"/>
      <c r="E21" s="1220" t="s">
        <v>1252</v>
      </c>
      <c r="F21" s="1221" t="s">
        <v>1262</v>
      </c>
    </row>
    <row r="22" spans="1:9">
      <c r="A22" s="1155"/>
      <c r="B22" s="1159">
        <v>0.7</v>
      </c>
      <c r="C22" s="1160"/>
      <c r="D22" s="1156"/>
      <c r="E22" s="1220" t="s">
        <v>1253</v>
      </c>
      <c r="F22" s="1221" t="s">
        <v>1263</v>
      </c>
    </row>
    <row r="23" spans="1:9">
      <c r="A23" s="1155"/>
      <c r="B23" s="1159">
        <v>0.75</v>
      </c>
      <c r="C23" s="1160"/>
      <c r="D23" s="1156"/>
      <c r="E23" s="1220" t="s">
        <v>1232</v>
      </c>
      <c r="F23" s="1221" t="s">
        <v>1240</v>
      </c>
    </row>
    <row r="24" spans="1:9">
      <c r="A24" s="1155"/>
      <c r="B24" s="1159">
        <v>0.8</v>
      </c>
      <c r="C24" s="1160"/>
      <c r="D24" s="1156"/>
      <c r="E24" s="1220" t="s">
        <v>1254</v>
      </c>
      <c r="F24" s="1221" t="s">
        <v>1264</v>
      </c>
    </row>
    <row r="25" spans="1:9">
      <c r="A25" s="1155"/>
      <c r="B25" s="1159">
        <v>0.85</v>
      </c>
      <c r="C25" s="1160"/>
      <c r="D25" s="1156"/>
      <c r="E25" s="1220" t="s">
        <v>1255</v>
      </c>
      <c r="F25" s="1221" t="s">
        <v>1265</v>
      </c>
    </row>
    <row r="26" spans="1:9">
      <c r="A26" s="1155"/>
      <c r="B26" s="1159">
        <v>0.9</v>
      </c>
      <c r="C26" s="1160"/>
      <c r="D26" s="1156"/>
      <c r="E26" s="1220" t="s">
        <v>1256</v>
      </c>
      <c r="F26" s="1221" t="s">
        <v>1266</v>
      </c>
    </row>
    <row r="27" spans="1:9">
      <c r="A27" s="1155"/>
      <c r="B27" s="1159">
        <v>0.95</v>
      </c>
      <c r="C27" s="1160"/>
      <c r="D27" s="1156"/>
      <c r="E27" s="1220" t="s">
        <v>1257</v>
      </c>
      <c r="F27" s="1221" t="s">
        <v>1267</v>
      </c>
    </row>
    <row r="28" spans="1:9">
      <c r="A28" s="1157"/>
      <c r="B28" s="1162">
        <v>1</v>
      </c>
      <c r="C28" s="1163"/>
      <c r="D28" s="1158"/>
      <c r="E28" s="1222" t="s">
        <v>1233</v>
      </c>
      <c r="F28" s="1223" t="s">
        <v>1241</v>
      </c>
      <c r="G28" s="579"/>
      <c r="H28" s="579"/>
      <c r="I28" s="579"/>
    </row>
  </sheetData>
  <mergeCells count="3">
    <mergeCell ref="E7:F7"/>
    <mergeCell ref="C9:D9"/>
    <mergeCell ref="A2:H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K36"/>
  <sheetViews>
    <sheetView workbookViewId="0"/>
  </sheetViews>
  <sheetFormatPr defaultColWidth="9.1796875" defaultRowHeight="14.5"/>
  <cols>
    <col min="1" max="1" width="5.6328125" style="1806" customWidth="1"/>
    <col min="2" max="2" width="5.453125" style="1806" customWidth="1"/>
    <col min="3" max="58" width="2.54296875" style="1806" customWidth="1"/>
    <col min="59" max="16384" width="9.1796875" style="1806"/>
  </cols>
  <sheetData>
    <row r="1" spans="1:61" ht="20.149999999999999" customHeight="1">
      <c r="A1" s="1815"/>
      <c r="B1" s="1797"/>
      <c r="C1" s="914" t="s">
        <v>1151</v>
      </c>
      <c r="D1" s="914"/>
      <c r="E1" s="914"/>
      <c r="F1" s="914"/>
      <c r="G1" s="914"/>
      <c r="H1" s="914"/>
      <c r="I1" s="914"/>
      <c r="J1" s="914"/>
      <c r="K1" s="914"/>
      <c r="L1" s="914"/>
      <c r="M1" s="914"/>
      <c r="N1" s="914"/>
      <c r="O1" s="914"/>
      <c r="P1" s="914"/>
      <c r="Q1" s="914"/>
      <c r="R1" s="914"/>
      <c r="S1" s="914"/>
      <c r="T1" s="914"/>
      <c r="U1" s="914"/>
      <c r="V1" s="914"/>
      <c r="W1" s="914"/>
      <c r="X1" s="914"/>
      <c r="Y1" s="914"/>
      <c r="Z1" s="1798"/>
      <c r="AA1" s="1816"/>
      <c r="AB1" s="1797"/>
      <c r="AC1" s="1797"/>
      <c r="AD1" s="1797"/>
      <c r="AE1" s="1797"/>
      <c r="AF1" s="1797"/>
      <c r="AG1" s="1797"/>
      <c r="AH1" s="1797"/>
      <c r="AI1" s="1797"/>
      <c r="AJ1" s="1797"/>
      <c r="AK1" s="1797"/>
      <c r="AL1" s="1797"/>
      <c r="AM1" s="1797"/>
      <c r="AN1" s="1797"/>
      <c r="AO1" s="1797"/>
      <c r="AP1" s="1797"/>
      <c r="AQ1" s="1797"/>
      <c r="AR1" s="1797"/>
      <c r="AS1" s="1797"/>
      <c r="AT1" s="1797"/>
      <c r="AU1" s="1797"/>
      <c r="AV1" s="1797"/>
      <c r="AW1" s="1797"/>
      <c r="AX1" s="1797"/>
      <c r="AY1" s="1797"/>
      <c r="AZ1" s="1797"/>
      <c r="BA1" s="1797"/>
      <c r="BB1" s="1797"/>
      <c r="BC1" s="1797"/>
      <c r="BD1" s="1797"/>
    </row>
    <row r="2" spans="1:61" ht="20.149999999999999" customHeight="1">
      <c r="A2" s="1815"/>
      <c r="B2" s="1797"/>
      <c r="C2" s="915" t="str">
        <f>INDEX(dms_TradingNameFull_List,MATCH(dms_TradingName,dms_TradingName_List))</f>
        <v>Australian Transmission Co.</v>
      </c>
      <c r="D2" s="915"/>
      <c r="E2" s="915"/>
      <c r="F2" s="915"/>
      <c r="G2" s="915"/>
      <c r="H2" s="915"/>
      <c r="I2" s="915"/>
      <c r="J2" s="915"/>
      <c r="K2" s="915"/>
      <c r="L2" s="915"/>
      <c r="M2" s="915"/>
      <c r="N2" s="915"/>
      <c r="O2" s="915"/>
      <c r="P2" s="915"/>
      <c r="Q2" s="915"/>
      <c r="R2" s="915"/>
      <c r="S2" s="915"/>
      <c r="T2" s="915"/>
      <c r="U2" s="915"/>
      <c r="V2" s="915"/>
      <c r="W2" s="915"/>
      <c r="X2" s="915"/>
      <c r="Y2" s="915"/>
      <c r="Z2" s="1797"/>
      <c r="AA2" s="1817"/>
      <c r="AB2" s="1797"/>
      <c r="AC2" s="1797"/>
      <c r="AD2" s="1797"/>
      <c r="AE2" s="1797"/>
      <c r="AF2" s="1797"/>
      <c r="AG2" s="1797"/>
      <c r="AH2" s="1797"/>
      <c r="AI2" s="1797"/>
      <c r="AJ2" s="1797"/>
      <c r="AK2" s="1797"/>
      <c r="AL2" s="1797"/>
      <c r="AM2" s="1797"/>
      <c r="AN2" s="1797"/>
      <c r="AO2" s="1797"/>
      <c r="AP2" s="1797"/>
      <c r="AQ2" s="1797"/>
      <c r="AR2" s="1797"/>
      <c r="AS2" s="1797"/>
      <c r="AT2" s="1797"/>
      <c r="AU2" s="1797"/>
      <c r="AV2" s="1797"/>
      <c r="AW2" s="1797"/>
      <c r="AX2" s="1797"/>
      <c r="AY2" s="1797"/>
      <c r="AZ2" s="1797"/>
      <c r="BA2" s="1797"/>
      <c r="BB2" s="1797"/>
      <c r="BC2" s="1797"/>
      <c r="BD2" s="1797"/>
    </row>
    <row r="3" spans="1:61" ht="20.149999999999999" customHeight="1">
      <c r="A3" s="1815"/>
      <c r="B3" s="1797"/>
      <c r="C3" s="916" t="str">
        <f>CONCATENATE("REPORTING STATEMENT: "&amp;CRY)</f>
        <v>REPORTING STATEMENT: 2025-26</v>
      </c>
      <c r="D3" s="916"/>
      <c r="E3" s="916"/>
      <c r="F3" s="916"/>
      <c r="G3" s="916"/>
      <c r="H3" s="916"/>
      <c r="I3" s="916"/>
      <c r="J3" s="916"/>
      <c r="K3" s="916"/>
      <c r="L3" s="916"/>
      <c r="M3" s="916"/>
      <c r="N3" s="916"/>
      <c r="O3" s="916"/>
      <c r="P3" s="916"/>
      <c r="Q3" s="916"/>
      <c r="R3" s="916"/>
      <c r="S3" s="916"/>
      <c r="T3" s="916"/>
      <c r="U3" s="916"/>
      <c r="V3" s="916"/>
      <c r="W3" s="916"/>
      <c r="X3" s="916"/>
      <c r="Y3" s="916"/>
      <c r="Z3" s="1799"/>
      <c r="AA3" s="1818"/>
      <c r="AB3" s="1797"/>
      <c r="AC3" s="1797"/>
      <c r="AD3" s="1797"/>
      <c r="AE3" s="1797"/>
      <c r="AF3" s="1797"/>
      <c r="AG3" s="1797"/>
      <c r="AH3" s="1797"/>
      <c r="AI3" s="1797"/>
      <c r="AJ3" s="1797"/>
      <c r="AK3" s="1797"/>
      <c r="AL3" s="1797"/>
      <c r="AM3" s="1797"/>
      <c r="AN3" s="1797"/>
      <c r="AO3" s="1797"/>
      <c r="AP3" s="1797"/>
      <c r="AQ3" s="1797"/>
      <c r="AR3" s="1797"/>
      <c r="AS3" s="1797"/>
      <c r="AT3" s="1797"/>
      <c r="AU3" s="1797"/>
      <c r="AV3" s="1797"/>
      <c r="AW3" s="1797"/>
      <c r="AX3" s="1797"/>
      <c r="AY3" s="1797"/>
      <c r="AZ3" s="1797"/>
      <c r="BA3" s="1797"/>
      <c r="BB3" s="1797"/>
      <c r="BC3" s="1797"/>
      <c r="BD3" s="1797"/>
    </row>
    <row r="4" spans="1:61" ht="20.149999999999999" customHeight="1">
      <c r="A4" s="1819"/>
      <c r="B4" s="1820"/>
      <c r="C4" s="1800" t="s">
        <v>15</v>
      </c>
      <c r="D4" s="1800"/>
      <c r="E4" s="1800"/>
      <c r="F4" s="1800"/>
      <c r="G4" s="1800"/>
      <c r="H4" s="1800"/>
      <c r="I4" s="1800"/>
      <c r="J4" s="1800"/>
      <c r="K4" s="1800"/>
      <c r="L4" s="1800"/>
      <c r="M4" s="1800"/>
      <c r="N4" s="1800"/>
      <c r="O4" s="1800"/>
      <c r="P4" s="1800"/>
      <c r="Q4" s="1800"/>
      <c r="R4" s="1800"/>
      <c r="S4" s="1800"/>
      <c r="T4" s="1800"/>
      <c r="U4" s="1800"/>
      <c r="V4" s="1800"/>
      <c r="W4" s="1800"/>
      <c r="X4" s="1800"/>
      <c r="Y4" s="1800"/>
      <c r="Z4" s="1820"/>
      <c r="AA4" s="1820"/>
      <c r="AB4" s="1820"/>
      <c r="AC4" s="1820"/>
      <c r="AD4" s="1820"/>
      <c r="AE4" s="1820"/>
      <c r="AF4" s="1820"/>
      <c r="AG4" s="1820"/>
      <c r="AH4" s="1820"/>
      <c r="AI4" s="1820"/>
      <c r="AJ4" s="1820"/>
      <c r="AK4" s="1820"/>
      <c r="AL4" s="1820"/>
      <c r="AM4" s="1820"/>
      <c r="AN4" s="1820"/>
      <c r="AO4" s="1820"/>
      <c r="AP4" s="1820"/>
      <c r="AQ4" s="1820"/>
      <c r="AR4" s="1820"/>
      <c r="AS4" s="1820"/>
      <c r="AT4" s="1820"/>
      <c r="AU4" s="1820"/>
      <c r="AV4" s="1820"/>
      <c r="AW4" s="1820"/>
      <c r="AX4" s="1820"/>
      <c r="AY4" s="1820"/>
      <c r="AZ4" s="1820"/>
      <c r="BA4" s="1820"/>
      <c r="BB4" s="1820"/>
      <c r="BC4" s="1820"/>
      <c r="BD4" s="1820"/>
    </row>
    <row r="5" spans="1:61" ht="6" customHeight="1"/>
    <row r="6" spans="1:61" ht="21">
      <c r="A6" s="1819"/>
      <c r="B6" s="1836"/>
      <c r="C6" s="1836" t="s">
        <v>1655</v>
      </c>
      <c r="D6" s="1836"/>
      <c r="E6" s="1836"/>
      <c r="F6" s="1836"/>
      <c r="G6" s="1836"/>
      <c r="H6" s="1836"/>
      <c r="I6" s="1836"/>
      <c r="J6" s="1836"/>
      <c r="K6" s="1836"/>
      <c r="L6" s="1836"/>
      <c r="M6" s="1836"/>
      <c r="N6" s="1836"/>
      <c r="O6" s="1836"/>
      <c r="P6" s="1836"/>
      <c r="Q6" s="1836"/>
      <c r="R6" s="1836"/>
      <c r="S6" s="1836"/>
      <c r="T6" s="1836"/>
      <c r="U6" s="1836"/>
      <c r="V6" s="1836"/>
      <c r="W6" s="1836"/>
      <c r="X6" s="1836"/>
      <c r="Y6" s="1836"/>
      <c r="Z6" s="1836"/>
      <c r="AA6" s="1836"/>
      <c r="AB6" s="1836"/>
      <c r="AC6" s="1836"/>
      <c r="AD6" s="1836"/>
      <c r="AE6" s="1836"/>
      <c r="AF6" s="1836"/>
      <c r="AG6" s="1836"/>
      <c r="AH6" s="1836"/>
      <c r="AI6" s="1836"/>
      <c r="AJ6" s="1836"/>
      <c r="AK6" s="1836"/>
      <c r="AL6" s="1836"/>
      <c r="AM6" s="1836"/>
      <c r="AN6" s="1836"/>
      <c r="AO6" s="1836"/>
      <c r="AP6" s="1836"/>
      <c r="AQ6" s="1836"/>
      <c r="AR6" s="1836"/>
      <c r="AS6" s="1836"/>
      <c r="AT6" s="1836"/>
      <c r="AU6" s="1836"/>
      <c r="AV6" s="1836"/>
      <c r="AW6" s="1836"/>
      <c r="AX6" s="1836"/>
      <c r="AY6" s="1836"/>
      <c r="AZ6" s="1836"/>
      <c r="BA6" s="1836"/>
      <c r="BB6" s="1836"/>
      <c r="BC6" s="1836"/>
      <c r="BD6" s="1836"/>
    </row>
    <row r="7" spans="1:61" ht="50.25" customHeight="1">
      <c r="A7" s="1819"/>
      <c r="B7" s="1801"/>
      <c r="C7" s="1995" t="s">
        <v>1656</v>
      </c>
      <c r="D7" s="1995"/>
      <c r="E7" s="1995"/>
      <c r="F7" s="1995"/>
      <c r="G7" s="1995"/>
      <c r="H7" s="1995"/>
      <c r="I7" s="1995"/>
      <c r="J7" s="1995"/>
      <c r="K7" s="1995"/>
      <c r="L7" s="1995"/>
      <c r="M7" s="1995"/>
      <c r="N7" s="1995"/>
      <c r="O7" s="1995"/>
      <c r="P7" s="1995"/>
      <c r="Q7" s="1995"/>
      <c r="R7" s="1995"/>
      <c r="S7" s="1995"/>
      <c r="T7" s="1995"/>
      <c r="U7" s="1995"/>
      <c r="V7" s="1995"/>
      <c r="W7" s="1995"/>
      <c r="X7" s="1995"/>
      <c r="Y7" s="1995"/>
      <c r="Z7" s="1995"/>
      <c r="AA7" s="1995"/>
      <c r="AB7" s="1995"/>
      <c r="AC7" s="1995"/>
      <c r="AD7" s="1995"/>
      <c r="AE7" s="1995"/>
      <c r="AF7" s="1995"/>
      <c r="AG7" s="1995"/>
      <c r="AH7" s="1995"/>
      <c r="AI7" s="1995"/>
      <c r="AJ7" s="1995"/>
      <c r="AK7" s="1995"/>
      <c r="AL7" s="1995"/>
      <c r="AM7" s="1995"/>
      <c r="AN7" s="1995"/>
      <c r="AO7" s="1995"/>
      <c r="AP7" s="1995"/>
      <c r="AQ7" s="1995"/>
      <c r="AR7" s="1995"/>
      <c r="AS7" s="1995"/>
      <c r="AT7" s="1995"/>
      <c r="AU7" s="1995"/>
      <c r="AV7" s="1995"/>
      <c r="AW7" s="1995"/>
      <c r="AX7" s="1995"/>
      <c r="AY7" s="1995"/>
      <c r="AZ7" s="1995"/>
      <c r="BA7" s="1995"/>
      <c r="BB7" s="1995"/>
      <c r="BC7" s="1995"/>
      <c r="BD7" s="1801"/>
    </row>
    <row r="8" spans="1:61" ht="6" customHeight="1">
      <c r="A8" s="1819"/>
      <c r="B8" s="1819"/>
      <c r="C8" s="1821"/>
      <c r="D8" s="1821"/>
      <c r="E8" s="1821"/>
      <c r="F8" s="1821"/>
      <c r="G8" s="1821"/>
      <c r="H8" s="1821"/>
      <c r="I8" s="1821"/>
      <c r="J8" s="1821"/>
      <c r="K8" s="1821"/>
      <c r="L8" s="1821"/>
      <c r="M8" s="1821"/>
      <c r="N8" s="1821"/>
      <c r="O8" s="1821"/>
      <c r="P8" s="1821"/>
      <c r="Q8" s="1821"/>
      <c r="R8" s="1821"/>
      <c r="S8" s="1821"/>
      <c r="T8" s="1821"/>
      <c r="U8" s="1821"/>
      <c r="V8" s="1821"/>
      <c r="W8" s="1821"/>
      <c r="X8" s="1821"/>
      <c r="Y8" s="1821"/>
      <c r="Z8" s="1821"/>
      <c r="AA8" s="1821"/>
      <c r="AB8" s="1821"/>
      <c r="AC8" s="1821"/>
      <c r="AD8" s="1821"/>
      <c r="AE8" s="1821"/>
      <c r="AF8" s="1821"/>
      <c r="AG8" s="1821"/>
      <c r="AH8" s="1821"/>
      <c r="AI8" s="1821"/>
      <c r="AJ8" s="1821"/>
      <c r="AK8" s="1821"/>
      <c r="AL8" s="1821"/>
      <c r="AM8" s="1821"/>
      <c r="AN8" s="1821"/>
      <c r="AO8" s="1821"/>
      <c r="AP8" s="1821"/>
      <c r="AQ8" s="1821"/>
      <c r="AR8" s="1821"/>
      <c r="AS8" s="1821"/>
      <c r="AT8" s="1819"/>
      <c r="AU8" s="1819"/>
      <c r="AV8" s="1819"/>
      <c r="AW8" s="1819"/>
      <c r="AX8" s="1819"/>
      <c r="AY8" s="1819"/>
      <c r="AZ8" s="1819"/>
      <c r="BA8" s="1819"/>
      <c r="BB8" s="1819"/>
      <c r="BC8" s="1819"/>
      <c r="BD8" s="1819"/>
    </row>
    <row r="9" spans="1:61" s="1822" customFormat="1" ht="25.5" customHeight="1">
      <c r="A9" s="1819"/>
      <c r="B9" s="1802"/>
      <c r="C9" s="1803" t="s">
        <v>16</v>
      </c>
      <c r="D9" s="1803"/>
      <c r="E9" s="1803"/>
      <c r="F9" s="1803"/>
      <c r="G9" s="1803"/>
      <c r="H9" s="1803"/>
      <c r="I9" s="1803"/>
      <c r="J9" s="1803"/>
      <c r="K9" s="1803"/>
      <c r="L9" s="1803"/>
      <c r="M9" s="1803"/>
      <c r="N9" s="1803"/>
      <c r="O9" s="1803"/>
      <c r="P9" s="1803"/>
      <c r="Q9" s="1803"/>
      <c r="R9" s="1803"/>
      <c r="S9" s="1803"/>
      <c r="T9" s="1803"/>
      <c r="U9" s="1803"/>
      <c r="V9" s="1803"/>
      <c r="W9" s="1803"/>
      <c r="X9" s="1803"/>
      <c r="Y9" s="1803"/>
      <c r="Z9" s="1803"/>
      <c r="AA9" s="1803"/>
      <c r="AB9" s="1803"/>
      <c r="AC9" s="1803"/>
      <c r="AD9" s="1803"/>
      <c r="AE9" s="1803"/>
      <c r="AF9" s="1803"/>
      <c r="AG9" s="1803"/>
      <c r="AH9" s="1803"/>
      <c r="AI9" s="1803"/>
      <c r="AJ9" s="1803"/>
      <c r="AK9" s="1803"/>
      <c r="AL9" s="1803"/>
      <c r="AM9" s="1803"/>
      <c r="AN9" s="1803"/>
      <c r="AO9" s="1803"/>
      <c r="AP9" s="1803"/>
      <c r="AQ9" s="1803"/>
      <c r="AR9" s="1803"/>
      <c r="AS9" s="1803"/>
      <c r="AT9" s="1803"/>
      <c r="AU9" s="1803"/>
      <c r="AV9" s="1803"/>
      <c r="AW9" s="1803"/>
      <c r="AX9" s="1803"/>
      <c r="AY9" s="1803"/>
      <c r="AZ9" s="1803"/>
      <c r="BA9" s="1803"/>
      <c r="BB9" s="1803"/>
      <c r="BC9" s="1803"/>
      <c r="BD9" s="1803"/>
      <c r="BE9" s="1806"/>
      <c r="BF9" s="1806"/>
    </row>
    <row r="10" spans="1:61" ht="6" customHeight="1"/>
    <row r="11" spans="1:61" ht="21" customHeight="1">
      <c r="A11" s="1823"/>
      <c r="B11" s="1992" t="s">
        <v>1657</v>
      </c>
      <c r="C11" s="1992"/>
      <c r="D11" s="1992"/>
      <c r="E11" s="1992"/>
      <c r="F11" s="1992"/>
      <c r="G11" s="1992"/>
      <c r="H11" s="1992"/>
      <c r="I11" s="1992"/>
      <c r="J11" s="1992"/>
      <c r="K11" s="1992"/>
      <c r="L11" s="1992"/>
      <c r="M11" s="1992"/>
      <c r="N11" s="1992"/>
      <c r="O11" s="1992"/>
      <c r="P11" s="1992"/>
      <c r="Q11" s="1992"/>
      <c r="R11" s="1992"/>
      <c r="S11" s="1992"/>
      <c r="T11" s="1992"/>
      <c r="U11" s="1992"/>
      <c r="V11" s="1992"/>
      <c r="W11" s="1992"/>
      <c r="X11" s="1992"/>
      <c r="Y11" s="1992"/>
      <c r="Z11" s="1992"/>
      <c r="AA11" s="1992"/>
      <c r="AB11" s="1992"/>
      <c r="AC11" s="1992"/>
      <c r="AD11" s="1992"/>
      <c r="AE11" s="1992"/>
      <c r="AF11" s="1992"/>
      <c r="AG11" s="1992"/>
      <c r="AH11" s="1992"/>
      <c r="AI11" s="1992"/>
      <c r="AJ11" s="1992"/>
      <c r="AK11" s="1992"/>
      <c r="AL11" s="1992"/>
      <c r="AM11" s="1992"/>
      <c r="AN11" s="1992"/>
      <c r="AO11" s="1992"/>
      <c r="AP11" s="1992"/>
      <c r="AQ11" s="1992"/>
      <c r="AR11" s="1992"/>
      <c r="AS11" s="1992"/>
      <c r="AT11" s="1992"/>
      <c r="AU11" s="1992"/>
      <c r="AV11" s="1992"/>
      <c r="AW11" s="1992"/>
      <c r="AX11" s="1992"/>
      <c r="AY11" s="1992"/>
      <c r="AZ11" s="1992"/>
      <c r="BA11" s="1992"/>
      <c r="BB11" s="1992"/>
      <c r="BC11" s="1992"/>
      <c r="BD11" s="1992"/>
    </row>
    <row r="12" spans="1:61" ht="21" customHeight="1">
      <c r="A12" s="1824"/>
      <c r="B12" s="1825"/>
      <c r="C12" s="1825"/>
      <c r="D12" s="1804"/>
      <c r="E12" s="1804"/>
      <c r="F12" s="1804"/>
      <c r="G12" s="1804"/>
      <c r="H12" s="1804"/>
      <c r="I12" s="1804"/>
      <c r="J12" s="1804"/>
      <c r="K12" s="1804"/>
      <c r="L12" s="1805" t="s">
        <v>17</v>
      </c>
      <c r="M12" s="1804"/>
      <c r="N12" s="1804"/>
      <c r="O12" s="1804"/>
      <c r="P12" s="1804"/>
      <c r="Q12" s="1804"/>
      <c r="R12" s="1804"/>
      <c r="S12" s="1804"/>
      <c r="T12" s="1804"/>
      <c r="U12" s="1804"/>
      <c r="V12" s="1804"/>
      <c r="W12" s="1804"/>
      <c r="X12" s="1804"/>
      <c r="Y12" s="1804"/>
      <c r="Z12" s="1804"/>
      <c r="AA12" s="1804"/>
      <c r="AB12" s="1804"/>
      <c r="AC12" s="1804"/>
      <c r="AD12" s="1804"/>
      <c r="AE12" s="1804"/>
      <c r="AF12" s="1825"/>
      <c r="AG12" s="1825"/>
      <c r="AH12" s="1825"/>
      <c r="AI12" s="1825"/>
      <c r="AJ12" s="1825"/>
      <c r="AK12" s="1825"/>
      <c r="AL12" s="1825"/>
      <c r="AM12" s="1825"/>
      <c r="AN12" s="1825"/>
      <c r="AO12" s="1825"/>
      <c r="AP12" s="1825"/>
      <c r="AQ12" s="1825"/>
      <c r="AR12" s="1825"/>
      <c r="AS12" s="1825"/>
      <c r="AT12" s="1825"/>
      <c r="AU12" s="1825"/>
      <c r="AV12" s="1825"/>
      <c r="AW12" s="1825"/>
      <c r="AX12" s="1825"/>
      <c r="AY12" s="1825"/>
      <c r="AZ12" s="1825"/>
      <c r="BA12" s="1825"/>
      <c r="BB12" s="1825"/>
      <c r="BC12" s="1825"/>
      <c r="BD12" s="1825"/>
    </row>
    <row r="13" spans="1:61" s="1126" customFormat="1" ht="27.75" customHeight="1">
      <c r="B13" s="1826"/>
      <c r="C13" s="1807"/>
      <c r="D13" s="1808"/>
      <c r="E13" s="1808"/>
      <c r="F13" s="1808"/>
      <c r="G13" s="1808"/>
      <c r="H13" s="1808"/>
      <c r="I13" s="1808"/>
      <c r="J13" s="1808"/>
      <c r="K13" s="1808"/>
      <c r="L13" s="1807" t="s">
        <v>18</v>
      </c>
      <c r="M13" s="1826"/>
      <c r="N13" s="1994" t="s">
        <v>19</v>
      </c>
      <c r="O13" s="1994"/>
      <c r="P13" s="1994"/>
      <c r="Q13" s="1994"/>
      <c r="R13" s="1994"/>
      <c r="S13" s="1994"/>
      <c r="T13" s="1994"/>
      <c r="U13" s="1994"/>
      <c r="V13" s="1994"/>
      <c r="W13" s="1994"/>
      <c r="X13" s="1994"/>
      <c r="Y13" s="1994"/>
      <c r="Z13" s="1994"/>
      <c r="AA13" s="1994"/>
      <c r="AB13" s="1994"/>
      <c r="AC13" s="1994"/>
      <c r="AD13" s="1994"/>
      <c r="AE13" s="1994"/>
      <c r="AF13" s="1825"/>
      <c r="AG13" s="1825"/>
      <c r="AH13" s="1825"/>
      <c r="AI13" s="1825"/>
      <c r="AJ13" s="1825"/>
      <c r="AK13" s="1825"/>
      <c r="AL13" s="1825"/>
      <c r="AM13" s="1825"/>
      <c r="AN13" s="1825"/>
      <c r="AO13" s="1825"/>
      <c r="AP13" s="1825"/>
      <c r="AQ13" s="1825"/>
      <c r="AR13" s="1825"/>
      <c r="AS13" s="1825"/>
      <c r="AT13" s="1825"/>
      <c r="AU13" s="1825"/>
      <c r="AV13" s="1825"/>
      <c r="AW13" s="1825"/>
      <c r="AX13" s="1825"/>
      <c r="AY13" s="1825"/>
      <c r="AZ13" s="1825"/>
      <c r="BA13" s="1825"/>
      <c r="BB13" s="1825"/>
      <c r="BC13" s="1825"/>
      <c r="BD13" s="1825"/>
      <c r="BE13" s="1806"/>
      <c r="BF13" s="1806"/>
    </row>
    <row r="14" spans="1:61" s="990" customFormat="1" ht="25.5" customHeight="1">
      <c r="B14" s="1809"/>
      <c r="C14" s="1807"/>
      <c r="D14" s="1808"/>
      <c r="E14" s="1808"/>
      <c r="F14" s="1808"/>
      <c r="G14" s="1808"/>
      <c r="H14" s="1808"/>
      <c r="I14" s="1808"/>
      <c r="J14" s="1808"/>
      <c r="K14" s="1808"/>
      <c r="L14" s="1807" t="s">
        <v>20</v>
      </c>
      <c r="M14" s="1809"/>
      <c r="N14" s="1993">
        <f>INDEX(dms_ABN_List,MATCH(dms_TradingName,dms_TradingName_List))</f>
        <v>11222333444</v>
      </c>
      <c r="O14" s="1993"/>
      <c r="P14" s="1993"/>
      <c r="Q14" s="1993"/>
      <c r="R14" s="1993"/>
      <c r="S14" s="1993"/>
      <c r="T14" s="1993"/>
      <c r="U14" s="1993"/>
      <c r="V14" s="1993"/>
      <c r="W14" s="1993"/>
      <c r="X14" s="1993"/>
      <c r="Y14" s="1993"/>
      <c r="Z14" s="1835"/>
      <c r="AA14" s="1835"/>
      <c r="AB14" s="1835"/>
      <c r="AC14" s="1835"/>
      <c r="AD14" s="1835"/>
      <c r="AE14" s="1835"/>
      <c r="AF14" s="1825"/>
      <c r="AG14" s="1825"/>
      <c r="AH14" s="1825"/>
      <c r="AI14" s="1825"/>
      <c r="AJ14" s="1825"/>
      <c r="AK14" s="1825"/>
      <c r="AL14" s="1825"/>
      <c r="AM14" s="1825"/>
      <c r="AN14" s="1825"/>
      <c r="AO14" s="1825"/>
      <c r="AP14" s="1825"/>
      <c r="AQ14" s="1825"/>
      <c r="AR14" s="1825"/>
      <c r="AS14" s="1825"/>
      <c r="AT14" s="1825"/>
      <c r="AU14" s="1825"/>
      <c r="AV14" s="1825"/>
      <c r="AW14" s="1825"/>
      <c r="AX14" s="1825"/>
      <c r="AY14" s="1825"/>
      <c r="AZ14" s="1825"/>
      <c r="BA14" s="1825"/>
      <c r="BB14" s="1825"/>
      <c r="BC14" s="1825"/>
      <c r="BD14" s="1825"/>
      <c r="BE14" s="1806"/>
      <c r="BF14" s="1806"/>
    </row>
    <row r="15" spans="1:61" ht="8.25" customHeight="1">
      <c r="B15" s="1825"/>
      <c r="C15" s="1825"/>
      <c r="D15" s="1825"/>
      <c r="E15" s="1825"/>
      <c r="F15" s="1825"/>
      <c r="G15" s="1825"/>
      <c r="H15" s="1825"/>
      <c r="I15" s="1825"/>
      <c r="J15" s="1825"/>
      <c r="K15" s="1825"/>
      <c r="L15" s="1825"/>
      <c r="M15" s="1825"/>
      <c r="N15" s="1825"/>
      <c r="O15" s="1825"/>
      <c r="P15" s="1825"/>
      <c r="Q15" s="1825"/>
      <c r="R15" s="1825"/>
      <c r="S15" s="1825"/>
      <c r="T15" s="1825"/>
      <c r="U15" s="1825"/>
      <c r="V15" s="1825"/>
      <c r="W15" s="1825"/>
      <c r="X15" s="1825"/>
      <c r="Y15" s="1825"/>
      <c r="Z15" s="1825"/>
      <c r="AA15" s="1825"/>
      <c r="AB15" s="1825"/>
      <c r="AC15" s="1825"/>
      <c r="AD15" s="1825"/>
      <c r="AE15" s="1825"/>
      <c r="AF15" s="1825"/>
      <c r="AG15" s="1825"/>
      <c r="AH15" s="1825"/>
      <c r="AI15" s="1825"/>
      <c r="AJ15" s="1825"/>
      <c r="AK15" s="1825"/>
      <c r="AL15" s="1825"/>
      <c r="AM15" s="1825"/>
      <c r="AN15" s="1825"/>
      <c r="AO15" s="1825"/>
      <c r="AP15" s="1825"/>
      <c r="AQ15" s="1825"/>
      <c r="AR15" s="1825"/>
      <c r="AS15" s="1825"/>
      <c r="AT15" s="1825"/>
      <c r="AU15" s="1825"/>
      <c r="AV15" s="1825"/>
      <c r="AW15" s="1825"/>
      <c r="AX15" s="1825"/>
      <c r="AY15" s="1825"/>
      <c r="AZ15" s="1825"/>
      <c r="BA15" s="1825"/>
      <c r="BB15" s="1825"/>
      <c r="BC15" s="1825"/>
      <c r="BD15" s="1825"/>
    </row>
    <row r="16" spans="1:61" ht="6" customHeight="1">
      <c r="B16" s="1829"/>
      <c r="C16" s="1829"/>
      <c r="D16" s="1829"/>
      <c r="E16" s="1829"/>
      <c r="F16" s="1829"/>
      <c r="G16" s="1829"/>
      <c r="H16" s="1829"/>
      <c r="I16" s="1829"/>
      <c r="J16" s="1829"/>
      <c r="K16" s="1829"/>
      <c r="L16" s="1829"/>
      <c r="M16" s="1830"/>
      <c r="N16" s="1830"/>
      <c r="O16" s="1830"/>
      <c r="P16" s="1830"/>
      <c r="Q16" s="1830"/>
      <c r="R16" s="1830"/>
      <c r="S16" s="1830"/>
      <c r="T16" s="1830"/>
      <c r="U16" s="1830"/>
      <c r="V16" s="1830"/>
      <c r="W16" s="1830"/>
      <c r="X16" s="1830"/>
      <c r="Y16" s="1830"/>
      <c r="Z16" s="1830"/>
      <c r="AA16" s="1829"/>
      <c r="AB16" s="1829"/>
      <c r="AC16" s="1829"/>
      <c r="AD16" s="1829"/>
      <c r="AE16" s="1829"/>
      <c r="AF16" s="1829"/>
      <c r="AG16" s="1829"/>
      <c r="AH16" s="1829"/>
      <c r="AI16" s="1829"/>
      <c r="AJ16" s="1829"/>
      <c r="AK16" s="1829"/>
      <c r="AL16" s="1829"/>
      <c r="AM16" s="1829"/>
      <c r="AN16" s="1829"/>
      <c r="AO16" s="1829"/>
      <c r="AP16" s="1829"/>
      <c r="AQ16" s="1829"/>
      <c r="AR16" s="1829"/>
      <c r="AS16" s="1829"/>
      <c r="AT16" s="1829"/>
      <c r="AU16" s="1829"/>
      <c r="AV16" s="1829"/>
      <c r="AW16" s="1829"/>
      <c r="AX16" s="1829"/>
      <c r="AY16" s="1829"/>
      <c r="AZ16" s="1829"/>
      <c r="BA16" s="1829"/>
      <c r="BB16" s="1829"/>
      <c r="BC16" s="1829"/>
      <c r="BD16" s="1829"/>
      <c r="BI16" s="1828"/>
    </row>
    <row r="17" spans="1:61" ht="21" customHeight="1">
      <c r="B17" s="1992" t="s">
        <v>1658</v>
      </c>
      <c r="C17" s="1992"/>
      <c r="D17" s="1992"/>
      <c r="E17" s="1992"/>
      <c r="F17" s="1992"/>
      <c r="G17" s="1992"/>
      <c r="H17" s="1992"/>
      <c r="I17" s="1992"/>
      <c r="J17" s="1992"/>
      <c r="K17" s="1992"/>
      <c r="L17" s="1992"/>
      <c r="M17" s="1992"/>
      <c r="N17" s="1992"/>
      <c r="O17" s="1992"/>
      <c r="P17" s="1992"/>
      <c r="Q17" s="1992"/>
      <c r="R17" s="1992"/>
      <c r="S17" s="1992"/>
      <c r="T17" s="1992"/>
      <c r="U17" s="1992"/>
      <c r="V17" s="1992"/>
      <c r="W17" s="1992"/>
      <c r="X17" s="1992"/>
      <c r="Y17" s="1992"/>
      <c r="Z17" s="1992"/>
      <c r="AA17" s="1992"/>
      <c r="AB17" s="1992"/>
      <c r="AC17" s="1992"/>
      <c r="AD17" s="1992"/>
      <c r="AE17" s="1992"/>
      <c r="AF17" s="1992"/>
      <c r="AG17" s="1992"/>
      <c r="AH17" s="1992"/>
      <c r="AI17" s="1992"/>
      <c r="AJ17" s="1992"/>
      <c r="AK17" s="1992"/>
      <c r="AL17" s="1992"/>
      <c r="AM17" s="1992"/>
      <c r="AN17" s="1992"/>
      <c r="AO17" s="1992"/>
      <c r="AP17" s="1992"/>
      <c r="AQ17" s="1992"/>
      <c r="AR17" s="1992"/>
      <c r="AS17" s="1992"/>
      <c r="AT17" s="1992"/>
      <c r="AU17" s="1992"/>
      <c r="AV17" s="1992"/>
      <c r="AW17" s="1992"/>
      <c r="AX17" s="1992"/>
      <c r="AY17" s="1992"/>
      <c r="AZ17" s="1992"/>
      <c r="BA17" s="1992"/>
      <c r="BB17" s="1992"/>
      <c r="BC17" s="1992"/>
      <c r="BD17" s="1992"/>
      <c r="BI17" s="1828"/>
    </row>
    <row r="18" spans="1:61" ht="6" customHeight="1">
      <c r="A18" s="1829"/>
      <c r="B18" s="1827"/>
      <c r="C18" s="1810"/>
      <c r="D18" s="1810"/>
      <c r="E18" s="1811"/>
      <c r="F18" s="1811"/>
      <c r="G18" s="1811"/>
      <c r="H18" s="1811"/>
      <c r="I18" s="1811"/>
      <c r="J18" s="1811"/>
      <c r="K18" s="1811"/>
      <c r="L18" s="1811"/>
      <c r="M18" s="1811"/>
      <c r="N18" s="1811"/>
      <c r="O18" s="1811"/>
      <c r="P18" s="1811"/>
      <c r="Q18" s="1811"/>
      <c r="R18" s="1811"/>
      <c r="S18" s="1811"/>
      <c r="T18" s="1811"/>
      <c r="U18" s="1827"/>
      <c r="V18" s="1827"/>
      <c r="W18" s="1827"/>
      <c r="X18" s="1827"/>
      <c r="Y18" s="1827"/>
      <c r="Z18" s="1827"/>
      <c r="AA18" s="1827"/>
      <c r="AB18" s="1827"/>
      <c r="AC18" s="1827"/>
      <c r="AD18" s="1827"/>
      <c r="AE18" s="1827"/>
      <c r="AF18" s="1827"/>
      <c r="AG18" s="1827"/>
      <c r="AH18" s="1827"/>
      <c r="AI18" s="1827"/>
      <c r="AJ18" s="1827"/>
      <c r="AK18" s="1827"/>
      <c r="AL18" s="1827"/>
      <c r="AM18" s="1827"/>
      <c r="AN18" s="1827"/>
      <c r="AO18" s="1827"/>
      <c r="AP18" s="1827"/>
      <c r="AQ18" s="1827"/>
      <c r="AR18" s="1827"/>
      <c r="AS18" s="1827"/>
      <c r="AT18" s="1827"/>
      <c r="AU18" s="1827"/>
      <c r="AV18" s="1827"/>
      <c r="AW18" s="1827"/>
      <c r="AX18" s="1827"/>
      <c r="AY18" s="1827"/>
      <c r="AZ18" s="1827"/>
      <c r="BA18" s="1827"/>
      <c r="BB18" s="1827"/>
      <c r="BC18" s="1827"/>
      <c r="BD18" s="1827"/>
    </row>
    <row r="19" spans="1:61" ht="24.65" customHeight="1">
      <c r="A19" s="1829"/>
      <c r="B19" s="1805"/>
      <c r="C19" s="1811"/>
      <c r="D19" s="1811"/>
      <c r="E19" s="1811"/>
      <c r="F19" s="1811"/>
      <c r="G19" s="1811"/>
      <c r="H19" s="1811"/>
      <c r="I19" s="1811"/>
      <c r="J19" s="1812"/>
      <c r="K19" s="1812"/>
      <c r="L19" s="1807" t="s">
        <v>983</v>
      </c>
      <c r="M19" s="1811"/>
      <c r="N19" s="1985" t="s">
        <v>714</v>
      </c>
      <c r="O19" s="1985"/>
      <c r="P19" s="1985"/>
      <c r="Q19" s="1985"/>
      <c r="R19" s="1985"/>
      <c r="S19" s="1985"/>
      <c r="T19" s="1985"/>
      <c r="U19" s="1985"/>
      <c r="V19" s="1811"/>
      <c r="W19" s="1811"/>
      <c r="X19" s="1811"/>
      <c r="Y19" s="1811"/>
      <c r="Z19" s="1811"/>
      <c r="AA19" s="1811"/>
      <c r="AB19" s="1811"/>
      <c r="AC19" s="1811"/>
      <c r="AD19" s="1811"/>
      <c r="AE19" s="1811"/>
      <c r="AF19" s="1811"/>
      <c r="AG19" s="1811"/>
      <c r="AH19" s="1811"/>
      <c r="AI19" s="1811"/>
      <c r="AJ19" s="1811"/>
      <c r="AK19" s="1811"/>
      <c r="AL19" s="1811"/>
      <c r="AM19" s="1811"/>
      <c r="AN19" s="1811"/>
      <c r="AO19" s="1811"/>
      <c r="AP19" s="1811"/>
      <c r="AQ19" s="1811"/>
      <c r="AR19" s="1811"/>
      <c r="AS19" s="1811"/>
      <c r="AT19" s="1811"/>
      <c r="AU19" s="1811"/>
      <c r="AV19" s="1811"/>
      <c r="AW19" s="1811"/>
      <c r="AX19" s="1811"/>
      <c r="AY19" s="1811"/>
      <c r="AZ19" s="1811"/>
      <c r="BA19" s="1811"/>
      <c r="BB19" s="1811"/>
      <c r="BC19" s="1811"/>
      <c r="BD19" s="1811"/>
    </row>
    <row r="20" spans="1:61" ht="6" customHeight="1">
      <c r="A20" s="1829"/>
      <c r="B20" s="1827"/>
      <c r="C20" s="1827"/>
      <c r="D20" s="1827"/>
      <c r="E20" s="1811"/>
      <c r="F20" s="1811"/>
      <c r="G20" s="1811"/>
      <c r="H20" s="1811"/>
      <c r="I20" s="1811"/>
      <c r="J20" s="1811"/>
      <c r="K20" s="1811"/>
      <c r="L20" s="1811"/>
      <c r="M20" s="1811"/>
      <c r="N20" s="1811"/>
      <c r="O20" s="1811"/>
      <c r="P20" s="1811"/>
      <c r="Q20" s="1811"/>
      <c r="R20" s="1811"/>
      <c r="S20" s="1811"/>
      <c r="T20" s="1811"/>
      <c r="U20" s="1811"/>
      <c r="V20" s="1811"/>
      <c r="W20" s="1811"/>
      <c r="X20" s="1811"/>
      <c r="Y20" s="1811"/>
      <c r="Z20" s="1811"/>
      <c r="AA20" s="1811"/>
      <c r="AB20" s="1811"/>
      <c r="AC20" s="1811"/>
      <c r="AD20" s="1811"/>
      <c r="AE20" s="1811"/>
      <c r="AF20" s="1811"/>
      <c r="AG20" s="1811"/>
      <c r="AH20" s="1811"/>
      <c r="AI20" s="1811"/>
      <c r="AJ20" s="1811"/>
      <c r="AK20" s="1811"/>
      <c r="AL20" s="1811"/>
      <c r="AM20" s="1811"/>
      <c r="AN20" s="1811"/>
      <c r="AO20" s="1811"/>
      <c r="AP20" s="1811"/>
      <c r="AQ20" s="1811"/>
      <c r="AR20" s="1811"/>
      <c r="AS20" s="1811"/>
      <c r="AT20" s="1811"/>
      <c r="AU20" s="1811"/>
      <c r="AV20" s="1811"/>
      <c r="AW20" s="1811"/>
      <c r="AX20" s="1811"/>
      <c r="AY20" s="1811"/>
      <c r="AZ20" s="1811"/>
      <c r="BA20" s="1811"/>
      <c r="BB20" s="1811"/>
      <c r="BC20" s="1811"/>
      <c r="BD20" s="1811"/>
    </row>
    <row r="21" spans="1:61" ht="6" customHeight="1">
      <c r="A21" s="1829"/>
      <c r="B21" s="1829"/>
      <c r="C21" s="1829"/>
      <c r="D21" s="1829"/>
      <c r="E21" s="1829"/>
      <c r="F21" s="1829"/>
      <c r="G21" s="1830"/>
      <c r="H21" s="1830"/>
      <c r="I21" s="1830"/>
      <c r="J21" s="1830"/>
      <c r="K21" s="1830"/>
      <c r="L21" s="1830"/>
      <c r="M21" s="1830"/>
      <c r="N21" s="1830"/>
      <c r="O21" s="1830"/>
      <c r="P21" s="1830"/>
      <c r="Q21" s="1830"/>
      <c r="R21" s="1830"/>
      <c r="S21" s="1830"/>
      <c r="T21" s="1830"/>
      <c r="U21" s="1829"/>
      <c r="V21" s="1829"/>
      <c r="W21" s="1829"/>
      <c r="X21" s="1829"/>
      <c r="Y21" s="1829"/>
      <c r="Z21" s="1829"/>
      <c r="AA21" s="1829"/>
      <c r="AB21" s="1829"/>
      <c r="AC21" s="1829"/>
      <c r="AD21" s="1829"/>
      <c r="AE21" s="1829"/>
      <c r="AF21" s="1829"/>
      <c r="AG21" s="1829"/>
      <c r="AH21" s="1829"/>
      <c r="AI21" s="1829"/>
      <c r="AJ21" s="1829"/>
      <c r="AK21" s="1829"/>
      <c r="AL21" s="1829"/>
      <c r="AM21" s="1829"/>
      <c r="AN21" s="1829"/>
      <c r="AO21" s="1829"/>
      <c r="AP21" s="1829"/>
      <c r="AQ21" s="1829"/>
      <c r="AR21" s="1829"/>
      <c r="AS21" s="1829"/>
      <c r="AT21" s="1829"/>
      <c r="AU21" s="1829"/>
      <c r="AV21" s="1829"/>
      <c r="AW21" s="1829"/>
      <c r="AX21" s="1829"/>
      <c r="AY21" s="1829"/>
      <c r="AZ21" s="1829"/>
      <c r="BA21" s="1829"/>
      <c r="BB21" s="1829"/>
      <c r="BC21" s="1829"/>
      <c r="BD21" s="1829"/>
    </row>
    <row r="22" spans="1:61" ht="21" customHeight="1">
      <c r="A22" s="1829"/>
      <c r="B22" s="1992" t="s">
        <v>1659</v>
      </c>
      <c r="C22" s="1992"/>
      <c r="D22" s="1992"/>
      <c r="E22" s="1992"/>
      <c r="F22" s="1992"/>
      <c r="G22" s="1992"/>
      <c r="H22" s="1992"/>
      <c r="I22" s="1992"/>
      <c r="J22" s="1992"/>
      <c r="K22" s="1992"/>
      <c r="L22" s="1992"/>
      <c r="M22" s="1992"/>
      <c r="N22" s="1992"/>
      <c r="O22" s="1992"/>
      <c r="P22" s="1992"/>
      <c r="Q22" s="1992"/>
      <c r="R22" s="1992"/>
      <c r="S22" s="1992"/>
      <c r="T22" s="1992"/>
      <c r="U22" s="1992"/>
      <c r="V22" s="1992"/>
      <c r="W22" s="1992"/>
      <c r="X22" s="1992"/>
      <c r="Y22" s="1992"/>
      <c r="Z22" s="1992"/>
      <c r="AA22" s="1992"/>
      <c r="AB22" s="1992"/>
      <c r="AC22" s="1992"/>
      <c r="AD22" s="1992"/>
      <c r="AE22" s="1992"/>
      <c r="AF22" s="1992"/>
      <c r="AG22" s="1992"/>
      <c r="AH22" s="1992"/>
      <c r="AI22" s="1992"/>
      <c r="AJ22" s="1992"/>
      <c r="AK22" s="1992"/>
      <c r="AL22" s="1992"/>
      <c r="AM22" s="1992"/>
      <c r="AN22" s="1992"/>
      <c r="AO22" s="1992"/>
      <c r="AP22" s="1992"/>
      <c r="AQ22" s="1992"/>
      <c r="AR22" s="1992"/>
      <c r="AS22" s="1992"/>
      <c r="AT22" s="1992"/>
      <c r="AU22" s="1992"/>
      <c r="AV22" s="1992"/>
      <c r="AW22" s="1992"/>
      <c r="AX22" s="1992"/>
      <c r="AY22" s="1992"/>
      <c r="AZ22" s="1992"/>
      <c r="BA22" s="1992"/>
      <c r="BB22" s="1992"/>
      <c r="BC22" s="1992"/>
      <c r="BD22" s="1992"/>
    </row>
    <row r="23" spans="1:61" ht="6" customHeight="1">
      <c r="A23" s="1829"/>
      <c r="B23" s="1827"/>
      <c r="C23" s="1810"/>
      <c r="D23" s="1810"/>
      <c r="E23" s="1811"/>
      <c r="F23" s="1811"/>
      <c r="G23" s="1811"/>
      <c r="H23" s="1811"/>
      <c r="I23" s="1811"/>
      <c r="J23" s="1811"/>
      <c r="K23" s="1811"/>
      <c r="L23" s="1811"/>
      <c r="M23" s="1811"/>
      <c r="N23" s="1811"/>
      <c r="O23" s="1811"/>
      <c r="P23" s="1811"/>
      <c r="Q23" s="1811"/>
      <c r="R23" s="1811"/>
      <c r="S23" s="1811"/>
      <c r="T23" s="1811"/>
      <c r="U23" s="1827"/>
      <c r="V23" s="1827"/>
      <c r="W23" s="1827"/>
      <c r="X23" s="1827"/>
      <c r="Y23" s="1827"/>
      <c r="Z23" s="1827"/>
      <c r="AA23" s="1827"/>
      <c r="AB23" s="1827"/>
      <c r="AC23" s="1827"/>
      <c r="AD23" s="1827"/>
      <c r="AE23" s="1827"/>
      <c r="AF23" s="1827"/>
      <c r="AG23" s="1827"/>
      <c r="AH23" s="1827"/>
      <c r="AI23" s="1827"/>
      <c r="AJ23" s="1827"/>
      <c r="AK23" s="1827"/>
      <c r="AL23" s="1827"/>
      <c r="AM23" s="1827"/>
      <c r="AN23" s="1827"/>
      <c r="AO23" s="1827"/>
      <c r="AP23" s="1827"/>
      <c r="AQ23" s="1827"/>
      <c r="AR23" s="1827"/>
      <c r="AS23" s="1827"/>
      <c r="AT23" s="1827"/>
      <c r="AU23" s="1827"/>
      <c r="AV23" s="1827"/>
      <c r="AW23" s="1827"/>
      <c r="AX23" s="1827"/>
      <c r="AY23" s="1827"/>
      <c r="AZ23" s="1827"/>
      <c r="BA23" s="1827"/>
      <c r="BB23" s="1827"/>
      <c r="BC23" s="1827"/>
      <c r="BD23" s="1827"/>
    </row>
    <row r="24" spans="1:61" ht="18.5">
      <c r="A24" s="1829"/>
      <c r="B24" s="1827"/>
      <c r="C24" s="1810"/>
      <c r="D24" s="1810"/>
      <c r="E24" s="1807"/>
      <c r="F24" s="1807"/>
      <c r="G24" s="1807"/>
      <c r="H24" s="1807"/>
      <c r="I24" s="1807"/>
      <c r="J24" s="1807"/>
      <c r="K24" s="1807"/>
      <c r="L24" s="1807" t="s">
        <v>1335</v>
      </c>
      <c r="M24" s="1827"/>
      <c r="N24" s="1991" t="s">
        <v>1336</v>
      </c>
      <c r="O24" s="1991"/>
      <c r="P24" s="1991"/>
      <c r="Q24" s="1991"/>
      <c r="R24" s="1991"/>
      <c r="S24" s="1991"/>
      <c r="T24" s="1991"/>
      <c r="U24" s="1991"/>
      <c r="V24" s="1991"/>
      <c r="W24" s="1991"/>
      <c r="X24" s="1991"/>
      <c r="Y24" s="1991"/>
      <c r="Z24" s="1991"/>
      <c r="AA24" s="1991"/>
      <c r="AB24" s="1991"/>
      <c r="AC24" s="1991"/>
      <c r="AD24" s="1827"/>
      <c r="AE24" s="1827"/>
      <c r="AF24" s="1827"/>
      <c r="AG24" s="1827"/>
      <c r="AH24" s="1827"/>
      <c r="AI24" s="1827"/>
      <c r="AJ24" s="1827"/>
      <c r="AK24" s="1827"/>
      <c r="AL24" s="1827"/>
      <c r="AM24" s="1827"/>
      <c r="AN24" s="1827"/>
      <c r="AO24" s="1827"/>
      <c r="AP24" s="1827"/>
      <c r="AQ24" s="1827"/>
      <c r="AR24" s="1827"/>
      <c r="AS24" s="1827"/>
      <c r="AT24" s="1827"/>
      <c r="AU24" s="1827"/>
      <c r="AV24" s="1827"/>
      <c r="AW24" s="1827"/>
      <c r="AX24" s="1827"/>
      <c r="AY24" s="1827"/>
      <c r="AZ24" s="1827"/>
      <c r="BA24" s="1827"/>
      <c r="BB24" s="1827"/>
      <c r="BC24" s="1827"/>
      <c r="BD24" s="1827"/>
    </row>
    <row r="25" spans="1:61" ht="6" customHeight="1">
      <c r="A25" s="1829"/>
      <c r="B25" s="1827"/>
      <c r="C25" s="1810"/>
      <c r="D25" s="1810"/>
      <c r="E25" s="1813"/>
      <c r="F25" s="1813"/>
      <c r="G25" s="1813"/>
      <c r="H25" s="1813"/>
      <c r="I25" s="1813"/>
      <c r="J25" s="1813"/>
      <c r="K25" s="1813"/>
      <c r="L25" s="1813"/>
      <c r="M25" s="1813"/>
      <c r="N25" s="1813"/>
      <c r="O25" s="1813"/>
      <c r="P25" s="1813"/>
      <c r="Q25" s="1813"/>
      <c r="R25" s="1813"/>
      <c r="S25" s="1813"/>
      <c r="T25" s="1813"/>
      <c r="U25" s="1813"/>
      <c r="V25" s="1813"/>
      <c r="W25" s="1813"/>
      <c r="X25" s="1813"/>
      <c r="Y25" s="1813"/>
      <c r="Z25" s="1813"/>
      <c r="AA25" s="1813"/>
      <c r="AB25" s="1813"/>
      <c r="AC25" s="1813"/>
      <c r="AD25" s="1827"/>
      <c r="AE25" s="1827"/>
      <c r="AF25" s="1827"/>
      <c r="AG25" s="1827"/>
      <c r="AH25" s="1827"/>
      <c r="AI25" s="1827"/>
      <c r="AJ25" s="1827"/>
      <c r="AK25" s="1827"/>
      <c r="AL25" s="1827"/>
      <c r="AM25" s="1827"/>
      <c r="AN25" s="1827"/>
      <c r="AO25" s="1827"/>
      <c r="AP25" s="1827"/>
      <c r="AQ25" s="1827"/>
      <c r="AR25" s="1827"/>
      <c r="AS25" s="1827"/>
      <c r="AT25" s="1827"/>
      <c r="AU25" s="1827"/>
      <c r="AV25" s="1827"/>
      <c r="AW25" s="1827"/>
      <c r="AX25" s="1827"/>
      <c r="AY25" s="1827"/>
      <c r="AZ25" s="1827"/>
      <c r="BA25" s="1827"/>
      <c r="BB25" s="1827"/>
      <c r="BC25" s="1827"/>
      <c r="BD25" s="1827"/>
    </row>
    <row r="26" spans="1:61" s="1351" customFormat="1" ht="18.5">
      <c r="A26" s="1831"/>
      <c r="B26" s="1805"/>
      <c r="C26" s="1805"/>
      <c r="D26" s="1811"/>
      <c r="E26" s="1807"/>
      <c r="F26" s="1807"/>
      <c r="G26" s="1807"/>
      <c r="H26" s="1807"/>
      <c r="I26" s="1807"/>
      <c r="J26" s="1807"/>
      <c r="K26" s="1807"/>
      <c r="L26" s="1807" t="s">
        <v>23</v>
      </c>
      <c r="M26" s="1827"/>
      <c r="N26" s="1989" t="s">
        <v>24</v>
      </c>
      <c r="O26" s="1989"/>
      <c r="P26" s="1989"/>
      <c r="Q26" s="1989"/>
      <c r="R26" s="1989"/>
      <c r="S26" s="1989"/>
      <c r="T26" s="1989"/>
      <c r="U26" s="1989"/>
      <c r="V26" s="1989"/>
      <c r="W26" s="1989"/>
      <c r="X26" s="1989"/>
      <c r="Y26" s="1989"/>
      <c r="Z26" s="1989"/>
      <c r="AA26" s="1989"/>
      <c r="AB26" s="1989"/>
      <c r="AC26" s="1989"/>
      <c r="AD26" s="1827"/>
      <c r="AE26" s="1827"/>
      <c r="AF26" s="1827"/>
      <c r="AG26" s="1827"/>
      <c r="AH26" s="1827"/>
      <c r="AI26" s="1827"/>
      <c r="AJ26" s="1827"/>
      <c r="AK26" s="1827"/>
      <c r="AL26" s="1827"/>
      <c r="AM26" s="1827"/>
      <c r="AN26" s="1827"/>
      <c r="AO26" s="1827"/>
      <c r="AP26" s="1827"/>
      <c r="AQ26" s="1827"/>
      <c r="AR26" s="1827"/>
      <c r="AS26" s="1827"/>
      <c r="AT26" s="1827"/>
      <c r="AU26" s="1827"/>
      <c r="AV26" s="1827"/>
      <c r="AW26" s="1827"/>
      <c r="AX26" s="1827"/>
      <c r="AY26" s="1827"/>
      <c r="AZ26" s="1827"/>
      <c r="BA26" s="1827"/>
      <c r="BB26" s="1827"/>
      <c r="BC26" s="1827"/>
      <c r="BD26" s="1827"/>
      <c r="BE26" s="1832"/>
    </row>
    <row r="27" spans="1:61" ht="6" customHeight="1">
      <c r="A27" s="1833"/>
      <c r="B27" s="1805"/>
      <c r="C27" s="1805"/>
      <c r="D27" s="1811"/>
      <c r="E27" s="1813"/>
      <c r="F27" s="1813"/>
      <c r="G27" s="1813"/>
      <c r="H27" s="1813"/>
      <c r="I27" s="1813"/>
      <c r="J27" s="1813"/>
      <c r="K27" s="1834"/>
      <c r="L27" s="1813"/>
      <c r="M27" s="1813"/>
      <c r="N27" s="1813"/>
      <c r="O27" s="1813"/>
      <c r="P27" s="1813"/>
      <c r="Q27" s="1813"/>
      <c r="R27" s="1813"/>
      <c r="S27" s="1813"/>
      <c r="T27" s="1813"/>
      <c r="U27" s="1813"/>
      <c r="V27" s="1813"/>
      <c r="W27" s="1813"/>
      <c r="X27" s="1813"/>
      <c r="Y27" s="1813"/>
      <c r="Z27" s="1813"/>
      <c r="AA27" s="1813"/>
      <c r="AB27" s="1813"/>
      <c r="AC27" s="1813"/>
      <c r="AD27" s="1827"/>
      <c r="AE27" s="1827"/>
      <c r="AF27" s="1827"/>
      <c r="AG27" s="1827"/>
      <c r="AH27" s="1827"/>
      <c r="AI27" s="1827"/>
      <c r="AJ27" s="1827"/>
      <c r="AK27" s="1827"/>
      <c r="AL27" s="1827"/>
      <c r="AM27" s="1827"/>
      <c r="AN27" s="1827"/>
      <c r="AO27" s="1827"/>
      <c r="AP27" s="1827"/>
      <c r="AQ27" s="1827"/>
      <c r="AR27" s="1827"/>
      <c r="AS27" s="1827"/>
      <c r="AT27" s="1827"/>
      <c r="AU27" s="1827"/>
      <c r="AV27" s="1827"/>
      <c r="AW27" s="1827"/>
      <c r="AX27" s="1827"/>
      <c r="AY27" s="1827"/>
      <c r="AZ27" s="1827"/>
      <c r="BA27" s="1827"/>
      <c r="BB27" s="1827"/>
      <c r="BC27" s="1827"/>
      <c r="BD27" s="1827"/>
    </row>
    <row r="28" spans="1:61" ht="15.75" customHeight="1">
      <c r="A28" s="1833"/>
      <c r="B28" s="1805"/>
      <c r="C28" s="1805"/>
      <c r="D28" s="1811"/>
      <c r="E28" s="1807"/>
      <c r="F28" s="1807"/>
      <c r="G28" s="1807"/>
      <c r="H28" s="1807"/>
      <c r="I28" s="1807"/>
      <c r="J28" s="1807"/>
      <c r="K28" s="1807"/>
      <c r="L28" s="1807" t="s">
        <v>26</v>
      </c>
      <c r="M28" s="1827"/>
      <c r="N28" s="1990" t="s">
        <v>27</v>
      </c>
      <c r="O28" s="1990"/>
      <c r="P28" s="1990"/>
      <c r="Q28" s="1990"/>
      <c r="R28" s="1990"/>
      <c r="S28" s="1990"/>
      <c r="T28" s="1990"/>
      <c r="U28" s="1990"/>
      <c r="V28" s="1990"/>
      <c r="W28" s="1990"/>
      <c r="X28" s="1990"/>
      <c r="Y28" s="1990"/>
      <c r="Z28" s="1990"/>
      <c r="AA28" s="1990"/>
      <c r="AB28" s="1990"/>
      <c r="AC28" s="1990"/>
      <c r="AD28" s="1827"/>
      <c r="AE28" s="1827"/>
      <c r="AF28" s="1827"/>
      <c r="AG28" s="1827"/>
      <c r="AH28" s="1827"/>
      <c r="AI28" s="1827"/>
      <c r="AJ28" s="1827"/>
      <c r="AK28" s="1827"/>
      <c r="AL28" s="1827"/>
      <c r="AM28" s="1827"/>
      <c r="AN28" s="1827"/>
      <c r="AO28" s="1827"/>
      <c r="AP28" s="1827"/>
      <c r="AQ28" s="1827"/>
      <c r="AR28" s="1827"/>
      <c r="AS28" s="1827"/>
      <c r="AT28" s="1827"/>
      <c r="AU28" s="1827"/>
      <c r="AV28" s="1827"/>
      <c r="AW28" s="1827"/>
      <c r="AX28" s="1827"/>
      <c r="AY28" s="1827"/>
      <c r="AZ28" s="1827"/>
      <c r="BA28" s="1827"/>
      <c r="BB28" s="1827"/>
      <c r="BC28" s="1827"/>
      <c r="BD28" s="1827"/>
    </row>
    <row r="29" spans="1:61" ht="6" customHeight="1">
      <c r="A29" s="1833"/>
      <c r="B29" s="1805"/>
      <c r="C29" s="1805"/>
      <c r="D29" s="1811"/>
      <c r="E29" s="1813"/>
      <c r="F29" s="1813"/>
      <c r="G29" s="1813"/>
      <c r="H29" s="1813"/>
      <c r="I29" s="1813"/>
      <c r="J29" s="1813"/>
      <c r="K29" s="1834"/>
      <c r="L29" s="1813"/>
      <c r="M29" s="1813"/>
      <c r="N29" s="1813"/>
      <c r="O29" s="1813"/>
      <c r="P29" s="1813"/>
      <c r="Q29" s="1813"/>
      <c r="R29" s="1813"/>
      <c r="S29" s="1813"/>
      <c r="T29" s="1813"/>
      <c r="U29" s="1813"/>
      <c r="V29" s="1813"/>
      <c r="W29" s="1813"/>
      <c r="X29" s="1813"/>
      <c r="Y29" s="1813"/>
      <c r="Z29" s="1813"/>
      <c r="AA29" s="1813"/>
      <c r="AB29" s="1813"/>
      <c r="AC29" s="1813"/>
      <c r="AD29" s="1813"/>
      <c r="AE29" s="1813"/>
      <c r="AF29" s="1813"/>
      <c r="AG29" s="1813"/>
      <c r="AH29" s="1813"/>
      <c r="AI29" s="1813"/>
      <c r="AJ29" s="1813"/>
      <c r="AK29" s="1813"/>
      <c r="AL29" s="1813"/>
      <c r="AM29" s="1813"/>
      <c r="AN29" s="1813"/>
      <c r="AO29" s="1813"/>
      <c r="AP29" s="1813"/>
      <c r="AQ29" s="1813"/>
      <c r="AR29" s="1813"/>
      <c r="AS29" s="1813"/>
      <c r="AT29" s="1813"/>
      <c r="AU29" s="1813"/>
      <c r="AV29" s="1813"/>
      <c r="AW29" s="1813"/>
      <c r="AX29" s="1813"/>
      <c r="AY29" s="1813"/>
      <c r="AZ29" s="1813"/>
      <c r="BA29" s="1813"/>
      <c r="BB29" s="1813"/>
      <c r="BC29" s="1813"/>
      <c r="BD29" s="1813"/>
    </row>
    <row r="30" spans="1:61" ht="15" customHeight="1">
      <c r="A30" s="1833"/>
      <c r="B30" s="1805"/>
      <c r="C30" s="1805"/>
      <c r="D30" s="1811"/>
      <c r="E30" s="1814"/>
      <c r="F30" s="1814"/>
      <c r="G30" s="1814"/>
      <c r="H30" s="1814"/>
      <c r="I30" s="1814"/>
      <c r="J30" s="1814"/>
      <c r="K30" s="1814"/>
      <c r="L30" s="1807" t="s">
        <v>1660</v>
      </c>
      <c r="M30" s="1827"/>
      <c r="N30" s="1986" t="s">
        <v>28</v>
      </c>
      <c r="O30" s="1986"/>
      <c r="P30" s="1986"/>
      <c r="Q30" s="1986"/>
      <c r="R30" s="1986"/>
      <c r="S30" s="1986"/>
      <c r="T30" s="1986"/>
      <c r="U30" s="1986"/>
      <c r="V30" s="1986"/>
      <c r="W30" s="1986"/>
      <c r="X30" s="1986"/>
      <c r="Y30" s="1986"/>
      <c r="Z30" s="1986"/>
      <c r="AA30" s="1986"/>
      <c r="AB30" s="1986"/>
      <c r="AC30" s="1986"/>
      <c r="AD30" s="1986"/>
      <c r="AE30" s="1986"/>
      <c r="AF30" s="1986"/>
      <c r="AG30" s="1986"/>
      <c r="AH30" s="1986"/>
      <c r="AI30" s="1986"/>
      <c r="AJ30" s="1986"/>
      <c r="AK30" s="1986"/>
      <c r="AL30" s="1986"/>
      <c r="AM30" s="1986"/>
      <c r="AN30" s="1986"/>
      <c r="AO30" s="1986"/>
      <c r="AP30" s="1986"/>
      <c r="AQ30" s="1986"/>
      <c r="AR30" s="1986"/>
      <c r="AS30" s="1986"/>
      <c r="AT30" s="1986"/>
      <c r="AU30" s="1986"/>
      <c r="AV30" s="1986"/>
      <c r="AW30" s="1986"/>
      <c r="AX30" s="1986"/>
      <c r="AY30" s="1986"/>
      <c r="AZ30" s="1986"/>
      <c r="BA30" s="1986"/>
      <c r="BB30" s="1986"/>
      <c r="BC30" s="1986"/>
      <c r="BD30" s="1813"/>
    </row>
    <row r="31" spans="1:61" ht="15" customHeight="1">
      <c r="A31" s="1833"/>
      <c r="B31" s="1805"/>
      <c r="C31" s="1805"/>
      <c r="D31" s="1811"/>
      <c r="E31" s="1814"/>
      <c r="F31" s="1814"/>
      <c r="G31" s="1814"/>
      <c r="H31" s="1814"/>
      <c r="I31" s="1814"/>
      <c r="J31" s="1814"/>
      <c r="K31" s="1814"/>
      <c r="L31" s="1807" t="s">
        <v>1661</v>
      </c>
      <c r="M31" s="1827"/>
      <c r="N31" s="1986"/>
      <c r="O31" s="1986"/>
      <c r="P31" s="1986"/>
      <c r="Q31" s="1986"/>
      <c r="R31" s="1986"/>
      <c r="S31" s="1986"/>
      <c r="T31" s="1986"/>
      <c r="U31" s="1986"/>
      <c r="V31" s="1986"/>
      <c r="W31" s="1986"/>
      <c r="X31" s="1986"/>
      <c r="Y31" s="1986"/>
      <c r="Z31" s="1986"/>
      <c r="AA31" s="1986"/>
      <c r="AB31" s="1986"/>
      <c r="AC31" s="1986"/>
      <c r="AD31" s="1986"/>
      <c r="AE31" s="1986"/>
      <c r="AF31" s="1986"/>
      <c r="AG31" s="1986"/>
      <c r="AH31" s="1986"/>
      <c r="AI31" s="1986"/>
      <c r="AJ31" s="1986"/>
      <c r="AK31" s="1986"/>
      <c r="AL31" s="1986"/>
      <c r="AM31" s="1986"/>
      <c r="AN31" s="1986"/>
      <c r="AO31" s="1986"/>
      <c r="AP31" s="1986"/>
      <c r="AQ31" s="1986"/>
      <c r="AR31" s="1986"/>
      <c r="AS31" s="1986"/>
      <c r="AT31" s="1986"/>
      <c r="AU31" s="1986"/>
      <c r="AV31" s="1986"/>
      <c r="AW31" s="1986"/>
      <c r="AX31" s="1986"/>
      <c r="AY31" s="1986"/>
      <c r="AZ31" s="1986"/>
      <c r="BA31" s="1986"/>
      <c r="BB31" s="1986"/>
      <c r="BC31" s="1986"/>
      <c r="BD31" s="1813"/>
    </row>
    <row r="32" spans="1:61" ht="15" customHeight="1">
      <c r="A32" s="1833"/>
      <c r="B32" s="1805"/>
      <c r="C32" s="1805"/>
      <c r="D32" s="1811"/>
      <c r="E32" s="1814"/>
      <c r="F32" s="1814"/>
      <c r="G32" s="1814"/>
      <c r="H32" s="1814"/>
      <c r="I32" s="1814"/>
      <c r="J32" s="1814"/>
      <c r="K32" s="1814"/>
      <c r="L32" s="1814"/>
      <c r="M32" s="1827"/>
      <c r="N32" s="1986"/>
      <c r="O32" s="1986"/>
      <c r="P32" s="1986"/>
      <c r="Q32" s="1986"/>
      <c r="R32" s="1986"/>
      <c r="S32" s="1986"/>
      <c r="T32" s="1986"/>
      <c r="U32" s="1986"/>
      <c r="V32" s="1986"/>
      <c r="W32" s="1986"/>
      <c r="X32" s="1986"/>
      <c r="Y32" s="1986"/>
      <c r="Z32" s="1986"/>
      <c r="AA32" s="1986"/>
      <c r="AB32" s="1986"/>
      <c r="AC32" s="1986"/>
      <c r="AD32" s="1986"/>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1986"/>
      <c r="BB32" s="1986"/>
      <c r="BC32" s="1986"/>
      <c r="BD32" s="1813"/>
    </row>
    <row r="33" spans="1:63" ht="6" customHeight="1">
      <c r="A33" s="1833"/>
      <c r="B33" s="1805"/>
      <c r="C33" s="1805"/>
      <c r="D33" s="1811"/>
      <c r="E33" s="1813"/>
      <c r="F33" s="1813"/>
      <c r="G33" s="1813"/>
      <c r="H33" s="1813"/>
      <c r="I33" s="1813"/>
      <c r="J33" s="1813"/>
      <c r="K33" s="1834"/>
      <c r="L33" s="1813"/>
      <c r="M33" s="1813"/>
      <c r="N33" s="1813"/>
      <c r="O33" s="1813"/>
      <c r="P33" s="1813"/>
      <c r="Q33" s="1813"/>
      <c r="R33" s="1813"/>
      <c r="S33" s="1813"/>
      <c r="T33" s="1813"/>
      <c r="U33" s="1813"/>
      <c r="V33" s="1813"/>
      <c r="W33" s="1813"/>
      <c r="X33" s="1813"/>
      <c r="Y33" s="1813"/>
      <c r="Z33" s="1813"/>
      <c r="AA33" s="1813"/>
      <c r="AB33" s="1813"/>
      <c r="AC33" s="1813"/>
      <c r="AD33" s="1813"/>
      <c r="AE33" s="1813"/>
      <c r="AF33" s="1813"/>
      <c r="AG33" s="1813"/>
      <c r="AH33" s="1813"/>
      <c r="AI33" s="1813"/>
      <c r="AJ33" s="1813"/>
      <c r="AK33" s="1813"/>
      <c r="AL33" s="1813"/>
      <c r="AM33" s="1813"/>
      <c r="AN33" s="1813"/>
      <c r="AO33" s="1813"/>
      <c r="AP33" s="1813"/>
      <c r="AQ33" s="1813"/>
      <c r="AR33" s="1813"/>
      <c r="AS33" s="1813"/>
      <c r="AT33" s="1813"/>
      <c r="AU33" s="1813"/>
      <c r="AV33" s="1813"/>
      <c r="AW33" s="1813"/>
      <c r="AX33" s="1813"/>
      <c r="AY33" s="1813"/>
      <c r="AZ33" s="1813"/>
      <c r="BA33" s="1813"/>
      <c r="BB33" s="1813"/>
      <c r="BC33" s="1813"/>
      <c r="BD33" s="1813"/>
    </row>
    <row r="34" spans="1:63" ht="15.75" customHeight="1">
      <c r="A34" s="1833"/>
      <c r="B34" s="1805"/>
      <c r="C34" s="1805"/>
      <c r="D34" s="1811"/>
      <c r="E34" s="1807"/>
      <c r="F34" s="1807"/>
      <c r="G34" s="1807"/>
      <c r="H34" s="1807"/>
      <c r="I34" s="1807"/>
      <c r="J34" s="1807"/>
      <c r="K34" s="1807"/>
      <c r="L34" s="1807" t="s">
        <v>29</v>
      </c>
      <c r="M34" s="1827"/>
      <c r="N34" s="1987" t="s">
        <v>1342</v>
      </c>
      <c r="O34" s="1988"/>
      <c r="P34" s="1988"/>
      <c r="Q34" s="1988"/>
      <c r="R34" s="1988"/>
      <c r="S34" s="1988"/>
      <c r="T34" s="1988"/>
      <c r="U34" s="1988"/>
      <c r="V34" s="1988"/>
      <c r="W34" s="1988"/>
      <c r="X34" s="1988"/>
      <c r="Y34" s="1988"/>
      <c r="Z34" s="1988"/>
      <c r="AA34" s="1988"/>
      <c r="AB34" s="1988"/>
      <c r="AC34" s="1988"/>
      <c r="AD34" s="1813"/>
      <c r="AE34" s="1813"/>
      <c r="AF34" s="1813"/>
      <c r="AG34" s="1813"/>
      <c r="AH34" s="1813"/>
      <c r="AI34" s="1813"/>
      <c r="AJ34" s="1813"/>
      <c r="AK34" s="1813"/>
      <c r="AL34" s="1813"/>
      <c r="AM34" s="1813"/>
      <c r="AN34" s="1813"/>
      <c r="AO34" s="1813"/>
      <c r="AP34" s="1813"/>
      <c r="AQ34" s="1813"/>
      <c r="AR34" s="1813"/>
      <c r="AS34" s="1813"/>
      <c r="AT34" s="1813"/>
      <c r="AU34" s="1813"/>
      <c r="AV34" s="1813"/>
      <c r="AW34" s="1813"/>
      <c r="AX34" s="1813"/>
      <c r="AY34" s="1813"/>
      <c r="AZ34" s="1813"/>
      <c r="BA34" s="1813"/>
      <c r="BB34" s="1813"/>
      <c r="BC34" s="1813"/>
      <c r="BD34" s="1813"/>
    </row>
    <row r="35" spans="1:63" ht="6" customHeight="1">
      <c r="A35" s="1830"/>
      <c r="B35" s="1811"/>
      <c r="C35" s="1811"/>
      <c r="D35" s="1811"/>
      <c r="E35" s="1811"/>
      <c r="F35" s="1811"/>
      <c r="G35" s="1811"/>
      <c r="H35" s="1811"/>
      <c r="I35" s="1811"/>
      <c r="J35" s="1811"/>
      <c r="K35" s="1811"/>
      <c r="L35" s="1811"/>
      <c r="M35" s="1811"/>
      <c r="N35" s="1811"/>
      <c r="O35" s="1811"/>
      <c r="P35" s="1811"/>
      <c r="Q35" s="1811"/>
      <c r="R35" s="1811"/>
      <c r="S35" s="1811"/>
      <c r="T35" s="1811"/>
      <c r="U35" s="1811"/>
      <c r="V35" s="1811"/>
      <c r="W35" s="1811"/>
      <c r="X35" s="1811"/>
      <c r="Y35" s="1811"/>
      <c r="Z35" s="1811"/>
      <c r="AA35" s="1811"/>
      <c r="AB35" s="1811"/>
      <c r="AC35" s="1811"/>
      <c r="AD35" s="1811"/>
      <c r="AE35" s="1811"/>
      <c r="AF35" s="1811"/>
      <c r="AG35" s="1811"/>
      <c r="AH35" s="1811"/>
      <c r="AI35" s="1811"/>
      <c r="AJ35" s="1811"/>
      <c r="AK35" s="1811"/>
      <c r="AL35" s="1811"/>
      <c r="AM35" s="1811"/>
      <c r="AN35" s="1811"/>
      <c r="AO35" s="1811"/>
      <c r="AP35" s="1811"/>
      <c r="AQ35" s="1811"/>
      <c r="AR35" s="1811"/>
      <c r="AS35" s="1811"/>
      <c r="AT35" s="1811"/>
      <c r="AU35" s="1811"/>
      <c r="AV35" s="1811"/>
      <c r="AW35" s="1811"/>
      <c r="AX35" s="1811"/>
      <c r="AY35" s="1811"/>
      <c r="AZ35" s="1811"/>
      <c r="BA35" s="1811"/>
      <c r="BB35" s="1811"/>
      <c r="BC35" s="1811"/>
      <c r="BD35" s="1811"/>
    </row>
    <row r="36" spans="1:63" ht="15.5">
      <c r="A36" s="1830"/>
      <c r="B36" s="1830"/>
      <c r="C36" s="1830"/>
      <c r="D36" s="1830"/>
      <c r="E36" s="1830"/>
      <c r="F36" s="1830"/>
      <c r="G36" s="1830"/>
      <c r="H36" s="1830"/>
      <c r="I36" s="1830"/>
      <c r="J36" s="1830"/>
      <c r="K36" s="1830"/>
      <c r="L36" s="1830"/>
      <c r="M36" s="1830"/>
      <c r="N36" s="1830"/>
      <c r="O36" s="1830"/>
      <c r="P36" s="1830"/>
      <c r="Q36" s="1830"/>
      <c r="R36" s="1830"/>
      <c r="S36" s="1830"/>
      <c r="T36" s="1830"/>
      <c r="U36" s="1830"/>
      <c r="V36" s="1830"/>
      <c r="W36" s="1830"/>
      <c r="X36" s="1830"/>
      <c r="Y36" s="1830"/>
      <c r="Z36" s="1830"/>
      <c r="AA36" s="1830"/>
      <c r="AB36" s="1830"/>
      <c r="AC36" s="1830"/>
      <c r="AD36" s="1830"/>
      <c r="AE36" s="1830"/>
      <c r="AF36" s="1830"/>
      <c r="AG36" s="1830"/>
      <c r="AH36" s="1830"/>
      <c r="AI36" s="1830"/>
      <c r="AJ36" s="1830"/>
      <c r="AK36" s="1830"/>
      <c r="AL36" s="1830"/>
      <c r="AM36" s="1830"/>
      <c r="AN36" s="1830"/>
      <c r="AO36" s="1830"/>
      <c r="AP36" s="1830"/>
      <c r="AQ36" s="1830"/>
      <c r="AR36" s="1830"/>
      <c r="AS36" s="1830"/>
      <c r="AT36" s="1830"/>
      <c r="AU36" s="1830"/>
      <c r="AV36" s="1830"/>
      <c r="AW36" s="1830"/>
      <c r="AX36" s="1830"/>
      <c r="AY36" s="1830"/>
      <c r="AZ36" s="1830"/>
      <c r="BA36" s="1830"/>
      <c r="BB36" s="1830"/>
      <c r="BC36" s="1830"/>
      <c r="BD36" s="1830"/>
      <c r="BE36" s="1830"/>
      <c r="BF36" s="1830"/>
      <c r="BG36" s="1830"/>
      <c r="BH36" s="1830"/>
      <c r="BI36" s="1830"/>
      <c r="BJ36" s="1830"/>
      <c r="BK36" s="1830"/>
    </row>
  </sheetData>
  <mergeCells count="12">
    <mergeCell ref="N14:Y14"/>
    <mergeCell ref="N13:AE13"/>
    <mergeCell ref="C7:BC7"/>
    <mergeCell ref="B11:BD11"/>
    <mergeCell ref="B17:BD17"/>
    <mergeCell ref="N19:U19"/>
    <mergeCell ref="N30:BC32"/>
    <mergeCell ref="N34:AC34"/>
    <mergeCell ref="N26:AC26"/>
    <mergeCell ref="N28:AC28"/>
    <mergeCell ref="N24:AC24"/>
    <mergeCell ref="B22:BD22"/>
  </mergeCells>
  <conditionalFormatting sqref="N19:U19">
    <cfRule type="expression" dxfId="59" priority="29" stopIfTrue="1">
      <formula>(INDEX(dms_Model_Span_List,MATCH(dms_Model,dms_Model_List))=1)</formula>
    </cfRule>
  </conditionalFormatting>
  <conditionalFormatting sqref="N28:AC28">
    <cfRule type="cellIs" dxfId="58" priority="27" operator="equal">
      <formula>"Confidential"</formula>
    </cfRule>
  </conditionalFormatting>
  <dataValidations count="1">
    <dataValidation type="list" allowBlank="1" showInputMessage="1" showErrorMessage="1" sqref="N28:AC28" xr:uid="{533BD990-30A4-41F9-9C9E-14B57FDB8992}">
      <formula1>dms_Confid_status_List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71A6ED0-ACEF-420C-AFAA-7AC67D631992}">
          <x14:formula1>
            <xm:f>'AER lookups'!$E$58:$E$61</xm:f>
          </x14:formula1>
          <xm:sqref>N19:U19</xm:sqref>
        </x14:dataValidation>
        <x14:dataValidation type="list" allowBlank="1" showInputMessage="1" showErrorMessage="1" xr:uid="{55BDADA4-B9E0-43B9-9FDB-E7EE499E0364}">
          <x14:formula1>
            <xm:f>'AER lookups'!$B$9:$B$11</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796875" defaultRowHeight="14.5"/>
  <cols>
    <col min="1" max="1" width="11.1796875" customWidth="1"/>
    <col min="2" max="2" width="43.54296875" customWidth="1"/>
    <col min="3" max="3" width="16.54296875" customWidth="1"/>
    <col min="4" max="5" width="15.54296875" customWidth="1"/>
    <col min="6" max="8" width="15.1796875" customWidth="1"/>
    <col min="9" max="12" width="16.54296875" customWidth="1"/>
    <col min="13" max="13" width="15.1796875" customWidth="1"/>
    <col min="14" max="14" width="13.54296875" customWidth="1"/>
    <col min="15" max="15" width="15.1796875" customWidth="1"/>
    <col min="16" max="16" width="13.54296875" customWidth="1"/>
    <col min="17" max="17" width="14.81640625" customWidth="1"/>
    <col min="18" max="19" width="16.1796875" customWidth="1"/>
    <col min="20" max="20" width="18.453125" customWidth="1"/>
    <col min="21" max="21" width="15.453125" customWidth="1"/>
    <col min="22" max="22" width="20.81640625" customWidth="1"/>
    <col min="23" max="23" width="11.1796875" customWidth="1"/>
    <col min="24" max="24" width="9.54296875" customWidth="1"/>
  </cols>
  <sheetData>
    <row r="1" spans="2:24" ht="51" customHeight="1">
      <c r="B1" s="22" t="s">
        <v>105</v>
      </c>
      <c r="C1" s="23"/>
      <c r="D1" s="23"/>
      <c r="E1" s="23"/>
      <c r="F1" s="23"/>
      <c r="G1" s="23"/>
      <c r="H1" s="23"/>
      <c r="I1" s="23"/>
      <c r="J1" s="23"/>
      <c r="K1" s="23"/>
      <c r="L1" s="23"/>
      <c r="M1" s="23"/>
    </row>
    <row r="2" spans="2:24" ht="30" customHeight="1"/>
    <row r="4" spans="2:24" ht="19.5" customHeight="1">
      <c r="B4" s="2175" t="s">
        <v>106</v>
      </c>
      <c r="C4" s="2176"/>
      <c r="D4" s="2176"/>
      <c r="E4" s="2176"/>
      <c r="F4" s="2176"/>
      <c r="G4" s="2176"/>
      <c r="H4" s="2176"/>
      <c r="I4" s="2176"/>
      <c r="J4" s="2176"/>
      <c r="K4" s="2176"/>
      <c r="L4" s="2176"/>
      <c r="M4" s="2176"/>
      <c r="N4" s="2176"/>
      <c r="O4" s="2176"/>
      <c r="P4" s="2176"/>
      <c r="Q4" s="2176"/>
      <c r="R4" s="2176"/>
      <c r="S4" s="2176"/>
      <c r="T4" s="2176"/>
      <c r="U4" s="2176"/>
      <c r="V4" s="2176"/>
    </row>
    <row r="5" spans="2:24" s="174" customFormat="1" ht="87.5" thickBot="1">
      <c r="B5"/>
      <c r="C5"/>
      <c r="D5"/>
      <c r="E5"/>
      <c r="F5" s="872" t="s">
        <v>107</v>
      </c>
      <c r="G5" s="873" t="s">
        <v>108</v>
      </c>
      <c r="H5" s="872" t="s">
        <v>109</v>
      </c>
      <c r="I5" s="873" t="s">
        <v>110</v>
      </c>
      <c r="J5" s="873" t="s">
        <v>111</v>
      </c>
      <c r="K5" s="873" t="s">
        <v>112</v>
      </c>
      <c r="L5" s="873" t="s">
        <v>113</v>
      </c>
      <c r="M5" s="874" t="s">
        <v>114</v>
      </c>
      <c r="N5" s="872" t="s">
        <v>115</v>
      </c>
      <c r="O5" s="873" t="s">
        <v>116</v>
      </c>
      <c r="P5" s="873" t="s">
        <v>117</v>
      </c>
      <c r="Q5" s="873" t="s">
        <v>118</v>
      </c>
      <c r="R5" s="873" t="s">
        <v>119</v>
      </c>
      <c r="S5" s="873" t="s">
        <v>120</v>
      </c>
      <c r="T5" s="873" t="s">
        <v>121</v>
      </c>
      <c r="U5" s="872" t="s">
        <v>122</v>
      </c>
      <c r="V5" s="875"/>
      <c r="W5" s="876"/>
      <c r="X5" s="876"/>
    </row>
    <row r="6" spans="2:24" s="27" customFormat="1" ht="30.75" customHeight="1" thickBot="1">
      <c r="B6" s="24" t="s">
        <v>123</v>
      </c>
      <c r="C6" s="25" t="s">
        <v>124</v>
      </c>
      <c r="D6" s="26" t="s">
        <v>125</v>
      </c>
      <c r="E6" s="26" t="s">
        <v>126</v>
      </c>
      <c r="F6" s="877" t="s">
        <v>127</v>
      </c>
      <c r="G6" s="877" t="s">
        <v>128</v>
      </c>
      <c r="H6" s="877" t="s">
        <v>129</v>
      </c>
      <c r="I6" s="877" t="s">
        <v>130</v>
      </c>
      <c r="J6" s="877" t="s">
        <v>131</v>
      </c>
      <c r="K6" s="877" t="s">
        <v>132</v>
      </c>
      <c r="L6" s="877" t="s">
        <v>133</v>
      </c>
      <c r="M6" s="877" t="s">
        <v>134</v>
      </c>
      <c r="N6" s="877" t="s">
        <v>135</v>
      </c>
      <c r="O6" s="878" t="s">
        <v>136</v>
      </c>
      <c r="P6" s="879" t="s">
        <v>137</v>
      </c>
      <c r="Q6" s="880" t="s">
        <v>138</v>
      </c>
      <c r="R6" s="881" t="s">
        <v>139</v>
      </c>
      <c r="S6" s="881" t="s">
        <v>140</v>
      </c>
      <c r="T6" s="881" t="s">
        <v>141</v>
      </c>
      <c r="U6" s="882" t="s">
        <v>142</v>
      </c>
      <c r="V6" s="882" t="s">
        <v>143</v>
      </c>
      <c r="W6" s="883" t="s">
        <v>144</v>
      </c>
      <c r="X6" s="884" t="s">
        <v>145</v>
      </c>
    </row>
    <row r="7" spans="2:24">
      <c r="B7" s="28" t="s">
        <v>146</v>
      </c>
      <c r="C7" s="29" t="s">
        <v>147</v>
      </c>
      <c r="D7" s="29" t="s">
        <v>148</v>
      </c>
      <c r="E7" s="29" t="s">
        <v>149</v>
      </c>
      <c r="F7" s="30"/>
      <c r="G7" s="31" t="s">
        <v>150</v>
      </c>
      <c r="H7" s="31"/>
      <c r="I7" s="31" t="s">
        <v>150</v>
      </c>
      <c r="J7" s="31" t="s">
        <v>150</v>
      </c>
      <c r="K7" s="31" t="s">
        <v>151</v>
      </c>
      <c r="L7" s="31" t="s">
        <v>150</v>
      </c>
      <c r="M7" s="31" t="s">
        <v>151</v>
      </c>
      <c r="N7" s="30" t="s">
        <v>151</v>
      </c>
      <c r="O7" s="30" t="s">
        <v>151</v>
      </c>
      <c r="P7" s="31" t="s">
        <v>150</v>
      </c>
      <c r="Q7" s="30" t="s">
        <v>150</v>
      </c>
      <c r="R7" s="30" t="s">
        <v>151</v>
      </c>
      <c r="S7" s="31" t="s">
        <v>150</v>
      </c>
      <c r="T7" s="31" t="s">
        <v>150</v>
      </c>
      <c r="U7" s="30" t="s">
        <v>151</v>
      </c>
      <c r="V7" s="31" t="s">
        <v>151</v>
      </c>
      <c r="W7" s="30" t="s">
        <v>151</v>
      </c>
      <c r="X7" s="32" t="s">
        <v>151</v>
      </c>
    </row>
    <row r="8" spans="2:24">
      <c r="B8" s="33" t="s">
        <v>152</v>
      </c>
      <c r="C8" s="34" t="s">
        <v>153</v>
      </c>
      <c r="D8" s="34" t="s">
        <v>148</v>
      </c>
      <c r="E8" s="34" t="s">
        <v>149</v>
      </c>
      <c r="F8" s="35"/>
      <c r="G8" s="36" t="s">
        <v>150</v>
      </c>
      <c r="H8" s="36"/>
      <c r="I8" s="36" t="s">
        <v>151</v>
      </c>
      <c r="J8" s="36" t="s">
        <v>151</v>
      </c>
      <c r="K8" s="36" t="s">
        <v>151</v>
      </c>
      <c r="L8" s="36" t="s">
        <v>150</v>
      </c>
      <c r="M8" s="36" t="s">
        <v>151</v>
      </c>
      <c r="N8" s="35" t="s">
        <v>151</v>
      </c>
      <c r="O8" s="35" t="s">
        <v>151</v>
      </c>
      <c r="P8" s="36" t="s">
        <v>150</v>
      </c>
      <c r="Q8" s="35" t="s">
        <v>150</v>
      </c>
      <c r="R8" s="35" t="s">
        <v>151</v>
      </c>
      <c r="S8" s="36" t="s">
        <v>150</v>
      </c>
      <c r="T8" s="36" t="s">
        <v>150</v>
      </c>
      <c r="U8" s="35" t="s">
        <v>151</v>
      </c>
      <c r="V8" s="36" t="s">
        <v>151</v>
      </c>
      <c r="W8" s="35" t="s">
        <v>151</v>
      </c>
      <c r="X8" s="37" t="s">
        <v>151</v>
      </c>
    </row>
    <row r="9" spans="2:24">
      <c r="B9" s="33" t="s">
        <v>154</v>
      </c>
      <c r="C9" s="34" t="s">
        <v>155</v>
      </c>
      <c r="D9" s="34" t="s">
        <v>148</v>
      </c>
      <c r="E9" s="34" t="s">
        <v>149</v>
      </c>
      <c r="F9" s="35"/>
      <c r="G9" s="36" t="s">
        <v>151</v>
      </c>
      <c r="H9" s="36"/>
      <c r="I9" s="36" t="s">
        <v>151</v>
      </c>
      <c r="J9" s="36" t="s">
        <v>151</v>
      </c>
      <c r="K9" s="36" t="s">
        <v>151</v>
      </c>
      <c r="L9" s="36" t="s">
        <v>151</v>
      </c>
      <c r="M9" s="36" t="s">
        <v>151</v>
      </c>
      <c r="N9" s="35" t="s">
        <v>150</v>
      </c>
      <c r="O9" s="35" t="s">
        <v>151</v>
      </c>
      <c r="P9" s="36" t="s">
        <v>150</v>
      </c>
      <c r="Q9" s="35" t="s">
        <v>151</v>
      </c>
      <c r="R9" s="35" t="s">
        <v>151</v>
      </c>
      <c r="S9" s="36" t="s">
        <v>151</v>
      </c>
      <c r="T9" s="36" t="s">
        <v>150</v>
      </c>
      <c r="U9" s="35" t="s">
        <v>151</v>
      </c>
      <c r="V9" s="36" t="s">
        <v>151</v>
      </c>
      <c r="W9" s="35" t="s">
        <v>151</v>
      </c>
      <c r="X9" s="37" t="s">
        <v>151</v>
      </c>
    </row>
    <row r="10" spans="2:24">
      <c r="B10" s="38" t="s">
        <v>156</v>
      </c>
      <c r="C10" s="39" t="s">
        <v>155</v>
      </c>
      <c r="D10" s="39" t="s">
        <v>148</v>
      </c>
      <c r="E10" s="39" t="s">
        <v>157</v>
      </c>
      <c r="F10" s="35"/>
      <c r="G10" s="36" t="s">
        <v>151</v>
      </c>
      <c r="H10" s="36"/>
      <c r="I10" s="36" t="s">
        <v>151</v>
      </c>
      <c r="J10" s="36" t="s">
        <v>151</v>
      </c>
      <c r="K10" s="36" t="s">
        <v>151</v>
      </c>
      <c r="L10" s="36" t="s">
        <v>151</v>
      </c>
      <c r="M10" s="36" t="s">
        <v>151</v>
      </c>
      <c r="N10" s="35" t="s">
        <v>150</v>
      </c>
      <c r="O10" s="35" t="s">
        <v>151</v>
      </c>
      <c r="P10" s="36" t="s">
        <v>150</v>
      </c>
      <c r="Q10" s="35" t="s">
        <v>151</v>
      </c>
      <c r="R10" s="35" t="s">
        <v>151</v>
      </c>
      <c r="S10" s="36" t="s">
        <v>151</v>
      </c>
      <c r="T10" s="36" t="s">
        <v>150</v>
      </c>
      <c r="U10" s="35" t="s">
        <v>151</v>
      </c>
      <c r="V10" s="36" t="s">
        <v>151</v>
      </c>
      <c r="W10" s="35" t="s">
        <v>151</v>
      </c>
      <c r="X10" s="37" t="s">
        <v>151</v>
      </c>
    </row>
    <row r="11" spans="2:24">
      <c r="B11" s="33" t="s">
        <v>158</v>
      </c>
      <c r="C11" s="34" t="s">
        <v>155</v>
      </c>
      <c r="D11" s="34" t="s">
        <v>148</v>
      </c>
      <c r="E11" s="34" t="s">
        <v>149</v>
      </c>
      <c r="F11" s="35"/>
      <c r="G11" s="36" t="s">
        <v>151</v>
      </c>
      <c r="H11" s="36"/>
      <c r="I11" s="36" t="s">
        <v>151</v>
      </c>
      <c r="J11" s="36" t="s">
        <v>151</v>
      </c>
      <c r="K11" s="36" t="s">
        <v>151</v>
      </c>
      <c r="L11" s="36" t="s">
        <v>151</v>
      </c>
      <c r="M11" s="36" t="s">
        <v>151</v>
      </c>
      <c r="N11" s="35" t="s">
        <v>150</v>
      </c>
      <c r="O11" s="35" t="s">
        <v>151</v>
      </c>
      <c r="P11" s="36" t="s">
        <v>150</v>
      </c>
      <c r="Q11" s="35" t="s">
        <v>151</v>
      </c>
      <c r="R11" s="35" t="s">
        <v>151</v>
      </c>
      <c r="S11" s="36" t="s">
        <v>151</v>
      </c>
      <c r="T11" s="36" t="s">
        <v>150</v>
      </c>
      <c r="U11" s="35" t="s">
        <v>151</v>
      </c>
      <c r="V11" s="36" t="s">
        <v>151</v>
      </c>
      <c r="W11" s="35" t="s">
        <v>151</v>
      </c>
      <c r="X11" s="37" t="s">
        <v>151</v>
      </c>
    </row>
    <row r="12" spans="2:24">
      <c r="B12" s="38" t="s">
        <v>159</v>
      </c>
      <c r="C12" s="40" t="s">
        <v>160</v>
      </c>
      <c r="D12" s="40" t="s">
        <v>148</v>
      </c>
      <c r="E12" s="40" t="s">
        <v>157</v>
      </c>
      <c r="F12" s="35"/>
      <c r="G12" s="36" t="s">
        <v>151</v>
      </c>
      <c r="H12" s="36"/>
      <c r="I12" s="36" t="s">
        <v>151</v>
      </c>
      <c r="J12" s="36" t="s">
        <v>151</v>
      </c>
      <c r="K12" s="36" t="s">
        <v>151</v>
      </c>
      <c r="L12" s="36" t="s">
        <v>151</v>
      </c>
      <c r="M12" s="36" t="s">
        <v>151</v>
      </c>
      <c r="N12" s="35" t="s">
        <v>150</v>
      </c>
      <c r="O12" s="35" t="s">
        <v>151</v>
      </c>
      <c r="P12" s="36" t="s">
        <v>150</v>
      </c>
      <c r="Q12" s="35" t="s">
        <v>151</v>
      </c>
      <c r="R12" s="35" t="s">
        <v>151</v>
      </c>
      <c r="S12" s="36" t="s">
        <v>150</v>
      </c>
      <c r="T12" s="36" t="s">
        <v>150</v>
      </c>
      <c r="U12" s="35" t="s">
        <v>151</v>
      </c>
      <c r="V12" s="36" t="s">
        <v>151</v>
      </c>
      <c r="W12" s="35" t="s">
        <v>151</v>
      </c>
      <c r="X12" s="37" t="s">
        <v>151</v>
      </c>
    </row>
    <row r="13" spans="2:24">
      <c r="B13" s="38" t="s">
        <v>161</v>
      </c>
      <c r="C13" s="39" t="s">
        <v>162</v>
      </c>
      <c r="D13" s="39" t="s">
        <v>148</v>
      </c>
      <c r="E13" s="39" t="s">
        <v>157</v>
      </c>
      <c r="F13" s="35"/>
      <c r="G13" s="36" t="s">
        <v>151</v>
      </c>
      <c r="H13" s="36"/>
      <c r="I13" s="36" t="s">
        <v>151</v>
      </c>
      <c r="J13" s="36" t="s">
        <v>151</v>
      </c>
      <c r="K13" s="36" t="s">
        <v>151</v>
      </c>
      <c r="L13" s="36" t="s">
        <v>151</v>
      </c>
      <c r="M13" s="36" t="s">
        <v>151</v>
      </c>
      <c r="N13" s="35" t="s">
        <v>150</v>
      </c>
      <c r="O13" s="35" t="s">
        <v>151</v>
      </c>
      <c r="P13" s="36" t="s">
        <v>150</v>
      </c>
      <c r="Q13" s="35" t="s">
        <v>151</v>
      </c>
      <c r="R13" s="35" t="s">
        <v>151</v>
      </c>
      <c r="S13" s="36" t="s">
        <v>150</v>
      </c>
      <c r="T13" s="36" t="s">
        <v>150</v>
      </c>
      <c r="U13" s="35" t="s">
        <v>151</v>
      </c>
      <c r="V13" s="36" t="s">
        <v>151</v>
      </c>
      <c r="W13" s="35" t="s">
        <v>151</v>
      </c>
      <c r="X13" s="37" t="s">
        <v>151</v>
      </c>
    </row>
    <row r="14" spans="2:24">
      <c r="B14" s="33" t="s">
        <v>163</v>
      </c>
      <c r="C14" s="41" t="s">
        <v>153</v>
      </c>
      <c r="D14" s="41" t="s">
        <v>148</v>
      </c>
      <c r="E14" s="41" t="s">
        <v>149</v>
      </c>
      <c r="F14" s="35"/>
      <c r="G14" s="36" t="s">
        <v>150</v>
      </c>
      <c r="H14" s="36"/>
      <c r="I14" s="36" t="s">
        <v>151</v>
      </c>
      <c r="J14" s="36" t="s">
        <v>151</v>
      </c>
      <c r="K14" s="36" t="s">
        <v>151</v>
      </c>
      <c r="L14" s="36" t="s">
        <v>150</v>
      </c>
      <c r="M14" s="36" t="s">
        <v>151</v>
      </c>
      <c r="N14" s="35" t="s">
        <v>151</v>
      </c>
      <c r="O14" s="35" t="s">
        <v>151</v>
      </c>
      <c r="P14" s="36" t="s">
        <v>150</v>
      </c>
      <c r="Q14" s="35" t="s">
        <v>150</v>
      </c>
      <c r="R14" s="35" t="s">
        <v>151</v>
      </c>
      <c r="S14" s="36" t="s">
        <v>150</v>
      </c>
      <c r="T14" s="36" t="s">
        <v>150</v>
      </c>
      <c r="U14" s="35" t="s">
        <v>150</v>
      </c>
      <c r="V14" s="36" t="s">
        <v>151</v>
      </c>
      <c r="W14" s="35" t="s">
        <v>151</v>
      </c>
      <c r="X14" s="37" t="s">
        <v>151</v>
      </c>
    </row>
    <row r="15" spans="2:24">
      <c r="B15" s="33" t="s">
        <v>164</v>
      </c>
      <c r="C15" s="34" t="s">
        <v>160</v>
      </c>
      <c r="D15" s="34" t="s">
        <v>148</v>
      </c>
      <c r="E15" s="34" t="s">
        <v>149</v>
      </c>
      <c r="F15" s="35"/>
      <c r="G15" s="36" t="s">
        <v>150</v>
      </c>
      <c r="H15" s="36"/>
      <c r="I15" s="36" t="s">
        <v>151</v>
      </c>
      <c r="J15" s="36" t="s">
        <v>151</v>
      </c>
      <c r="K15" s="36" t="s">
        <v>151</v>
      </c>
      <c r="L15" s="36" t="s">
        <v>151</v>
      </c>
      <c r="M15" s="36" t="s">
        <v>151</v>
      </c>
      <c r="N15" s="35" t="s">
        <v>151</v>
      </c>
      <c r="O15" s="35" t="s">
        <v>151</v>
      </c>
      <c r="P15" s="36" t="s">
        <v>150</v>
      </c>
      <c r="Q15" s="35" t="s">
        <v>150</v>
      </c>
      <c r="R15" s="35" t="s">
        <v>151</v>
      </c>
      <c r="S15" s="36" t="s">
        <v>150</v>
      </c>
      <c r="T15" s="36" t="s">
        <v>150</v>
      </c>
      <c r="U15" s="35" t="s">
        <v>150</v>
      </c>
      <c r="V15" s="36" t="s">
        <v>151</v>
      </c>
      <c r="W15" s="35" t="s">
        <v>151</v>
      </c>
      <c r="X15" s="37" t="s">
        <v>151</v>
      </c>
    </row>
    <row r="16" spans="2:24">
      <c r="B16" s="33" t="s">
        <v>165</v>
      </c>
      <c r="C16" s="41" t="s">
        <v>160</v>
      </c>
      <c r="D16" s="41" t="s">
        <v>148</v>
      </c>
      <c r="E16" s="41" t="s">
        <v>149</v>
      </c>
      <c r="F16" s="35"/>
      <c r="G16" s="36" t="s">
        <v>150</v>
      </c>
      <c r="H16" s="36"/>
      <c r="I16" s="36" t="s">
        <v>151</v>
      </c>
      <c r="J16" s="36" t="s">
        <v>151</v>
      </c>
      <c r="K16" s="36" t="s">
        <v>151</v>
      </c>
      <c r="L16" s="36" t="s">
        <v>151</v>
      </c>
      <c r="M16" s="36" t="s">
        <v>151</v>
      </c>
      <c r="N16" s="35" t="s">
        <v>151</v>
      </c>
      <c r="O16" s="35" t="s">
        <v>151</v>
      </c>
      <c r="P16" s="36" t="s">
        <v>150</v>
      </c>
      <c r="Q16" s="35" t="s">
        <v>150</v>
      </c>
      <c r="R16" s="35" t="s">
        <v>151</v>
      </c>
      <c r="S16" s="36" t="s">
        <v>150</v>
      </c>
      <c r="T16" s="36" t="s">
        <v>150</v>
      </c>
      <c r="U16" s="35" t="s">
        <v>151</v>
      </c>
      <c r="V16" s="36" t="s">
        <v>151</v>
      </c>
      <c r="W16" s="35" t="s">
        <v>151</v>
      </c>
      <c r="X16" s="37" t="s">
        <v>151</v>
      </c>
    </row>
    <row r="17" spans="2:90">
      <c r="B17" s="33" t="s">
        <v>166</v>
      </c>
      <c r="C17" s="34" t="s">
        <v>153</v>
      </c>
      <c r="D17" s="34" t="s">
        <v>148</v>
      </c>
      <c r="E17" s="34" t="s">
        <v>149</v>
      </c>
      <c r="F17" s="35"/>
      <c r="G17" s="36" t="s">
        <v>150</v>
      </c>
      <c r="H17" s="36"/>
      <c r="I17" s="36" t="s">
        <v>151</v>
      </c>
      <c r="J17" s="36" t="s">
        <v>151</v>
      </c>
      <c r="K17" s="36" t="s">
        <v>151</v>
      </c>
      <c r="L17" s="36" t="s">
        <v>150</v>
      </c>
      <c r="M17" s="36" t="s">
        <v>151</v>
      </c>
      <c r="N17" s="35" t="s">
        <v>151</v>
      </c>
      <c r="O17" s="35" t="s">
        <v>151</v>
      </c>
      <c r="P17" s="36" t="s">
        <v>150</v>
      </c>
      <c r="Q17" s="35" t="s">
        <v>150</v>
      </c>
      <c r="R17" s="35" t="s">
        <v>151</v>
      </c>
      <c r="S17" s="36" t="s">
        <v>150</v>
      </c>
      <c r="T17" s="36" t="s">
        <v>150</v>
      </c>
      <c r="U17" s="35" t="s">
        <v>151</v>
      </c>
      <c r="V17" s="36" t="s">
        <v>151</v>
      </c>
      <c r="W17" s="35" t="s">
        <v>151</v>
      </c>
      <c r="X17" s="37" t="s">
        <v>151</v>
      </c>
    </row>
    <row r="18" spans="2:90">
      <c r="B18" s="33" t="s">
        <v>167</v>
      </c>
      <c r="C18" s="41" t="s">
        <v>155</v>
      </c>
      <c r="D18" s="41" t="s">
        <v>148</v>
      </c>
      <c r="E18" s="41" t="s">
        <v>149</v>
      </c>
      <c r="F18" s="35"/>
      <c r="G18" s="36" t="s">
        <v>151</v>
      </c>
      <c r="H18" s="36"/>
      <c r="I18" s="36" t="s">
        <v>151</v>
      </c>
      <c r="J18" s="36" t="s">
        <v>151</v>
      </c>
      <c r="K18" s="36" t="s">
        <v>151</v>
      </c>
      <c r="L18" s="36" t="s">
        <v>151</v>
      </c>
      <c r="M18" s="36" t="s">
        <v>151</v>
      </c>
      <c r="N18" s="35" t="s">
        <v>150</v>
      </c>
      <c r="O18" s="35" t="s">
        <v>151</v>
      </c>
      <c r="P18" s="36" t="s">
        <v>150</v>
      </c>
      <c r="Q18" s="35" t="s">
        <v>151</v>
      </c>
      <c r="R18" s="35" t="s">
        <v>151</v>
      </c>
      <c r="S18" s="36" t="s">
        <v>151</v>
      </c>
      <c r="T18" s="36" t="s">
        <v>150</v>
      </c>
      <c r="U18" s="35" t="s">
        <v>151</v>
      </c>
      <c r="V18" s="36" t="s">
        <v>151</v>
      </c>
      <c r="W18" s="35" t="s">
        <v>151</v>
      </c>
      <c r="X18" s="37" t="s">
        <v>151</v>
      </c>
    </row>
    <row r="19" spans="2:90">
      <c r="B19" s="38" t="s">
        <v>168</v>
      </c>
      <c r="C19" s="39" t="s">
        <v>162</v>
      </c>
      <c r="D19" s="39" t="s">
        <v>148</v>
      </c>
      <c r="E19" s="39" t="s">
        <v>157</v>
      </c>
      <c r="F19" s="35"/>
      <c r="G19" s="36" t="s">
        <v>151</v>
      </c>
      <c r="H19" s="36"/>
      <c r="I19" s="36" t="s">
        <v>151</v>
      </c>
      <c r="J19" s="36" t="s">
        <v>151</v>
      </c>
      <c r="K19" s="36" t="s">
        <v>151</v>
      </c>
      <c r="L19" s="36" t="s">
        <v>151</v>
      </c>
      <c r="M19" s="36" t="s">
        <v>151</v>
      </c>
      <c r="N19" s="35" t="s">
        <v>150</v>
      </c>
      <c r="O19" s="35" t="s">
        <v>151</v>
      </c>
      <c r="P19" s="36" t="s">
        <v>150</v>
      </c>
      <c r="Q19" s="35" t="s">
        <v>151</v>
      </c>
      <c r="R19" s="35" t="s">
        <v>151</v>
      </c>
      <c r="S19" s="36" t="s">
        <v>150</v>
      </c>
      <c r="T19" s="36" t="s">
        <v>150</v>
      </c>
      <c r="U19" s="35" t="s">
        <v>151</v>
      </c>
      <c r="V19" s="36" t="s">
        <v>151</v>
      </c>
      <c r="W19" s="35" t="s">
        <v>151</v>
      </c>
      <c r="X19" s="37" t="s">
        <v>151</v>
      </c>
    </row>
    <row r="20" spans="2:90">
      <c r="B20" s="33" t="s">
        <v>169</v>
      </c>
      <c r="C20" s="34" t="s">
        <v>170</v>
      </c>
      <c r="D20" s="41" t="s">
        <v>148</v>
      </c>
      <c r="E20" s="41" t="s">
        <v>149</v>
      </c>
      <c r="F20" s="35"/>
      <c r="G20" s="36" t="s">
        <v>151</v>
      </c>
      <c r="H20" s="36"/>
      <c r="I20" s="36" t="s">
        <v>151</v>
      </c>
      <c r="J20" s="36" t="s">
        <v>150</v>
      </c>
      <c r="K20" s="36" t="s">
        <v>151</v>
      </c>
      <c r="L20" s="36" t="s">
        <v>151</v>
      </c>
      <c r="M20" s="36" t="s">
        <v>150</v>
      </c>
      <c r="N20" s="35" t="s">
        <v>150</v>
      </c>
      <c r="O20" s="35" t="s">
        <v>150</v>
      </c>
      <c r="P20" s="36" t="s">
        <v>150</v>
      </c>
      <c r="Q20" s="35" t="s">
        <v>150</v>
      </c>
      <c r="R20" s="35" t="s">
        <v>151</v>
      </c>
      <c r="S20" s="36" t="s">
        <v>150</v>
      </c>
      <c r="T20" s="36" t="s">
        <v>150</v>
      </c>
      <c r="U20" s="35" t="s">
        <v>151</v>
      </c>
      <c r="V20" s="36" t="s">
        <v>151</v>
      </c>
      <c r="W20" s="35" t="s">
        <v>151</v>
      </c>
      <c r="X20" s="37" t="s">
        <v>151</v>
      </c>
    </row>
    <row r="21" spans="2:90">
      <c r="B21" s="33" t="s">
        <v>171</v>
      </c>
      <c r="C21" s="34" t="s">
        <v>155</v>
      </c>
      <c r="D21" s="34" t="s">
        <v>148</v>
      </c>
      <c r="E21" s="34" t="s">
        <v>149</v>
      </c>
      <c r="F21" s="35"/>
      <c r="G21" s="36" t="s">
        <v>151</v>
      </c>
      <c r="H21" s="36"/>
      <c r="I21" s="36" t="s">
        <v>151</v>
      </c>
      <c r="J21" s="36" t="s">
        <v>151</v>
      </c>
      <c r="K21" s="36" t="s">
        <v>151</v>
      </c>
      <c r="L21" s="36" t="s">
        <v>151</v>
      </c>
      <c r="M21" s="36" t="s">
        <v>151</v>
      </c>
      <c r="N21" s="35" t="s">
        <v>150</v>
      </c>
      <c r="O21" s="35" t="s">
        <v>151</v>
      </c>
      <c r="P21" s="36" t="s">
        <v>150</v>
      </c>
      <c r="Q21" s="35" t="s">
        <v>151</v>
      </c>
      <c r="R21" s="35" t="s">
        <v>151</v>
      </c>
      <c r="S21" s="36" t="s">
        <v>151</v>
      </c>
      <c r="T21" s="36" t="s">
        <v>150</v>
      </c>
      <c r="U21" s="35" t="s">
        <v>151</v>
      </c>
      <c r="V21" s="36" t="s">
        <v>151</v>
      </c>
      <c r="W21" s="35" t="s">
        <v>151</v>
      </c>
      <c r="X21" s="37" t="s">
        <v>151</v>
      </c>
    </row>
    <row r="22" spans="2:90">
      <c r="B22" s="38" t="s">
        <v>172</v>
      </c>
      <c r="C22" s="40" t="s">
        <v>160</v>
      </c>
      <c r="D22" s="40" t="s">
        <v>148</v>
      </c>
      <c r="E22" s="40" t="s">
        <v>157</v>
      </c>
      <c r="F22" s="35"/>
      <c r="G22" s="36" t="s">
        <v>151</v>
      </c>
      <c r="H22" s="36"/>
      <c r="I22" s="36" t="s">
        <v>151</v>
      </c>
      <c r="J22" s="36" t="s">
        <v>151</v>
      </c>
      <c r="K22" s="36" t="s">
        <v>151</v>
      </c>
      <c r="L22" s="36" t="s">
        <v>151</v>
      </c>
      <c r="M22" s="36" t="s">
        <v>151</v>
      </c>
      <c r="N22" s="35" t="s">
        <v>150</v>
      </c>
      <c r="O22" s="35" t="s">
        <v>151</v>
      </c>
      <c r="P22" s="36" t="s">
        <v>150</v>
      </c>
      <c r="Q22" s="35" t="s">
        <v>151</v>
      </c>
      <c r="R22" s="35" t="s">
        <v>151</v>
      </c>
      <c r="S22" s="36" t="s">
        <v>150</v>
      </c>
      <c r="T22" s="36" t="s">
        <v>150</v>
      </c>
      <c r="U22" s="35" t="s">
        <v>151</v>
      </c>
      <c r="V22" s="36" t="s">
        <v>151</v>
      </c>
      <c r="W22" s="35" t="s">
        <v>151</v>
      </c>
      <c r="X22" s="37" t="s">
        <v>151</v>
      </c>
    </row>
    <row r="23" spans="2:90">
      <c r="B23" s="33" t="s">
        <v>173</v>
      </c>
      <c r="C23" s="41" t="s">
        <v>162</v>
      </c>
      <c r="D23" s="41" t="s">
        <v>148</v>
      </c>
      <c r="E23" s="41" t="s">
        <v>149</v>
      </c>
      <c r="F23" s="35"/>
      <c r="G23" s="36" t="s">
        <v>150</v>
      </c>
      <c r="H23" s="36"/>
      <c r="I23" s="36" t="s">
        <v>151</v>
      </c>
      <c r="J23" s="36" t="s">
        <v>151</v>
      </c>
      <c r="K23" s="36" t="s">
        <v>151</v>
      </c>
      <c r="L23" s="36" t="s">
        <v>151</v>
      </c>
      <c r="M23" s="36" t="s">
        <v>151</v>
      </c>
      <c r="N23" s="35" t="s">
        <v>150</v>
      </c>
      <c r="O23" s="35" t="s">
        <v>151</v>
      </c>
      <c r="P23" s="36" t="s">
        <v>150</v>
      </c>
      <c r="Q23" s="35" t="s">
        <v>150</v>
      </c>
      <c r="R23" s="35" t="s">
        <v>150</v>
      </c>
      <c r="S23" s="36" t="s">
        <v>150</v>
      </c>
      <c r="T23" s="36" t="s">
        <v>151</v>
      </c>
      <c r="U23" s="35" t="s">
        <v>151</v>
      </c>
      <c r="V23" s="36" t="s">
        <v>151</v>
      </c>
      <c r="W23" s="35" t="s">
        <v>151</v>
      </c>
      <c r="X23" s="37" t="s">
        <v>151</v>
      </c>
    </row>
    <row r="24" spans="2:90">
      <c r="B24" s="33" t="s">
        <v>174</v>
      </c>
      <c r="C24" s="34" t="s">
        <v>175</v>
      </c>
      <c r="D24" s="34" t="s">
        <v>148</v>
      </c>
      <c r="E24" s="34" t="s">
        <v>149</v>
      </c>
      <c r="F24" s="35"/>
      <c r="G24" s="36" t="s">
        <v>150</v>
      </c>
      <c r="H24" s="36"/>
      <c r="I24" s="36" t="s">
        <v>151</v>
      </c>
      <c r="J24" s="36" t="s">
        <v>151</v>
      </c>
      <c r="K24" s="36" t="s">
        <v>151</v>
      </c>
      <c r="L24" s="36" t="s">
        <v>151</v>
      </c>
      <c r="M24" s="36" t="s">
        <v>151</v>
      </c>
      <c r="N24" s="35" t="s">
        <v>151</v>
      </c>
      <c r="O24" s="35" t="s">
        <v>151</v>
      </c>
      <c r="P24" s="36" t="s">
        <v>150</v>
      </c>
      <c r="Q24" s="35" t="s">
        <v>150</v>
      </c>
      <c r="R24" s="35" t="s">
        <v>151</v>
      </c>
      <c r="S24" s="36" t="s">
        <v>150</v>
      </c>
      <c r="T24" s="36" t="s">
        <v>150</v>
      </c>
      <c r="U24" s="35" t="s">
        <v>151</v>
      </c>
      <c r="V24" s="36" t="s">
        <v>151</v>
      </c>
      <c r="W24" s="35" t="s">
        <v>151</v>
      </c>
      <c r="X24" s="37" t="s">
        <v>151</v>
      </c>
    </row>
    <row r="25" spans="2:90">
      <c r="B25" s="38" t="s">
        <v>176</v>
      </c>
      <c r="C25" s="40" t="s">
        <v>175</v>
      </c>
      <c r="D25" s="40" t="s">
        <v>148</v>
      </c>
      <c r="E25" s="40" t="s">
        <v>157</v>
      </c>
      <c r="F25" s="35"/>
      <c r="G25" s="36" t="s">
        <v>151</v>
      </c>
      <c r="H25" s="36"/>
      <c r="I25" s="36" t="s">
        <v>151</v>
      </c>
      <c r="J25" s="36" t="s">
        <v>151</v>
      </c>
      <c r="K25" s="36" t="s">
        <v>151</v>
      </c>
      <c r="L25" s="36" t="s">
        <v>151</v>
      </c>
      <c r="M25" s="36" t="s">
        <v>151</v>
      </c>
      <c r="N25" s="35" t="s">
        <v>150</v>
      </c>
      <c r="O25" s="35" t="s">
        <v>151</v>
      </c>
      <c r="P25" s="36" t="s">
        <v>150</v>
      </c>
      <c r="Q25" s="35" t="s">
        <v>151</v>
      </c>
      <c r="R25" s="35" t="s">
        <v>151</v>
      </c>
      <c r="S25" s="36" t="s">
        <v>150</v>
      </c>
      <c r="T25" s="36" t="s">
        <v>150</v>
      </c>
      <c r="U25" s="35" t="s">
        <v>151</v>
      </c>
      <c r="V25" s="36" t="s">
        <v>151</v>
      </c>
      <c r="W25" s="35" t="s">
        <v>151</v>
      </c>
      <c r="X25" s="37" t="s">
        <v>151</v>
      </c>
    </row>
    <row r="26" spans="2:90">
      <c r="B26" s="38" t="s">
        <v>177</v>
      </c>
      <c r="C26" s="39" t="s">
        <v>153</v>
      </c>
      <c r="D26" s="39" t="s">
        <v>148</v>
      </c>
      <c r="E26" s="39" t="s">
        <v>157</v>
      </c>
      <c r="F26" s="35"/>
      <c r="G26" s="36" t="s">
        <v>151</v>
      </c>
      <c r="H26" s="36"/>
      <c r="I26" s="36" t="s">
        <v>151</v>
      </c>
      <c r="J26" s="36" t="s">
        <v>151</v>
      </c>
      <c r="K26" s="36" t="s">
        <v>151</v>
      </c>
      <c r="L26" s="36" t="s">
        <v>151</v>
      </c>
      <c r="M26" s="36" t="s">
        <v>151</v>
      </c>
      <c r="N26" s="35" t="s">
        <v>150</v>
      </c>
      <c r="O26" s="35" t="s">
        <v>151</v>
      </c>
      <c r="P26" s="36" t="s">
        <v>150</v>
      </c>
      <c r="Q26" s="35" t="s">
        <v>151</v>
      </c>
      <c r="R26" s="35" t="s">
        <v>151</v>
      </c>
      <c r="S26" s="36" t="s">
        <v>150</v>
      </c>
      <c r="T26" s="36" t="s">
        <v>150</v>
      </c>
      <c r="U26" s="35" t="s">
        <v>151</v>
      </c>
      <c r="V26" s="36" t="s">
        <v>151</v>
      </c>
      <c r="W26" s="35" t="s">
        <v>151</v>
      </c>
      <c r="X26" s="37" t="s">
        <v>151</v>
      </c>
    </row>
    <row r="27" spans="2:90" ht="15" thickBot="1">
      <c r="B27" s="42" t="s">
        <v>178</v>
      </c>
      <c r="C27" s="43" t="s">
        <v>155</v>
      </c>
      <c r="D27" s="43" t="s">
        <v>148</v>
      </c>
      <c r="E27" s="43" t="s">
        <v>149</v>
      </c>
      <c r="F27" s="44"/>
      <c r="G27" s="45" t="s">
        <v>151</v>
      </c>
      <c r="H27" s="45"/>
      <c r="I27" s="45" t="s">
        <v>151</v>
      </c>
      <c r="J27" s="45" t="s">
        <v>151</v>
      </c>
      <c r="K27" s="45" t="s">
        <v>151</v>
      </c>
      <c r="L27" s="45" t="s">
        <v>151</v>
      </c>
      <c r="M27" s="45" t="s">
        <v>151</v>
      </c>
      <c r="N27" s="44" t="s">
        <v>150</v>
      </c>
      <c r="O27" s="44" t="s">
        <v>151</v>
      </c>
      <c r="P27" s="45" t="s">
        <v>150</v>
      </c>
      <c r="Q27" s="44" t="s">
        <v>151</v>
      </c>
      <c r="R27" s="44" t="s">
        <v>151</v>
      </c>
      <c r="S27" s="45" t="s">
        <v>151</v>
      </c>
      <c r="T27" s="45" t="s">
        <v>150</v>
      </c>
      <c r="U27" s="44" t="s">
        <v>151</v>
      </c>
      <c r="V27" s="45" t="s">
        <v>151</v>
      </c>
      <c r="W27" s="44" t="s">
        <v>151</v>
      </c>
      <c r="X27" s="46" t="s">
        <v>151</v>
      </c>
    </row>
    <row r="30" spans="2:90">
      <c r="B30" s="47" t="s">
        <v>179</v>
      </c>
    </row>
    <row r="31" spans="2:90">
      <c r="B31" s="48" t="s">
        <v>180</v>
      </c>
    </row>
    <row r="32" spans="2:90">
      <c r="AL32" s="2174"/>
      <c r="AM32" s="2174"/>
      <c r="AN32" s="2174"/>
      <c r="AO32" s="2174"/>
      <c r="AP32" s="2174"/>
      <c r="AQ32" s="2174"/>
      <c r="AR32" s="2174"/>
      <c r="AS32" s="2174"/>
      <c r="AT32" s="2174"/>
      <c r="AU32" s="2174"/>
      <c r="AV32" s="2174"/>
      <c r="AW32" s="2174"/>
      <c r="AX32" s="2174"/>
      <c r="AY32" s="2174"/>
      <c r="AZ32" s="2174"/>
      <c r="BA32" s="2174"/>
      <c r="BB32" s="2174"/>
      <c r="BC32" s="2174"/>
      <c r="BD32" s="2174"/>
      <c r="BE32" s="2174"/>
      <c r="BF32" s="2174"/>
      <c r="BG32" s="2174"/>
      <c r="BQ32" s="2174"/>
      <c r="BR32" s="2174"/>
      <c r="BS32" s="2174"/>
      <c r="BT32" s="2174"/>
      <c r="BU32" s="2174"/>
      <c r="BV32" s="2174"/>
      <c r="BW32" s="2174"/>
      <c r="BX32" s="2174"/>
      <c r="BY32" s="2174"/>
      <c r="BZ32" s="2174"/>
      <c r="CA32" s="2174"/>
      <c r="CB32" s="2174"/>
      <c r="CC32" s="2174"/>
      <c r="CD32" s="2174"/>
      <c r="CE32" s="2174"/>
      <c r="CF32" s="2174"/>
      <c r="CG32" s="2174"/>
      <c r="CH32" s="2174"/>
      <c r="CI32" s="2174"/>
      <c r="CJ32" s="2174"/>
      <c r="CK32" s="2174"/>
      <c r="CL32" s="2174"/>
    </row>
    <row r="33" spans="2:90">
      <c r="B33" s="49" t="s">
        <v>181</v>
      </c>
      <c r="AL33" s="2174"/>
      <c r="AM33" s="2174"/>
      <c r="AN33" s="2174"/>
      <c r="AO33" s="2174"/>
      <c r="AP33" s="2174"/>
      <c r="AQ33" s="2174"/>
      <c r="AR33" s="2174"/>
      <c r="AS33" s="2174"/>
      <c r="AT33" s="2174"/>
      <c r="AU33" s="2174"/>
      <c r="AV33" s="2174"/>
      <c r="AW33" s="2174"/>
      <c r="AX33" s="2174"/>
      <c r="AY33" s="2174"/>
      <c r="AZ33" s="2174"/>
      <c r="BA33" s="2174"/>
      <c r="BB33" s="2174"/>
      <c r="BC33" s="2174"/>
      <c r="BD33" s="2174"/>
      <c r="BE33" s="2174"/>
      <c r="BF33" s="2174"/>
      <c r="BG33" s="2174"/>
      <c r="BQ33" s="2174"/>
      <c r="BR33" s="2174"/>
      <c r="BS33" s="2174"/>
      <c r="BT33" s="2174"/>
      <c r="BU33" s="2174"/>
      <c r="BV33" s="2174"/>
      <c r="BW33" s="2174"/>
      <c r="BX33" s="2174"/>
      <c r="BY33" s="2174"/>
      <c r="BZ33" s="2174"/>
      <c r="CA33" s="2174"/>
      <c r="CB33" s="2174"/>
      <c r="CC33" s="2174"/>
      <c r="CD33" s="2174"/>
      <c r="CE33" s="2174"/>
      <c r="CF33" s="2174"/>
      <c r="CG33" s="2174"/>
      <c r="CH33" s="2174"/>
      <c r="CI33" s="2174"/>
      <c r="CJ33" s="2174"/>
      <c r="CK33" s="2174"/>
      <c r="CL33" s="2174"/>
    </row>
    <row r="34" spans="2:90">
      <c r="B34" s="50" t="s">
        <v>182</v>
      </c>
      <c r="C34" s="49"/>
      <c r="D34" s="50"/>
      <c r="E34" s="50"/>
      <c r="F34" s="49" t="s">
        <v>183</v>
      </c>
      <c r="G34" s="49"/>
      <c r="AL34" s="2174"/>
      <c r="AM34" s="2174"/>
      <c r="AN34" s="2174"/>
      <c r="AO34" s="2174"/>
      <c r="AP34" s="2174"/>
      <c r="AQ34" s="2174"/>
      <c r="AR34" s="2174"/>
      <c r="AS34" s="2174"/>
      <c r="AT34" s="2174"/>
      <c r="AU34" s="2174"/>
      <c r="AV34" s="2174"/>
      <c r="AW34" s="2174"/>
      <c r="AX34" s="2174"/>
      <c r="AY34" s="2174"/>
      <c r="AZ34" s="2174"/>
      <c r="BA34" s="2174"/>
      <c r="BB34" s="2174"/>
      <c r="BC34" s="2174"/>
      <c r="BD34" s="2174"/>
      <c r="BE34" s="2174"/>
      <c r="BF34" s="2174"/>
      <c r="BG34" s="2174"/>
      <c r="BQ34" s="2174"/>
      <c r="BR34" s="2174"/>
      <c r="BS34" s="2174"/>
      <c r="BT34" s="2174"/>
      <c r="BU34" s="2174"/>
      <c r="BV34" s="2174"/>
      <c r="BW34" s="2174"/>
      <c r="BX34" s="2174"/>
      <c r="BY34" s="2174"/>
      <c r="BZ34" s="2174"/>
      <c r="CA34" s="2174"/>
      <c r="CB34" s="2174"/>
      <c r="CC34" s="2174"/>
      <c r="CD34" s="2174"/>
      <c r="CE34" s="2174"/>
      <c r="CF34" s="2174"/>
      <c r="CG34" s="2174"/>
      <c r="CH34" s="2174"/>
      <c r="CI34" s="2174"/>
      <c r="CJ34" s="2174"/>
      <c r="CK34" s="2174"/>
      <c r="CL34" s="2174"/>
    </row>
    <row r="35" spans="2:90">
      <c r="B35" s="51"/>
      <c r="F35" s="52"/>
    </row>
    <row r="36" spans="2:90">
      <c r="B36" s="51" t="s">
        <v>184</v>
      </c>
      <c r="F36" s="51" t="s">
        <v>185</v>
      </c>
    </row>
    <row r="37" spans="2:90">
      <c r="B37" s="51" t="s">
        <v>186</v>
      </c>
      <c r="F37" s="51" t="s">
        <v>187</v>
      </c>
    </row>
    <row r="38" spans="2:90">
      <c r="B38" s="51" t="s">
        <v>188</v>
      </c>
      <c r="F38" s="51" t="s">
        <v>189</v>
      </c>
    </row>
    <row r="39" spans="2:90">
      <c r="B39" s="51" t="s">
        <v>190</v>
      </c>
      <c r="F39" s="52" t="s">
        <v>191</v>
      </c>
    </row>
    <row r="40" spans="2:90">
      <c r="B40" s="51" t="s">
        <v>192</v>
      </c>
      <c r="F40" s="51" t="s">
        <v>193</v>
      </c>
    </row>
    <row r="41" spans="2:90">
      <c r="B41" s="6" t="s">
        <v>194</v>
      </c>
      <c r="F41" s="6" t="s">
        <v>195</v>
      </c>
    </row>
    <row r="42" spans="2:90">
      <c r="B42" s="51"/>
    </row>
    <row r="44" spans="2:90">
      <c r="B44" s="52" t="s">
        <v>2</v>
      </c>
    </row>
    <row r="45" spans="2:90">
      <c r="B45" s="6" t="s">
        <v>196</v>
      </c>
    </row>
    <row r="46" spans="2:90">
      <c r="B46" s="6" t="s">
        <v>197</v>
      </c>
    </row>
    <row r="49" spans="2:3" ht="20">
      <c r="B49" s="3" t="s">
        <v>198</v>
      </c>
      <c r="C49" s="4"/>
    </row>
    <row r="50" spans="2:3" ht="36">
      <c r="B50" s="53"/>
      <c r="C50" s="4" t="s">
        <v>199</v>
      </c>
    </row>
    <row r="51" spans="2:3" ht="26">
      <c r="B51" s="54"/>
      <c r="C51" s="4" t="s">
        <v>200</v>
      </c>
    </row>
    <row r="52" spans="2:3" ht="15.5">
      <c r="B52" s="55"/>
      <c r="C52" s="4" t="s">
        <v>201</v>
      </c>
    </row>
    <row r="53" spans="2:3" ht="18.5">
      <c r="B53" s="56"/>
      <c r="C53" s="4" t="s">
        <v>202</v>
      </c>
    </row>
    <row r="54" spans="2:3">
      <c r="B54" s="57"/>
      <c r="C54" s="4" t="s">
        <v>203</v>
      </c>
    </row>
    <row r="55" spans="2:3">
      <c r="B55" s="58"/>
      <c r="C55" s="4" t="s">
        <v>204</v>
      </c>
    </row>
    <row r="56" spans="2:3">
      <c r="B56" s="59"/>
      <c r="C56" s="4" t="s">
        <v>205</v>
      </c>
    </row>
    <row r="57" spans="2:3" ht="15.5">
      <c r="B57" s="60"/>
      <c r="C57" s="4" t="s">
        <v>206</v>
      </c>
    </row>
    <row r="58" spans="2:3">
      <c r="B58" s="61"/>
      <c r="C58" t="s">
        <v>207</v>
      </c>
    </row>
    <row r="59" spans="2:3" ht="15" thickBot="1">
      <c r="B59" s="62"/>
      <c r="C59" s="4" t="s">
        <v>208</v>
      </c>
    </row>
    <row r="60" spans="2:3" ht="15" thickBot="1">
      <c r="B60" s="63"/>
      <c r="C60" s="4" t="s">
        <v>209</v>
      </c>
    </row>
    <row r="61" spans="2:3" ht="15" thickBot="1">
      <c r="B61" s="64"/>
      <c r="C61" t="s">
        <v>210</v>
      </c>
    </row>
    <row r="62" spans="2:3">
      <c r="B62" s="65"/>
      <c r="C62" t="s">
        <v>211</v>
      </c>
    </row>
    <row r="63" spans="2:3" ht="15" thickBot="1">
      <c r="B63" s="66"/>
      <c r="C63" t="s">
        <v>212</v>
      </c>
    </row>
    <row r="64" spans="2:3" ht="15" thickBot="1">
      <c r="B64" s="67"/>
      <c r="C64" t="s">
        <v>213</v>
      </c>
    </row>
    <row r="65" spans="2:3">
      <c r="B65" s="68"/>
      <c r="C65" t="s">
        <v>214</v>
      </c>
    </row>
    <row r="66" spans="2:3" ht="15" thickBot="1">
      <c r="B66" s="69"/>
      <c r="C66" t="s">
        <v>215</v>
      </c>
    </row>
    <row r="67" spans="2:3" ht="15" thickBot="1">
      <c r="B67" s="70"/>
      <c r="C67" t="s">
        <v>216</v>
      </c>
    </row>
    <row r="126" spans="3:3">
      <c r="C126" s="71"/>
    </row>
    <row r="127" spans="3:3">
      <c r="C127" s="71"/>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796875" defaultRowHeight="14.5"/>
  <cols>
    <col min="1" max="1" width="11.1796875" customWidth="1"/>
    <col min="2" max="2" width="47.453125" customWidth="1"/>
    <col min="3" max="3" width="40.54296875" customWidth="1"/>
    <col min="4" max="4" width="31.453125" customWidth="1"/>
    <col min="5" max="5" width="33.1796875" customWidth="1"/>
    <col min="6" max="6" width="43.1796875" customWidth="1"/>
    <col min="7" max="7" width="38.54296875" customWidth="1"/>
    <col min="8" max="8" width="24.453125" customWidth="1"/>
    <col min="9" max="9" width="28.1796875" customWidth="1"/>
    <col min="10" max="10" width="29" customWidth="1"/>
    <col min="11" max="11" width="23.54296875" customWidth="1"/>
    <col min="12" max="13" width="28.453125" customWidth="1"/>
    <col min="14" max="14" width="24.54296875" customWidth="1"/>
    <col min="15" max="15" width="33" customWidth="1"/>
    <col min="16" max="16" width="47" customWidth="1"/>
    <col min="17" max="17" width="40.1796875" customWidth="1"/>
    <col min="18" max="18" width="24.81640625" customWidth="1"/>
    <col min="19" max="19" width="22.54296875" customWidth="1"/>
    <col min="20" max="20" width="22" customWidth="1"/>
    <col min="23" max="23" width="9.1796875" customWidth="1"/>
  </cols>
  <sheetData>
    <row r="1" spans="2:28" ht="51" customHeight="1">
      <c r="B1" s="22" t="s">
        <v>217</v>
      </c>
      <c r="C1" s="23"/>
      <c r="D1" s="23"/>
      <c r="E1" s="23"/>
      <c r="F1" s="23"/>
      <c r="G1" s="23"/>
      <c r="H1" s="23"/>
      <c r="I1" s="23"/>
      <c r="J1" s="23"/>
      <c r="K1" s="23"/>
      <c r="L1" s="23"/>
      <c r="M1" s="23"/>
      <c r="N1" s="23"/>
    </row>
    <row r="2" spans="2:28" ht="30" customHeight="1"/>
    <row r="3" spans="2:28" ht="28.5">
      <c r="B3" s="72" t="s">
        <v>218</v>
      </c>
      <c r="C3" s="72"/>
      <c r="D3" s="72"/>
      <c r="E3" s="72"/>
      <c r="F3" s="72"/>
      <c r="G3" s="72"/>
      <c r="H3" s="72"/>
      <c r="I3" s="72"/>
      <c r="J3" s="72"/>
      <c r="K3" s="72"/>
      <c r="L3" s="72"/>
      <c r="M3" s="72"/>
      <c r="N3" s="72"/>
    </row>
    <row r="4" spans="2:28" ht="30" customHeight="1" thickBot="1"/>
    <row r="5" spans="2:28" ht="29.25" customHeight="1">
      <c r="B5" s="2188" t="s">
        <v>219</v>
      </c>
      <c r="C5" s="73" t="s">
        <v>220</v>
      </c>
      <c r="D5" s="73" t="s">
        <v>221</v>
      </c>
      <c r="E5" s="74" t="s">
        <v>1654</v>
      </c>
      <c r="F5" s="2"/>
      <c r="W5" s="2"/>
      <c r="X5" s="2"/>
      <c r="AA5" s="75"/>
      <c r="AB5" s="75"/>
    </row>
    <row r="6" spans="2:28" ht="15" customHeight="1">
      <c r="B6" s="2188"/>
      <c r="C6" s="76" t="s">
        <v>222</v>
      </c>
      <c r="D6" s="76" t="s">
        <v>222</v>
      </c>
      <c r="E6" s="76" t="s">
        <v>222</v>
      </c>
      <c r="F6" s="2"/>
      <c r="W6" s="2"/>
      <c r="X6" s="2"/>
      <c r="AA6" s="75"/>
      <c r="AB6" s="75"/>
    </row>
    <row r="7" spans="2:28" ht="15" customHeight="1">
      <c r="B7" s="2188"/>
      <c r="C7" s="77" t="s">
        <v>223</v>
      </c>
      <c r="D7" s="78" t="s">
        <v>27</v>
      </c>
      <c r="E7" s="78" t="s">
        <v>1653</v>
      </c>
      <c r="S7" s="2"/>
      <c r="T7" s="2"/>
      <c r="U7" s="2"/>
      <c r="V7" s="2"/>
      <c r="W7" s="2"/>
      <c r="X7" s="2"/>
    </row>
    <row r="8" spans="2:28" ht="15" customHeight="1">
      <c r="B8" s="2188"/>
      <c r="C8" s="80" t="s">
        <v>224</v>
      </c>
      <c r="D8" s="81" t="s">
        <v>179</v>
      </c>
      <c r="E8" s="81" t="s">
        <v>752</v>
      </c>
      <c r="S8" s="2"/>
      <c r="T8" s="2"/>
      <c r="U8" s="2"/>
      <c r="V8" s="2"/>
      <c r="W8" s="2"/>
      <c r="X8" s="2"/>
    </row>
    <row r="9" spans="2:28" ht="15" customHeight="1">
      <c r="B9" s="2188"/>
      <c r="C9" s="80" t="s">
        <v>25</v>
      </c>
      <c r="D9" s="81" t="s">
        <v>1610</v>
      </c>
      <c r="E9" s="79"/>
      <c r="S9" s="2"/>
      <c r="T9" s="2"/>
      <c r="U9" s="2"/>
      <c r="V9" s="2"/>
      <c r="W9" s="2"/>
      <c r="X9" s="2"/>
    </row>
    <row r="10" spans="2:28" ht="15.75" customHeight="1" thickBot="1">
      <c r="B10" s="2188"/>
      <c r="C10" s="82"/>
      <c r="D10" s="83"/>
      <c r="E10" s="79"/>
      <c r="S10" s="2"/>
      <c r="T10" s="2"/>
      <c r="U10" s="2"/>
      <c r="V10" s="2"/>
      <c r="W10" s="2"/>
      <c r="X10" s="2"/>
    </row>
    <row r="11" spans="2:28" ht="15" thickBot="1">
      <c r="B11" s="2188"/>
      <c r="C11" s="4"/>
      <c r="D11" s="84"/>
      <c r="E11" s="79"/>
      <c r="S11" s="2"/>
      <c r="T11" s="2"/>
      <c r="U11" s="2"/>
      <c r="V11" s="2"/>
      <c r="W11" s="2"/>
      <c r="X11" s="2"/>
    </row>
    <row r="12" spans="2:28" ht="84.5" thickBot="1">
      <c r="B12" s="2188"/>
      <c r="C12" s="85" t="s">
        <v>225</v>
      </c>
      <c r="D12" s="85" t="s">
        <v>226</v>
      </c>
      <c r="G12" s="79"/>
      <c r="H12" s="6"/>
      <c r="S12" s="2"/>
      <c r="T12" s="2"/>
      <c r="U12" s="2"/>
      <c r="V12" s="2"/>
      <c r="W12" s="2"/>
      <c r="X12" s="2"/>
    </row>
    <row r="13" spans="2:28" ht="24" customHeight="1" thickBot="1">
      <c r="B13" s="2188"/>
      <c r="C13" s="73" t="s">
        <v>227</v>
      </c>
      <c r="D13" s="73" t="s">
        <v>228</v>
      </c>
      <c r="G13" s="79"/>
      <c r="H13" s="6"/>
      <c r="S13" s="2"/>
      <c r="T13" s="2"/>
      <c r="U13" s="2"/>
      <c r="V13" s="2"/>
      <c r="W13" s="2"/>
      <c r="X13" s="2"/>
    </row>
    <row r="14" spans="2:28">
      <c r="B14" s="2188"/>
      <c r="C14" s="86" t="s">
        <v>222</v>
      </c>
      <c r="D14" s="87" t="s">
        <v>229</v>
      </c>
      <c r="G14" s="79"/>
      <c r="S14" s="2"/>
      <c r="T14" s="2"/>
      <c r="U14" s="2"/>
      <c r="V14" s="2"/>
      <c r="W14" s="2"/>
      <c r="X14" s="2"/>
    </row>
    <row r="15" spans="2:28">
      <c r="B15" s="2188"/>
      <c r="C15" s="81" t="s">
        <v>230</v>
      </c>
      <c r="D15" s="88" t="s">
        <v>231</v>
      </c>
      <c r="H15" s="6"/>
      <c r="S15" s="2"/>
      <c r="T15" s="2"/>
      <c r="U15" s="2"/>
      <c r="V15" s="2"/>
      <c r="W15" s="2"/>
      <c r="X15" s="2"/>
    </row>
    <row r="16" spans="2:28" ht="15" thickBot="1">
      <c r="B16" s="2188"/>
      <c r="C16" s="81" t="s">
        <v>232</v>
      </c>
      <c r="D16" s="89" t="s">
        <v>233</v>
      </c>
      <c r="H16" s="6"/>
      <c r="S16" s="2"/>
      <c r="T16" s="2"/>
      <c r="U16" s="2"/>
      <c r="V16" s="2"/>
      <c r="W16" s="2"/>
      <c r="X16" s="2"/>
    </row>
    <row r="17" spans="2:89">
      <c r="B17" s="2188"/>
      <c r="C17" s="81" t="s">
        <v>234</v>
      </c>
      <c r="H17" s="6"/>
      <c r="S17" s="2"/>
      <c r="T17" s="2"/>
      <c r="U17" s="2"/>
      <c r="V17" s="2"/>
      <c r="W17" s="2"/>
      <c r="X17" s="2"/>
    </row>
    <row r="18" spans="2:89">
      <c r="B18" s="2188"/>
      <c r="C18" s="81" t="s">
        <v>235</v>
      </c>
      <c r="D18" s="4"/>
      <c r="S18" s="2"/>
      <c r="T18" s="2"/>
      <c r="U18" s="2"/>
      <c r="V18" s="2"/>
      <c r="W18" s="2"/>
      <c r="X18" s="2"/>
    </row>
    <row r="19" spans="2:89">
      <c r="B19" s="2188"/>
      <c r="C19" s="81" t="s">
        <v>236</v>
      </c>
      <c r="D19" s="4"/>
      <c r="S19" s="2"/>
      <c r="T19" s="2"/>
      <c r="U19" s="2"/>
      <c r="V19" s="2"/>
      <c r="W19" s="2"/>
      <c r="X19" s="2"/>
    </row>
    <row r="20" spans="2:89">
      <c r="B20" s="2188"/>
      <c r="C20" s="81" t="s">
        <v>237</v>
      </c>
      <c r="D20" s="4"/>
      <c r="J20" s="4"/>
      <c r="L20" s="90"/>
      <c r="O20" s="2"/>
      <c r="P20" s="2"/>
      <c r="Q20" s="2"/>
      <c r="R20" s="2"/>
      <c r="S20" s="2"/>
      <c r="T20" s="2"/>
      <c r="U20" s="2"/>
      <c r="V20" s="2"/>
      <c r="W20" s="2"/>
      <c r="X20" s="2"/>
    </row>
    <row r="21" spans="2:89">
      <c r="B21" s="2188"/>
      <c r="C21" s="81" t="s">
        <v>238</v>
      </c>
      <c r="D21" s="4"/>
      <c r="J21" s="4"/>
      <c r="L21" s="90"/>
      <c r="O21" s="2"/>
      <c r="P21" s="2"/>
      <c r="Q21" s="2"/>
      <c r="R21" s="2"/>
      <c r="S21" s="2"/>
      <c r="T21" s="2"/>
      <c r="U21" s="2"/>
      <c r="V21" s="2"/>
      <c r="W21" s="2"/>
      <c r="X21" s="2"/>
    </row>
    <row r="22" spans="2:89">
      <c r="B22" s="2188"/>
      <c r="C22" s="81" t="s">
        <v>239</v>
      </c>
      <c r="D22" s="4"/>
      <c r="J22" s="4"/>
      <c r="L22" s="90"/>
      <c r="O22" s="2"/>
      <c r="P22" s="2"/>
      <c r="Q22" s="2"/>
      <c r="R22" s="2"/>
      <c r="S22" s="2"/>
      <c r="T22" s="2"/>
      <c r="U22" s="2"/>
      <c r="V22" s="2"/>
      <c r="W22" s="2"/>
    </row>
    <row r="23" spans="2:89">
      <c r="B23" s="2188"/>
      <c r="C23" s="81" t="s">
        <v>240</v>
      </c>
      <c r="D23" s="4"/>
      <c r="J23" s="4"/>
      <c r="L23" s="90"/>
      <c r="O23" s="2"/>
      <c r="P23" s="2"/>
      <c r="Q23" s="2"/>
      <c r="R23" s="2"/>
      <c r="S23" s="2"/>
      <c r="T23" s="2"/>
      <c r="U23" s="2"/>
      <c r="V23" s="2"/>
      <c r="W23" s="2"/>
    </row>
    <row r="24" spans="2:89">
      <c r="B24" s="2188"/>
      <c r="C24" s="81" t="s">
        <v>241</v>
      </c>
      <c r="D24" s="4"/>
      <c r="J24" s="4"/>
      <c r="L24" s="90"/>
      <c r="O24" s="2"/>
      <c r="P24" s="2"/>
      <c r="Q24" s="2"/>
      <c r="R24" s="2"/>
      <c r="S24" s="2"/>
      <c r="T24" s="2"/>
      <c r="U24" s="2"/>
      <c r="V24" s="2"/>
      <c r="W24" s="2"/>
    </row>
    <row r="25" spans="2:89">
      <c r="B25" s="2188"/>
      <c r="C25" s="81" t="s">
        <v>242</v>
      </c>
      <c r="D25" s="4"/>
      <c r="G25" s="79"/>
      <c r="J25" s="4"/>
      <c r="L25" s="90"/>
      <c r="O25" s="2"/>
      <c r="P25" s="2"/>
      <c r="Q25" s="2"/>
      <c r="R25" s="2"/>
      <c r="S25" s="2"/>
      <c r="T25" s="2"/>
      <c r="U25" s="2"/>
      <c r="V25" s="2"/>
      <c r="W25" s="2"/>
    </row>
    <row r="26" spans="2:89">
      <c r="B26" s="2188"/>
      <c r="C26" s="81" t="s">
        <v>24</v>
      </c>
      <c r="D26" s="4"/>
      <c r="G26" s="79"/>
      <c r="J26" s="4"/>
      <c r="L26" s="90"/>
      <c r="O26" s="2"/>
      <c r="P26" s="2"/>
      <c r="Q26" s="2"/>
      <c r="R26" s="2"/>
      <c r="S26" s="2"/>
      <c r="T26" s="2"/>
      <c r="U26" s="2"/>
      <c r="V26" s="2"/>
      <c r="W26" s="2"/>
    </row>
    <row r="27" spans="2:89" ht="15" thickBot="1">
      <c r="B27" s="2188"/>
      <c r="C27" s="91" t="s">
        <v>243</v>
      </c>
      <c r="D27" s="4"/>
      <c r="G27" s="79"/>
      <c r="J27" s="4"/>
      <c r="L27" s="90"/>
      <c r="O27" s="2"/>
      <c r="P27" s="2"/>
      <c r="Q27" s="2"/>
      <c r="R27" s="2"/>
      <c r="S27" s="2"/>
      <c r="T27" s="2"/>
      <c r="U27" s="2"/>
      <c r="V27" s="2"/>
      <c r="W27" s="2"/>
    </row>
    <row r="28" spans="2:89" ht="15" customHeight="1">
      <c r="B28" s="92"/>
      <c r="G28" s="79"/>
      <c r="I28" s="6"/>
      <c r="J28" s="4"/>
      <c r="K28" s="6"/>
      <c r="L28" s="90"/>
      <c r="O28" s="2"/>
      <c r="P28" s="2"/>
      <c r="Q28" s="2"/>
      <c r="R28" s="2"/>
      <c r="S28" s="2"/>
      <c r="T28" s="2"/>
      <c r="U28" s="2"/>
      <c r="V28" s="2"/>
      <c r="W28" s="2"/>
    </row>
    <row r="29" spans="2:89" ht="28.5">
      <c r="B29" s="92"/>
    </row>
    <row r="30" spans="2:89" ht="29" thickBot="1">
      <c r="B30" s="92"/>
      <c r="D30" s="4"/>
      <c r="G30" s="79"/>
      <c r="K30" s="93" t="s">
        <v>244</v>
      </c>
      <c r="M30" s="90"/>
      <c r="N30" t="s">
        <v>245</v>
      </c>
      <c r="P30" s="2"/>
      <c r="Q30" s="2"/>
      <c r="R30" s="2"/>
      <c r="S30" s="2"/>
      <c r="T30" s="2"/>
      <c r="U30" s="2"/>
      <c r="V30" s="2"/>
      <c r="W30" s="2"/>
      <c r="X30" s="2"/>
    </row>
    <row r="31" spans="2:89" ht="30.75" customHeight="1" thickBot="1">
      <c r="B31" s="2189" t="s">
        <v>246</v>
      </c>
      <c r="C31" s="94" t="s">
        <v>247</v>
      </c>
      <c r="D31" s="95" t="s">
        <v>248</v>
      </c>
      <c r="E31" s="94" t="s">
        <v>249</v>
      </c>
      <c r="F31" s="95" t="s">
        <v>250</v>
      </c>
      <c r="G31" s="94" t="s">
        <v>251</v>
      </c>
      <c r="H31" s="96" t="s">
        <v>252</v>
      </c>
      <c r="I31" s="97" t="s">
        <v>253</v>
      </c>
      <c r="J31" s="98" t="s">
        <v>254</v>
      </c>
      <c r="K31" s="99" t="s">
        <v>255</v>
      </c>
      <c r="L31" s="100"/>
      <c r="N31" s="97" t="s">
        <v>256</v>
      </c>
      <c r="R31" s="2"/>
      <c r="S31" s="2"/>
      <c r="T31" s="2"/>
      <c r="U31" s="2"/>
      <c r="V31" s="2"/>
      <c r="W31" s="2"/>
    </row>
    <row r="32" spans="2:89" ht="15" customHeight="1">
      <c r="B32" s="2189"/>
      <c r="C32" s="101" t="s">
        <v>257</v>
      </c>
      <c r="D32" s="102" t="s">
        <v>258</v>
      </c>
      <c r="E32" s="103" t="s">
        <v>259</v>
      </c>
      <c r="F32" s="104" t="s">
        <v>260</v>
      </c>
      <c r="G32" s="105" t="s">
        <v>259</v>
      </c>
      <c r="H32" s="106" t="s">
        <v>261</v>
      </c>
      <c r="I32" s="107" t="s">
        <v>262</v>
      </c>
      <c r="J32" s="108" t="s">
        <v>263</v>
      </c>
      <c r="K32" s="2190" t="s">
        <v>262</v>
      </c>
      <c r="L32" s="109" t="s">
        <v>263</v>
      </c>
      <c r="N32" s="110" t="s">
        <v>264</v>
      </c>
      <c r="R32" s="2"/>
      <c r="S32" s="2"/>
      <c r="T32" s="2"/>
      <c r="U32" s="2"/>
      <c r="V32" s="2"/>
      <c r="W32" s="2"/>
      <c r="AK32" s="2174"/>
      <c r="AL32" s="2174"/>
      <c r="AM32" s="2174"/>
      <c r="AN32" s="2174"/>
      <c r="AO32" s="2174"/>
      <c r="AP32" s="2174"/>
      <c r="AQ32" s="2174"/>
      <c r="AR32" s="2174"/>
      <c r="AS32" s="2174"/>
      <c r="AT32" s="2174"/>
      <c r="AU32" s="2174"/>
      <c r="AV32" s="2174"/>
      <c r="AW32" s="2174"/>
      <c r="AX32" s="2174"/>
      <c r="AY32" s="2174"/>
      <c r="AZ32" s="2174"/>
      <c r="BA32" s="2174"/>
      <c r="BB32" s="2174"/>
      <c r="BC32" s="2174"/>
      <c r="BD32" s="2174"/>
      <c r="BE32" s="2174"/>
      <c r="BF32" s="2174"/>
      <c r="BP32" s="2174"/>
      <c r="BQ32" s="2174"/>
      <c r="BR32" s="2174"/>
      <c r="BS32" s="2174"/>
      <c r="BT32" s="2174"/>
      <c r="BU32" s="2174"/>
      <c r="BV32" s="2174"/>
      <c r="BW32" s="2174"/>
      <c r="BX32" s="2174"/>
      <c r="BY32" s="2174"/>
      <c r="BZ32" s="2174"/>
      <c r="CA32" s="2174"/>
      <c r="CB32" s="2174"/>
      <c r="CC32" s="2174"/>
      <c r="CD32" s="2174"/>
      <c r="CE32" s="2174"/>
      <c r="CF32" s="2174"/>
      <c r="CG32" s="2174"/>
      <c r="CH32" s="2174"/>
      <c r="CI32" s="2174"/>
      <c r="CJ32" s="2174"/>
      <c r="CK32" s="2174"/>
    </row>
    <row r="33" spans="2:89" ht="15" customHeight="1">
      <c r="B33" s="2189"/>
      <c r="C33" s="111" t="s">
        <v>265</v>
      </c>
      <c r="D33" s="112" t="s">
        <v>266</v>
      </c>
      <c r="E33" s="113" t="s">
        <v>267</v>
      </c>
      <c r="F33" s="113" t="s">
        <v>268</v>
      </c>
      <c r="G33" s="114" t="s">
        <v>267</v>
      </c>
      <c r="H33" s="115" t="s">
        <v>269</v>
      </c>
      <c r="I33" s="116" t="s">
        <v>270</v>
      </c>
      <c r="J33" s="117" t="s">
        <v>271</v>
      </c>
      <c r="K33" s="2191"/>
      <c r="L33" s="118" t="s">
        <v>271</v>
      </c>
      <c r="N33" s="119" t="s">
        <v>272</v>
      </c>
      <c r="R33" s="2"/>
      <c r="S33" s="2"/>
      <c r="T33" s="2"/>
      <c r="U33" s="2"/>
      <c r="V33" s="2"/>
      <c r="W33" s="2"/>
      <c r="AK33" s="2174"/>
      <c r="AL33" s="2174"/>
      <c r="AM33" s="2174"/>
      <c r="AN33" s="2174"/>
      <c r="AO33" s="2174"/>
      <c r="AP33" s="2174"/>
      <c r="AQ33" s="2174"/>
      <c r="AR33" s="2174"/>
      <c r="AS33" s="2174"/>
      <c r="AT33" s="2174"/>
      <c r="AU33" s="2174"/>
      <c r="AV33" s="2174"/>
      <c r="AW33" s="2174"/>
      <c r="AX33" s="2174"/>
      <c r="AY33" s="2174"/>
      <c r="AZ33" s="2174"/>
      <c r="BA33" s="2174"/>
      <c r="BB33" s="2174"/>
      <c r="BC33" s="2174"/>
      <c r="BD33" s="2174"/>
      <c r="BE33" s="2174"/>
      <c r="BF33" s="2174"/>
      <c r="BP33" s="2174"/>
      <c r="BQ33" s="2174"/>
      <c r="BR33" s="2174"/>
      <c r="BS33" s="2174"/>
      <c r="BT33" s="2174"/>
      <c r="BU33" s="2174"/>
      <c r="BV33" s="2174"/>
      <c r="BW33" s="2174"/>
      <c r="BX33" s="2174"/>
      <c r="BY33" s="2174"/>
      <c r="BZ33" s="2174"/>
      <c r="CA33" s="2174"/>
      <c r="CB33" s="2174"/>
      <c r="CC33" s="2174"/>
      <c r="CD33" s="2174"/>
      <c r="CE33" s="2174"/>
      <c r="CF33" s="2174"/>
      <c r="CG33" s="2174"/>
      <c r="CH33" s="2174"/>
      <c r="CI33" s="2174"/>
      <c r="CJ33" s="2174"/>
      <c r="CK33" s="2174"/>
    </row>
    <row r="34" spans="2:89" ht="15.75" customHeight="1">
      <c r="B34" s="2189"/>
      <c r="C34" s="111" t="s">
        <v>273</v>
      </c>
      <c r="D34" s="112" t="s">
        <v>274</v>
      </c>
      <c r="E34" s="120" t="s">
        <v>275</v>
      </c>
      <c r="F34" s="113" t="s">
        <v>276</v>
      </c>
      <c r="G34" s="121" t="s">
        <v>275</v>
      </c>
      <c r="H34" s="115" t="s">
        <v>277</v>
      </c>
      <c r="I34" s="116" t="s">
        <v>40</v>
      </c>
      <c r="J34" s="122" t="s">
        <v>40</v>
      </c>
      <c r="K34" s="2192"/>
      <c r="L34" s="123" t="s">
        <v>40</v>
      </c>
      <c r="N34" s="119" t="s">
        <v>278</v>
      </c>
      <c r="R34" s="2"/>
      <c r="S34" s="2"/>
      <c r="T34" s="2"/>
      <c r="U34" s="2"/>
      <c r="V34" s="2"/>
      <c r="W34" s="2"/>
      <c r="AK34" s="2174"/>
      <c r="AL34" s="2174"/>
      <c r="AM34" s="2174"/>
      <c r="AN34" s="2174"/>
      <c r="AO34" s="2174"/>
      <c r="AP34" s="2174"/>
      <c r="AQ34" s="2174"/>
      <c r="AR34" s="2174"/>
      <c r="AS34" s="2174"/>
      <c r="AT34" s="2174"/>
      <c r="AU34" s="2174"/>
      <c r="AV34" s="2174"/>
      <c r="AW34" s="2174"/>
      <c r="AX34" s="2174"/>
      <c r="AY34" s="2174"/>
      <c r="AZ34" s="2174"/>
      <c r="BA34" s="2174"/>
      <c r="BB34" s="2174"/>
      <c r="BC34" s="2174"/>
      <c r="BD34" s="2174"/>
      <c r="BE34" s="2174"/>
      <c r="BF34" s="2174"/>
      <c r="BP34" s="2174"/>
      <c r="BQ34" s="2174"/>
      <c r="BR34" s="2174"/>
      <c r="BS34" s="2174"/>
      <c r="BT34" s="2174"/>
      <c r="BU34" s="2174"/>
      <c r="BV34" s="2174"/>
      <c r="BW34" s="2174"/>
      <c r="BX34" s="2174"/>
      <c r="BY34" s="2174"/>
      <c r="BZ34" s="2174"/>
      <c r="CA34" s="2174"/>
      <c r="CB34" s="2174"/>
      <c r="CC34" s="2174"/>
      <c r="CD34" s="2174"/>
      <c r="CE34" s="2174"/>
      <c r="CF34" s="2174"/>
      <c r="CG34" s="2174"/>
      <c r="CH34" s="2174"/>
      <c r="CI34" s="2174"/>
      <c r="CJ34" s="2174"/>
      <c r="CK34" s="2174"/>
    </row>
    <row r="35" spans="2:89" ht="15.75" customHeight="1">
      <c r="B35" s="2189"/>
      <c r="C35" s="111" t="s">
        <v>40</v>
      </c>
      <c r="D35" s="112" t="s">
        <v>40</v>
      </c>
      <c r="E35" s="120" t="s">
        <v>279</v>
      </c>
      <c r="F35" s="113" t="s">
        <v>280</v>
      </c>
      <c r="G35" s="121" t="s">
        <v>279</v>
      </c>
      <c r="H35" s="115" t="s">
        <v>281</v>
      </c>
      <c r="I35" s="116" t="s">
        <v>282</v>
      </c>
      <c r="J35" s="124" t="s">
        <v>283</v>
      </c>
      <c r="K35" s="2193" t="s">
        <v>270</v>
      </c>
      <c r="L35" s="125" t="s">
        <v>283</v>
      </c>
      <c r="N35" s="119" t="s">
        <v>284</v>
      </c>
      <c r="R35" s="2"/>
      <c r="S35" s="2"/>
      <c r="T35" s="2"/>
      <c r="U35" s="2"/>
      <c r="V35" s="2"/>
      <c r="W35" s="2"/>
    </row>
    <row r="36" spans="2:89" ht="15" customHeight="1">
      <c r="B36" s="2189"/>
      <c r="C36" s="126"/>
      <c r="D36" s="127"/>
      <c r="E36" s="120" t="s">
        <v>285</v>
      </c>
      <c r="F36" s="113" t="s">
        <v>286</v>
      </c>
      <c r="G36" s="121" t="s">
        <v>287</v>
      </c>
      <c r="H36" s="115" t="s">
        <v>288</v>
      </c>
      <c r="I36" s="116" t="s">
        <v>289</v>
      </c>
      <c r="J36" s="128" t="s">
        <v>290</v>
      </c>
      <c r="K36" s="2191"/>
      <c r="L36" s="118" t="s">
        <v>290</v>
      </c>
      <c r="N36" s="119" t="s">
        <v>291</v>
      </c>
      <c r="R36" s="2"/>
      <c r="S36" s="2"/>
      <c r="T36" s="2"/>
      <c r="U36" s="2"/>
      <c r="V36" s="2"/>
      <c r="W36" s="2"/>
    </row>
    <row r="37" spans="2:89" ht="15" customHeight="1">
      <c r="B37" s="2189"/>
      <c r="C37" s="126"/>
      <c r="D37" s="127"/>
      <c r="E37" s="120" t="s">
        <v>292</v>
      </c>
      <c r="F37" s="113" t="s">
        <v>293</v>
      </c>
      <c r="G37" s="121" t="s">
        <v>285</v>
      </c>
      <c r="H37" s="115" t="s">
        <v>294</v>
      </c>
      <c r="I37" s="116" t="s">
        <v>295</v>
      </c>
      <c r="J37" s="128" t="s">
        <v>296</v>
      </c>
      <c r="K37" s="2191"/>
      <c r="L37" s="118" t="s">
        <v>296</v>
      </c>
      <c r="N37" s="119" t="s">
        <v>297</v>
      </c>
      <c r="U37" s="2"/>
      <c r="V37" s="2"/>
      <c r="W37" s="2"/>
    </row>
    <row r="38" spans="2:89" ht="15" customHeight="1">
      <c r="B38" s="2189"/>
      <c r="C38" s="126"/>
      <c r="D38" s="127"/>
      <c r="E38" s="120" t="s">
        <v>298</v>
      </c>
      <c r="F38" s="113" t="s">
        <v>299</v>
      </c>
      <c r="G38" s="121" t="s">
        <v>292</v>
      </c>
      <c r="H38" s="115" t="s">
        <v>300</v>
      </c>
      <c r="I38" s="116" t="s">
        <v>301</v>
      </c>
      <c r="J38" s="128" t="s">
        <v>265</v>
      </c>
      <c r="K38" s="2191"/>
      <c r="L38" s="118" t="s">
        <v>265</v>
      </c>
      <c r="N38" s="119" t="s">
        <v>302</v>
      </c>
      <c r="R38" s="2"/>
      <c r="S38" s="2"/>
      <c r="T38" s="2"/>
      <c r="U38" s="2"/>
      <c r="V38" s="2"/>
      <c r="W38" s="2"/>
    </row>
    <row r="39" spans="2:89" ht="15.75" customHeight="1">
      <c r="B39" s="2189"/>
      <c r="C39" s="126"/>
      <c r="D39" s="127"/>
      <c r="E39" s="129"/>
      <c r="F39" s="113" t="s">
        <v>303</v>
      </c>
      <c r="G39" s="121" t="s">
        <v>298</v>
      </c>
      <c r="H39" s="115" t="s">
        <v>304</v>
      </c>
      <c r="I39" s="116" t="s">
        <v>305</v>
      </c>
      <c r="J39" s="130" t="s">
        <v>306</v>
      </c>
      <c r="K39" s="2192"/>
      <c r="L39" s="123" t="s">
        <v>306</v>
      </c>
      <c r="N39" s="119" t="s">
        <v>307</v>
      </c>
      <c r="R39" s="2"/>
      <c r="S39" s="2"/>
      <c r="T39" s="2"/>
      <c r="U39" s="2"/>
      <c r="V39" s="2"/>
      <c r="W39" s="2"/>
    </row>
    <row r="40" spans="2:89" ht="15" customHeight="1">
      <c r="B40" s="2189"/>
      <c r="C40" s="126"/>
      <c r="D40" s="127"/>
      <c r="E40" s="129"/>
      <c r="F40" s="113" t="s">
        <v>308</v>
      </c>
      <c r="G40" s="131"/>
      <c r="H40" s="115" t="s">
        <v>309</v>
      </c>
      <c r="I40" s="116" t="s">
        <v>281</v>
      </c>
      <c r="J40" s="132" t="s">
        <v>310</v>
      </c>
      <c r="K40" s="133" t="s">
        <v>40</v>
      </c>
      <c r="L40" s="134" t="s">
        <v>310</v>
      </c>
      <c r="N40" s="119" t="s">
        <v>311</v>
      </c>
      <c r="R40" s="2"/>
      <c r="S40" s="2"/>
      <c r="T40" s="2"/>
      <c r="U40" s="2"/>
      <c r="V40" s="2"/>
      <c r="W40" s="2"/>
    </row>
    <row r="41" spans="2:89" ht="15.75" customHeight="1">
      <c r="B41" s="2189"/>
      <c r="C41" s="126"/>
      <c r="D41" s="135"/>
      <c r="E41" s="129"/>
      <c r="F41" s="113" t="s">
        <v>312</v>
      </c>
      <c r="G41" s="131"/>
      <c r="H41" s="115" t="s">
        <v>40</v>
      </c>
      <c r="I41" s="116" t="s">
        <v>261</v>
      </c>
      <c r="J41" s="136" t="s">
        <v>313</v>
      </c>
      <c r="K41" s="137" t="s">
        <v>282</v>
      </c>
      <c r="L41" s="138"/>
      <c r="N41" s="119" t="s">
        <v>314</v>
      </c>
      <c r="R41" s="2"/>
      <c r="S41" s="2"/>
      <c r="T41" s="2"/>
      <c r="U41" s="2"/>
      <c r="V41" s="2"/>
      <c r="W41" s="2"/>
    </row>
    <row r="42" spans="2:89" ht="15.75" customHeight="1" thickBot="1">
      <c r="B42" s="2189"/>
      <c r="C42" s="126"/>
      <c r="D42" s="135"/>
      <c r="E42" s="129"/>
      <c r="F42" s="113" t="s">
        <v>315</v>
      </c>
      <c r="G42" s="131"/>
      <c r="H42" s="126"/>
      <c r="I42" s="116" t="s">
        <v>316</v>
      </c>
      <c r="J42" s="117" t="s">
        <v>317</v>
      </c>
      <c r="K42" s="137" t="s">
        <v>289</v>
      </c>
      <c r="L42" s="138"/>
      <c r="N42" s="119" t="s">
        <v>40</v>
      </c>
      <c r="R42" s="2"/>
      <c r="S42" s="2"/>
      <c r="T42" s="2"/>
      <c r="U42" s="2"/>
      <c r="V42" s="2"/>
      <c r="W42" s="2"/>
    </row>
    <row r="43" spans="2:89" ht="15" customHeight="1">
      <c r="B43" s="2189"/>
      <c r="C43" s="126"/>
      <c r="D43" s="135"/>
      <c r="E43" s="129"/>
      <c r="F43" s="113" t="s">
        <v>318</v>
      </c>
      <c r="G43" s="131"/>
      <c r="H43" s="126"/>
      <c r="I43" s="116" t="s">
        <v>319</v>
      </c>
      <c r="J43" s="139" t="s">
        <v>320</v>
      </c>
      <c r="K43" s="2193" t="s">
        <v>295</v>
      </c>
      <c r="L43" s="140" t="s">
        <v>313</v>
      </c>
      <c r="N43" s="127"/>
      <c r="R43" s="2"/>
      <c r="S43" s="2"/>
      <c r="T43" s="2"/>
      <c r="U43" s="2"/>
      <c r="V43" s="2"/>
      <c r="W43" s="2"/>
    </row>
    <row r="44" spans="2:89" ht="15.75" customHeight="1">
      <c r="B44" s="2189"/>
      <c r="C44" s="126"/>
      <c r="D44" s="135"/>
      <c r="E44" s="129"/>
      <c r="F44" s="113" t="s">
        <v>40</v>
      </c>
      <c r="G44" s="131"/>
      <c r="H44" s="126"/>
      <c r="I44" s="116" t="s">
        <v>321</v>
      </c>
      <c r="J44" s="128" t="s">
        <v>40</v>
      </c>
      <c r="K44" s="2192"/>
      <c r="L44" s="141" t="s">
        <v>317</v>
      </c>
      <c r="N44" s="127"/>
      <c r="R44" s="2"/>
      <c r="S44" s="2"/>
      <c r="T44" s="2"/>
      <c r="U44" s="2"/>
      <c r="V44" s="2"/>
      <c r="W44" s="2"/>
    </row>
    <row r="45" spans="2:89">
      <c r="B45" s="2189"/>
      <c r="C45" s="126"/>
      <c r="D45" s="127"/>
      <c r="E45" s="127"/>
      <c r="F45" s="127"/>
      <c r="G45" s="131"/>
      <c r="H45" s="126"/>
      <c r="I45" s="116" t="s">
        <v>322</v>
      </c>
      <c r="J45" s="128" t="s">
        <v>323</v>
      </c>
      <c r="K45" s="142" t="s">
        <v>301</v>
      </c>
      <c r="L45" s="143" t="s">
        <v>320</v>
      </c>
      <c r="N45" s="127"/>
    </row>
    <row r="46" spans="2:89">
      <c r="B46" s="2189"/>
      <c r="C46" s="126"/>
      <c r="D46" s="127"/>
      <c r="E46" s="127"/>
      <c r="F46" s="127"/>
      <c r="G46" s="131"/>
      <c r="H46" s="126"/>
      <c r="I46" s="116" t="s">
        <v>324</v>
      </c>
      <c r="J46" s="128" t="s">
        <v>325</v>
      </c>
      <c r="K46" s="142"/>
      <c r="L46" s="144" t="s">
        <v>40</v>
      </c>
      <c r="N46" s="127"/>
    </row>
    <row r="47" spans="2:89">
      <c r="B47" s="2189"/>
      <c r="C47" s="126"/>
      <c r="D47" s="127"/>
      <c r="E47" s="127"/>
      <c r="F47" s="127"/>
      <c r="G47" s="131"/>
      <c r="H47" s="126"/>
      <c r="I47" s="116" t="s">
        <v>326</v>
      </c>
      <c r="J47" s="117" t="s">
        <v>327</v>
      </c>
      <c r="K47" s="142"/>
      <c r="L47" s="144" t="s">
        <v>323</v>
      </c>
      <c r="N47" s="127"/>
    </row>
    <row r="48" spans="2:89">
      <c r="B48" s="2189"/>
      <c r="C48" s="126"/>
      <c r="D48" s="127"/>
      <c r="E48" s="127"/>
      <c r="F48" s="127"/>
      <c r="G48" s="131"/>
      <c r="H48" s="126"/>
      <c r="I48" s="127"/>
      <c r="J48" s="132" t="s">
        <v>305</v>
      </c>
      <c r="K48" s="142"/>
      <c r="L48" s="144" t="s">
        <v>325</v>
      </c>
      <c r="N48" s="127"/>
    </row>
    <row r="49" spans="2:23">
      <c r="B49" s="2189"/>
      <c r="C49" s="126"/>
      <c r="D49" s="127"/>
      <c r="E49" s="127"/>
      <c r="F49" s="127"/>
      <c r="G49" s="131"/>
      <c r="H49" s="126"/>
      <c r="I49" s="127"/>
      <c r="J49" s="136" t="s">
        <v>328</v>
      </c>
      <c r="K49" s="133"/>
      <c r="L49" s="141" t="s">
        <v>327</v>
      </c>
      <c r="N49" s="127"/>
    </row>
    <row r="50" spans="2:23">
      <c r="B50" s="2189"/>
      <c r="C50" s="126"/>
      <c r="D50" s="127"/>
      <c r="E50" s="127"/>
      <c r="F50" s="127"/>
      <c r="G50" s="131"/>
      <c r="H50" s="126"/>
      <c r="I50" s="127"/>
      <c r="J50" s="128" t="s">
        <v>329</v>
      </c>
      <c r="K50" s="133" t="s">
        <v>305</v>
      </c>
      <c r="L50" s="145" t="s">
        <v>305</v>
      </c>
      <c r="N50" s="127"/>
    </row>
    <row r="51" spans="2:23">
      <c r="B51" s="2189"/>
      <c r="C51" s="126"/>
      <c r="D51" s="127"/>
      <c r="E51" s="127"/>
      <c r="F51" s="127"/>
      <c r="G51" s="131"/>
      <c r="H51" s="126"/>
      <c r="I51" s="146"/>
      <c r="J51" s="128" t="s">
        <v>330</v>
      </c>
      <c r="K51" s="147" t="s">
        <v>281</v>
      </c>
      <c r="L51" s="148" t="s">
        <v>328</v>
      </c>
      <c r="N51" s="146"/>
      <c r="Q51" s="2"/>
      <c r="R51" s="2"/>
      <c r="S51" s="2"/>
      <c r="T51" s="2"/>
      <c r="U51" s="2"/>
      <c r="V51" s="2"/>
    </row>
    <row r="52" spans="2:23">
      <c r="B52" s="2189"/>
      <c r="C52" s="126"/>
      <c r="D52" s="127"/>
      <c r="E52" s="127"/>
      <c r="F52" s="127"/>
      <c r="G52" s="131"/>
      <c r="H52" s="126"/>
      <c r="I52" s="146"/>
      <c r="J52" s="128" t="s">
        <v>331</v>
      </c>
      <c r="K52" s="147"/>
      <c r="L52" s="144" t="s">
        <v>329</v>
      </c>
      <c r="N52" s="146"/>
      <c r="Q52" s="2"/>
      <c r="R52" s="2"/>
      <c r="S52" s="2"/>
      <c r="T52" s="2"/>
      <c r="U52" s="2"/>
      <c r="V52" s="2"/>
    </row>
    <row r="53" spans="2:23">
      <c r="B53" s="2189"/>
      <c r="C53" s="126"/>
      <c r="D53" s="127"/>
      <c r="E53" s="127"/>
      <c r="F53" s="127"/>
      <c r="G53" s="131"/>
      <c r="H53" s="126"/>
      <c r="I53" s="146"/>
      <c r="J53" s="149"/>
      <c r="K53" s="147"/>
      <c r="L53" s="144" t="s">
        <v>330</v>
      </c>
      <c r="N53" s="146"/>
      <c r="Q53" s="2"/>
      <c r="R53" s="2"/>
      <c r="S53" s="2"/>
      <c r="T53" s="2"/>
      <c r="U53" s="2"/>
      <c r="V53" s="2"/>
    </row>
    <row r="54" spans="2:23" ht="15" thickBot="1">
      <c r="B54" s="2189"/>
      <c r="C54" s="150"/>
      <c r="D54" s="151"/>
      <c r="E54" s="151"/>
      <c r="F54" s="151"/>
      <c r="G54" s="152"/>
      <c r="H54" s="150"/>
      <c r="I54" s="153"/>
      <c r="J54" s="154"/>
      <c r="K54" s="155"/>
      <c r="L54" s="141" t="s">
        <v>331</v>
      </c>
      <c r="N54" s="153"/>
      <c r="Q54" s="2"/>
      <c r="R54" s="2"/>
      <c r="S54" s="2"/>
      <c r="T54" s="2"/>
      <c r="U54" s="2"/>
      <c r="V54" s="2"/>
    </row>
    <row r="55" spans="2:23">
      <c r="I55" s="2"/>
      <c r="K55" s="133" t="s">
        <v>261</v>
      </c>
      <c r="L55" s="138"/>
      <c r="Q55" s="2"/>
      <c r="R55" s="2"/>
      <c r="S55" s="2"/>
      <c r="T55" s="2"/>
      <c r="U55" s="2"/>
      <c r="V55" s="2"/>
    </row>
    <row r="56" spans="2:23">
      <c r="I56" s="2"/>
      <c r="K56" s="156" t="s">
        <v>316</v>
      </c>
      <c r="L56" s="138"/>
      <c r="Q56" s="2"/>
      <c r="R56" s="2"/>
      <c r="S56" s="2"/>
      <c r="T56" s="2"/>
      <c r="U56" s="2"/>
      <c r="V56" s="2"/>
    </row>
    <row r="57" spans="2:23" ht="15.75" customHeight="1">
      <c r="I57" s="2"/>
      <c r="K57" s="157" t="s">
        <v>319</v>
      </c>
      <c r="L57" s="138"/>
      <c r="Q57" s="2"/>
      <c r="R57" s="2"/>
      <c r="S57" s="2"/>
      <c r="T57" s="2"/>
      <c r="U57" s="2"/>
      <c r="V57" s="2"/>
    </row>
    <row r="58" spans="2:23">
      <c r="I58" s="2"/>
      <c r="K58" s="157" t="s">
        <v>321</v>
      </c>
      <c r="L58" s="138"/>
      <c r="Q58" s="2"/>
      <c r="R58" s="2"/>
      <c r="S58" s="2"/>
      <c r="T58" s="2"/>
      <c r="U58" s="2"/>
      <c r="V58" s="2"/>
    </row>
    <row r="59" spans="2:23">
      <c r="I59" s="2"/>
      <c r="K59" s="157" t="s">
        <v>322</v>
      </c>
      <c r="L59" s="138"/>
      <c r="Q59" s="2"/>
      <c r="R59" s="2"/>
      <c r="S59" s="2"/>
      <c r="T59" s="2"/>
      <c r="U59" s="2"/>
      <c r="V59" s="2"/>
    </row>
    <row r="60" spans="2:23">
      <c r="I60" s="2"/>
      <c r="K60" s="157" t="s">
        <v>324</v>
      </c>
      <c r="L60" s="138"/>
      <c r="Q60" s="2"/>
      <c r="R60" s="2"/>
      <c r="S60" s="2"/>
      <c r="T60" s="2"/>
      <c r="U60" s="2"/>
      <c r="V60" s="2"/>
    </row>
    <row r="61" spans="2:23" ht="15" thickBot="1">
      <c r="I61" s="2"/>
      <c r="K61" s="158" t="s">
        <v>326</v>
      </c>
      <c r="L61" s="159"/>
      <c r="Q61" s="2"/>
      <c r="R61" s="2"/>
      <c r="S61" s="2"/>
      <c r="T61" s="2"/>
      <c r="U61" s="2"/>
      <c r="V61" s="2"/>
    </row>
    <row r="62" spans="2:23">
      <c r="I62" s="2"/>
      <c r="J62" s="2"/>
      <c r="K62" s="2"/>
      <c r="R62" s="2"/>
      <c r="S62" s="2"/>
      <c r="T62" s="2"/>
      <c r="U62" s="2"/>
      <c r="V62" s="2"/>
      <c r="W62" s="2"/>
    </row>
    <row r="63" spans="2:23" ht="29" thickBot="1">
      <c r="B63" s="92"/>
      <c r="K63" s="4"/>
      <c r="L63" s="90"/>
      <c r="O63" s="2"/>
      <c r="P63" s="2"/>
      <c r="Q63" s="2"/>
      <c r="R63" s="2"/>
      <c r="S63" s="2"/>
      <c r="T63" s="2"/>
      <c r="U63" s="2"/>
      <c r="V63" s="2"/>
      <c r="W63" s="2"/>
    </row>
    <row r="64" spans="2:23" ht="28.5" thickBot="1">
      <c r="B64" s="2194" t="s">
        <v>332</v>
      </c>
      <c r="C64" s="94" t="s">
        <v>333</v>
      </c>
      <c r="D64" s="95" t="s">
        <v>334</v>
      </c>
      <c r="E64" s="94" t="s">
        <v>335</v>
      </c>
      <c r="F64" s="95" t="s">
        <v>336</v>
      </c>
      <c r="G64" s="94" t="s">
        <v>337</v>
      </c>
      <c r="J64" s="4"/>
      <c r="K64" s="4"/>
      <c r="L64" s="90"/>
      <c r="O64" s="2"/>
      <c r="P64" s="2"/>
      <c r="Q64" s="2"/>
      <c r="R64" s="2"/>
      <c r="S64" s="2"/>
      <c r="T64" s="2"/>
      <c r="U64" s="2"/>
      <c r="V64" s="2"/>
      <c r="W64" s="2"/>
    </row>
    <row r="65" spans="2:7">
      <c r="B65" s="2189"/>
      <c r="C65" s="101" t="s">
        <v>338</v>
      </c>
      <c r="D65" s="102" t="s">
        <v>258</v>
      </c>
      <c r="E65" s="103" t="s">
        <v>259</v>
      </c>
      <c r="F65" s="104" t="s">
        <v>260</v>
      </c>
      <c r="G65" s="160" t="s">
        <v>259</v>
      </c>
    </row>
    <row r="66" spans="2:7">
      <c r="B66" s="2189"/>
      <c r="C66" s="111" t="s">
        <v>273</v>
      </c>
      <c r="D66" s="112" t="s">
        <v>339</v>
      </c>
      <c r="E66" s="113" t="s">
        <v>267</v>
      </c>
      <c r="F66" s="113" t="s">
        <v>268</v>
      </c>
      <c r="G66" s="161" t="s">
        <v>267</v>
      </c>
    </row>
    <row r="67" spans="2:7">
      <c r="B67" s="2189"/>
      <c r="C67" s="111" t="s">
        <v>340</v>
      </c>
      <c r="D67" s="112" t="s">
        <v>341</v>
      </c>
      <c r="E67" s="120" t="s">
        <v>275</v>
      </c>
      <c r="F67" s="113" t="s">
        <v>276</v>
      </c>
      <c r="G67" s="162" t="s">
        <v>275</v>
      </c>
    </row>
    <row r="68" spans="2:7">
      <c r="B68" s="2189"/>
      <c r="C68" s="111" t="s">
        <v>40</v>
      </c>
      <c r="D68" s="112" t="s">
        <v>40</v>
      </c>
      <c r="E68" s="120" t="s">
        <v>279</v>
      </c>
      <c r="F68" s="113" t="s">
        <v>280</v>
      </c>
      <c r="G68" s="162" t="s">
        <v>279</v>
      </c>
    </row>
    <row r="69" spans="2:7">
      <c r="B69" s="2189"/>
      <c r="C69" s="126"/>
      <c r="D69" s="127"/>
      <c r="E69" s="120" t="s">
        <v>342</v>
      </c>
      <c r="F69" s="113" t="s">
        <v>286</v>
      </c>
      <c r="G69" s="162" t="s">
        <v>287</v>
      </c>
    </row>
    <row r="70" spans="2:7">
      <c r="B70" s="2189"/>
      <c r="C70" s="126"/>
      <c r="D70" s="127"/>
      <c r="E70" s="120" t="s">
        <v>285</v>
      </c>
      <c r="F70" s="113" t="s">
        <v>293</v>
      </c>
      <c r="G70" s="162" t="s">
        <v>285</v>
      </c>
    </row>
    <row r="71" spans="2:7">
      <c r="B71" s="2189"/>
      <c r="C71" s="126"/>
      <c r="D71" s="127"/>
      <c r="E71" s="120" t="s">
        <v>292</v>
      </c>
      <c r="F71" s="113" t="s">
        <v>299</v>
      </c>
      <c r="G71" s="162" t="s">
        <v>292</v>
      </c>
    </row>
    <row r="72" spans="2:7">
      <c r="B72" s="2189"/>
      <c r="C72" s="126"/>
      <c r="D72" s="127"/>
      <c r="E72" s="120" t="s">
        <v>298</v>
      </c>
      <c r="F72" s="113" t="s">
        <v>303</v>
      </c>
      <c r="G72" s="162" t="s">
        <v>298</v>
      </c>
    </row>
    <row r="73" spans="2:7">
      <c r="B73" s="2189"/>
      <c r="C73" s="126"/>
      <c r="D73" s="127"/>
      <c r="E73" s="127"/>
      <c r="F73" s="113" t="s">
        <v>308</v>
      </c>
      <c r="G73" s="163"/>
    </row>
    <row r="74" spans="2:7">
      <c r="B74" s="2189"/>
      <c r="C74" s="126"/>
      <c r="D74" s="127"/>
      <c r="E74" s="127"/>
      <c r="F74" s="113" t="s">
        <v>312</v>
      </c>
      <c r="G74" s="163"/>
    </row>
    <row r="75" spans="2:7">
      <c r="B75" s="2189"/>
      <c r="C75" s="126"/>
      <c r="D75" s="127"/>
      <c r="E75" s="127"/>
      <c r="F75" s="113" t="s">
        <v>315</v>
      </c>
      <c r="G75" s="163"/>
    </row>
    <row r="76" spans="2:7">
      <c r="B76" s="2189"/>
      <c r="C76" s="126"/>
      <c r="D76" s="127"/>
      <c r="E76" s="127"/>
      <c r="F76" s="113" t="s">
        <v>318</v>
      </c>
      <c r="G76" s="163"/>
    </row>
    <row r="77" spans="2:7" ht="15" thickBot="1">
      <c r="B77" s="2189"/>
      <c r="C77" s="150"/>
      <c r="D77" s="151"/>
      <c r="E77" s="151"/>
      <c r="F77" s="164" t="s">
        <v>40</v>
      </c>
      <c r="G77" s="165"/>
    </row>
    <row r="80" spans="2:7" ht="28.5">
      <c r="B80" s="92"/>
    </row>
    <row r="81" spans="2:22" ht="31">
      <c r="B81" s="166" t="s">
        <v>343</v>
      </c>
      <c r="C81" s="167"/>
      <c r="D81" s="167"/>
      <c r="E81" s="167"/>
      <c r="F81" s="167"/>
      <c r="G81" s="167"/>
      <c r="H81" s="167"/>
      <c r="I81" s="167"/>
      <c r="J81" s="167"/>
      <c r="K81" s="167"/>
      <c r="L81" s="167"/>
      <c r="M81" s="167"/>
      <c r="N81" s="167"/>
      <c r="O81" s="167"/>
    </row>
    <row r="82" spans="2:22" ht="30.75" customHeight="1" thickBot="1">
      <c r="B82" s="92"/>
      <c r="C82" s="2"/>
      <c r="D82" s="168"/>
      <c r="E82" s="168"/>
      <c r="F82" s="168"/>
      <c r="G82" s="168"/>
      <c r="H82" s="2"/>
      <c r="I82" s="2"/>
      <c r="J82" s="2"/>
      <c r="K82" s="2"/>
      <c r="L82" s="2"/>
      <c r="V82" s="2"/>
    </row>
    <row r="83" spans="2:22" s="174" customFormat="1" ht="42" customHeight="1" thickBot="1">
      <c r="B83" s="2194" t="s">
        <v>344</v>
      </c>
      <c r="C83" s="169" t="s">
        <v>345</v>
      </c>
      <c r="D83" s="170" t="s">
        <v>346</v>
      </c>
      <c r="E83" s="171" t="s">
        <v>347</v>
      </c>
      <c r="F83" s="170" t="s">
        <v>348</v>
      </c>
      <c r="G83" s="170" t="s">
        <v>349</v>
      </c>
      <c r="H83" s="170" t="s">
        <v>350</v>
      </c>
      <c r="I83" s="170" t="s">
        <v>351</v>
      </c>
      <c r="J83" s="170" t="s">
        <v>352</v>
      </c>
      <c r="K83" s="172" t="s">
        <v>353</v>
      </c>
      <c r="L83" s="173" t="s">
        <v>354</v>
      </c>
      <c r="M83" s="170" t="s">
        <v>355</v>
      </c>
      <c r="N83" s="170" t="s">
        <v>356</v>
      </c>
      <c r="O83" s="170" t="s">
        <v>357</v>
      </c>
      <c r="V83" s="175"/>
    </row>
    <row r="84" spans="2:22" ht="15" customHeight="1">
      <c r="B84" s="2189"/>
      <c r="C84" s="176" t="s">
        <v>358</v>
      </c>
      <c r="D84" s="177" t="s">
        <v>359</v>
      </c>
      <c r="E84" s="177" t="s">
        <v>359</v>
      </c>
      <c r="F84" s="177" t="s">
        <v>359</v>
      </c>
      <c r="G84" s="177" t="s">
        <v>359</v>
      </c>
      <c r="H84" s="178" t="s">
        <v>45</v>
      </c>
      <c r="I84" s="178" t="s">
        <v>45</v>
      </c>
      <c r="J84" s="178" t="s">
        <v>48</v>
      </c>
      <c r="K84" s="179" t="s">
        <v>359</v>
      </c>
      <c r="L84" s="180" t="s">
        <v>360</v>
      </c>
      <c r="M84" s="181" t="s">
        <v>46</v>
      </c>
      <c r="N84" s="178" t="s">
        <v>46</v>
      </c>
      <c r="O84" s="182" t="s">
        <v>361</v>
      </c>
      <c r="V84" s="2"/>
    </row>
    <row r="85" spans="2:22" ht="15" customHeight="1">
      <c r="B85" s="2189"/>
      <c r="C85" s="183" t="s">
        <v>358</v>
      </c>
      <c r="D85" s="184" t="s">
        <v>359</v>
      </c>
      <c r="E85" s="184" t="s">
        <v>359</v>
      </c>
      <c r="F85" s="184" t="s">
        <v>359</v>
      </c>
      <c r="G85" s="184" t="s">
        <v>359</v>
      </c>
      <c r="H85" s="185" t="s">
        <v>359</v>
      </c>
      <c r="I85" s="185" t="s">
        <v>359</v>
      </c>
      <c r="J85" s="185" t="s">
        <v>49</v>
      </c>
      <c r="K85" s="186" t="s">
        <v>359</v>
      </c>
      <c r="L85" s="187" t="s">
        <v>359</v>
      </c>
      <c r="M85" s="188" t="s">
        <v>46</v>
      </c>
      <c r="N85" s="185" t="s">
        <v>46</v>
      </c>
      <c r="O85" s="189" t="s">
        <v>46</v>
      </c>
      <c r="V85" s="2"/>
    </row>
    <row r="86" spans="2:22" ht="15" customHeight="1">
      <c r="B86" s="2189"/>
      <c r="C86" s="183" t="s">
        <v>358</v>
      </c>
      <c r="D86" s="184" t="s">
        <v>362</v>
      </c>
      <c r="E86" s="184" t="s">
        <v>362</v>
      </c>
      <c r="F86" s="184" t="s">
        <v>362</v>
      </c>
      <c r="G86" s="184" t="s">
        <v>362</v>
      </c>
      <c r="H86" s="185" t="s">
        <v>45</v>
      </c>
      <c r="I86" s="185" t="s">
        <v>45</v>
      </c>
      <c r="J86" s="185" t="s">
        <v>50</v>
      </c>
      <c r="K86" s="186" t="s">
        <v>359</v>
      </c>
      <c r="L86" s="187" t="s">
        <v>363</v>
      </c>
      <c r="M86" s="188" t="s">
        <v>46</v>
      </c>
      <c r="N86" s="185" t="s">
        <v>46</v>
      </c>
      <c r="O86" s="189" t="s">
        <v>46</v>
      </c>
      <c r="V86" s="2"/>
    </row>
    <row r="87" spans="2:22" ht="15" customHeight="1">
      <c r="B87" s="2189"/>
      <c r="C87" s="183" t="s">
        <v>358</v>
      </c>
      <c r="D87" s="184" t="s">
        <v>359</v>
      </c>
      <c r="E87" s="184" t="s">
        <v>359</v>
      </c>
      <c r="F87" s="184" t="s">
        <v>359</v>
      </c>
      <c r="G87" s="184" t="s">
        <v>359</v>
      </c>
      <c r="H87" s="185" t="s">
        <v>45</v>
      </c>
      <c r="I87" s="185" t="s">
        <v>45</v>
      </c>
      <c r="J87" s="185" t="s">
        <v>52</v>
      </c>
      <c r="K87" s="186" t="s">
        <v>363</v>
      </c>
      <c r="L87" s="187" t="s">
        <v>359</v>
      </c>
      <c r="M87" s="188" t="s">
        <v>45</v>
      </c>
      <c r="N87" s="185" t="s">
        <v>46</v>
      </c>
      <c r="O87" s="190"/>
      <c r="V87" s="2"/>
    </row>
    <row r="88" spans="2:22" ht="15" customHeight="1">
      <c r="B88" s="2189"/>
      <c r="C88" s="183" t="s">
        <v>364</v>
      </c>
      <c r="D88" s="184" t="s">
        <v>365</v>
      </c>
      <c r="E88" s="184" t="s">
        <v>365</v>
      </c>
      <c r="F88" s="184" t="s">
        <v>365</v>
      </c>
      <c r="G88" s="184" t="s">
        <v>365</v>
      </c>
      <c r="H88" s="185" t="s">
        <v>359</v>
      </c>
      <c r="I88" s="185" t="s">
        <v>359</v>
      </c>
      <c r="J88" s="185" t="s">
        <v>51</v>
      </c>
      <c r="K88" s="191"/>
      <c r="L88" s="192"/>
      <c r="M88" s="193"/>
      <c r="N88" s="194"/>
      <c r="O88" s="190"/>
      <c r="V88" s="2"/>
    </row>
    <row r="89" spans="2:22" ht="15" customHeight="1">
      <c r="B89" s="2189"/>
      <c r="C89" s="183" t="s">
        <v>364</v>
      </c>
      <c r="D89" s="184" t="s">
        <v>366</v>
      </c>
      <c r="E89" s="184" t="s">
        <v>366</v>
      </c>
      <c r="F89" s="184" t="s">
        <v>366</v>
      </c>
      <c r="G89" s="184" t="s">
        <v>366</v>
      </c>
      <c r="H89" s="185" t="s">
        <v>55</v>
      </c>
      <c r="I89" s="185" t="s">
        <v>55</v>
      </c>
      <c r="J89" s="185" t="s">
        <v>54</v>
      </c>
      <c r="K89" s="191"/>
      <c r="L89" s="192"/>
      <c r="M89" s="193"/>
      <c r="N89" s="194"/>
      <c r="O89" s="190"/>
      <c r="V89" s="2"/>
    </row>
    <row r="90" spans="2:22" ht="15" customHeight="1">
      <c r="B90" s="2189"/>
      <c r="C90" s="183" t="s">
        <v>364</v>
      </c>
      <c r="D90" s="184" t="s">
        <v>365</v>
      </c>
      <c r="E90" s="184" t="s">
        <v>365</v>
      </c>
      <c r="F90" s="184" t="s">
        <v>365</v>
      </c>
      <c r="G90" s="184" t="s">
        <v>365</v>
      </c>
      <c r="H90" s="195"/>
      <c r="I90" s="195"/>
      <c r="J90" s="195"/>
      <c r="K90" s="191"/>
      <c r="L90" s="192"/>
      <c r="M90" s="193"/>
      <c r="N90" s="194"/>
      <c r="O90" s="190"/>
      <c r="V90" s="2"/>
    </row>
    <row r="91" spans="2:22" ht="15.75" customHeight="1">
      <c r="B91" s="2189"/>
      <c r="C91" s="196"/>
      <c r="D91" s="184" t="s">
        <v>366</v>
      </c>
      <c r="E91" s="184" t="s">
        <v>366</v>
      </c>
      <c r="F91" s="184" t="s">
        <v>366</v>
      </c>
      <c r="G91" s="184" t="s">
        <v>366</v>
      </c>
      <c r="H91" s="195"/>
      <c r="I91" s="195"/>
      <c r="J91" s="195"/>
      <c r="K91" s="191"/>
      <c r="L91" s="192"/>
      <c r="M91" s="193"/>
      <c r="N91" s="194"/>
      <c r="O91" s="190"/>
      <c r="V91" s="2"/>
    </row>
    <row r="92" spans="2:22" ht="15" customHeight="1">
      <c r="B92" s="2189"/>
      <c r="C92" s="196"/>
      <c r="D92" s="184" t="s">
        <v>365</v>
      </c>
      <c r="E92" s="184" t="s">
        <v>365</v>
      </c>
      <c r="F92" s="184" t="s">
        <v>365</v>
      </c>
      <c r="G92" s="184" t="s">
        <v>365</v>
      </c>
      <c r="H92" s="195"/>
      <c r="I92" s="195"/>
      <c r="J92" s="195"/>
      <c r="K92" s="191"/>
      <c r="L92" s="192"/>
      <c r="M92" s="193"/>
      <c r="N92" s="194"/>
      <c r="O92" s="190"/>
      <c r="V92" s="2"/>
    </row>
    <row r="93" spans="2:22" ht="15" customHeight="1">
      <c r="B93" s="2189"/>
      <c r="C93" s="196"/>
      <c r="D93" s="184" t="s">
        <v>359</v>
      </c>
      <c r="E93" s="195"/>
      <c r="F93" s="184" t="s">
        <v>363</v>
      </c>
      <c r="G93" s="195"/>
      <c r="H93" s="195"/>
      <c r="I93" s="195"/>
      <c r="J93" s="195"/>
      <c r="K93" s="191"/>
      <c r="L93" s="192"/>
      <c r="M93" s="193"/>
      <c r="N93" s="194"/>
      <c r="O93" s="190"/>
      <c r="V93" s="2"/>
    </row>
    <row r="94" spans="2:22" ht="15" customHeight="1">
      <c r="B94" s="2189"/>
      <c r="C94" s="196"/>
      <c r="D94" s="184" t="s">
        <v>359</v>
      </c>
      <c r="E94" s="195"/>
      <c r="F94" s="195"/>
      <c r="G94" s="195"/>
      <c r="H94" s="195"/>
      <c r="I94" s="195"/>
      <c r="J94" s="195"/>
      <c r="K94" s="191"/>
      <c r="L94" s="192"/>
      <c r="M94" s="193"/>
      <c r="N94" s="194"/>
      <c r="O94" s="190"/>
      <c r="V94" s="2"/>
    </row>
    <row r="95" spans="2:22" ht="15" customHeight="1">
      <c r="B95" s="2189"/>
      <c r="C95" s="196"/>
      <c r="D95" s="184" t="s">
        <v>359</v>
      </c>
      <c r="E95" s="195"/>
      <c r="F95" s="195"/>
      <c r="G95" s="195"/>
      <c r="H95" s="195"/>
      <c r="I95" s="195"/>
      <c r="J95" s="195"/>
      <c r="K95" s="191"/>
      <c r="L95" s="192"/>
      <c r="M95" s="193"/>
      <c r="N95" s="194"/>
      <c r="O95" s="190"/>
      <c r="V95" s="2"/>
    </row>
    <row r="96" spans="2:22" ht="15" thickBot="1">
      <c r="B96" s="2189"/>
      <c r="C96" s="197"/>
      <c r="D96" s="198" t="s">
        <v>363</v>
      </c>
      <c r="E96" s="199"/>
      <c r="F96" s="199"/>
      <c r="G96" s="199"/>
      <c r="H96" s="199"/>
      <c r="I96" s="199"/>
      <c r="J96" s="199"/>
      <c r="K96" s="200"/>
      <c r="L96" s="201"/>
      <c r="M96" s="202"/>
      <c r="N96" s="203"/>
      <c r="O96" s="204"/>
      <c r="V96" s="2"/>
    </row>
    <row r="97" spans="2:23" ht="28.5">
      <c r="B97" s="92"/>
      <c r="E97" s="74"/>
      <c r="F97" s="2"/>
      <c r="G97" s="2"/>
      <c r="H97" s="205"/>
      <c r="I97" s="2"/>
      <c r="J97" s="2"/>
      <c r="K97" s="2"/>
      <c r="L97" s="2"/>
      <c r="M97" s="2"/>
      <c r="W97" s="2"/>
    </row>
    <row r="98" spans="2:23" ht="29" thickBot="1">
      <c r="B98" s="206"/>
    </row>
    <row r="99" spans="2:23" ht="25.5" customHeight="1" thickBot="1">
      <c r="B99" s="2189" t="s">
        <v>1700</v>
      </c>
      <c r="C99" s="207" t="s">
        <v>350</v>
      </c>
      <c r="D99" s="207" t="s">
        <v>1699</v>
      </c>
    </row>
    <row r="100" spans="2:23" ht="15" customHeight="1">
      <c r="B100" s="2189"/>
      <c r="C100" s="208" t="s">
        <v>45</v>
      </c>
      <c r="D100" s="1900" t="s">
        <v>990</v>
      </c>
    </row>
    <row r="101" spans="2:23" ht="15" customHeight="1">
      <c r="B101" s="2189"/>
      <c r="C101" s="209" t="s">
        <v>359</v>
      </c>
      <c r="D101" s="1901" t="s">
        <v>990</v>
      </c>
    </row>
    <row r="102" spans="2:23" ht="15" customHeight="1">
      <c r="B102" s="2189"/>
      <c r="C102" s="209" t="s">
        <v>45</v>
      </c>
      <c r="D102" s="1901" t="s">
        <v>45</v>
      </c>
    </row>
    <row r="103" spans="2:23" ht="15" customHeight="1">
      <c r="B103" s="2189"/>
      <c r="C103" s="209" t="s">
        <v>359</v>
      </c>
      <c r="D103" s="1901" t="s">
        <v>45</v>
      </c>
    </row>
    <row r="104" spans="2:23" ht="15" customHeight="1">
      <c r="B104" s="2189"/>
      <c r="C104" s="209" t="s">
        <v>45</v>
      </c>
      <c r="D104" s="1901" t="s">
        <v>990</v>
      </c>
    </row>
    <row r="105" spans="2:23" ht="15" customHeight="1">
      <c r="B105" s="2189"/>
      <c r="C105" s="209" t="s">
        <v>53</v>
      </c>
      <c r="D105" s="1901" t="s">
        <v>85</v>
      </c>
    </row>
    <row r="106" spans="2:23" ht="15.75" customHeight="1" thickBot="1">
      <c r="B106" s="2189"/>
      <c r="C106" s="210" t="s">
        <v>55</v>
      </c>
      <c r="D106" s="1901" t="s">
        <v>990</v>
      </c>
    </row>
    <row r="107" spans="2:23" ht="15" customHeight="1">
      <c r="D107" s="1901" t="s">
        <v>990</v>
      </c>
    </row>
    <row r="108" spans="2:23" ht="15" customHeight="1" thickBot="1">
      <c r="D108" s="1902" t="s">
        <v>990</v>
      </c>
    </row>
    <row r="109" spans="2:23" ht="15" customHeight="1" thickBot="1">
      <c r="B109" s="2189" t="s">
        <v>367</v>
      </c>
      <c r="C109" s="211" t="s">
        <v>368</v>
      </c>
    </row>
    <row r="110" spans="2:23" ht="15" customHeight="1">
      <c r="B110" s="2189"/>
      <c r="C110" s="212" t="s">
        <v>359</v>
      </c>
    </row>
    <row r="111" spans="2:23" ht="15" customHeight="1">
      <c r="B111" s="2189"/>
      <c r="C111" s="213" t="s">
        <v>359</v>
      </c>
    </row>
    <row r="112" spans="2:23" ht="15" customHeight="1">
      <c r="B112" s="2189"/>
      <c r="C112" s="213" t="s">
        <v>359</v>
      </c>
    </row>
    <row r="113" spans="2:7" ht="15" customHeight="1">
      <c r="B113" s="2189"/>
      <c r="C113" s="213" t="s">
        <v>359</v>
      </c>
    </row>
    <row r="114" spans="2:7" ht="15" customHeight="1" thickBot="1">
      <c r="B114" s="2189"/>
      <c r="C114" s="214" t="s">
        <v>47</v>
      </c>
    </row>
    <row r="115" spans="2:7" ht="15" customHeight="1"/>
    <row r="116" spans="2:7" ht="28.5">
      <c r="B116" s="206"/>
    </row>
    <row r="117" spans="2:7" ht="15.75" customHeight="1" thickBot="1">
      <c r="B117" s="2186" t="s">
        <v>369</v>
      </c>
      <c r="C117" s="215" t="s">
        <v>370</v>
      </c>
      <c r="D117" s="216" t="s">
        <v>371</v>
      </c>
      <c r="E117" s="216" t="s">
        <v>372</v>
      </c>
      <c r="F117" s="216" t="s">
        <v>373</v>
      </c>
      <c r="G117" s="217" t="s">
        <v>374</v>
      </c>
    </row>
    <row r="118" spans="2:7" ht="26.25" customHeight="1">
      <c r="B118" s="2187"/>
      <c r="C118" s="218" t="s">
        <v>375</v>
      </c>
      <c r="D118" s="219" t="s">
        <v>375</v>
      </c>
      <c r="E118" s="220" t="s">
        <v>376</v>
      </c>
      <c r="F118" s="220" t="s">
        <v>93</v>
      </c>
      <c r="G118" s="221" t="s">
        <v>45</v>
      </c>
    </row>
    <row r="119" spans="2:7" ht="15.75" customHeight="1">
      <c r="B119" s="2187"/>
      <c r="C119" s="222" t="s">
        <v>375</v>
      </c>
      <c r="D119" s="223" t="s">
        <v>375</v>
      </c>
      <c r="E119" s="223" t="s">
        <v>377</v>
      </c>
      <c r="F119" s="223" t="s">
        <v>97</v>
      </c>
      <c r="G119" s="224"/>
    </row>
    <row r="120" spans="2:7" ht="15" customHeight="1">
      <c r="B120" s="2187"/>
      <c r="C120" s="222" t="s">
        <v>378</v>
      </c>
      <c r="D120" s="223" t="s">
        <v>378</v>
      </c>
      <c r="E120" s="223" t="s">
        <v>379</v>
      </c>
      <c r="F120" s="223" t="s">
        <v>97</v>
      </c>
      <c r="G120" s="224"/>
    </row>
    <row r="121" spans="2:7" ht="15" customHeight="1">
      <c r="B121" s="2187"/>
      <c r="C121" s="222" t="s">
        <v>378</v>
      </c>
      <c r="D121" s="223" t="s">
        <v>378</v>
      </c>
      <c r="E121" s="127"/>
      <c r="F121" s="223" t="s">
        <v>97</v>
      </c>
      <c r="G121" s="224"/>
    </row>
    <row r="122" spans="2:7" ht="15" customHeight="1">
      <c r="B122" s="2187"/>
      <c r="C122" s="225"/>
      <c r="D122" s="127"/>
      <c r="E122" s="127"/>
      <c r="F122" s="223" t="s">
        <v>97</v>
      </c>
      <c r="G122" s="224"/>
    </row>
    <row r="123" spans="2:7" ht="15" customHeight="1">
      <c r="B123" s="2187"/>
      <c r="C123" s="225"/>
      <c r="D123" s="127"/>
      <c r="E123" s="127"/>
      <c r="F123" s="223" t="s">
        <v>98</v>
      </c>
      <c r="G123" s="224"/>
    </row>
    <row r="124" spans="2:7" ht="15" customHeight="1">
      <c r="B124" s="2187"/>
      <c r="C124" s="225"/>
      <c r="D124" s="127"/>
      <c r="E124" s="127"/>
      <c r="F124" s="223" t="s">
        <v>98</v>
      </c>
      <c r="G124" s="224"/>
    </row>
    <row r="125" spans="2:7" ht="15" customHeight="1">
      <c r="B125" s="2187"/>
      <c r="C125" s="126"/>
      <c r="D125" s="127"/>
      <c r="E125" s="127"/>
      <c r="F125" s="223" t="s">
        <v>99</v>
      </c>
      <c r="G125" s="224"/>
    </row>
    <row r="126" spans="2:7" ht="15" customHeight="1">
      <c r="B126" s="2187"/>
      <c r="C126" s="126"/>
      <c r="D126" s="127"/>
      <c r="E126" s="127"/>
      <c r="F126" s="223" t="s">
        <v>99</v>
      </c>
      <c r="G126" s="224"/>
    </row>
    <row r="127" spans="2:7" ht="15.75" customHeight="1">
      <c r="B127" s="2187"/>
      <c r="C127" s="126"/>
      <c r="D127" s="127"/>
      <c r="E127" s="127"/>
      <c r="F127" s="223" t="s">
        <v>100</v>
      </c>
      <c r="G127" s="224"/>
    </row>
    <row r="128" spans="2:7" ht="15" customHeight="1">
      <c r="B128" s="2187"/>
      <c r="C128" s="126"/>
      <c r="D128" s="127"/>
      <c r="E128" s="127"/>
      <c r="F128" s="223" t="s">
        <v>100</v>
      </c>
      <c r="G128" s="224"/>
    </row>
    <row r="129" spans="2:7" ht="15" customHeight="1">
      <c r="B129" s="2187"/>
      <c r="C129" s="126"/>
      <c r="D129" s="127"/>
      <c r="E129" s="127"/>
      <c r="F129" s="223" t="s">
        <v>380</v>
      </c>
      <c r="G129" s="224"/>
    </row>
    <row r="130" spans="2:7" ht="15" customHeight="1">
      <c r="B130" s="2187"/>
      <c r="C130" s="126"/>
      <c r="D130" s="127"/>
      <c r="E130" s="127"/>
      <c r="F130" s="223" t="s">
        <v>45</v>
      </c>
      <c r="G130" s="224"/>
    </row>
    <row r="131" spans="2:7" ht="15.75" customHeight="1" thickBot="1">
      <c r="B131" s="2187"/>
      <c r="C131" s="150"/>
      <c r="D131" s="151"/>
      <c r="E131" s="151"/>
      <c r="F131" s="226" t="s">
        <v>380</v>
      </c>
      <c r="G131" s="227"/>
    </row>
    <row r="132" spans="2:7" ht="28.5">
      <c r="B132" s="228"/>
      <c r="G132" s="229"/>
    </row>
    <row r="133" spans="2:7" ht="29" thickBot="1">
      <c r="B133" s="228"/>
      <c r="C133" s="230" t="s">
        <v>381</v>
      </c>
      <c r="D133" s="230"/>
      <c r="E133" s="230"/>
      <c r="F133" s="230"/>
      <c r="G133" s="229"/>
    </row>
    <row r="134" spans="2:7" ht="15.75" customHeight="1" thickBot="1">
      <c r="B134" s="2178" t="s">
        <v>382</v>
      </c>
      <c r="C134" s="231" t="s">
        <v>370</v>
      </c>
      <c r="D134" s="232"/>
      <c r="E134" s="232" t="s">
        <v>372</v>
      </c>
      <c r="F134" s="233" t="s">
        <v>373</v>
      </c>
      <c r="G134" s="233" t="s">
        <v>374</v>
      </c>
    </row>
    <row r="135" spans="2:7" ht="15" customHeight="1">
      <c r="B135" s="2179"/>
      <c r="C135" s="234" t="s">
        <v>93</v>
      </c>
      <c r="D135" s="235"/>
      <c r="E135" s="220" t="s">
        <v>97</v>
      </c>
      <c r="F135" s="236" t="s">
        <v>45</v>
      </c>
      <c r="G135" s="238" t="s">
        <v>45</v>
      </c>
    </row>
    <row r="136" spans="2:7" ht="15" customHeight="1">
      <c r="B136" s="2179"/>
      <c r="C136" s="237" t="s">
        <v>46</v>
      </c>
      <c r="D136" s="127"/>
      <c r="E136" s="223" t="s">
        <v>98</v>
      </c>
      <c r="F136" s="238" t="s">
        <v>93</v>
      </c>
      <c r="G136" s="238" t="s">
        <v>46</v>
      </c>
    </row>
    <row r="137" spans="2:7" ht="15" customHeight="1">
      <c r="B137" s="2179"/>
      <c r="C137" s="237" t="s">
        <v>46</v>
      </c>
      <c r="D137" s="127"/>
      <c r="E137" s="223" t="s">
        <v>99</v>
      </c>
      <c r="F137" s="238" t="s">
        <v>45</v>
      </c>
      <c r="G137" s="238"/>
    </row>
    <row r="138" spans="2:7" ht="15" customHeight="1">
      <c r="B138" s="2179"/>
      <c r="C138" s="237" t="s">
        <v>93</v>
      </c>
      <c r="D138" s="127"/>
      <c r="E138" s="223" t="s">
        <v>100</v>
      </c>
      <c r="F138" s="238" t="s">
        <v>46</v>
      </c>
      <c r="G138" s="238"/>
    </row>
    <row r="139" spans="2:7" ht="15" customHeight="1">
      <c r="B139" s="2179"/>
      <c r="C139" s="237" t="s">
        <v>46</v>
      </c>
      <c r="D139" s="127"/>
      <c r="E139" s="223" t="s">
        <v>97</v>
      </c>
      <c r="F139" s="239"/>
      <c r="G139" s="229"/>
    </row>
    <row r="140" spans="2:7" ht="15.75" customHeight="1">
      <c r="B140" s="2179"/>
      <c r="C140" s="237" t="s">
        <v>46</v>
      </c>
      <c r="D140" s="127"/>
      <c r="E140" s="223" t="s">
        <v>45</v>
      </c>
      <c r="F140" s="239"/>
      <c r="G140" s="229"/>
    </row>
    <row r="141" spans="2:7" ht="15" customHeight="1">
      <c r="B141" s="2179"/>
      <c r="C141" s="237" t="s">
        <v>93</v>
      </c>
      <c r="D141" s="127"/>
      <c r="E141" s="223" t="s">
        <v>45</v>
      </c>
      <c r="F141" s="239"/>
      <c r="G141" s="229"/>
    </row>
    <row r="142" spans="2:7" ht="15" customHeight="1">
      <c r="B142" s="2179"/>
      <c r="C142" s="237" t="s">
        <v>46</v>
      </c>
      <c r="D142" s="127"/>
      <c r="E142" s="223" t="s">
        <v>97</v>
      </c>
      <c r="F142" s="239"/>
      <c r="G142" s="229"/>
    </row>
    <row r="143" spans="2:7" ht="15" customHeight="1">
      <c r="B143" s="2179"/>
      <c r="C143" s="237" t="s">
        <v>46</v>
      </c>
      <c r="D143" s="127"/>
      <c r="E143" s="127"/>
      <c r="F143" s="239"/>
      <c r="G143" s="229"/>
    </row>
    <row r="144" spans="2:7" ht="15" customHeight="1">
      <c r="B144" s="2179"/>
      <c r="C144" s="237" t="s">
        <v>93</v>
      </c>
      <c r="D144" s="127"/>
      <c r="E144" s="127"/>
      <c r="F144" s="239"/>
      <c r="G144" s="229"/>
    </row>
    <row r="145" spans="2:7" ht="15" customHeight="1">
      <c r="B145" s="2179"/>
      <c r="C145" s="237" t="s">
        <v>46</v>
      </c>
      <c r="D145" s="127"/>
      <c r="E145" s="127"/>
      <c r="F145" s="239"/>
      <c r="G145" s="229"/>
    </row>
    <row r="146" spans="2:7" ht="15" customHeight="1">
      <c r="B146" s="2179"/>
      <c r="C146" s="237" t="s">
        <v>93</v>
      </c>
      <c r="D146" s="127"/>
      <c r="E146" s="127"/>
      <c r="F146" s="239"/>
      <c r="G146" s="229"/>
    </row>
    <row r="147" spans="2:7" ht="15" customHeight="1">
      <c r="B147" s="2179"/>
      <c r="C147" s="237" t="s">
        <v>46</v>
      </c>
      <c r="D147" s="127"/>
      <c r="E147" s="127"/>
      <c r="F147" s="239"/>
      <c r="G147" s="229"/>
    </row>
    <row r="148" spans="2:7" ht="15" customHeight="1">
      <c r="B148" s="2179"/>
      <c r="C148" s="237" t="s">
        <v>93</v>
      </c>
      <c r="D148" s="127"/>
      <c r="E148" s="127"/>
      <c r="F148" s="239"/>
      <c r="G148" s="229"/>
    </row>
    <row r="149" spans="2:7" ht="27" customHeight="1">
      <c r="B149" s="2180"/>
      <c r="C149" s="240" t="s">
        <v>46</v>
      </c>
      <c r="D149" s="241"/>
      <c r="E149" s="241"/>
      <c r="F149" s="242"/>
      <c r="G149" s="243"/>
    </row>
    <row r="150" spans="2:7" ht="29" thickBot="1">
      <c r="B150" s="92"/>
    </row>
    <row r="151" spans="2:7" ht="15.75" customHeight="1" thickBot="1">
      <c r="B151" s="2181" t="s">
        <v>383</v>
      </c>
      <c r="C151" s="244" t="s">
        <v>384</v>
      </c>
    </row>
    <row r="152" spans="2:7" ht="15" customHeight="1">
      <c r="B152" s="2181"/>
      <c r="C152" s="245" t="s">
        <v>385</v>
      </c>
    </row>
    <row r="153" spans="2:7" ht="15" customHeight="1">
      <c r="B153" s="2181"/>
      <c r="C153" s="245" t="s">
        <v>386</v>
      </c>
    </row>
    <row r="154" spans="2:7" ht="15" customHeight="1">
      <c r="B154" s="2181"/>
      <c r="C154" s="245" t="s">
        <v>386</v>
      </c>
    </row>
    <row r="155" spans="2:7" ht="15" customHeight="1">
      <c r="B155" s="2181"/>
      <c r="C155" s="245" t="s">
        <v>386</v>
      </c>
    </row>
    <row r="156" spans="2:7" ht="15" customHeight="1">
      <c r="B156" s="2181"/>
      <c r="C156" s="245" t="s">
        <v>386</v>
      </c>
    </row>
    <row r="157" spans="2:7" ht="15.75" customHeight="1" thickBot="1">
      <c r="B157" s="2181"/>
      <c r="C157" s="246" t="s">
        <v>386</v>
      </c>
    </row>
    <row r="158" spans="2:7" ht="29" thickBot="1">
      <c r="B158" s="92"/>
    </row>
    <row r="159" spans="2:7" ht="15" thickBot="1">
      <c r="B159" s="2182" t="s">
        <v>387</v>
      </c>
      <c r="C159" s="247" t="s">
        <v>388</v>
      </c>
      <c r="D159" s="248" t="s">
        <v>389</v>
      </c>
      <c r="E159" s="248" t="s">
        <v>390</v>
      </c>
      <c r="F159" s="249" t="s">
        <v>390</v>
      </c>
    </row>
    <row r="160" spans="2:7">
      <c r="B160" s="2183"/>
      <c r="C160" s="250" t="s">
        <v>46</v>
      </c>
      <c r="D160" s="251" t="s">
        <v>46</v>
      </c>
      <c r="E160" s="252"/>
      <c r="F160" s="253"/>
    </row>
    <row r="161" spans="2:6" ht="15" customHeight="1">
      <c r="B161" s="2183"/>
      <c r="C161" s="254" t="s">
        <v>46</v>
      </c>
      <c r="D161" s="255" t="s">
        <v>46</v>
      </c>
      <c r="E161" s="127"/>
      <c r="F161" s="256"/>
    </row>
    <row r="162" spans="2:6" ht="15" customHeight="1">
      <c r="B162" s="2183"/>
      <c r="C162" s="254" t="s">
        <v>46</v>
      </c>
      <c r="D162" s="255" t="s">
        <v>46</v>
      </c>
      <c r="E162" s="127"/>
      <c r="F162" s="256"/>
    </row>
    <row r="163" spans="2:6" ht="15" customHeight="1">
      <c r="B163" s="2183"/>
      <c r="C163" s="254" t="s">
        <v>46</v>
      </c>
      <c r="D163" s="255" t="s">
        <v>46</v>
      </c>
      <c r="E163" s="127"/>
      <c r="F163" s="256"/>
    </row>
    <row r="164" spans="2:6" ht="15" customHeight="1">
      <c r="B164" s="2183"/>
      <c r="C164" s="254" t="s">
        <v>46</v>
      </c>
      <c r="D164" s="255" t="s">
        <v>47</v>
      </c>
      <c r="E164" s="127"/>
      <c r="F164" s="256"/>
    </row>
    <row r="165" spans="2:6" ht="15" customHeight="1">
      <c r="B165" s="2183"/>
      <c r="C165" s="254" t="s">
        <v>46</v>
      </c>
      <c r="D165" s="127"/>
      <c r="E165" s="127"/>
      <c r="F165" s="256"/>
    </row>
    <row r="166" spans="2:6" ht="15" customHeight="1">
      <c r="B166" s="2183"/>
      <c r="C166" s="254" t="s">
        <v>46</v>
      </c>
      <c r="D166" s="127"/>
      <c r="E166" s="127"/>
      <c r="F166" s="256"/>
    </row>
    <row r="167" spans="2:6" ht="15" customHeight="1">
      <c r="B167" s="2183"/>
      <c r="C167" s="254" t="s">
        <v>46</v>
      </c>
      <c r="D167" s="127"/>
      <c r="E167" s="127"/>
      <c r="F167" s="256"/>
    </row>
    <row r="168" spans="2:6" ht="15" customHeight="1">
      <c r="B168" s="2183"/>
      <c r="C168" s="254" t="s">
        <v>46</v>
      </c>
      <c r="D168" s="127"/>
      <c r="E168" s="127"/>
      <c r="F168" s="256"/>
    </row>
    <row r="169" spans="2:6" ht="15" customHeight="1">
      <c r="B169" s="2183"/>
      <c r="C169" s="254" t="s">
        <v>46</v>
      </c>
      <c r="D169" s="127"/>
      <c r="E169" s="127"/>
      <c r="F169" s="256"/>
    </row>
    <row r="170" spans="2:6" ht="15" customHeight="1">
      <c r="B170" s="2183"/>
      <c r="C170" s="254" t="s">
        <v>46</v>
      </c>
      <c r="D170" s="127"/>
      <c r="E170" s="127"/>
      <c r="F170" s="256"/>
    </row>
    <row r="171" spans="2:6" ht="15" customHeight="1">
      <c r="B171" s="2183"/>
      <c r="C171" s="254" t="s">
        <v>46</v>
      </c>
      <c r="D171" s="127"/>
      <c r="E171" s="127"/>
      <c r="F171" s="256"/>
    </row>
    <row r="172" spans="2:6" ht="15" customHeight="1">
      <c r="B172" s="2183"/>
      <c r="C172" s="254" t="s">
        <v>47</v>
      </c>
      <c r="D172" s="127"/>
      <c r="E172" s="127"/>
      <c r="F172" s="256"/>
    </row>
    <row r="173" spans="2:6" ht="15.75" customHeight="1" thickBot="1">
      <c r="B173" s="2183"/>
      <c r="C173" s="257" t="s">
        <v>47</v>
      </c>
      <c r="D173" s="151" t="s">
        <v>42</v>
      </c>
      <c r="E173" s="151"/>
      <c r="F173" s="258"/>
    </row>
    <row r="174" spans="2:6" ht="29" thickBot="1">
      <c r="B174" s="92"/>
    </row>
    <row r="175" spans="2:6" ht="15.75" customHeight="1" thickBot="1">
      <c r="B175" s="2184" t="s">
        <v>391</v>
      </c>
      <c r="C175" s="259" t="s">
        <v>392</v>
      </c>
      <c r="D175" s="260" t="s">
        <v>393</v>
      </c>
      <c r="E175" s="261" t="s">
        <v>394</v>
      </c>
    </row>
    <row r="176" spans="2:6" ht="15.75" customHeight="1" thickBot="1">
      <c r="B176" s="2185"/>
      <c r="C176" s="262" t="s">
        <v>385</v>
      </c>
      <c r="D176" s="263" t="s">
        <v>395</v>
      </c>
      <c r="E176" s="264" t="s">
        <v>396</v>
      </c>
    </row>
    <row r="177" spans="2:23" ht="29" thickBot="1">
      <c r="B177" s="92"/>
      <c r="C177" s="265"/>
      <c r="D177" s="2"/>
      <c r="E177" s="266"/>
    </row>
    <row r="178" spans="2:23" ht="15.75" customHeight="1" thickBot="1">
      <c r="B178" s="2184" t="s">
        <v>397</v>
      </c>
      <c r="C178" s="267" t="s">
        <v>398</v>
      </c>
      <c r="D178" s="268" t="s">
        <v>399</v>
      </c>
      <c r="E178" s="269" t="s">
        <v>400</v>
      </c>
    </row>
    <row r="179" spans="2:23" ht="15" customHeight="1">
      <c r="B179" s="2184"/>
      <c r="C179" s="270" t="s">
        <v>385</v>
      </c>
      <c r="D179" s="271" t="s">
        <v>385</v>
      </c>
      <c r="E179" s="272" t="s">
        <v>401</v>
      </c>
    </row>
    <row r="180" spans="2:23" ht="26.25" customHeight="1">
      <c r="B180" s="2184"/>
      <c r="C180" s="273" t="s">
        <v>386</v>
      </c>
      <c r="D180" s="274" t="s">
        <v>386</v>
      </c>
      <c r="E180" s="275"/>
    </row>
    <row r="181" spans="2:23" ht="26.25" customHeight="1">
      <c r="B181" s="2184"/>
      <c r="C181" s="273" t="s">
        <v>386</v>
      </c>
      <c r="D181" s="274" t="s">
        <v>386</v>
      </c>
      <c r="E181" s="275"/>
    </row>
    <row r="182" spans="2:23" ht="26.25" customHeight="1">
      <c r="B182" s="2184"/>
      <c r="C182" s="273" t="s">
        <v>386</v>
      </c>
      <c r="D182" s="274" t="s">
        <v>386</v>
      </c>
      <c r="E182" s="275"/>
    </row>
    <row r="183" spans="2:23" ht="27" customHeight="1" thickBot="1">
      <c r="B183" s="2184"/>
      <c r="C183" s="276" t="s">
        <v>386</v>
      </c>
      <c r="D183" s="277"/>
      <c r="E183" s="278"/>
    </row>
    <row r="184" spans="2:23" ht="28.5">
      <c r="B184" s="92"/>
    </row>
    <row r="185" spans="2:23" ht="28.5">
      <c r="B185" s="92"/>
    </row>
    <row r="186" spans="2:23" ht="31">
      <c r="B186" s="166" t="s">
        <v>402</v>
      </c>
      <c r="C186" s="167"/>
      <c r="D186" s="167"/>
      <c r="E186" s="167"/>
      <c r="F186" s="167"/>
      <c r="G186" s="167"/>
      <c r="H186" s="167"/>
      <c r="I186" s="167"/>
      <c r="J186" s="167"/>
      <c r="K186" s="167"/>
      <c r="L186" s="167"/>
      <c r="M186" s="167"/>
      <c r="N186" s="167"/>
      <c r="O186" s="167"/>
    </row>
    <row r="187" spans="2:23" ht="15" thickBot="1"/>
    <row r="188" spans="2:23" ht="15" thickBot="1">
      <c r="B188" s="279" t="s">
        <v>403</v>
      </c>
      <c r="C188" s="280"/>
      <c r="D188" s="280"/>
      <c r="E188" s="280"/>
      <c r="F188" s="281"/>
      <c r="R188" s="2"/>
      <c r="S188" s="2"/>
      <c r="T188" s="2"/>
      <c r="U188" s="2"/>
      <c r="V188" s="2"/>
      <c r="W188" s="2"/>
    </row>
    <row r="189" spans="2:23" ht="15" thickBot="1">
      <c r="D189" s="282"/>
      <c r="E189" s="283"/>
      <c r="F189" s="2"/>
      <c r="Q189" s="2"/>
      <c r="R189" s="2"/>
      <c r="S189" s="2"/>
      <c r="T189" s="2"/>
      <c r="U189" s="2"/>
      <c r="V189" s="2"/>
      <c r="W189" s="2"/>
    </row>
    <row r="190" spans="2:23" ht="30.75" customHeight="1" thickBot="1">
      <c r="B190" s="2177" t="s">
        <v>404</v>
      </c>
      <c r="C190" s="284" t="s">
        <v>405</v>
      </c>
      <c r="D190" s="285" t="s">
        <v>406</v>
      </c>
      <c r="E190" s="285" t="s">
        <v>407</v>
      </c>
      <c r="F190" s="286" t="s">
        <v>408</v>
      </c>
      <c r="G190" s="287"/>
      <c r="Q190" s="2"/>
      <c r="R190" s="2"/>
      <c r="S190" s="2"/>
      <c r="T190" s="2"/>
      <c r="U190" s="2"/>
      <c r="V190" s="2"/>
      <c r="W190" s="2"/>
    </row>
    <row r="191" spans="2:23" ht="45.75" customHeight="1" thickBot="1">
      <c r="B191" s="2177"/>
      <c r="C191" s="288" t="s">
        <v>409</v>
      </c>
      <c r="D191" s="289" t="s">
        <v>410</v>
      </c>
      <c r="E191" s="290" t="s">
        <v>411</v>
      </c>
      <c r="F191" s="291" t="s">
        <v>412</v>
      </c>
      <c r="G191" s="2"/>
      <c r="Q191" s="2"/>
      <c r="R191" s="2"/>
      <c r="S191" s="2"/>
      <c r="T191" s="2"/>
      <c r="U191" s="2"/>
      <c r="V191" s="2"/>
      <c r="W191" s="2"/>
    </row>
    <row r="192" spans="2:23">
      <c r="C192" s="2"/>
      <c r="D192" s="2"/>
      <c r="E192" s="74"/>
      <c r="F192" s="2"/>
      <c r="G192" s="2"/>
      <c r="Q192" s="2"/>
      <c r="R192" s="2"/>
      <c r="S192" s="2"/>
      <c r="T192" s="2"/>
      <c r="U192" s="2"/>
      <c r="V192" s="2"/>
      <c r="W192" s="2"/>
    </row>
    <row r="193" spans="2:23" ht="15" thickBot="1">
      <c r="G193" s="2"/>
      <c r="Q193" s="2"/>
      <c r="R193" s="2"/>
      <c r="S193" s="2"/>
      <c r="T193" s="2"/>
      <c r="U193" s="2"/>
      <c r="V193" s="2"/>
      <c r="W193" s="2"/>
    </row>
    <row r="194" spans="2:23" ht="30" customHeight="1" thickBot="1">
      <c r="B194" s="2177" t="s">
        <v>413</v>
      </c>
      <c r="C194" s="292" t="s">
        <v>414</v>
      </c>
      <c r="D194" s="293" t="s">
        <v>415</v>
      </c>
      <c r="E194" s="294" t="s">
        <v>416</v>
      </c>
      <c r="G194" s="2"/>
      <c r="Q194" s="2"/>
      <c r="R194" s="2"/>
      <c r="S194" s="2"/>
      <c r="T194" s="2"/>
      <c r="U194" s="2"/>
      <c r="V194" s="2"/>
      <c r="W194" s="2"/>
    </row>
    <row r="195" spans="2:23" ht="39.5" thickBot="1">
      <c r="B195" s="2177"/>
      <c r="C195" s="295" t="s">
        <v>417</v>
      </c>
      <c r="D195" s="296" t="s">
        <v>418</v>
      </c>
      <c r="E195" s="297" t="str">
        <f>dms_060701_StartDateTxt</f>
        <v>1-Jul-2025</v>
      </c>
      <c r="Q195" s="2"/>
      <c r="R195" s="2"/>
      <c r="S195" s="2"/>
      <c r="T195" s="2"/>
      <c r="U195" s="2"/>
      <c r="V195" s="2"/>
      <c r="W195" s="2"/>
    </row>
    <row r="196" spans="2:23">
      <c r="C196" s="2"/>
      <c r="D196" s="2"/>
      <c r="E196" s="74"/>
      <c r="G196" s="2"/>
      <c r="Q196" s="2"/>
      <c r="R196" s="2"/>
      <c r="S196" s="2"/>
      <c r="T196" s="2"/>
      <c r="U196" s="2"/>
      <c r="V196" s="2"/>
      <c r="W196" s="2"/>
    </row>
    <row r="197" spans="2:23" ht="15" thickBot="1">
      <c r="C197" s="2"/>
      <c r="P197" s="2"/>
      <c r="Q197" s="2"/>
      <c r="R197" s="2"/>
      <c r="S197" s="2"/>
      <c r="T197" s="2"/>
      <c r="U197" s="2"/>
      <c r="V197" s="2"/>
      <c r="W197" s="2"/>
    </row>
    <row r="198" spans="2:23" ht="22.5" customHeight="1" thickBot="1">
      <c r="B198" s="2177" t="s">
        <v>419</v>
      </c>
      <c r="C198" s="298" t="s">
        <v>420</v>
      </c>
      <c r="D198" s="299" t="s">
        <v>421</v>
      </c>
      <c r="E198" s="299" t="s">
        <v>422</v>
      </c>
      <c r="F198" s="300" t="s">
        <v>423</v>
      </c>
      <c r="Q198" s="2"/>
      <c r="R198" s="2"/>
      <c r="S198" s="2"/>
      <c r="T198" s="2"/>
      <c r="U198" s="2"/>
      <c r="V198" s="2"/>
      <c r="W198" s="2"/>
    </row>
    <row r="199" spans="2:23" ht="22.5" customHeight="1" thickBot="1">
      <c r="B199" s="2177"/>
      <c r="C199" s="295" t="s">
        <v>424</v>
      </c>
      <c r="D199" s="296" t="s">
        <v>425</v>
      </c>
      <c r="E199" s="301" t="s">
        <v>426</v>
      </c>
      <c r="F199" s="302" t="s">
        <v>427</v>
      </c>
      <c r="Q199" s="2"/>
      <c r="R199" s="2"/>
      <c r="S199" s="2"/>
      <c r="T199" s="2"/>
      <c r="U199" s="2"/>
      <c r="V199" s="2"/>
      <c r="W199" s="2"/>
    </row>
    <row r="200" spans="2:23">
      <c r="B200" s="2"/>
      <c r="C200" s="2"/>
      <c r="D200" s="2"/>
      <c r="E200" s="74"/>
      <c r="F200" s="2"/>
      <c r="Q200" s="2"/>
      <c r="R200" s="2"/>
      <c r="S200" s="2"/>
      <c r="T200" s="2"/>
      <c r="U200" s="2"/>
      <c r="V200" s="2"/>
      <c r="W200" s="2"/>
    </row>
    <row r="201" spans="2:23" ht="15" thickBot="1">
      <c r="C201" s="2"/>
      <c r="Q201" s="2"/>
      <c r="R201" s="2"/>
      <c r="S201" s="2"/>
      <c r="T201" s="2"/>
      <c r="U201" s="2"/>
      <c r="V201" s="2"/>
      <c r="W201" s="2"/>
    </row>
    <row r="202" spans="2:23" ht="36" customHeight="1" thickBot="1">
      <c r="B202" s="303" t="s">
        <v>428</v>
      </c>
      <c r="C202" s="304" t="s">
        <v>429</v>
      </c>
      <c r="D202" s="305" t="s">
        <v>430</v>
      </c>
      <c r="E202" s="306" t="s">
        <v>431</v>
      </c>
      <c r="Q202" s="2"/>
      <c r="R202" s="2"/>
      <c r="S202" s="2"/>
      <c r="T202" s="2"/>
      <c r="U202" s="2"/>
      <c r="V202" s="2"/>
      <c r="W202" s="2"/>
    </row>
    <row r="204" spans="2:23">
      <c r="C204" s="2"/>
      <c r="P204" s="2"/>
      <c r="Q204" s="2"/>
      <c r="R204" s="2"/>
      <c r="S204" s="2"/>
      <c r="T204" s="2"/>
      <c r="U204" s="2"/>
      <c r="V204" s="2"/>
      <c r="W204" s="2"/>
    </row>
    <row r="205" spans="2:23" s="2" customFormat="1" ht="21.75" customHeight="1">
      <c r="B205" s="307" t="s">
        <v>432</v>
      </c>
      <c r="C205" s="308"/>
      <c r="D205" s="308"/>
      <c r="E205" s="308"/>
      <c r="F205" s="308"/>
      <c r="G205" s="308"/>
      <c r="H205" s="308"/>
      <c r="I205" s="308"/>
      <c r="J205" s="308"/>
      <c r="K205" s="308"/>
      <c r="L205" s="308"/>
      <c r="M205" s="308"/>
      <c r="N205" s="308"/>
      <c r="O205" s="308"/>
    </row>
    <row r="206" spans="2:23" ht="15" thickBot="1">
      <c r="B206" s="309"/>
      <c r="C206" s="2"/>
      <c r="F206" s="79"/>
      <c r="K206" s="6"/>
      <c r="P206" s="2"/>
      <c r="Q206" s="2"/>
      <c r="R206" s="2"/>
      <c r="S206" s="2"/>
      <c r="T206" s="2"/>
      <c r="U206" s="2"/>
      <c r="V206" s="2"/>
      <c r="W206" s="2"/>
    </row>
    <row r="207" spans="2:23" ht="15" customHeight="1" thickBot="1">
      <c r="B207" s="2177" t="s">
        <v>433</v>
      </c>
      <c r="C207" s="310" t="s">
        <v>434</v>
      </c>
      <c r="D207" s="311" t="str">
        <f>INDEX(dms_FeederName_1,MATCH(dms_TradingName,dms_TradingName_List))</f>
        <v>CBD</v>
      </c>
      <c r="E207" s="312" t="str">
        <f>INDEX(dms_FeederName_1,MATCH(dms_TradingName,dms_TradingName_List))</f>
        <v>CBD</v>
      </c>
      <c r="F207" s="313" t="str">
        <f>INDEX(dms_FeederName_2,MATCH(dms_TradingName,dms_TradingName_List))</f>
        <v>Urban</v>
      </c>
      <c r="G207" s="314" t="str">
        <f>INDEX(dms_FeederName_2,MATCH(dms_TradingName,dms_TradingName_List))</f>
        <v>Urban</v>
      </c>
      <c r="H207" s="312" t="str">
        <f>INDEX(dms_FeederName_3,MATCH(dms_TradingName,dms_TradingName_List))</f>
        <v>Short rural</v>
      </c>
      <c r="I207" s="312" t="str">
        <f>INDEX(dms_FeederName_3,MATCH(dms_TradingName,dms_TradingName_List))</f>
        <v>Short rural</v>
      </c>
      <c r="J207" s="314" t="str">
        <f>INDEX(dms_FeederName_4,MATCH(dms_TradingName,dms_TradingName_List))</f>
        <v>Long rural</v>
      </c>
      <c r="K207" s="314" t="str">
        <f>INDEX(dms_FeederName_4,MATCH(dms_TradingName,dms_TradingName_List))</f>
        <v>Long rural</v>
      </c>
      <c r="L207" s="312" t="str">
        <f>IF((INDEX(dms_FeederName_5,MATCH(dms_TradingName,dms_TradingName_List))=0),"Network",(INDEX(dms_FeederName_5,MATCH(dms_TradingName,dms_TradingName_List))))</f>
        <v>Network</v>
      </c>
      <c r="M207" s="312" t="str">
        <f>IF((INDEX(dms_FeederName_5,MATCH(dms_TradingName,dms_TradingName_List))=0),"Network",(INDEX(dms_FeederName_5,MATCH(dms_TradingName,dms_TradingName_List))))</f>
        <v>Network</v>
      </c>
      <c r="N207" s="312" t="s">
        <v>435</v>
      </c>
      <c r="O207" s="312" t="s">
        <v>435</v>
      </c>
      <c r="P207" s="2"/>
      <c r="Q207" s="2"/>
      <c r="R207" s="2"/>
      <c r="S207" s="2"/>
      <c r="T207" s="2"/>
      <c r="U207" s="2"/>
      <c r="V207" s="2"/>
      <c r="W207" s="2"/>
    </row>
    <row r="208" spans="2:23" ht="15" thickBot="1">
      <c r="B208" s="2177"/>
      <c r="C208" s="315"/>
      <c r="D208" s="316"/>
      <c r="F208" s="79"/>
      <c r="N208" s="317"/>
      <c r="P208" s="2"/>
      <c r="Q208" s="2"/>
      <c r="R208" s="2"/>
      <c r="S208" s="2"/>
      <c r="T208" s="2"/>
      <c r="U208" s="2"/>
      <c r="V208" s="2"/>
      <c r="W208" s="2"/>
    </row>
    <row r="209" spans="2:23" ht="26.5" thickBot="1">
      <c r="B209" s="2177"/>
      <c r="C209" s="310" t="s">
        <v>436</v>
      </c>
      <c r="D209" s="318" t="s">
        <v>437</v>
      </c>
      <c r="E209" s="319" t="s">
        <v>438</v>
      </c>
      <c r="F209" s="320" t="s">
        <v>437</v>
      </c>
      <c r="G209" s="319" t="s">
        <v>438</v>
      </c>
      <c r="H209" s="319" t="s">
        <v>437</v>
      </c>
      <c r="I209" s="319" t="s">
        <v>438</v>
      </c>
      <c r="J209" s="319" t="s">
        <v>437</v>
      </c>
      <c r="K209" s="319" t="s">
        <v>438</v>
      </c>
      <c r="L209" s="319" t="s">
        <v>437</v>
      </c>
      <c r="M209" s="321" t="s">
        <v>438</v>
      </c>
      <c r="N209" s="319" t="s">
        <v>437</v>
      </c>
      <c r="O209" s="321" t="s">
        <v>438</v>
      </c>
      <c r="P209" s="2"/>
      <c r="Q209" s="2"/>
      <c r="R209" s="2"/>
      <c r="S209" s="2"/>
      <c r="T209" s="2"/>
      <c r="U209" s="2"/>
      <c r="V209" s="2"/>
      <c r="W209" s="2"/>
    </row>
    <row r="210" spans="2:23">
      <c r="B210" s="2177"/>
      <c r="C210" s="2"/>
      <c r="D210" s="322" t="s">
        <v>439</v>
      </c>
      <c r="F210" s="79"/>
      <c r="P210" s="2"/>
      <c r="Q210" s="2"/>
      <c r="R210" s="2"/>
      <c r="S210" s="2"/>
      <c r="T210" s="2"/>
      <c r="U210" s="2"/>
      <c r="V210" s="2"/>
      <c r="W210" s="2"/>
    </row>
    <row r="211" spans="2:23" ht="15" thickBot="1">
      <c r="B211" s="2177"/>
      <c r="C211" s="2"/>
      <c r="F211" s="79"/>
      <c r="P211" s="2"/>
      <c r="Q211" s="2"/>
      <c r="R211" s="2"/>
      <c r="S211" s="2"/>
      <c r="T211" s="2"/>
      <c r="U211" s="2"/>
      <c r="V211" s="2"/>
      <c r="W211" s="2"/>
    </row>
    <row r="212" spans="2:23" ht="15" thickBot="1">
      <c r="B212" s="2177"/>
      <c r="C212" s="310" t="s">
        <v>440</v>
      </c>
      <c r="D212" s="323" t="str">
        <f>INDEX(dms_FeederName_1,MATCH(dms_TradingName,dms_TradingName_List))</f>
        <v>CBD</v>
      </c>
      <c r="E212" s="324" t="str">
        <f>INDEX(dms_FeederName_2,MATCH(dms_TradingName,dms_TradingName_List))</f>
        <v>Urban</v>
      </c>
      <c r="F212" s="324" t="str">
        <f>INDEX(dms_FeederName_3,MATCH(dms_TradingName,dms_TradingName_List))</f>
        <v>Short rural</v>
      </c>
      <c r="G212" s="324" t="str">
        <f>INDEX(dms_FeederName_4,MATCH(dms_TradingName,dms_TradingName_List))</f>
        <v>Long rural</v>
      </c>
      <c r="H212" s="325"/>
      <c r="Q212" s="2"/>
      <c r="R212" s="2"/>
      <c r="S212" s="2"/>
      <c r="T212" s="2"/>
      <c r="U212" s="2"/>
      <c r="V212" s="2"/>
      <c r="W212" s="2"/>
    </row>
    <row r="213" spans="2:23">
      <c r="B213" s="2"/>
      <c r="C213" s="52"/>
      <c r="D213" s="51"/>
      <c r="E213" s="79"/>
      <c r="I213" s="326"/>
      <c r="J213" s="51"/>
      <c r="Q213" s="2"/>
      <c r="R213" s="2"/>
      <c r="S213" s="2"/>
      <c r="T213" s="2"/>
      <c r="U213" s="2"/>
      <c r="V213" s="2"/>
      <c r="W213" s="2"/>
    </row>
    <row r="214" spans="2:23">
      <c r="E214" s="79"/>
      <c r="Q214" s="2"/>
      <c r="R214" s="2"/>
      <c r="S214" s="2"/>
      <c r="T214" s="2"/>
      <c r="U214" s="2"/>
      <c r="V214" s="2"/>
      <c r="W214" s="2"/>
    </row>
    <row r="215" spans="2:23" ht="29.25" customHeight="1">
      <c r="B215" s="307" t="s">
        <v>441</v>
      </c>
      <c r="C215" s="307" t="s">
        <v>441</v>
      </c>
      <c r="D215" s="307"/>
      <c r="E215" s="307"/>
      <c r="F215" s="307"/>
      <c r="G215" s="307"/>
      <c r="H215" s="307"/>
      <c r="I215" s="307"/>
      <c r="J215" s="307"/>
      <c r="K215" s="307"/>
      <c r="L215" s="307"/>
      <c r="M215" s="307"/>
      <c r="Q215" s="2"/>
      <c r="R215" s="2"/>
      <c r="S215" s="2"/>
      <c r="T215" s="2"/>
      <c r="U215" s="2"/>
      <c r="V215" s="2"/>
      <c r="W215" s="2"/>
    </row>
    <row r="216" spans="2:23" ht="15.75" customHeight="1">
      <c r="B216" s="327"/>
      <c r="E216" s="79"/>
      <c r="Q216" s="2"/>
      <c r="R216" s="2"/>
      <c r="S216" s="2"/>
      <c r="T216" s="2"/>
      <c r="U216" s="2"/>
      <c r="V216" s="2"/>
      <c r="W216" s="2"/>
    </row>
    <row r="217" spans="2:23" ht="15.5">
      <c r="B217" s="327"/>
      <c r="E217" s="79"/>
      <c r="Q217" s="2"/>
      <c r="R217" s="2"/>
      <c r="S217" s="2"/>
      <c r="T217" s="2"/>
      <c r="U217" s="2"/>
      <c r="V217" s="2"/>
      <c r="W217" s="2"/>
    </row>
    <row r="218" spans="2:23">
      <c r="B218" s="328" t="s">
        <v>442</v>
      </c>
      <c r="C218" t="s">
        <v>443</v>
      </c>
      <c r="D218" t="s">
        <v>444</v>
      </c>
      <c r="E218" s="79" t="s">
        <v>445</v>
      </c>
      <c r="Q218" s="2"/>
      <c r="R218" s="2"/>
      <c r="S218" s="2"/>
      <c r="T218" s="2"/>
      <c r="U218" s="2"/>
      <c r="V218" s="2"/>
      <c r="W218" s="2"/>
    </row>
    <row r="219" spans="2:23" ht="15.5">
      <c r="B219" s="329"/>
      <c r="C219" t="s">
        <v>446</v>
      </c>
      <c r="E219" s="79"/>
      <c r="Q219" s="2"/>
      <c r="R219" s="2"/>
      <c r="S219" s="2"/>
      <c r="T219" s="2"/>
      <c r="U219" s="2"/>
      <c r="V219" s="2"/>
      <c r="W219" s="2"/>
    </row>
    <row r="220" spans="2:23" ht="15.5">
      <c r="B220" s="327"/>
      <c r="E220" s="79"/>
      <c r="Q220" s="2"/>
      <c r="R220" s="2"/>
      <c r="S220" s="2"/>
      <c r="T220" s="2"/>
      <c r="U220" s="2"/>
      <c r="V220" s="2"/>
      <c r="W220" s="2"/>
    </row>
    <row r="221" spans="2:23" ht="15.5">
      <c r="B221" s="327"/>
      <c r="D221" s="75"/>
      <c r="E221" s="330"/>
      <c r="F221" s="75"/>
      <c r="G221" s="75"/>
      <c r="H221" s="75"/>
      <c r="I221" s="75"/>
      <c r="J221" s="75"/>
      <c r="K221" s="75"/>
      <c r="L221" s="75"/>
      <c r="M221" s="331"/>
      <c r="Q221" s="2"/>
      <c r="R221" s="2"/>
      <c r="S221" s="2"/>
      <c r="T221" s="2"/>
      <c r="U221" s="2"/>
      <c r="V221" s="2"/>
      <c r="W221" s="2"/>
    </row>
    <row r="222" spans="2:23">
      <c r="B222" s="332" t="s">
        <v>447</v>
      </c>
      <c r="C222" s="75" t="s">
        <v>448</v>
      </c>
      <c r="D222" s="75" t="s">
        <v>449</v>
      </c>
      <c r="E222" s="330" t="s">
        <v>450</v>
      </c>
      <c r="F222" s="75" t="s">
        <v>451</v>
      </c>
      <c r="G222" s="75" t="s">
        <v>452</v>
      </c>
      <c r="H222" s="75" t="s">
        <v>453</v>
      </c>
      <c r="I222" s="75" t="s">
        <v>454</v>
      </c>
      <c r="J222" s="75" t="s">
        <v>455</v>
      </c>
      <c r="K222" s="75" t="s">
        <v>456</v>
      </c>
      <c r="L222" s="75" t="s">
        <v>457</v>
      </c>
      <c r="M222" s="331"/>
      <c r="Q222" s="2"/>
      <c r="R222" s="2"/>
      <c r="S222" s="2"/>
      <c r="T222" s="2"/>
      <c r="U222" s="2"/>
      <c r="V222" s="2"/>
      <c r="W222" s="2"/>
    </row>
    <row r="223" spans="2:23" ht="15.5">
      <c r="B223" s="329"/>
      <c r="C223" t="s">
        <v>458</v>
      </c>
      <c r="E223" s="79"/>
      <c r="Q223" s="2"/>
      <c r="R223" s="2"/>
      <c r="S223" s="2"/>
      <c r="T223" s="2"/>
      <c r="U223" s="2"/>
      <c r="V223" s="2"/>
      <c r="W223" s="2"/>
    </row>
    <row r="224" spans="2:23" ht="15.5">
      <c r="B224" s="327"/>
      <c r="C224" s="4"/>
      <c r="E224" s="79"/>
      <c r="H224" s="4"/>
      <c r="I224" s="333"/>
      <c r="J224" s="4"/>
      <c r="K224" s="4"/>
      <c r="L224" s="90"/>
      <c r="Q224" s="2"/>
      <c r="R224" s="2"/>
      <c r="S224" s="2"/>
      <c r="T224" s="2"/>
      <c r="U224" s="2"/>
      <c r="V224" s="2"/>
      <c r="W224" s="2"/>
    </row>
    <row r="225" spans="2:23">
      <c r="B225" s="334"/>
      <c r="E225" s="79"/>
      <c r="Q225" s="2"/>
      <c r="R225" s="2"/>
      <c r="S225" s="2"/>
      <c r="T225" s="2"/>
      <c r="U225" s="2"/>
      <c r="V225" s="2"/>
      <c r="W225" s="2"/>
    </row>
    <row r="226" spans="2:23">
      <c r="B226" s="332" t="s">
        <v>459</v>
      </c>
      <c r="C226" t="s">
        <v>460</v>
      </c>
      <c r="D226" t="s">
        <v>461</v>
      </c>
      <c r="E226" s="79" t="s">
        <v>462</v>
      </c>
      <c r="F226" t="s">
        <v>463</v>
      </c>
      <c r="G226" t="s">
        <v>464</v>
      </c>
      <c r="H226" t="s">
        <v>465</v>
      </c>
      <c r="I226" t="s">
        <v>466</v>
      </c>
      <c r="J226" t="s">
        <v>467</v>
      </c>
      <c r="K226" t="s">
        <v>468</v>
      </c>
      <c r="L226" t="s">
        <v>469</v>
      </c>
      <c r="M226" t="s">
        <v>470</v>
      </c>
      <c r="Q226" s="2"/>
      <c r="R226" s="2"/>
      <c r="S226" s="2"/>
      <c r="T226" s="2"/>
      <c r="U226" s="2"/>
      <c r="V226" s="2"/>
      <c r="W226" s="2"/>
    </row>
    <row r="227" spans="2:23">
      <c r="B227" s="2"/>
      <c r="E227" s="79"/>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35"/>
      <c r="F230" s="333"/>
      <c r="G230" s="4"/>
      <c r="H230" s="4"/>
      <c r="I230" s="90"/>
      <c r="L230" s="2"/>
      <c r="M230" s="2"/>
      <c r="N230" s="2"/>
      <c r="Q230" s="2"/>
      <c r="R230" s="2"/>
      <c r="S230" s="2"/>
      <c r="T230" s="2"/>
      <c r="U230" s="2"/>
      <c r="V230" s="2"/>
      <c r="W230" s="2"/>
    </row>
    <row r="231" spans="2:23">
      <c r="B231" s="4"/>
      <c r="C231" s="4"/>
      <c r="E231" s="79"/>
      <c r="H231" s="4"/>
      <c r="I231" s="333"/>
      <c r="J231" s="4"/>
      <c r="K231" s="4"/>
      <c r="L231" s="90"/>
      <c r="Q231" s="2"/>
      <c r="R231" s="2"/>
      <c r="S231" s="2"/>
      <c r="T231" s="2"/>
      <c r="U231" s="2"/>
      <c r="V231" s="2"/>
      <c r="W231" s="2"/>
    </row>
    <row r="232" spans="2:23">
      <c r="B232" s="4"/>
      <c r="C232" s="4"/>
      <c r="E232" s="79"/>
      <c r="H232" s="4"/>
      <c r="I232" s="333"/>
      <c r="J232" s="4"/>
      <c r="K232" s="4"/>
      <c r="L232" s="90"/>
      <c r="O232" s="2"/>
      <c r="P232" s="2"/>
      <c r="Q232" s="2"/>
      <c r="R232" s="2"/>
      <c r="S232" s="2"/>
      <c r="T232" s="2"/>
      <c r="U232" s="2"/>
      <c r="V232" s="2"/>
      <c r="W232" s="2"/>
    </row>
    <row r="233" spans="2:23">
      <c r="B233" s="4"/>
      <c r="C233" s="4"/>
      <c r="E233" s="79"/>
      <c r="H233" s="4"/>
      <c r="I233" s="333"/>
      <c r="J233" s="4"/>
      <c r="K233" s="4"/>
      <c r="L233" s="90"/>
      <c r="O233" s="2"/>
      <c r="P233" s="2"/>
      <c r="Q233" s="2"/>
      <c r="R233" s="2"/>
      <c r="S233" s="2"/>
      <c r="T233" s="2"/>
      <c r="U233" s="2"/>
      <c r="V233" s="2"/>
      <c r="W233" s="2"/>
    </row>
    <row r="234" spans="2:23">
      <c r="B234" s="4"/>
      <c r="C234" s="4"/>
      <c r="E234" s="79"/>
      <c r="H234" s="4"/>
      <c r="I234" s="333"/>
      <c r="J234" s="4"/>
      <c r="K234" s="4"/>
      <c r="L234" s="90"/>
      <c r="O234" s="2"/>
      <c r="P234" s="2"/>
      <c r="Q234" s="2"/>
      <c r="R234" s="2"/>
      <c r="S234" s="2"/>
      <c r="T234" s="2"/>
      <c r="U234" s="2"/>
      <c r="V234" s="2"/>
      <c r="W234" s="2"/>
    </row>
    <row r="235" spans="2:23">
      <c r="B235" s="4"/>
      <c r="C235" s="4"/>
      <c r="E235" s="79"/>
      <c r="H235" s="4"/>
      <c r="I235" s="333"/>
      <c r="J235" s="4"/>
      <c r="K235" s="4"/>
      <c r="L235" s="90"/>
      <c r="O235" s="2"/>
      <c r="P235" s="2"/>
      <c r="Q235" s="2"/>
      <c r="R235" s="2"/>
      <c r="S235" s="2"/>
      <c r="T235" s="2"/>
      <c r="U235" s="2"/>
      <c r="V235" s="2"/>
      <c r="W235" s="2"/>
    </row>
    <row r="236" spans="2:23">
      <c r="B236" s="4"/>
      <c r="C236" s="4"/>
      <c r="E236" s="79"/>
      <c r="H236" s="4"/>
      <c r="I236" s="333"/>
      <c r="J236" s="4"/>
      <c r="K236" s="4"/>
      <c r="L236" s="90"/>
      <c r="O236" s="2"/>
      <c r="P236" s="2"/>
      <c r="Q236" s="2"/>
      <c r="R236" s="2"/>
      <c r="S236" s="2"/>
      <c r="T236" s="2"/>
      <c r="U236" s="2"/>
      <c r="V236" s="2"/>
      <c r="W236" s="2"/>
    </row>
    <row r="237" spans="2:23">
      <c r="B237" s="4"/>
      <c r="C237" s="4"/>
      <c r="E237" s="79"/>
      <c r="H237" s="4"/>
      <c r="I237" s="333"/>
      <c r="J237" s="4"/>
      <c r="K237" s="4"/>
      <c r="L237" s="90"/>
      <c r="O237" s="2"/>
      <c r="P237" s="2"/>
      <c r="Q237" s="2"/>
      <c r="R237" s="2"/>
      <c r="S237" s="2"/>
      <c r="T237" s="2"/>
      <c r="U237" s="2"/>
      <c r="V237" s="2"/>
      <c r="W237" s="2"/>
    </row>
  </sheetData>
  <mergeCells count="25">
    <mergeCell ref="BP32:CK32"/>
    <mergeCell ref="AK33:BF33"/>
    <mergeCell ref="BP33:CK33"/>
    <mergeCell ref="AK34:BF34"/>
    <mergeCell ref="BP34:CK34"/>
    <mergeCell ref="B117:B131"/>
    <mergeCell ref="B5:B27"/>
    <mergeCell ref="B31:B54"/>
    <mergeCell ref="K32:K34"/>
    <mergeCell ref="AK32:BF32"/>
    <mergeCell ref="K35:K39"/>
    <mergeCell ref="K43:K44"/>
    <mergeCell ref="B64:B77"/>
    <mergeCell ref="B83:B96"/>
    <mergeCell ref="B99:B106"/>
    <mergeCell ref="B109:B114"/>
    <mergeCell ref="B194:B195"/>
    <mergeCell ref="B198:B199"/>
    <mergeCell ref="B207:B212"/>
    <mergeCell ref="B134:B149"/>
    <mergeCell ref="B151:B157"/>
    <mergeCell ref="B159:B173"/>
    <mergeCell ref="B175:B176"/>
    <mergeCell ref="B178:B183"/>
    <mergeCell ref="B190:B191"/>
  </mergeCells>
  <dataValidations count="1">
    <dataValidation allowBlank="1" showErrorMessage="1" sqref="D100:D108" xr:uid="{510C92F8-00F1-484B-8F5E-5F406892D335}"/>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M91"/>
  <sheetViews>
    <sheetView workbookViewId="0"/>
  </sheetViews>
  <sheetFormatPr defaultColWidth="9.1796875" defaultRowHeight="14.5"/>
  <cols>
    <col min="1" max="1" width="11.1796875" customWidth="1"/>
    <col min="2" max="2" width="33.81640625" style="4" customWidth="1"/>
    <col min="3" max="3" width="60.54296875" style="4" customWidth="1"/>
    <col min="4" max="4" width="38.81640625" customWidth="1"/>
    <col min="5" max="5" width="25.1796875" style="79" customWidth="1"/>
    <col min="6" max="6" width="21" customWidth="1"/>
    <col min="7" max="7" width="27.453125" customWidth="1"/>
    <col min="8" max="8" width="19.81640625" style="4" customWidth="1"/>
    <col min="9" max="9" width="19.81640625" style="333" customWidth="1"/>
    <col min="10" max="11" width="19.81640625" style="4" customWidth="1"/>
    <col min="12" max="12" width="15.1796875" style="4" customWidth="1"/>
    <col min="13" max="13" width="15.1796875" style="90" customWidth="1"/>
    <col min="14" max="14" width="15.1796875" customWidth="1"/>
    <col min="15" max="15" width="19.81640625" customWidth="1"/>
    <col min="16" max="24" width="19.81640625" style="2" customWidth="1"/>
    <col min="25" max="26" width="19.81640625" customWidth="1"/>
    <col min="27" max="37" width="13.54296875" customWidth="1"/>
    <col min="38" max="39" width="19.81640625" customWidth="1"/>
  </cols>
  <sheetData>
    <row r="1" spans="1:39" ht="51" customHeight="1">
      <c r="B1" s="22" t="s">
        <v>471</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row>
    <row r="2" spans="1:39" ht="14.25" customHeight="1">
      <c r="B2"/>
      <c r="C2"/>
      <c r="E2"/>
      <c r="H2"/>
      <c r="I2"/>
      <c r="J2"/>
      <c r="K2"/>
      <c r="L2"/>
      <c r="M2"/>
      <c r="P2"/>
      <c r="Q2"/>
      <c r="R2"/>
      <c r="S2"/>
      <c r="T2"/>
      <c r="U2"/>
      <c r="V2"/>
      <c r="W2"/>
      <c r="X2"/>
    </row>
    <row r="3" spans="1:39" ht="16" thickBot="1">
      <c r="B3" s="336"/>
      <c r="C3" s="336" t="s">
        <v>472</v>
      </c>
      <c r="D3" s="337">
        <v>5</v>
      </c>
      <c r="E3" s="337"/>
      <c r="F3" s="336"/>
      <c r="G3" s="336"/>
      <c r="H3"/>
      <c r="I3"/>
      <c r="J3"/>
      <c r="K3"/>
      <c r="L3"/>
      <c r="M3"/>
      <c r="O3" s="2"/>
      <c r="X3"/>
      <c r="AA3" s="338"/>
      <c r="AB3" s="338"/>
      <c r="AC3" s="338"/>
      <c r="AD3" s="338"/>
      <c r="AE3" s="338"/>
      <c r="AF3" s="338"/>
      <c r="AG3" s="338"/>
      <c r="AH3" s="338"/>
      <c r="AI3" s="338"/>
      <c r="AJ3" s="338"/>
      <c r="AK3" s="338"/>
      <c r="AL3" s="338"/>
    </row>
    <row r="4" spans="1:39">
      <c r="B4"/>
      <c r="C4"/>
      <c r="E4"/>
      <c r="H4"/>
      <c r="I4"/>
      <c r="J4"/>
      <c r="K4"/>
      <c r="L4"/>
      <c r="M4"/>
      <c r="P4"/>
      <c r="Q4"/>
      <c r="R4"/>
      <c r="S4"/>
      <c r="T4"/>
      <c r="U4"/>
      <c r="V4"/>
      <c r="W4"/>
      <c r="X4"/>
      <c r="AA4" s="339" t="s">
        <v>473</v>
      </c>
      <c r="AB4" s="340"/>
      <c r="AC4" s="340"/>
      <c r="AD4" s="340"/>
      <c r="AE4" s="341" t="s">
        <v>174</v>
      </c>
      <c r="AF4" s="342" t="s">
        <v>474</v>
      </c>
      <c r="AG4" s="343" t="s">
        <v>475</v>
      </c>
      <c r="AH4" s="344"/>
      <c r="AI4" s="344"/>
      <c r="AJ4" s="344"/>
      <c r="AK4" s="345"/>
      <c r="AL4" s="346"/>
    </row>
    <row r="5" spans="1:39" ht="15" thickBot="1">
      <c r="B5"/>
      <c r="C5"/>
      <c r="E5"/>
      <c r="H5"/>
      <c r="I5"/>
      <c r="J5"/>
      <c r="K5"/>
      <c r="L5"/>
      <c r="M5"/>
      <c r="P5"/>
      <c r="Q5"/>
      <c r="R5"/>
      <c r="S5"/>
      <c r="T5"/>
      <c r="U5"/>
      <c r="V5"/>
      <c r="W5"/>
      <c r="X5"/>
    </row>
    <row r="6" spans="1:39" s="175" customFormat="1" ht="40.5" customHeight="1">
      <c r="A6" s="347"/>
      <c r="B6" s="348" t="s">
        <v>476</v>
      </c>
      <c r="C6" s="349" t="s">
        <v>477</v>
      </c>
      <c r="D6" s="350" t="s">
        <v>478</v>
      </c>
      <c r="E6" s="351" t="s">
        <v>479</v>
      </c>
      <c r="F6" s="352" t="s">
        <v>480</v>
      </c>
      <c r="G6" s="352" t="s">
        <v>481</v>
      </c>
      <c r="H6" s="352" t="s">
        <v>482</v>
      </c>
      <c r="I6" s="352" t="s">
        <v>483</v>
      </c>
      <c r="J6" s="352" t="s">
        <v>484</v>
      </c>
      <c r="K6" s="352" t="s">
        <v>1686</v>
      </c>
      <c r="L6" s="353" t="s">
        <v>485</v>
      </c>
      <c r="M6" s="354" t="s">
        <v>486</v>
      </c>
      <c r="N6" s="354" t="s">
        <v>487</v>
      </c>
      <c r="O6" s="355" t="s">
        <v>488</v>
      </c>
      <c r="P6" s="356" t="s">
        <v>489</v>
      </c>
      <c r="Q6" s="357" t="s">
        <v>490</v>
      </c>
      <c r="R6" s="358" t="s">
        <v>491</v>
      </c>
      <c r="S6" s="358" t="s">
        <v>492</v>
      </c>
      <c r="T6" s="358" t="s">
        <v>493</v>
      </c>
      <c r="U6" s="358" t="s">
        <v>494</v>
      </c>
      <c r="V6" s="359" t="s">
        <v>495</v>
      </c>
      <c r="W6" s="359" t="s">
        <v>496</v>
      </c>
      <c r="X6" s="359" t="s">
        <v>497</v>
      </c>
      <c r="Y6" s="359" t="s">
        <v>498</v>
      </c>
      <c r="Z6" s="359" t="s">
        <v>499</v>
      </c>
      <c r="AA6" s="360" t="s">
        <v>500</v>
      </c>
      <c r="AB6" s="360" t="s">
        <v>501</v>
      </c>
      <c r="AC6" s="360" t="s">
        <v>502</v>
      </c>
      <c r="AD6" s="360" t="s">
        <v>503</v>
      </c>
      <c r="AE6" s="360" t="s">
        <v>504</v>
      </c>
      <c r="AF6" s="360" t="s">
        <v>505</v>
      </c>
      <c r="AG6" s="360" t="s">
        <v>506</v>
      </c>
      <c r="AH6" s="360" t="s">
        <v>507</v>
      </c>
      <c r="AI6" s="360" t="s">
        <v>508</v>
      </c>
      <c r="AJ6" s="360" t="s">
        <v>509</v>
      </c>
      <c r="AK6" s="361" t="s">
        <v>510</v>
      </c>
      <c r="AL6" s="362" t="s">
        <v>511</v>
      </c>
      <c r="AM6"/>
    </row>
    <row r="7" spans="1:39">
      <c r="B7" s="363" t="s">
        <v>512</v>
      </c>
      <c r="C7" s="363" t="s">
        <v>513</v>
      </c>
      <c r="D7" s="364">
        <v>94072010327</v>
      </c>
      <c r="E7" s="365" t="s">
        <v>155</v>
      </c>
      <c r="F7" s="366" t="s">
        <v>148</v>
      </c>
      <c r="G7" s="366" t="s">
        <v>157</v>
      </c>
      <c r="H7" s="367" t="s">
        <v>514</v>
      </c>
      <c r="I7" s="368" t="s">
        <v>515</v>
      </c>
      <c r="J7" s="367" t="s">
        <v>516</v>
      </c>
      <c r="K7" s="1897" t="s">
        <v>1690</v>
      </c>
      <c r="L7" s="369">
        <v>5</v>
      </c>
      <c r="M7" s="370">
        <v>5</v>
      </c>
      <c r="N7" s="371">
        <v>5</v>
      </c>
      <c r="O7" s="372" t="s">
        <v>517</v>
      </c>
      <c r="P7" s="366" t="s">
        <v>514</v>
      </c>
      <c r="Q7" s="373" t="s">
        <v>518</v>
      </c>
      <c r="R7" s="374" t="s">
        <v>519</v>
      </c>
      <c r="S7" s="374" t="s">
        <v>520</v>
      </c>
      <c r="T7" s="374" t="s">
        <v>155</v>
      </c>
      <c r="U7" s="375">
        <v>3000</v>
      </c>
      <c r="V7" s="373" t="s">
        <v>521</v>
      </c>
      <c r="W7" s="374"/>
      <c r="X7" s="374" t="s">
        <v>520</v>
      </c>
      <c r="Y7" s="374" t="s">
        <v>155</v>
      </c>
      <c r="Z7" s="375">
        <v>3001</v>
      </c>
      <c r="AA7" s="376" t="s">
        <v>522</v>
      </c>
      <c r="AB7" s="377" t="s">
        <v>522</v>
      </c>
      <c r="AC7" s="377" t="s">
        <v>522</v>
      </c>
      <c r="AD7" s="377" t="s">
        <v>522</v>
      </c>
      <c r="AE7" s="377" t="s">
        <v>522</v>
      </c>
      <c r="AF7" s="376" t="s">
        <v>514</v>
      </c>
      <c r="AG7" s="376" t="s">
        <v>523</v>
      </c>
      <c r="AH7" s="377" t="s">
        <v>524</v>
      </c>
      <c r="AI7" s="377" t="s">
        <v>525</v>
      </c>
      <c r="AJ7" s="378" t="s">
        <v>526</v>
      </c>
      <c r="AK7" s="376"/>
      <c r="AL7" s="379" t="s">
        <v>522</v>
      </c>
    </row>
    <row r="8" spans="1:39">
      <c r="B8" s="363" t="s">
        <v>156</v>
      </c>
      <c r="C8" s="363" t="s">
        <v>527</v>
      </c>
      <c r="D8" s="364" t="s">
        <v>528</v>
      </c>
      <c r="E8" s="365" t="s">
        <v>155</v>
      </c>
      <c r="F8" s="366" t="s">
        <v>148</v>
      </c>
      <c r="G8" s="366" t="s">
        <v>157</v>
      </c>
      <c r="H8" s="367" t="s">
        <v>229</v>
      </c>
      <c r="I8" s="368" t="s">
        <v>515</v>
      </c>
      <c r="J8" s="367" t="s">
        <v>516</v>
      </c>
      <c r="K8" s="1898" t="s">
        <v>1691</v>
      </c>
      <c r="L8" s="380">
        <v>5</v>
      </c>
      <c r="M8" s="381">
        <v>5</v>
      </c>
      <c r="N8" s="382">
        <v>5</v>
      </c>
      <c r="O8" s="372">
        <v>2</v>
      </c>
      <c r="P8" s="366" t="s">
        <v>529</v>
      </c>
      <c r="Q8" s="373" t="s">
        <v>530</v>
      </c>
      <c r="R8" s="374" t="s">
        <v>531</v>
      </c>
      <c r="S8" s="374" t="s">
        <v>532</v>
      </c>
      <c r="T8" s="374" t="s">
        <v>155</v>
      </c>
      <c r="U8" s="375">
        <v>3006</v>
      </c>
      <c r="V8" s="373" t="s">
        <v>533</v>
      </c>
      <c r="W8" s="374"/>
      <c r="X8" s="374" t="s">
        <v>534</v>
      </c>
      <c r="Y8" s="383" t="s">
        <v>155</v>
      </c>
      <c r="Z8" s="375">
        <v>8001</v>
      </c>
      <c r="AA8" s="376" t="s">
        <v>522</v>
      </c>
      <c r="AB8" s="377" t="s">
        <v>522</v>
      </c>
      <c r="AC8" s="377" t="s">
        <v>522</v>
      </c>
      <c r="AD8" s="377" t="s">
        <v>522</v>
      </c>
      <c r="AE8" s="377" t="s">
        <v>522</v>
      </c>
      <c r="AF8" s="376" t="s">
        <v>514</v>
      </c>
      <c r="AG8" s="376" t="s">
        <v>523</v>
      </c>
      <c r="AH8" s="377" t="s">
        <v>524</v>
      </c>
      <c r="AI8" s="377" t="s">
        <v>525</v>
      </c>
      <c r="AJ8" s="378" t="s">
        <v>526</v>
      </c>
      <c r="AK8" s="376"/>
      <c r="AL8" s="379" t="s">
        <v>522</v>
      </c>
    </row>
    <row r="9" spans="1:39">
      <c r="B9" s="384" t="s">
        <v>19</v>
      </c>
      <c r="C9" s="384" t="s">
        <v>19</v>
      </c>
      <c r="D9" s="385">
        <v>11222333444</v>
      </c>
      <c r="E9" s="386" t="s">
        <v>514</v>
      </c>
      <c r="F9" s="387" t="s">
        <v>148</v>
      </c>
      <c r="G9" s="387" t="s">
        <v>157</v>
      </c>
      <c r="H9" s="388" t="s">
        <v>229</v>
      </c>
      <c r="I9" s="389" t="s">
        <v>515</v>
      </c>
      <c r="J9" s="388" t="s">
        <v>535</v>
      </c>
      <c r="K9" s="1892" t="s">
        <v>1693</v>
      </c>
      <c r="L9" s="380">
        <v>5</v>
      </c>
      <c r="M9" s="381">
        <v>5</v>
      </c>
      <c r="N9" s="382">
        <v>5</v>
      </c>
      <c r="O9" s="390">
        <v>5</v>
      </c>
      <c r="P9" s="387" t="s">
        <v>529</v>
      </c>
      <c r="Q9" s="391" t="s">
        <v>536</v>
      </c>
      <c r="R9" s="392"/>
      <c r="S9" s="392" t="s">
        <v>537</v>
      </c>
      <c r="T9" s="392" t="s">
        <v>153</v>
      </c>
      <c r="U9" s="393">
        <v>2000</v>
      </c>
      <c r="V9" s="391" t="s">
        <v>538</v>
      </c>
      <c r="W9" s="392"/>
      <c r="X9" s="392" t="s">
        <v>537</v>
      </c>
      <c r="Y9" s="392" t="s">
        <v>153</v>
      </c>
      <c r="Z9" s="393">
        <v>2000</v>
      </c>
      <c r="AA9" s="376" t="s">
        <v>522</v>
      </c>
      <c r="AB9" s="377" t="s">
        <v>522</v>
      </c>
      <c r="AC9" s="377" t="s">
        <v>522</v>
      </c>
      <c r="AD9" s="377" t="s">
        <v>522</v>
      </c>
      <c r="AE9" s="377" t="s">
        <v>522</v>
      </c>
      <c r="AF9" s="376" t="s">
        <v>514</v>
      </c>
      <c r="AG9" s="376" t="s">
        <v>523</v>
      </c>
      <c r="AH9" s="377" t="s">
        <v>524</v>
      </c>
      <c r="AI9" s="377" t="s">
        <v>525</v>
      </c>
      <c r="AJ9" s="378" t="s">
        <v>526</v>
      </c>
      <c r="AK9" s="376"/>
      <c r="AL9" s="379" t="s">
        <v>522</v>
      </c>
    </row>
    <row r="10" spans="1:39">
      <c r="B10" s="363" t="s">
        <v>159</v>
      </c>
      <c r="C10" s="363" t="s">
        <v>159</v>
      </c>
      <c r="D10" s="364">
        <v>16779340889</v>
      </c>
      <c r="E10" s="365" t="s">
        <v>160</v>
      </c>
      <c r="F10" s="366" t="s">
        <v>148</v>
      </c>
      <c r="G10" s="366" t="s">
        <v>157</v>
      </c>
      <c r="H10" s="367" t="s">
        <v>229</v>
      </c>
      <c r="I10" s="368" t="s">
        <v>515</v>
      </c>
      <c r="J10" s="367" t="s">
        <v>535</v>
      </c>
      <c r="K10" s="1897" t="s">
        <v>1692</v>
      </c>
      <c r="L10" s="380">
        <v>5</v>
      </c>
      <c r="M10" s="381">
        <v>5</v>
      </c>
      <c r="N10" s="382">
        <v>5</v>
      </c>
      <c r="O10" s="372">
        <v>5</v>
      </c>
      <c r="P10" s="366" t="s">
        <v>529</v>
      </c>
      <c r="Q10" s="373" t="s">
        <v>539</v>
      </c>
      <c r="R10" s="374" t="s">
        <v>540</v>
      </c>
      <c r="S10" s="374" t="s">
        <v>537</v>
      </c>
      <c r="T10" s="394" t="s">
        <v>153</v>
      </c>
      <c r="U10" s="375">
        <v>2000</v>
      </c>
      <c r="V10" s="373" t="s">
        <v>541</v>
      </c>
      <c r="W10" s="374"/>
      <c r="X10" s="374" t="s">
        <v>542</v>
      </c>
      <c r="Y10" s="374" t="s">
        <v>153</v>
      </c>
      <c r="Z10" s="375">
        <v>1225</v>
      </c>
      <c r="AA10" s="376" t="s">
        <v>522</v>
      </c>
      <c r="AB10" s="377" t="s">
        <v>522</v>
      </c>
      <c r="AC10" s="377" t="s">
        <v>522</v>
      </c>
      <c r="AD10" s="377" t="s">
        <v>522</v>
      </c>
      <c r="AE10" s="377" t="s">
        <v>522</v>
      </c>
      <c r="AF10" s="376" t="s">
        <v>514</v>
      </c>
      <c r="AG10" s="376" t="s">
        <v>523</v>
      </c>
      <c r="AH10" s="377" t="s">
        <v>524</v>
      </c>
      <c r="AI10" s="377" t="s">
        <v>525</v>
      </c>
      <c r="AJ10" s="378" t="s">
        <v>526</v>
      </c>
      <c r="AK10" s="376"/>
      <c r="AL10" s="379" t="s">
        <v>522</v>
      </c>
    </row>
    <row r="11" spans="1:39">
      <c r="B11" s="363" t="s">
        <v>168</v>
      </c>
      <c r="C11" s="363" t="s">
        <v>168</v>
      </c>
      <c r="D11" s="364">
        <v>79181207909</v>
      </c>
      <c r="E11" s="365" t="s">
        <v>162</v>
      </c>
      <c r="F11" s="366" t="s">
        <v>148</v>
      </c>
      <c r="G11" s="366" t="s">
        <v>157</v>
      </c>
      <c r="H11" s="367" t="s">
        <v>229</v>
      </c>
      <c r="I11" s="368" t="s">
        <v>515</v>
      </c>
      <c r="J11" s="367" t="s">
        <v>535</v>
      </c>
      <c r="K11" s="1898" t="s">
        <v>1694</v>
      </c>
      <c r="L11" s="369">
        <v>5</v>
      </c>
      <c r="M11" s="370">
        <v>5</v>
      </c>
      <c r="N11" s="371">
        <v>5</v>
      </c>
      <c r="O11" s="372">
        <v>5</v>
      </c>
      <c r="P11" s="366" t="s">
        <v>529</v>
      </c>
      <c r="Q11" s="373" t="s">
        <v>548</v>
      </c>
      <c r="R11" s="374" t="s">
        <v>540</v>
      </c>
      <c r="S11" s="374" t="s">
        <v>537</v>
      </c>
      <c r="T11" s="394" t="s">
        <v>153</v>
      </c>
      <c r="U11" s="375">
        <v>2000</v>
      </c>
      <c r="V11" s="373" t="s">
        <v>541</v>
      </c>
      <c r="W11" s="374"/>
      <c r="X11" s="374" t="s">
        <v>542</v>
      </c>
      <c r="Y11" s="374" t="s">
        <v>153</v>
      </c>
      <c r="Z11" s="375">
        <v>1225</v>
      </c>
      <c r="AA11" s="376" t="s">
        <v>522</v>
      </c>
      <c r="AB11" s="377" t="s">
        <v>522</v>
      </c>
      <c r="AC11" s="377" t="s">
        <v>522</v>
      </c>
      <c r="AD11" s="377" t="s">
        <v>522</v>
      </c>
      <c r="AE11" s="377" t="s">
        <v>522</v>
      </c>
      <c r="AF11" s="376" t="s">
        <v>514</v>
      </c>
      <c r="AG11" s="376" t="s">
        <v>523</v>
      </c>
      <c r="AH11" s="377" t="s">
        <v>524</v>
      </c>
      <c r="AI11" s="377" t="s">
        <v>525</v>
      </c>
      <c r="AJ11" s="378" t="s">
        <v>526</v>
      </c>
      <c r="AK11" s="376"/>
      <c r="AL11" s="379" t="s">
        <v>522</v>
      </c>
    </row>
    <row r="12" spans="1:39">
      <c r="B12" s="363" t="s">
        <v>161</v>
      </c>
      <c r="C12" s="363" t="s">
        <v>161</v>
      </c>
      <c r="D12" s="364">
        <v>41094482416</v>
      </c>
      <c r="E12" s="365" t="s">
        <v>162</v>
      </c>
      <c r="F12" s="366" t="s">
        <v>148</v>
      </c>
      <c r="G12" s="366" t="s">
        <v>157</v>
      </c>
      <c r="H12" s="367" t="s">
        <v>229</v>
      </c>
      <c r="I12" s="368" t="s">
        <v>515</v>
      </c>
      <c r="J12" s="367" t="s">
        <v>535</v>
      </c>
      <c r="K12" s="1897" t="s">
        <v>1695</v>
      </c>
      <c r="L12" s="369">
        <v>5</v>
      </c>
      <c r="M12" s="370">
        <v>5</v>
      </c>
      <c r="N12" s="371">
        <v>5</v>
      </c>
      <c r="O12" s="372">
        <v>5</v>
      </c>
      <c r="P12" s="366" t="s">
        <v>529</v>
      </c>
      <c r="Q12" s="373" t="s">
        <v>543</v>
      </c>
      <c r="R12" s="374" t="s">
        <v>544</v>
      </c>
      <c r="S12" s="374" t="s">
        <v>545</v>
      </c>
      <c r="T12" s="374" t="s">
        <v>162</v>
      </c>
      <c r="U12" s="375">
        <v>5000</v>
      </c>
      <c r="V12" s="373" t="s">
        <v>546</v>
      </c>
      <c r="W12" s="374" t="s">
        <v>547</v>
      </c>
      <c r="X12" s="374" t="s">
        <v>545</v>
      </c>
      <c r="Y12" s="374" t="s">
        <v>162</v>
      </c>
      <c r="Z12" s="395">
        <v>5000</v>
      </c>
      <c r="AA12" s="376" t="s">
        <v>522</v>
      </c>
      <c r="AB12" s="377" t="s">
        <v>522</v>
      </c>
      <c r="AC12" s="377" t="s">
        <v>522</v>
      </c>
      <c r="AD12" s="377" t="s">
        <v>522</v>
      </c>
      <c r="AE12" s="377" t="s">
        <v>522</v>
      </c>
      <c r="AF12" s="376" t="s">
        <v>514</v>
      </c>
      <c r="AG12" s="376" t="s">
        <v>523</v>
      </c>
      <c r="AH12" s="377" t="s">
        <v>524</v>
      </c>
      <c r="AI12" s="377" t="s">
        <v>525</v>
      </c>
      <c r="AJ12" s="378" t="s">
        <v>526</v>
      </c>
      <c r="AK12" s="376"/>
      <c r="AL12" s="379" t="s">
        <v>522</v>
      </c>
    </row>
    <row r="13" spans="1:39" ht="28">
      <c r="B13" s="363" t="s">
        <v>172</v>
      </c>
      <c r="C13" s="396" t="s">
        <v>549</v>
      </c>
      <c r="D13" s="364">
        <v>82078849233</v>
      </c>
      <c r="E13" s="365" t="s">
        <v>160</v>
      </c>
      <c r="F13" s="366" t="s">
        <v>148</v>
      </c>
      <c r="G13" s="366" t="s">
        <v>157</v>
      </c>
      <c r="H13" s="367" t="s">
        <v>229</v>
      </c>
      <c r="I13" s="368" t="s">
        <v>515</v>
      </c>
      <c r="J13" s="367" t="s">
        <v>535</v>
      </c>
      <c r="K13" s="1898" t="s">
        <v>1696</v>
      </c>
      <c r="L13" s="380">
        <v>5</v>
      </c>
      <c r="M13" s="381">
        <v>5</v>
      </c>
      <c r="N13" s="382">
        <v>5</v>
      </c>
      <c r="O13" s="372">
        <v>5</v>
      </c>
      <c r="P13" s="366" t="s">
        <v>529</v>
      </c>
      <c r="Q13" s="373" t="s">
        <v>550</v>
      </c>
      <c r="R13" s="374"/>
      <c r="S13" s="374" t="s">
        <v>551</v>
      </c>
      <c r="T13" s="374" t="s">
        <v>160</v>
      </c>
      <c r="U13" s="375">
        <v>4014</v>
      </c>
      <c r="V13" s="373" t="s">
        <v>552</v>
      </c>
      <c r="W13" s="374"/>
      <c r="X13" s="374" t="s">
        <v>551</v>
      </c>
      <c r="Y13" s="374" t="s">
        <v>553</v>
      </c>
      <c r="Z13" s="375">
        <v>4014</v>
      </c>
      <c r="AA13" s="376" t="s">
        <v>522</v>
      </c>
      <c r="AB13" s="377" t="s">
        <v>522</v>
      </c>
      <c r="AC13" s="377" t="s">
        <v>522</v>
      </c>
      <c r="AD13" s="377" t="s">
        <v>522</v>
      </c>
      <c r="AE13" s="377" t="s">
        <v>522</v>
      </c>
      <c r="AF13" s="376" t="s">
        <v>514</v>
      </c>
      <c r="AG13" s="376" t="s">
        <v>523</v>
      </c>
      <c r="AH13" s="377" t="s">
        <v>524</v>
      </c>
      <c r="AI13" s="377" t="s">
        <v>525</v>
      </c>
      <c r="AJ13" s="378" t="s">
        <v>526</v>
      </c>
      <c r="AK13" s="376"/>
      <c r="AL13" s="379" t="s">
        <v>522</v>
      </c>
    </row>
    <row r="14" spans="1:39">
      <c r="B14" s="363" t="s">
        <v>176</v>
      </c>
      <c r="C14" s="363" t="s">
        <v>176</v>
      </c>
      <c r="D14" s="364">
        <v>24167357299</v>
      </c>
      <c r="E14" s="365" t="s">
        <v>175</v>
      </c>
      <c r="F14" s="366" t="s">
        <v>148</v>
      </c>
      <c r="G14" s="366" t="s">
        <v>157</v>
      </c>
      <c r="H14" s="367" t="s">
        <v>229</v>
      </c>
      <c r="I14" s="368" t="s">
        <v>515</v>
      </c>
      <c r="J14" s="367" t="s">
        <v>535</v>
      </c>
      <c r="K14" s="1899" t="s">
        <v>1697</v>
      </c>
      <c r="L14" s="380">
        <v>5</v>
      </c>
      <c r="M14" s="381">
        <v>5</v>
      </c>
      <c r="N14" s="382">
        <v>5</v>
      </c>
      <c r="O14" s="372">
        <v>5</v>
      </c>
      <c r="P14" s="366" t="s">
        <v>529</v>
      </c>
      <c r="Q14" s="373" t="s">
        <v>554</v>
      </c>
      <c r="R14" s="374"/>
      <c r="S14" s="374" t="s">
        <v>555</v>
      </c>
      <c r="T14" s="374" t="s">
        <v>175</v>
      </c>
      <c r="U14" s="375">
        <v>7008</v>
      </c>
      <c r="V14" s="373" t="s">
        <v>556</v>
      </c>
      <c r="W14" s="374"/>
      <c r="X14" s="374" t="s">
        <v>557</v>
      </c>
      <c r="Y14" s="374" t="s">
        <v>175</v>
      </c>
      <c r="Z14" s="375">
        <v>7009</v>
      </c>
      <c r="AA14" s="376" t="s">
        <v>522</v>
      </c>
      <c r="AB14" s="377" t="s">
        <v>522</v>
      </c>
      <c r="AC14" s="377" t="s">
        <v>522</v>
      </c>
      <c r="AD14" s="377" t="s">
        <v>522</v>
      </c>
      <c r="AE14" s="377" t="s">
        <v>522</v>
      </c>
      <c r="AF14" s="376" t="s">
        <v>514</v>
      </c>
      <c r="AG14" s="376" t="s">
        <v>523</v>
      </c>
      <c r="AH14" s="377" t="s">
        <v>524</v>
      </c>
      <c r="AI14" s="377" t="s">
        <v>525</v>
      </c>
      <c r="AJ14" s="378" t="s">
        <v>526</v>
      </c>
      <c r="AK14" s="376"/>
      <c r="AL14" s="379" t="s">
        <v>522</v>
      </c>
    </row>
    <row r="15" spans="1:39" ht="15" thickBot="1">
      <c r="B15" s="397" t="s">
        <v>1211</v>
      </c>
      <c r="C15" s="397" t="s">
        <v>1611</v>
      </c>
      <c r="D15" s="398" t="s">
        <v>558</v>
      </c>
      <c r="E15" s="399" t="s">
        <v>153</v>
      </c>
      <c r="F15" s="400" t="s">
        <v>148</v>
      </c>
      <c r="G15" s="400" t="s">
        <v>157</v>
      </c>
      <c r="H15" s="401" t="s">
        <v>229</v>
      </c>
      <c r="I15" s="402" t="s">
        <v>515</v>
      </c>
      <c r="J15" s="401" t="s">
        <v>535</v>
      </c>
      <c r="K15" s="401" t="s">
        <v>1698</v>
      </c>
      <c r="L15" s="403">
        <v>4</v>
      </c>
      <c r="M15" s="404">
        <v>5</v>
      </c>
      <c r="N15" s="405">
        <v>5</v>
      </c>
      <c r="O15" s="406">
        <v>5</v>
      </c>
      <c r="P15" s="400" t="s">
        <v>529</v>
      </c>
      <c r="Q15" s="407" t="s">
        <v>559</v>
      </c>
      <c r="R15" s="408"/>
      <c r="S15" s="408" t="s">
        <v>537</v>
      </c>
      <c r="T15" s="408" t="s">
        <v>153</v>
      </c>
      <c r="U15" s="409">
        <v>2000</v>
      </c>
      <c r="V15" s="407" t="s">
        <v>560</v>
      </c>
      <c r="W15" s="408"/>
      <c r="X15" s="408" t="s">
        <v>561</v>
      </c>
      <c r="Y15" s="408" t="s">
        <v>153</v>
      </c>
      <c r="Z15" s="409">
        <v>1235</v>
      </c>
      <c r="AA15" s="410" t="s">
        <v>522</v>
      </c>
      <c r="AB15" s="411" t="s">
        <v>522</v>
      </c>
      <c r="AC15" s="411" t="s">
        <v>522</v>
      </c>
      <c r="AD15" s="411" t="s">
        <v>522</v>
      </c>
      <c r="AE15" s="411" t="s">
        <v>522</v>
      </c>
      <c r="AF15" s="410" t="s">
        <v>514</v>
      </c>
      <c r="AG15" s="410" t="s">
        <v>523</v>
      </c>
      <c r="AH15" s="411" t="s">
        <v>524</v>
      </c>
      <c r="AI15" s="411" t="s">
        <v>525</v>
      </c>
      <c r="AJ15" s="412" t="s">
        <v>526</v>
      </c>
      <c r="AK15" s="410"/>
      <c r="AL15" s="413" t="s">
        <v>522</v>
      </c>
    </row>
    <row r="16" spans="1:39">
      <c r="C16" s="84"/>
      <c r="Y16" s="2"/>
    </row>
    <row r="17" spans="2:26">
      <c r="C17" s="84"/>
      <c r="Y17" s="2"/>
    </row>
    <row r="18" spans="2:26">
      <c r="C18" s="84"/>
      <c r="Y18" s="2"/>
    </row>
    <row r="19" spans="2:26">
      <c r="C19" s="84"/>
      <c r="Y19" s="2"/>
    </row>
    <row r="20" spans="2:26" ht="15" thickBot="1">
      <c r="C20" s="84"/>
      <c r="H20"/>
      <c r="I20"/>
      <c r="J20"/>
      <c r="K20"/>
      <c r="L20"/>
      <c r="Y20" s="2"/>
    </row>
    <row r="21" spans="2:26" ht="47.25" customHeight="1" thickBot="1">
      <c r="B21" s="2195" t="s">
        <v>562</v>
      </c>
      <c r="C21" s="2196"/>
      <c r="D21" s="2196"/>
      <c r="E21" s="2196"/>
      <c r="H21"/>
      <c r="I21"/>
      <c r="J21"/>
      <c r="K21"/>
      <c r="L21"/>
      <c r="M21" s="4"/>
      <c r="N21" s="4"/>
      <c r="O21" s="90"/>
      <c r="P21"/>
      <c r="Q21"/>
      <c r="Y21" s="2"/>
      <c r="Z21" s="2"/>
    </row>
    <row r="22" spans="2:26" ht="31.5" customHeight="1" thickBot="1">
      <c r="B22" s="414" t="s">
        <v>563</v>
      </c>
      <c r="C22" s="415" t="s">
        <v>564</v>
      </c>
      <c r="D22" s="416" t="s">
        <v>565</v>
      </c>
      <c r="E22" s="417" t="s">
        <v>566</v>
      </c>
      <c r="H22"/>
      <c r="I22"/>
      <c r="J22"/>
      <c r="K22"/>
      <c r="L22"/>
      <c r="M22" s="5"/>
      <c r="N22" s="5"/>
      <c r="O22" s="418"/>
      <c r="P22"/>
      <c r="Q22"/>
      <c r="Y22" s="2"/>
      <c r="Z22" s="2"/>
    </row>
    <row r="23" spans="2:26">
      <c r="B23" s="1893" t="s">
        <v>1687</v>
      </c>
      <c r="C23" s="1894" t="s">
        <v>1688</v>
      </c>
      <c r="D23" s="1895" t="str">
        <f>IF(dms_MultiYear_ResponseFlag="yes","NEW HISTORICAL ANNUAL REPORTING","ANNUAL REPORTING")</f>
        <v>ANNUAL REPORTING</v>
      </c>
      <c r="E23" s="419">
        <v>1</v>
      </c>
      <c r="H23"/>
      <c r="I23"/>
      <c r="J23"/>
      <c r="K23"/>
      <c r="L23"/>
      <c r="M23" s="4"/>
      <c r="N23" s="4"/>
      <c r="O23" s="90"/>
      <c r="P23"/>
      <c r="Q23"/>
      <c r="Y23" s="2"/>
      <c r="Z23" s="2"/>
    </row>
    <row r="24" spans="2:26">
      <c r="B24" s="420" t="s">
        <v>567</v>
      </c>
      <c r="C24" s="420" t="s">
        <v>568</v>
      </c>
      <c r="D24" s="421" t="str">
        <f>IF(dms_MultiYear_ResponseFlag="yes","NEW HISTORICAL CATEGORY ANALYSIS","CATEGORY ANALYSIS")</f>
        <v>CATEGORY ANALYSIS</v>
      </c>
      <c r="E24" s="422">
        <v>1</v>
      </c>
      <c r="H24"/>
      <c r="I24"/>
      <c r="J24"/>
      <c r="K24"/>
      <c r="L24"/>
      <c r="M24" s="4"/>
      <c r="N24" s="4"/>
      <c r="O24" s="90"/>
      <c r="P24"/>
      <c r="Q24"/>
      <c r="Y24" s="2"/>
      <c r="Z24" s="2"/>
    </row>
    <row r="25" spans="2:26">
      <c r="B25" s="420" t="s">
        <v>569</v>
      </c>
      <c r="C25" s="420" t="s">
        <v>570</v>
      </c>
      <c r="D25" s="421" t="s">
        <v>571</v>
      </c>
      <c r="E25" s="422">
        <v>5</v>
      </c>
      <c r="H25"/>
      <c r="I25"/>
      <c r="J25"/>
      <c r="K25"/>
      <c r="L25"/>
      <c r="M25"/>
      <c r="N25" s="4"/>
      <c r="O25" s="90"/>
      <c r="P25"/>
      <c r="Q25"/>
      <c r="Y25" s="2"/>
      <c r="Z25" s="2"/>
    </row>
    <row r="26" spans="2:26">
      <c r="B26" s="420" t="s">
        <v>572</v>
      </c>
      <c r="C26" s="420" t="s">
        <v>572</v>
      </c>
      <c r="D26" s="421" t="s">
        <v>572</v>
      </c>
      <c r="E26" s="422">
        <v>5</v>
      </c>
      <c r="H26"/>
      <c r="I26"/>
      <c r="J26"/>
      <c r="K26"/>
      <c r="L26"/>
      <c r="M26"/>
      <c r="N26" s="4"/>
      <c r="O26" s="90"/>
      <c r="P26"/>
      <c r="Q26"/>
      <c r="Y26" s="2"/>
      <c r="Z26" s="2"/>
    </row>
    <row r="27" spans="2:26">
      <c r="B27" s="420" t="s">
        <v>573</v>
      </c>
      <c r="C27" s="420" t="s">
        <v>574</v>
      </c>
      <c r="D27" s="421" t="str">
        <f>IF(dms_MultiYear_ResponseFlag="yes","NEW HISTORICAL ECONOMIC BENCHMARKING","ECONOMIC BENCHMARKING")</f>
        <v>ECONOMIC BENCHMARKING</v>
      </c>
      <c r="E27" s="423">
        <v>1</v>
      </c>
      <c r="H27"/>
      <c r="I27"/>
      <c r="J27"/>
      <c r="K27"/>
      <c r="L27"/>
      <c r="M27"/>
      <c r="N27" s="4"/>
      <c r="O27" s="90"/>
      <c r="P27"/>
      <c r="Q27"/>
      <c r="Y27" s="2"/>
      <c r="Z27" s="2"/>
    </row>
    <row r="28" spans="2:26">
      <c r="B28" s="420" t="s">
        <v>575</v>
      </c>
      <c r="C28" s="420" t="s">
        <v>576</v>
      </c>
      <c r="D28" s="421" t="s">
        <v>577</v>
      </c>
      <c r="E28" s="423">
        <v>5</v>
      </c>
      <c r="H28"/>
      <c r="I28"/>
      <c r="J28"/>
      <c r="K28"/>
      <c r="L28"/>
      <c r="M28"/>
      <c r="N28" s="4"/>
      <c r="O28" s="90"/>
      <c r="P28"/>
      <c r="Q28"/>
      <c r="Y28" s="2"/>
      <c r="Z28" s="2"/>
    </row>
    <row r="29" spans="2:26">
      <c r="B29" s="420" t="s">
        <v>397</v>
      </c>
      <c r="C29" s="420" t="s">
        <v>578</v>
      </c>
      <c r="D29" s="421" t="s">
        <v>579</v>
      </c>
      <c r="E29" s="423">
        <v>5</v>
      </c>
      <c r="H29"/>
      <c r="I29"/>
      <c r="J29"/>
      <c r="K29"/>
      <c r="L29"/>
      <c r="M29"/>
      <c r="N29" s="4"/>
      <c r="O29" s="90"/>
      <c r="P29"/>
      <c r="Q29"/>
      <c r="Y29" s="2"/>
      <c r="Z29" s="2"/>
    </row>
    <row r="30" spans="2:26">
      <c r="B30" s="420" t="s">
        <v>580</v>
      </c>
      <c r="C30" s="420" t="s">
        <v>581</v>
      </c>
      <c r="D30" s="421" t="s">
        <v>582</v>
      </c>
      <c r="E30" s="423">
        <v>5</v>
      </c>
      <c r="H30"/>
      <c r="I30"/>
      <c r="J30"/>
      <c r="K30"/>
      <c r="L30"/>
      <c r="M30"/>
      <c r="N30" s="4"/>
      <c r="O30" s="90"/>
      <c r="P30"/>
      <c r="Q30"/>
      <c r="Y30" s="2"/>
      <c r="Z30" s="2"/>
    </row>
    <row r="31" spans="2:26">
      <c r="B31" s="420" t="s">
        <v>391</v>
      </c>
      <c r="C31" s="420" t="s">
        <v>583</v>
      </c>
      <c r="D31" s="421" t="s">
        <v>584</v>
      </c>
      <c r="E31" s="423">
        <v>5</v>
      </c>
      <c r="H31"/>
      <c r="I31"/>
      <c r="J31"/>
      <c r="K31"/>
      <c r="L31"/>
      <c r="M31"/>
      <c r="N31" s="4"/>
      <c r="O31" s="90"/>
      <c r="P31"/>
      <c r="Q31"/>
      <c r="Y31" s="2"/>
      <c r="Z31" s="2"/>
    </row>
    <row r="32" spans="2:26">
      <c r="B32" s="420" t="s">
        <v>1612</v>
      </c>
      <c r="C32" s="420" t="s">
        <v>1336</v>
      </c>
      <c r="D32" s="421" t="s">
        <v>1151</v>
      </c>
      <c r="E32" s="423">
        <v>1</v>
      </c>
      <c r="H32"/>
      <c r="I32"/>
      <c r="J32"/>
      <c r="K32"/>
      <c r="L32"/>
      <c r="M32"/>
      <c r="N32" s="4"/>
      <c r="O32" s="90"/>
      <c r="P32"/>
      <c r="Q32"/>
      <c r="Y32" s="2"/>
      <c r="Z32" s="2"/>
    </row>
    <row r="33" spans="2:26" ht="15" thickBot="1">
      <c r="B33" s="424" t="s">
        <v>585</v>
      </c>
      <c r="C33" s="424" t="s">
        <v>586</v>
      </c>
      <c r="D33" s="425" t="s">
        <v>587</v>
      </c>
      <c r="E33" s="426">
        <v>1</v>
      </c>
      <c r="H33"/>
      <c r="I33"/>
      <c r="J33"/>
      <c r="K33"/>
      <c r="L33"/>
      <c r="M33"/>
      <c r="N33" s="4"/>
      <c r="O33" s="90"/>
      <c r="P33"/>
      <c r="Q33"/>
      <c r="Y33" s="2"/>
      <c r="Z33" s="2"/>
    </row>
    <row r="34" spans="2:26" s="2" customFormat="1">
      <c r="E34" s="74"/>
    </row>
    <row r="35" spans="2:26">
      <c r="B35"/>
      <c r="C35" s="2"/>
      <c r="D35" s="2"/>
      <c r="E35" s="74"/>
      <c r="F35" s="2"/>
      <c r="G35" s="2"/>
      <c r="H35" s="2"/>
      <c r="I35" s="2"/>
      <c r="J35" s="2"/>
      <c r="K35" s="2"/>
      <c r="L35" s="2"/>
      <c r="M35" s="2"/>
      <c r="P35"/>
      <c r="Q35"/>
      <c r="R35"/>
      <c r="S35"/>
      <c r="T35"/>
      <c r="U35"/>
      <c r="V35"/>
      <c r="W35"/>
    </row>
    <row r="36" spans="2:26">
      <c r="C36" s="71"/>
      <c r="E36" s="427"/>
    </row>
    <row r="37" spans="2:26" ht="15" thickBot="1">
      <c r="B37" s="428" t="s">
        <v>515</v>
      </c>
      <c r="C37" s="429" t="s">
        <v>588</v>
      </c>
      <c r="E37" s="430" t="s">
        <v>589</v>
      </c>
      <c r="G37" s="430" t="s">
        <v>590</v>
      </c>
      <c r="H37"/>
      <c r="I37" s="431" t="s">
        <v>591</v>
      </c>
    </row>
    <row r="38" spans="2:26" ht="15" thickBot="1">
      <c r="B38" s="432" t="s">
        <v>592</v>
      </c>
      <c r="C38" s="433" t="s">
        <v>593</v>
      </c>
      <c r="D38" s="434" t="s">
        <v>594</v>
      </c>
      <c r="E38" s="435" t="str">
        <f ca="1">INDEX(INDIRECT(dms_RPT),dms_PRCP_start_row)</f>
        <v>1987-88</v>
      </c>
      <c r="F38" s="434" t="s">
        <v>595</v>
      </c>
      <c r="G38" s="435" t="str">
        <f ca="1">INDEX(INDIRECT(dms_RPT),dms_CRCP_start_row)</f>
        <v>1987-88</v>
      </c>
      <c r="H38" s="436" t="e">
        <f>FRCP_y1</f>
        <v>#NAME?</v>
      </c>
      <c r="I38" s="435" t="str">
        <f ca="1">INDEX(INDIRECT(dms_RPT),dms_FRCP_start_row)</f>
        <v>1987-88</v>
      </c>
    </row>
    <row r="39" spans="2:26">
      <c r="B39" s="437" t="s">
        <v>596</v>
      </c>
      <c r="C39" s="438" t="s">
        <v>597</v>
      </c>
      <c r="D39" s="439" t="s">
        <v>598</v>
      </c>
      <c r="E39" s="440" t="str">
        <f ca="1">INDEX(INDIRECT(dms_RPT),dms_PRCP_start_row+1)</f>
        <v>1987-88</v>
      </c>
      <c r="F39" s="439" t="s">
        <v>599</v>
      </c>
      <c r="G39" s="441" t="str">
        <f ca="1">INDEX(INDIRECT(dms_RPT),dms_CRCP_start_row+1)</f>
        <v>1987-88</v>
      </c>
      <c r="H39" s="442" t="s">
        <v>600</v>
      </c>
      <c r="I39" s="441" t="str">
        <f ca="1">INDEX(INDIRECT(dms_RPT),dms_FRCP_start_row+1)</f>
        <v>1987-88</v>
      </c>
    </row>
    <row r="40" spans="2:26">
      <c r="B40" s="437" t="s">
        <v>601</v>
      </c>
      <c r="C40" s="438" t="s">
        <v>602</v>
      </c>
      <c r="D40" s="439" t="s">
        <v>603</v>
      </c>
      <c r="E40" s="441" t="str">
        <f ca="1">INDEX(INDIRECT(dms_RPT),dms_PRCP_start_row+2)</f>
        <v>1988-89</v>
      </c>
      <c r="F40" s="439" t="s">
        <v>604</v>
      </c>
      <c r="G40" s="441" t="str">
        <f ca="1">INDEX(INDIRECT(dms_RPT),dms_CRCP_start_row+2)</f>
        <v>1988-89</v>
      </c>
      <c r="H40" s="439" t="s">
        <v>605</v>
      </c>
      <c r="I40" s="441" t="str">
        <f ca="1">INDEX(INDIRECT(dms_RPT),dms_FRCP_start_row+2)</f>
        <v>1988-89</v>
      </c>
    </row>
    <row r="41" spans="2:26">
      <c r="B41" s="437" t="s">
        <v>606</v>
      </c>
      <c r="C41" s="438" t="s">
        <v>607</v>
      </c>
      <c r="D41" s="439" t="s">
        <v>608</v>
      </c>
      <c r="E41" s="441" t="str">
        <f ca="1">INDEX(INDIRECT(dms_RPT),dms_PRCP_start_row+3)</f>
        <v>1989-90</v>
      </c>
      <c r="F41" s="439" t="s">
        <v>609</v>
      </c>
      <c r="G41" s="441" t="str">
        <f ca="1">INDEX(INDIRECT(dms_RPT),dms_CRCP_start_row+3)</f>
        <v>1989-90</v>
      </c>
      <c r="H41" s="439" t="s">
        <v>610</v>
      </c>
      <c r="I41" s="441" t="str">
        <f ca="1">INDEX(INDIRECT(dms_RPT),dms_FRCP_start_row+3)</f>
        <v>1989-90</v>
      </c>
    </row>
    <row r="42" spans="2:26">
      <c r="B42" s="437" t="s">
        <v>611</v>
      </c>
      <c r="C42" s="438" t="s">
        <v>612</v>
      </c>
      <c r="D42" s="439" t="s">
        <v>613</v>
      </c>
      <c r="E42" s="441" t="str">
        <f ca="1">INDEX(INDIRECT(dms_RPT),dms_PRCP_start_row+4)</f>
        <v>1990-91</v>
      </c>
      <c r="F42" s="439" t="s">
        <v>614</v>
      </c>
      <c r="G42" s="441" t="str">
        <f ca="1">INDEX(INDIRECT(dms_RPT),dms_CRCP_start_row+4)</f>
        <v>1990-91</v>
      </c>
      <c r="H42" s="439" t="s">
        <v>615</v>
      </c>
      <c r="I42" s="441" t="str">
        <f ca="1">INDEX(INDIRECT(dms_RPT),dms_FRCP_start_row+4)</f>
        <v>1990-91</v>
      </c>
    </row>
    <row r="43" spans="2:26">
      <c r="B43" s="437" t="s">
        <v>616</v>
      </c>
      <c r="C43" s="438" t="s">
        <v>617</v>
      </c>
      <c r="D43" s="439" t="s">
        <v>618</v>
      </c>
      <c r="E43" s="441" t="str">
        <f ca="1">INDEX(INDIRECT(dms_RPT),dms_PRCP_start_row+5)</f>
        <v>1991-92</v>
      </c>
      <c r="F43" s="439" t="s">
        <v>619</v>
      </c>
      <c r="G43" s="441" t="str">
        <f ca="1">INDEX(INDIRECT(dms_RPT),dms_CRCP_start_row+5)</f>
        <v>1991-92</v>
      </c>
      <c r="H43" s="439" t="s">
        <v>620</v>
      </c>
      <c r="I43" s="441" t="str">
        <f ca="1">INDEX(INDIRECT(dms_RPT),dms_FRCP_start_row+5)</f>
        <v>1991-92</v>
      </c>
    </row>
    <row r="44" spans="2:26">
      <c r="B44" s="437" t="s">
        <v>621</v>
      </c>
      <c r="C44" s="438" t="s">
        <v>622</v>
      </c>
      <c r="D44" s="439" t="s">
        <v>623</v>
      </c>
      <c r="E44" s="441" t="str">
        <f ca="1">INDEX(INDIRECT(dms_RPT),dms_PRCP_start_row+6)</f>
        <v>1992-93</v>
      </c>
      <c r="F44" s="439" t="s">
        <v>624</v>
      </c>
      <c r="G44" s="441" t="str">
        <f ca="1">INDEX(INDIRECT(dms_RPT),dms_CRCP_start_row+6)</f>
        <v>1992-93</v>
      </c>
      <c r="H44" s="439" t="s">
        <v>625</v>
      </c>
      <c r="I44" s="441" t="str">
        <f ca="1">INDEX(INDIRECT(dms_RPT),dms_FRCP_start_row+6)</f>
        <v>1992-93</v>
      </c>
    </row>
    <row r="45" spans="2:26">
      <c r="B45" s="437" t="s">
        <v>626</v>
      </c>
      <c r="C45" s="438" t="s">
        <v>627</v>
      </c>
      <c r="D45" s="439" t="s">
        <v>628</v>
      </c>
      <c r="E45" s="441" t="str">
        <f ca="1">INDEX(INDIRECT(dms_RPT),dms_PRCP_start_row+7)</f>
        <v>1993-94</v>
      </c>
      <c r="F45" s="439" t="s">
        <v>629</v>
      </c>
      <c r="G45" s="441" t="str">
        <f ca="1">INDEX(INDIRECT(dms_RPT),dms_CRCP_start_row+7)</f>
        <v>1993-94</v>
      </c>
      <c r="H45" s="439" t="s">
        <v>630</v>
      </c>
      <c r="I45" s="441" t="str">
        <f ca="1">INDEX(INDIRECT(dms_RPT),dms_FRCP_start_row+7)</f>
        <v>1993-94</v>
      </c>
      <c r="J45"/>
      <c r="K45"/>
      <c r="L45"/>
      <c r="M45"/>
    </row>
    <row r="46" spans="2:26">
      <c r="B46" s="437" t="s">
        <v>631</v>
      </c>
      <c r="C46" s="438" t="s">
        <v>632</v>
      </c>
      <c r="D46" s="439" t="s">
        <v>633</v>
      </c>
      <c r="E46" s="441" t="str">
        <f ca="1">INDEX(INDIRECT(dms_RPT),dms_PRCP_start_row+8)</f>
        <v>1994-95</v>
      </c>
      <c r="F46" s="439" t="s">
        <v>634</v>
      </c>
      <c r="G46" s="441" t="str">
        <f ca="1">INDEX(INDIRECT(dms_RPT),dms_CRCP_start_row+8)</f>
        <v>1994-95</v>
      </c>
      <c r="H46" s="439" t="s">
        <v>635</v>
      </c>
      <c r="I46" s="441" t="str">
        <f ca="1">INDEX(INDIRECT(dms_RPT),dms_FRCP_start_row+8)</f>
        <v>1994-95</v>
      </c>
      <c r="J46"/>
      <c r="K46"/>
      <c r="L46"/>
      <c r="M46"/>
    </row>
    <row r="47" spans="2:26">
      <c r="B47" s="437" t="s">
        <v>636</v>
      </c>
      <c r="C47" s="438" t="s">
        <v>637</v>
      </c>
      <c r="D47" s="439" t="s">
        <v>638</v>
      </c>
      <c r="E47" s="441" t="str">
        <f ca="1">INDEX(INDIRECT(dms_RPT),dms_PRCP_start_row+9)</f>
        <v>1995-96</v>
      </c>
      <c r="F47" s="439" t="s">
        <v>639</v>
      </c>
      <c r="G47" s="441" t="str">
        <f ca="1">INDEX(INDIRECT(dms_RPT),dms_CRCP_start_row+9)</f>
        <v>1995-96</v>
      </c>
      <c r="H47" s="439" t="s">
        <v>640</v>
      </c>
      <c r="I47" s="441" t="str">
        <f ca="1">INDEX(INDIRECT(dms_RPT),dms_FRCP_start_row+9)</f>
        <v>1995-96</v>
      </c>
      <c r="J47"/>
      <c r="K47"/>
      <c r="L47"/>
      <c r="M47"/>
    </row>
    <row r="48" spans="2:26">
      <c r="B48" s="437" t="s">
        <v>641</v>
      </c>
      <c r="C48" s="438" t="s">
        <v>642</v>
      </c>
      <c r="D48" s="439" t="s">
        <v>643</v>
      </c>
      <c r="E48" s="441" t="str">
        <f ca="1">INDEX(INDIRECT(dms_RPT),dms_PRCP_start_row+10)</f>
        <v>1996-97</v>
      </c>
      <c r="F48" s="439" t="s">
        <v>644</v>
      </c>
      <c r="G48" s="441" t="str">
        <f ca="1">INDEX(INDIRECT(dms_RPT),dms_CRCP_start_row+10)</f>
        <v>1996-97</v>
      </c>
      <c r="H48" s="439" t="s">
        <v>645</v>
      </c>
      <c r="I48" s="441" t="str">
        <f ca="1">INDEX(INDIRECT(dms_RPT),dms_FRCP_start_row+10)</f>
        <v>1996-97</v>
      </c>
      <c r="J48"/>
      <c r="K48"/>
      <c r="L48"/>
      <c r="M48"/>
    </row>
    <row r="49" spans="2:13">
      <c r="B49" s="437" t="s">
        <v>646</v>
      </c>
      <c r="C49" s="438" t="s">
        <v>647</v>
      </c>
      <c r="D49" s="439" t="s">
        <v>648</v>
      </c>
      <c r="E49" s="441" t="str">
        <f ca="1">INDEX(INDIRECT(dms_RPT),dms_PRCP_start_row+11)</f>
        <v>1997-98</v>
      </c>
      <c r="F49" s="439" t="s">
        <v>649</v>
      </c>
      <c r="G49" s="441" t="str">
        <f ca="1">INDEX(INDIRECT(dms_RPT),dms_CRCP_start_row+11)</f>
        <v>1997-98</v>
      </c>
      <c r="H49" s="439" t="s">
        <v>650</v>
      </c>
      <c r="I49" s="441" t="str">
        <f ca="1">INDEX(INDIRECT(dms_RPT),dms_FRCP_start_row+11)</f>
        <v>1997-98</v>
      </c>
      <c r="J49"/>
      <c r="K49"/>
      <c r="L49"/>
      <c r="M49"/>
    </row>
    <row r="50" spans="2:13">
      <c r="B50" s="437" t="s">
        <v>651</v>
      </c>
      <c r="C50" s="438" t="s">
        <v>652</v>
      </c>
      <c r="D50" s="439" t="s">
        <v>653</v>
      </c>
      <c r="E50" s="441" t="str">
        <f ca="1">INDEX(INDIRECT(dms_RPT),dms_PRCP_start_row+12)</f>
        <v>1998-99</v>
      </c>
      <c r="F50" s="439" t="s">
        <v>654</v>
      </c>
      <c r="G50" s="441" t="str">
        <f ca="1">INDEX(INDIRECT(dms_RPT),dms_CRCP_start_row+12)</f>
        <v>1998-99</v>
      </c>
      <c r="H50" s="439" t="s">
        <v>655</v>
      </c>
      <c r="I50" s="441" t="str">
        <f ca="1">INDEX(INDIRECT(dms_RPT),dms_FRCP_start_row+12)</f>
        <v>1998-99</v>
      </c>
      <c r="J50"/>
      <c r="K50"/>
      <c r="L50"/>
      <c r="M50"/>
    </row>
    <row r="51" spans="2:13">
      <c r="B51" s="437" t="s">
        <v>656</v>
      </c>
      <c r="C51" s="438" t="s">
        <v>657</v>
      </c>
      <c r="D51" s="439" t="s">
        <v>658</v>
      </c>
      <c r="E51" s="441" t="str">
        <f ca="1">INDEX(INDIRECT(dms_RPT),dms_PRCP_start_row+13)</f>
        <v>1999-00</v>
      </c>
      <c r="F51" s="439" t="s">
        <v>659</v>
      </c>
      <c r="G51" s="441" t="str">
        <f ca="1">INDEX(INDIRECT(dms_RPT),dms_CRCP_start_row+13)</f>
        <v>1999-00</v>
      </c>
      <c r="H51" s="439" t="s">
        <v>660</v>
      </c>
      <c r="I51" s="441" t="str">
        <f ca="1">INDEX(INDIRECT(dms_RPT),dms_FRCP_start_row+13)</f>
        <v>1999-00</v>
      </c>
      <c r="J51"/>
      <c r="K51"/>
      <c r="L51"/>
      <c r="M51"/>
    </row>
    <row r="52" spans="2:13">
      <c r="B52" s="437" t="s">
        <v>661</v>
      </c>
      <c r="C52" s="438" t="s">
        <v>662</v>
      </c>
      <c r="D52" s="439" t="s">
        <v>663</v>
      </c>
      <c r="E52" s="441" t="str">
        <f ca="1">INDEX(INDIRECT(dms_RPT),dms_PRCP_start_row+14)</f>
        <v>2000-01</v>
      </c>
      <c r="F52" s="439" t="s">
        <v>664</v>
      </c>
      <c r="G52" s="441" t="str">
        <f ca="1">INDEX(INDIRECT(dms_RPT),dms_CRCP_start_row+14)</f>
        <v>2000-01</v>
      </c>
      <c r="H52" s="439" t="s">
        <v>665</v>
      </c>
      <c r="I52" s="441" t="str">
        <f ca="1">INDEX(INDIRECT(dms_RPT),dms_FRCP_start_row+14)</f>
        <v>2000-01</v>
      </c>
      <c r="J52"/>
      <c r="K52"/>
      <c r="L52"/>
      <c r="M52"/>
    </row>
    <row r="53" spans="2:13" ht="15" thickBot="1">
      <c r="B53" s="437" t="s">
        <v>666</v>
      </c>
      <c r="C53" s="438" t="s">
        <v>667</v>
      </c>
      <c r="D53" s="443" t="s">
        <v>668</v>
      </c>
      <c r="E53" s="444" t="str">
        <f ca="1">INDEX(INDIRECT(dms_RPT),dms_PRCP_start_row+15)</f>
        <v>2001-02</v>
      </c>
      <c r="F53" s="443" t="s">
        <v>669</v>
      </c>
      <c r="G53" s="444" t="str">
        <f ca="1">INDEX(INDIRECT(dms_RPT),dms_CRCP_start_row+15)</f>
        <v>2001-02</v>
      </c>
      <c r="H53" s="443" t="s">
        <v>670</v>
      </c>
      <c r="I53" s="444" t="str">
        <f ca="1">INDEX(INDIRECT(dms_RPT),dms_FRCP_start_row+15)</f>
        <v>2001-02</v>
      </c>
      <c r="J53"/>
      <c r="K53"/>
      <c r="L53"/>
      <c r="M53"/>
    </row>
    <row r="54" spans="2:13">
      <c r="B54" s="437" t="s">
        <v>671</v>
      </c>
      <c r="C54" s="438" t="s">
        <v>672</v>
      </c>
      <c r="E54"/>
      <c r="H54"/>
      <c r="I54"/>
      <c r="J54"/>
      <c r="K54"/>
      <c r="L54"/>
      <c r="M54"/>
    </row>
    <row r="55" spans="2:13" ht="15" thickBot="1">
      <c r="B55" s="437" t="s">
        <v>673</v>
      </c>
      <c r="C55" s="438" t="s">
        <v>674</v>
      </c>
      <c r="E55"/>
      <c r="H55"/>
      <c r="I55"/>
      <c r="J55"/>
      <c r="K55"/>
      <c r="L55"/>
      <c r="M55"/>
    </row>
    <row r="56" spans="2:13">
      <c r="B56" s="437" t="s">
        <v>675</v>
      </c>
      <c r="C56" s="438" t="s">
        <v>676</v>
      </c>
      <c r="D56" s="445"/>
      <c r="E56" s="446" t="s">
        <v>677</v>
      </c>
      <c r="H56"/>
      <c r="I56"/>
      <c r="J56"/>
      <c r="K56"/>
      <c r="L56"/>
      <c r="M56"/>
    </row>
    <row r="57" spans="2:13">
      <c r="B57" s="437" t="s">
        <v>678</v>
      </c>
      <c r="C57" s="438" t="s">
        <v>679</v>
      </c>
      <c r="D57" s="447" t="s">
        <v>680</v>
      </c>
      <c r="E57" s="448" t="str">
        <f ca="1">IFERROR(INDEX(INDIRECT(dms_RPT),dms_CRY_start_row),0)</f>
        <v>2025-26</v>
      </c>
      <c r="H57"/>
      <c r="I57"/>
      <c r="J57"/>
      <c r="K57"/>
      <c r="L57"/>
      <c r="M57"/>
    </row>
    <row r="58" spans="2:13">
      <c r="B58" s="437" t="s">
        <v>681</v>
      </c>
      <c r="C58" s="438" t="s">
        <v>682</v>
      </c>
      <c r="D58" s="447" t="s">
        <v>683</v>
      </c>
      <c r="E58" s="448" t="str">
        <f ca="1">IFERROR(INDEX(INDIRECT(dms_RPT),dms_CRY_start_row+1),0)</f>
        <v>2026-27</v>
      </c>
      <c r="H58"/>
      <c r="I58"/>
      <c r="J58"/>
      <c r="K58"/>
      <c r="L58"/>
      <c r="M58"/>
    </row>
    <row r="59" spans="2:13">
      <c r="B59" s="437" t="s">
        <v>684</v>
      </c>
      <c r="C59" s="438" t="s">
        <v>685</v>
      </c>
      <c r="D59" s="447" t="s">
        <v>686</v>
      </c>
      <c r="E59" s="448" t="str">
        <f ca="1">IFERROR(INDEX(INDIRECT(dms_RPT),dms_CRY_start_row+2),0)</f>
        <v>2027-28</v>
      </c>
      <c r="H59"/>
      <c r="I59"/>
      <c r="J59"/>
      <c r="K59"/>
      <c r="L59"/>
      <c r="M59"/>
    </row>
    <row r="60" spans="2:13">
      <c r="B60" s="437" t="s">
        <v>687</v>
      </c>
      <c r="C60" s="438">
        <v>2010</v>
      </c>
      <c r="D60" s="447" t="s">
        <v>688</v>
      </c>
      <c r="E60" s="448" t="str">
        <f ca="1">IFERROR(INDEX(INDIRECT(dms_RPT),dms_CRY_start_row+3),0)</f>
        <v>2028-29</v>
      </c>
      <c r="H60"/>
      <c r="I60"/>
      <c r="J60"/>
      <c r="K60"/>
      <c r="L60"/>
      <c r="M60"/>
    </row>
    <row r="61" spans="2:13">
      <c r="B61" s="437" t="s">
        <v>689</v>
      </c>
      <c r="C61" s="438">
        <v>2011</v>
      </c>
      <c r="D61" s="447" t="s">
        <v>690</v>
      </c>
      <c r="E61" s="448" t="str">
        <f ca="1">IFERROR(INDEX(INDIRECT(dms_RPT),dms_CRY_start_row+4),0)</f>
        <v>2029-30</v>
      </c>
      <c r="H61"/>
      <c r="I61"/>
      <c r="J61"/>
      <c r="K61"/>
      <c r="L61"/>
      <c r="M61"/>
    </row>
    <row r="62" spans="2:13">
      <c r="B62" s="437" t="s">
        <v>691</v>
      </c>
      <c r="C62" s="438">
        <v>2012</v>
      </c>
      <c r="D62" s="447" t="s">
        <v>692</v>
      </c>
      <c r="E62" s="448" t="str">
        <f ca="1">IFERROR(INDEX(INDIRECT(dms_RPT),dms_CRY_start_row+5),0)</f>
        <v>2030-31</v>
      </c>
      <c r="H62"/>
      <c r="I62"/>
      <c r="J62"/>
      <c r="K62"/>
      <c r="L62"/>
      <c r="M62"/>
    </row>
    <row r="63" spans="2:13">
      <c r="B63" s="437" t="s">
        <v>693</v>
      </c>
      <c r="C63" s="438">
        <v>2013</v>
      </c>
      <c r="D63" s="447" t="s">
        <v>694</v>
      </c>
      <c r="E63" s="448" t="str">
        <f ca="1">IFERROR(INDEX(INDIRECT(dms_RPT),dms_CRY_start_row+6),0)</f>
        <v>2031-32</v>
      </c>
      <c r="H63"/>
      <c r="I63"/>
      <c r="J63"/>
      <c r="K63"/>
      <c r="L63"/>
      <c r="M63"/>
    </row>
    <row r="64" spans="2:13">
      <c r="B64" s="437" t="s">
        <v>695</v>
      </c>
      <c r="C64" s="438">
        <v>2014</v>
      </c>
      <c r="D64" s="447" t="s">
        <v>696</v>
      </c>
      <c r="E64" s="448" t="str">
        <f ca="1">IFERROR(INDEX(INDIRECT(dms_RPT),dms_CRY_start_row+7),0)</f>
        <v>2032-33</v>
      </c>
      <c r="H64"/>
      <c r="I64"/>
      <c r="J64"/>
      <c r="K64"/>
      <c r="L64"/>
      <c r="M64"/>
    </row>
    <row r="65" spans="2:9">
      <c r="B65" s="437" t="s">
        <v>697</v>
      </c>
      <c r="C65" s="438">
        <v>2015</v>
      </c>
      <c r="D65" s="447" t="s">
        <v>698</v>
      </c>
      <c r="E65" s="448" t="str">
        <f ca="1">IFERROR(INDEX(INDIRECT(dms_RPT),dms_CRY_start_row+8),0)</f>
        <v>2033-34</v>
      </c>
      <c r="I65" s="449"/>
    </row>
    <row r="66" spans="2:9">
      <c r="B66" s="437" t="s">
        <v>699</v>
      </c>
      <c r="C66" s="438">
        <v>2016</v>
      </c>
      <c r="D66" s="447" t="s">
        <v>700</v>
      </c>
      <c r="E66" s="448" t="str">
        <f ca="1">IFERROR(INDEX(INDIRECT(dms_RPT),dms_CRY_start_row+9),0)</f>
        <v>2034-35</v>
      </c>
      <c r="I66" s="449"/>
    </row>
    <row r="67" spans="2:9">
      <c r="B67" s="437" t="s">
        <v>701</v>
      </c>
      <c r="C67" s="438">
        <v>2017</v>
      </c>
      <c r="D67" s="447" t="s">
        <v>702</v>
      </c>
      <c r="E67" s="448" t="str">
        <f ca="1">IFERROR(INDEX(INDIRECT(dms_RPT),dms_CRY_start_row+10),0)</f>
        <v>2035-36</v>
      </c>
    </row>
    <row r="68" spans="2:9">
      <c r="B68" s="437" t="s">
        <v>703</v>
      </c>
      <c r="C68" s="438">
        <v>2018</v>
      </c>
      <c r="D68" s="447" t="s">
        <v>704</v>
      </c>
      <c r="E68" s="448" t="str">
        <f ca="1">IFERROR(INDEX(INDIRECT(dms_RPT),dms_CRY_start_row+11),0)</f>
        <v>2036-37</v>
      </c>
    </row>
    <row r="69" spans="2:9">
      <c r="B69" s="437" t="s">
        <v>705</v>
      </c>
      <c r="C69" s="438">
        <v>2019</v>
      </c>
      <c r="D69" s="447" t="s">
        <v>706</v>
      </c>
      <c r="E69" s="448">
        <f ca="1">IFERROR(INDEX(INDIRECT(dms_RPT),dms_CRY_start_row+12),0)</f>
        <v>0</v>
      </c>
    </row>
    <row r="70" spans="2:9">
      <c r="B70" s="437" t="s">
        <v>707</v>
      </c>
      <c r="C70" s="438">
        <v>2020</v>
      </c>
      <c r="D70" s="447" t="s">
        <v>708</v>
      </c>
      <c r="E70" s="448">
        <f ca="1">IFERROR(INDEX(INDIRECT(dms_RPT),dms_CRY_start_row+13),0)</f>
        <v>0</v>
      </c>
      <c r="H70"/>
      <c r="I70"/>
    </row>
    <row r="71" spans="2:9">
      <c r="B71" s="437" t="s">
        <v>21</v>
      </c>
      <c r="C71" s="438">
        <v>2021</v>
      </c>
      <c r="D71" s="447" t="s">
        <v>709</v>
      </c>
      <c r="E71" s="448">
        <f ca="1">IFERROR(INDEX(INDIRECT(dms_RPT),dms_CRY_start_row+14),0)</f>
        <v>0</v>
      </c>
      <c r="H71"/>
      <c r="I71"/>
    </row>
    <row r="72" spans="2:9" ht="15" thickBot="1">
      <c r="B72" s="437" t="s">
        <v>710</v>
      </c>
      <c r="C72" s="438">
        <v>2022</v>
      </c>
      <c r="D72" s="450" t="s">
        <v>711</v>
      </c>
      <c r="E72" s="451">
        <f ca="1">IFERROR(INDEX(INDIRECT(dms_RPT),dms_CRY_start_row+15),0)</f>
        <v>0</v>
      </c>
      <c r="H72"/>
      <c r="I72"/>
    </row>
    <row r="73" spans="2:9">
      <c r="B73" s="437" t="s">
        <v>22</v>
      </c>
      <c r="C73" s="438">
        <v>2023</v>
      </c>
      <c r="E73"/>
      <c r="H73"/>
      <c r="I73"/>
    </row>
    <row r="74" spans="2:9">
      <c r="B74" s="437" t="s">
        <v>712</v>
      </c>
      <c r="C74" s="438">
        <v>2024</v>
      </c>
      <c r="E74"/>
      <c r="H74"/>
      <c r="I74"/>
    </row>
    <row r="75" spans="2:9">
      <c r="B75" s="437" t="s">
        <v>713</v>
      </c>
      <c r="C75" s="438">
        <v>2025</v>
      </c>
      <c r="E75"/>
      <c r="H75"/>
      <c r="I75"/>
    </row>
    <row r="76" spans="2:9">
      <c r="B76" s="437" t="s">
        <v>714</v>
      </c>
      <c r="C76" s="438">
        <v>2026</v>
      </c>
      <c r="E76"/>
      <c r="H76"/>
      <c r="I76"/>
    </row>
    <row r="77" spans="2:9">
      <c r="B77" s="437" t="s">
        <v>715</v>
      </c>
      <c r="C77" s="438">
        <v>2027</v>
      </c>
      <c r="E77"/>
      <c r="H77"/>
      <c r="I77"/>
    </row>
    <row r="78" spans="2:9">
      <c r="B78" s="437" t="s">
        <v>716</v>
      </c>
      <c r="C78" s="438">
        <v>2028</v>
      </c>
      <c r="E78"/>
      <c r="H78"/>
      <c r="I78"/>
    </row>
    <row r="79" spans="2:9">
      <c r="B79" s="437" t="s">
        <v>717</v>
      </c>
      <c r="C79" s="438">
        <v>2029</v>
      </c>
      <c r="E79"/>
      <c r="H79"/>
      <c r="I79"/>
    </row>
    <row r="80" spans="2:9">
      <c r="B80" s="437" t="s">
        <v>718</v>
      </c>
      <c r="C80" s="438">
        <v>2030</v>
      </c>
      <c r="E80"/>
      <c r="H80"/>
      <c r="I80"/>
    </row>
    <row r="81" spans="2:23">
      <c r="B81" s="437" t="s">
        <v>719</v>
      </c>
      <c r="C81" s="438">
        <v>2031</v>
      </c>
      <c r="E81"/>
      <c r="H81"/>
      <c r="I81"/>
    </row>
    <row r="82" spans="2:23">
      <c r="B82" s="437" t="s">
        <v>720</v>
      </c>
      <c r="C82" s="438">
        <v>2032</v>
      </c>
      <c r="E82"/>
      <c r="H82"/>
      <c r="I82"/>
    </row>
    <row r="83" spans="2:23">
      <c r="B83" s="437" t="s">
        <v>721</v>
      </c>
      <c r="C83" s="438">
        <v>2033</v>
      </c>
      <c r="E83"/>
      <c r="H83"/>
      <c r="I83"/>
    </row>
    <row r="84" spans="2:23">
      <c r="B84" s="437" t="s">
        <v>722</v>
      </c>
      <c r="C84" s="438">
        <v>2034</v>
      </c>
      <c r="E84"/>
      <c r="H84"/>
      <c r="I84"/>
    </row>
    <row r="85" spans="2:23">
      <c r="B85" s="437" t="s">
        <v>723</v>
      </c>
      <c r="C85" s="438">
        <v>2035</v>
      </c>
      <c r="E85"/>
      <c r="H85"/>
      <c r="I85"/>
    </row>
    <row r="86" spans="2:23">
      <c r="B86" s="437" t="s">
        <v>724</v>
      </c>
      <c r="C86" s="438">
        <v>2036</v>
      </c>
      <c r="E86"/>
      <c r="H86"/>
      <c r="I86"/>
    </row>
    <row r="87" spans="2:23" ht="15" thickBot="1">
      <c r="B87" s="452" t="s">
        <v>725</v>
      </c>
      <c r="C87" s="453" t="s">
        <v>726</v>
      </c>
      <c r="E87" s="454"/>
    </row>
    <row r="88" spans="2:23">
      <c r="B88" s="90"/>
      <c r="C88"/>
      <c r="E88" s="427"/>
      <c r="P88"/>
      <c r="Q88"/>
      <c r="R88"/>
      <c r="S88"/>
      <c r="T88"/>
      <c r="U88"/>
      <c r="V88"/>
      <c r="W88"/>
    </row>
    <row r="89" spans="2:23">
      <c r="B89"/>
      <c r="C89"/>
      <c r="H89"/>
      <c r="I89"/>
      <c r="J89"/>
      <c r="K89"/>
      <c r="L89"/>
      <c r="M89"/>
      <c r="P89"/>
      <c r="Q89"/>
      <c r="R89"/>
      <c r="S89"/>
      <c r="T89"/>
      <c r="U89"/>
      <c r="V89"/>
      <c r="W89"/>
    </row>
    <row r="90" spans="2:23">
      <c r="B90"/>
      <c r="C90"/>
      <c r="H90"/>
      <c r="I90"/>
      <c r="J90"/>
      <c r="K90"/>
      <c r="L90"/>
      <c r="M90"/>
      <c r="P90"/>
      <c r="Q90"/>
      <c r="R90"/>
      <c r="S90"/>
      <c r="T90"/>
      <c r="U90"/>
      <c r="V90"/>
      <c r="W90"/>
    </row>
    <row r="91" spans="2:23">
      <c r="B91"/>
      <c r="C91"/>
      <c r="H91"/>
      <c r="I91"/>
      <c r="J91"/>
      <c r="K91"/>
      <c r="L91"/>
      <c r="M91"/>
    </row>
  </sheetData>
  <mergeCells count="1">
    <mergeCell ref="B21:E21"/>
  </mergeCells>
  <conditionalFormatting sqref="AA7:AF15">
    <cfRule type="containsText" dxfId="14" priority="1" operator="containsText" text="YES">
      <formula>NOT(ISERROR(SEARCH("YES",AA7)))</formula>
    </cfRule>
  </conditionalFormatting>
  <conditionalFormatting sqref="AL7:AL15">
    <cfRule type="cellIs" dxfId="13" priority="2" operator="equal">
      <formula>"YES"</formula>
    </cfRule>
  </conditionalFormatting>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3"/>
  <sheetViews>
    <sheetView workbookViewId="0"/>
  </sheetViews>
  <sheetFormatPr defaultColWidth="9.1796875" defaultRowHeight="14.5"/>
  <cols>
    <col min="1" max="1" width="24.1796875" customWidth="1"/>
    <col min="2" max="2" width="35" style="4" customWidth="1"/>
    <col min="3" max="3" width="16.453125" style="4" customWidth="1"/>
    <col min="4" max="4" width="25.81640625" style="4" customWidth="1"/>
    <col min="5" max="9" width="14.54296875" style="4" customWidth="1"/>
    <col min="10" max="11" width="14.54296875" customWidth="1"/>
    <col min="12" max="12" width="13.54296875" customWidth="1"/>
    <col min="13" max="16384" width="9.1796875" style="4"/>
  </cols>
  <sheetData>
    <row r="1" spans="1:51" customFormat="1" ht="51" customHeight="1">
      <c r="B1" s="22" t="s">
        <v>727</v>
      </c>
      <c r="C1" s="23"/>
      <c r="D1" s="23"/>
      <c r="E1" s="23"/>
      <c r="F1" s="23"/>
      <c r="G1" s="23"/>
      <c r="H1" s="23"/>
      <c r="I1" s="23"/>
      <c r="J1" s="23"/>
      <c r="K1" s="23"/>
    </row>
    <row r="2" spans="1:51" customFormat="1" ht="24.75" customHeight="1"/>
    <row r="3" spans="1:51" ht="20">
      <c r="B3" s="455" t="s">
        <v>728</v>
      </c>
      <c r="C3" s="456" t="s">
        <v>729</v>
      </c>
      <c r="D3" s="457" t="s">
        <v>730</v>
      </c>
      <c r="E3" s="458"/>
      <c r="F3" s="458"/>
      <c r="G3" s="458"/>
      <c r="H3" s="458"/>
      <c r="I3" s="458"/>
      <c r="J3" s="458"/>
      <c r="K3" s="458"/>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459"/>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60" t="s">
        <v>731</v>
      </c>
      <c r="C5" s="461"/>
      <c r="D5" s="462"/>
      <c r="E5" s="461"/>
      <c r="F5" s="461"/>
      <c r="G5" s="461"/>
      <c r="H5" s="461"/>
      <c r="I5" s="463"/>
    </row>
    <row r="6" spans="1:51" customFormat="1">
      <c r="B6" s="464" t="s">
        <v>732</v>
      </c>
      <c r="D6" s="4"/>
      <c r="E6" s="4"/>
      <c r="F6" s="4"/>
      <c r="G6" s="4"/>
      <c r="H6" s="4"/>
      <c r="I6" s="465"/>
    </row>
    <row r="7" spans="1:51" customFormat="1" ht="15" thickBot="1">
      <c r="B7" s="466" t="s">
        <v>733</v>
      </c>
      <c r="C7" s="14"/>
      <c r="D7" s="467"/>
      <c r="E7" s="467"/>
      <c r="F7" s="467"/>
      <c r="G7" s="467"/>
      <c r="H7" s="467"/>
      <c r="I7" s="468"/>
    </row>
    <row r="8" spans="1:51" customFormat="1" ht="15" thickBot="1">
      <c r="B8" s="469"/>
      <c r="C8" s="469"/>
      <c r="D8" s="469"/>
      <c r="E8" s="469"/>
      <c r="F8" s="469"/>
      <c r="G8" s="469"/>
      <c r="H8" s="469"/>
      <c r="I8" s="469"/>
    </row>
    <row r="9" spans="1:51" customFormat="1" ht="15.5">
      <c r="A9" s="470"/>
      <c r="B9" s="592" t="s">
        <v>734</v>
      </c>
      <c r="C9" s="593" t="str">
        <f>INDEX(dms_TradingNameFull_List,MATCH(dms_TradingName,dms_TradingName_List))</f>
        <v>Australian Transmission Co.</v>
      </c>
      <c r="D9" s="594"/>
      <c r="E9" s="595" t="s">
        <v>735</v>
      </c>
      <c r="F9" s="596"/>
      <c r="G9" s="596"/>
      <c r="H9" s="596"/>
      <c r="I9" s="597"/>
    </row>
    <row r="10" spans="1:51" customFormat="1" ht="15.5">
      <c r="B10" s="592" t="s">
        <v>736</v>
      </c>
      <c r="C10" s="593" t="str">
        <f>dms_TradingName</f>
        <v>Australian Transmission Co.</v>
      </c>
      <c r="D10" s="594"/>
      <c r="E10" s="595"/>
      <c r="F10" s="596"/>
      <c r="G10" s="596"/>
      <c r="H10" s="596"/>
      <c r="I10" s="597"/>
    </row>
    <row r="11" spans="1:51" customFormat="1" ht="15.5">
      <c r="B11" s="592" t="s">
        <v>1685</v>
      </c>
      <c r="C11" s="593" t="str" cm="1">
        <f t="array" ref="C11">INDEX(dms_UID_List,MATCH(dms_TradingName,dms_TradingName_List))</f>
        <v>AER0000001</v>
      </c>
      <c r="D11" s="594"/>
      <c r="E11" s="595"/>
      <c r="F11" s="596"/>
      <c r="G11" s="596"/>
      <c r="H11" s="596"/>
      <c r="I11" s="597"/>
    </row>
    <row r="12" spans="1:51" customFormat="1" ht="15.5">
      <c r="A12" s="471" t="s">
        <v>737</v>
      </c>
      <c r="B12" s="598" t="s">
        <v>738</v>
      </c>
      <c r="C12" s="599" t="s">
        <v>1687</v>
      </c>
      <c r="D12" s="600" t="s">
        <v>739</v>
      </c>
      <c r="E12" s="601"/>
      <c r="F12" s="602"/>
      <c r="G12" s="602"/>
      <c r="H12" s="602"/>
      <c r="I12" s="603"/>
    </row>
    <row r="13" spans="1:51" customFormat="1" ht="15.5">
      <c r="A13" s="2201" t="s">
        <v>740</v>
      </c>
      <c r="B13" s="592" t="s">
        <v>23</v>
      </c>
      <c r="C13" s="604" t="str">
        <f>dms_Selected_Source</f>
        <v>Reporting</v>
      </c>
      <c r="D13" s="595" t="s">
        <v>741</v>
      </c>
      <c r="E13" s="605"/>
      <c r="F13" s="596"/>
      <c r="G13" s="596"/>
      <c r="H13" s="596"/>
      <c r="I13" s="597"/>
    </row>
    <row r="14" spans="1:51" customFormat="1" ht="15.5">
      <c r="A14" s="2202"/>
      <c r="B14" s="592" t="s">
        <v>742</v>
      </c>
      <c r="C14" s="1896" t="s">
        <v>25</v>
      </c>
      <c r="D14" s="595" t="s">
        <v>743</v>
      </c>
      <c r="E14" s="2204"/>
      <c r="F14" s="2204"/>
      <c r="G14" s="2204"/>
      <c r="H14" s="2204"/>
      <c r="I14" s="2205"/>
    </row>
    <row r="15" spans="1:51" customFormat="1" ht="15.5">
      <c r="A15" s="2202"/>
      <c r="B15" s="592" t="s">
        <v>744</v>
      </c>
      <c r="C15" s="1896" t="str">
        <f>dms_Selected_Status</f>
        <v>Public</v>
      </c>
      <c r="D15" s="595" t="s">
        <v>745</v>
      </c>
      <c r="E15" s="606"/>
      <c r="F15" s="606"/>
      <c r="G15" s="606"/>
      <c r="H15" s="606"/>
      <c r="I15" s="607"/>
    </row>
    <row r="16" spans="1:51" customFormat="1" ht="39" customHeight="1">
      <c r="A16" s="2202"/>
      <c r="B16" s="608" t="s">
        <v>746</v>
      </c>
      <c r="C16" s="2206" t="str">
        <f>dms_Amendment_Text</f>
        <v>.</v>
      </c>
      <c r="D16" s="2206"/>
      <c r="E16" s="2206"/>
      <c r="F16" s="609" t="s">
        <v>747</v>
      </c>
      <c r="G16" s="606"/>
      <c r="H16" s="606"/>
      <c r="I16" s="607"/>
    </row>
    <row r="17" spans="1:11" customFormat="1" ht="15" customHeight="1" thickBot="1">
      <c r="A17" s="2203"/>
      <c r="B17" s="610" t="s">
        <v>748</v>
      </c>
      <c r="C17" s="611" t="str">
        <f>dms_Typed_Submission_Date</f>
        <v>dd/mm/yyyy</v>
      </c>
      <c r="D17" s="612" t="s">
        <v>749</v>
      </c>
      <c r="E17" s="613"/>
      <c r="F17" s="614"/>
      <c r="G17" s="614"/>
      <c r="H17" s="614"/>
      <c r="I17" s="615"/>
    </row>
    <row r="18" spans="1:11" customFormat="1" ht="15" customHeight="1" thickBot="1">
      <c r="B18" s="582"/>
      <c r="C18" s="582"/>
      <c r="D18" s="582"/>
      <c r="E18" s="582"/>
      <c r="F18" s="582"/>
      <c r="G18" s="582"/>
      <c r="H18" s="582"/>
      <c r="I18" s="582"/>
    </row>
    <row r="19" spans="1:11" customFormat="1" ht="16" thickBot="1">
      <c r="A19" s="471" t="s">
        <v>750</v>
      </c>
      <c r="B19" s="616" t="s">
        <v>751</v>
      </c>
      <c r="C19" s="617" t="s">
        <v>752</v>
      </c>
      <c r="D19" s="618"/>
      <c r="E19" s="618"/>
      <c r="F19" s="618"/>
      <c r="G19" s="618"/>
      <c r="H19" s="618"/>
      <c r="I19" s="619"/>
      <c r="J19" s="14"/>
      <c r="K19" s="14"/>
    </row>
    <row r="20" spans="1:11" customFormat="1" ht="15.5">
      <c r="A20" s="2207" t="s">
        <v>753</v>
      </c>
      <c r="B20" s="620" t="s">
        <v>754</v>
      </c>
      <c r="C20" s="621" t="str">
        <f>dms_DQ_1</f>
        <v>Consolidated</v>
      </c>
      <c r="D20" s="622" t="s">
        <v>755</v>
      </c>
      <c r="E20" s="623" t="s">
        <v>756</v>
      </c>
      <c r="F20" s="624"/>
      <c r="G20" s="624"/>
      <c r="H20" s="624"/>
      <c r="I20" s="624"/>
      <c r="J20" s="472"/>
      <c r="K20" s="473"/>
    </row>
    <row r="21" spans="1:11" s="5" customFormat="1" ht="15.5">
      <c r="A21" s="2208"/>
      <c r="B21" s="625" t="s">
        <v>125</v>
      </c>
      <c r="C21" s="626" t="str">
        <f>INDEX(dms_Sector_List,MATCH(dms_TradingName,dms_TradingName_List))</f>
        <v>Electricity</v>
      </c>
      <c r="D21" s="627" t="s">
        <v>757</v>
      </c>
      <c r="E21" s="628" t="s">
        <v>758</v>
      </c>
      <c r="F21" s="629"/>
      <c r="G21" s="629"/>
      <c r="H21" s="629"/>
      <c r="I21" s="629"/>
      <c r="J21" s="474"/>
      <c r="K21" s="475"/>
    </row>
    <row r="22" spans="1:11" customFormat="1" ht="15.5">
      <c r="A22" s="2208"/>
      <c r="B22" s="625" t="s">
        <v>126</v>
      </c>
      <c r="C22" s="630" t="str">
        <f>INDEX(dms_Segment_List,MATCH(dms_TradingName,dms_TradingName_List))</f>
        <v>Transmission</v>
      </c>
      <c r="D22" s="627" t="s">
        <v>759</v>
      </c>
      <c r="E22" s="628" t="s">
        <v>760</v>
      </c>
      <c r="F22" s="629"/>
      <c r="G22" s="629"/>
      <c r="H22" s="629"/>
      <c r="I22" s="629"/>
      <c r="J22" s="474"/>
      <c r="K22" s="475"/>
    </row>
    <row r="23" spans="1:11" customFormat="1" ht="15.5">
      <c r="A23" s="2208"/>
      <c r="B23" s="625" t="s">
        <v>761</v>
      </c>
      <c r="C23" s="626" t="str">
        <f>dms_RYE_result</f>
        <v>2026</v>
      </c>
      <c r="D23" s="627" t="s">
        <v>762</v>
      </c>
      <c r="E23" s="628" t="s">
        <v>763</v>
      </c>
      <c r="F23" s="629"/>
      <c r="G23" s="629"/>
      <c r="H23" s="629"/>
      <c r="I23" s="629"/>
      <c r="J23" s="474"/>
      <c r="K23" s="475"/>
    </row>
    <row r="24" spans="1:11" customFormat="1" ht="15.5">
      <c r="A24" s="2208"/>
      <c r="B24" s="625" t="s">
        <v>764</v>
      </c>
      <c r="C24" s="630" t="str">
        <f>INDEX(dms_RPT_List,MATCH(dms_TradingName,dms_TradingName_List))</f>
        <v>Financial</v>
      </c>
      <c r="D24" s="627" t="s">
        <v>765</v>
      </c>
      <c r="E24" s="628" t="s">
        <v>766</v>
      </c>
      <c r="F24" s="629"/>
      <c r="G24" s="629"/>
      <c r="H24" s="629"/>
      <c r="I24" s="629"/>
      <c r="J24" s="474"/>
      <c r="K24" s="475"/>
    </row>
    <row r="25" spans="1:11" ht="15.5">
      <c r="A25" s="2208"/>
      <c r="B25" s="625" t="s">
        <v>767</v>
      </c>
      <c r="C25" s="631" t="s">
        <v>363</v>
      </c>
      <c r="D25" s="627" t="s">
        <v>768</v>
      </c>
      <c r="E25" s="632" t="s">
        <v>769</v>
      </c>
      <c r="F25" s="633"/>
      <c r="G25" s="633"/>
      <c r="H25" s="633"/>
      <c r="I25" s="633"/>
      <c r="J25" s="476"/>
      <c r="K25" s="477"/>
    </row>
    <row r="26" spans="1:11" customFormat="1" ht="15.5">
      <c r="A26" s="2208"/>
      <c r="B26" s="625" t="s">
        <v>770</v>
      </c>
      <c r="C26" s="630" t="s">
        <v>27</v>
      </c>
      <c r="D26" s="634" t="s">
        <v>771</v>
      </c>
      <c r="E26" s="635" t="s">
        <v>772</v>
      </c>
      <c r="F26" s="629"/>
      <c r="G26" s="629"/>
      <c r="H26" s="629"/>
      <c r="I26" s="629"/>
      <c r="J26" s="474"/>
      <c r="K26" s="475"/>
    </row>
    <row r="27" spans="1:11" customFormat="1" ht="15.75" customHeight="1" thickBot="1">
      <c r="A27" s="2209"/>
      <c r="B27" s="636" t="s">
        <v>773</v>
      </c>
      <c r="C27" s="637" t="str">
        <f>INDEX(dms_JurisdictionList,MATCH(dms_TradingName,dms_TradingName_List))</f>
        <v>-</v>
      </c>
      <c r="D27" s="638" t="s">
        <v>774</v>
      </c>
      <c r="E27" s="639" t="s">
        <v>775</v>
      </c>
      <c r="F27" s="640"/>
      <c r="G27" s="640"/>
      <c r="H27" s="640"/>
      <c r="I27" s="640"/>
      <c r="J27" s="479"/>
      <c r="K27" s="480"/>
    </row>
    <row r="28" spans="1:11" customFormat="1" ht="22.5" customHeight="1" thickBot="1">
      <c r="A28" s="2210" t="s">
        <v>776</v>
      </c>
      <c r="B28" s="641" t="s">
        <v>777</v>
      </c>
      <c r="C28" s="642"/>
      <c r="D28" s="642"/>
      <c r="E28" s="643"/>
      <c r="F28" s="644"/>
      <c r="G28" s="644"/>
      <c r="H28" s="644"/>
      <c r="I28" s="644"/>
      <c r="J28" s="481"/>
      <c r="K28" s="482"/>
    </row>
    <row r="29" spans="1:11" s="2" customFormat="1" ht="22.5" customHeight="1">
      <c r="A29" s="2211"/>
      <c r="B29" s="645" t="s">
        <v>778</v>
      </c>
      <c r="C29" s="646" t="str">
        <f>IFERROR(CRY,"NO")</f>
        <v>2025-26</v>
      </c>
      <c r="D29" s="647"/>
      <c r="E29" s="648"/>
      <c r="F29" s="648"/>
      <c r="G29" s="648"/>
      <c r="H29" s="648"/>
      <c r="I29" s="648"/>
      <c r="J29" s="483"/>
      <c r="K29" s="484"/>
    </row>
    <row r="30" spans="1:11" customFormat="1" ht="15.5">
      <c r="A30" s="2211"/>
      <c r="B30" s="649" t="s">
        <v>779</v>
      </c>
      <c r="C30" s="631" t="str">
        <f>IFERROR(IF(dms_RPT="calendar",CRY-1,LEFT(CRY,4)),"CRY not present")</f>
        <v>2025</v>
      </c>
      <c r="D30" s="650" t="s">
        <v>780</v>
      </c>
      <c r="E30" s="651" t="s">
        <v>781</v>
      </c>
      <c r="F30" s="650"/>
      <c r="G30" s="650"/>
      <c r="H30" s="650"/>
      <c r="I30" s="650"/>
      <c r="J30" s="485"/>
      <c r="K30" s="486"/>
    </row>
    <row r="31" spans="1:11" customFormat="1" ht="15.5">
      <c r="A31" s="2211"/>
      <c r="B31" s="652" t="s">
        <v>782</v>
      </c>
      <c r="C31" s="630" t="str">
        <f>INDEX(dms_RPTMonth_List,MATCH(dms_TradingName,dms_TradingName_List))</f>
        <v>June</v>
      </c>
      <c r="D31" s="634" t="s">
        <v>783</v>
      </c>
      <c r="E31" s="627" t="s">
        <v>784</v>
      </c>
      <c r="F31" s="634"/>
      <c r="G31" s="634"/>
      <c r="H31" s="634"/>
      <c r="I31" s="634"/>
      <c r="J31" s="487"/>
      <c r="K31" s="488"/>
    </row>
    <row r="32" spans="1:11" customFormat="1" ht="14.25" customHeight="1">
      <c r="A32" s="2211"/>
      <c r="B32" s="652" t="s">
        <v>785</v>
      </c>
      <c r="C32" s="653" t="str">
        <f>IF(dms_SingleYearModel="yes",CONCATENATE(dms_RPTMonth)&amp;" "&amp;VALUE((LEFT(CRY,2))&amp;RIGHT(CRY,2)),CONCATENATE(dms_RPTMonth)&amp;" "&amp;dms_DollarReal_year)</f>
        <v>June 2026</v>
      </c>
      <c r="D32" s="627" t="s">
        <v>786</v>
      </c>
      <c r="E32" s="627" t="s">
        <v>787</v>
      </c>
      <c r="F32" s="634"/>
      <c r="G32" s="634"/>
      <c r="H32" s="634"/>
      <c r="I32" s="634"/>
      <c r="J32" s="487"/>
      <c r="K32" s="488"/>
    </row>
    <row r="33" spans="1:90" customFormat="1" ht="24" customHeight="1" thickBot="1">
      <c r="A33" s="2212"/>
      <c r="B33" s="654" t="s">
        <v>788</v>
      </c>
      <c r="C33" s="655" t="str">
        <f>IF(dms_SingleYearModel="yes",CONCATENATE(dms_RPTMonth)&amp;" "&amp;VALUE((LEFT(CRY,2))&amp;RIGHT(CRY,2)),CONCATENATE(dms_RPTMonth)&amp;" "&amp;dms_Previous_DollarReal_year)</f>
        <v>June 2026</v>
      </c>
      <c r="D33" s="638" t="s">
        <v>789</v>
      </c>
      <c r="E33" s="638" t="s">
        <v>790</v>
      </c>
      <c r="F33" s="656"/>
      <c r="G33" s="656"/>
      <c r="H33" s="656"/>
      <c r="I33" s="656"/>
      <c r="J33" s="489"/>
      <c r="K33" s="490"/>
    </row>
    <row r="34" spans="1:90" customFormat="1" ht="24" customHeight="1" thickBot="1">
      <c r="B34" s="657" t="s">
        <v>791</v>
      </c>
      <c r="C34" s="658"/>
      <c r="D34" s="658"/>
      <c r="E34" s="658"/>
      <c r="F34" s="659"/>
      <c r="G34" s="659"/>
      <c r="H34" s="659"/>
      <c r="I34" s="659"/>
      <c r="J34" s="491"/>
      <c r="K34" s="492"/>
      <c r="AL34" s="2174"/>
      <c r="AM34" s="2174"/>
      <c r="AN34" s="2174"/>
      <c r="AO34" s="2174"/>
      <c r="AP34" s="2174"/>
      <c r="AQ34" s="2174"/>
      <c r="AR34" s="2174"/>
      <c r="AS34" s="2174"/>
      <c r="AT34" s="2174"/>
      <c r="AU34" s="2174"/>
      <c r="AV34" s="2174"/>
      <c r="AW34" s="2174"/>
      <c r="AX34" s="2174"/>
      <c r="AY34" s="2174"/>
      <c r="AZ34" s="2174"/>
      <c r="BA34" s="2174"/>
      <c r="BB34" s="2174"/>
      <c r="BC34" s="2174"/>
      <c r="BD34" s="2174"/>
      <c r="BE34" s="2174"/>
      <c r="BF34" s="2174"/>
      <c r="BG34" s="2174"/>
      <c r="BQ34" s="2174"/>
      <c r="BR34" s="2174"/>
      <c r="BS34" s="2174"/>
      <c r="BT34" s="2174"/>
      <c r="BU34" s="2174"/>
      <c r="BV34" s="2174"/>
      <c r="BW34" s="2174"/>
      <c r="BX34" s="2174"/>
      <c r="BY34" s="2174"/>
      <c r="BZ34" s="2174"/>
      <c r="CA34" s="2174"/>
      <c r="CB34" s="2174"/>
      <c r="CC34" s="2174"/>
      <c r="CD34" s="2174"/>
      <c r="CE34" s="2174"/>
      <c r="CF34" s="2174"/>
      <c r="CG34" s="2174"/>
      <c r="CH34" s="2174"/>
      <c r="CI34" s="2174"/>
      <c r="CJ34" s="2174"/>
      <c r="CK34" s="2174"/>
      <c r="CL34" s="2174"/>
    </row>
    <row r="35" spans="1:90" s="2" customFormat="1" ht="30.75" customHeight="1" thickBot="1">
      <c r="B35" s="660" t="s">
        <v>792</v>
      </c>
      <c r="C35" s="661" t="str">
        <f>INDEX(dms_FormControl_List,MATCH(dms_TradingName,dms_TradingName_List))</f>
        <v>Revenue cap</v>
      </c>
      <c r="D35" s="651" t="s">
        <v>793</v>
      </c>
      <c r="E35" s="662" t="s">
        <v>794</v>
      </c>
      <c r="F35" s="663"/>
      <c r="G35" s="663"/>
      <c r="H35" s="663"/>
      <c r="I35" s="663"/>
      <c r="J35" s="493"/>
      <c r="K35" s="494"/>
      <c r="AL35" s="2174"/>
      <c r="AM35" s="2174"/>
      <c r="AN35" s="2174"/>
      <c r="AO35" s="2174"/>
      <c r="AP35" s="2174"/>
      <c r="AQ35" s="2174"/>
      <c r="AR35" s="2174"/>
      <c r="AS35" s="2174"/>
      <c r="AT35" s="2174"/>
      <c r="AU35" s="2174"/>
      <c r="AV35" s="2174"/>
      <c r="AW35" s="2174"/>
      <c r="AX35" s="2174"/>
      <c r="AY35" s="2174"/>
      <c r="AZ35" s="2174"/>
      <c r="BA35" s="2174"/>
      <c r="BB35" s="2174"/>
      <c r="BC35" s="2174"/>
      <c r="BD35" s="2174"/>
      <c r="BE35" s="2174"/>
      <c r="BF35" s="2174"/>
      <c r="BG35" s="2174"/>
      <c r="BQ35" s="2174"/>
      <c r="BR35" s="2174"/>
      <c r="BS35" s="2174"/>
      <c r="BT35" s="2174"/>
      <c r="BU35" s="2174"/>
      <c r="BV35" s="2174"/>
      <c r="BW35" s="2174"/>
      <c r="BX35" s="2174"/>
      <c r="BY35" s="2174"/>
      <c r="BZ35" s="2174"/>
      <c r="CA35" s="2174"/>
      <c r="CB35" s="2174"/>
      <c r="CC35" s="2174"/>
      <c r="CD35" s="2174"/>
      <c r="CE35" s="2174"/>
      <c r="CF35" s="2174"/>
      <c r="CG35" s="2174"/>
      <c r="CH35" s="2174"/>
      <c r="CI35" s="2174"/>
      <c r="CJ35" s="2174"/>
      <c r="CK35" s="2174"/>
      <c r="CL35" s="2174"/>
    </row>
    <row r="36" spans="1:90" customFormat="1" ht="24" customHeight="1" thickBot="1">
      <c r="A36" s="2199" t="s">
        <v>795</v>
      </c>
      <c r="B36" s="664" t="s">
        <v>796</v>
      </c>
      <c r="C36" s="665"/>
      <c r="D36" s="643"/>
      <c r="E36" s="643"/>
      <c r="F36" s="644"/>
      <c r="G36" s="644"/>
      <c r="H36" s="644"/>
      <c r="I36" s="644"/>
      <c r="J36" s="481"/>
      <c r="K36" s="482"/>
      <c r="AL36" s="2174"/>
      <c r="AM36" s="2174"/>
      <c r="AN36" s="2174"/>
      <c r="AO36" s="2174"/>
      <c r="AP36" s="2174"/>
      <c r="AQ36" s="2174"/>
      <c r="AR36" s="2174"/>
      <c r="AS36" s="2174"/>
      <c r="AT36" s="2174"/>
      <c r="AU36" s="2174"/>
      <c r="AV36" s="2174"/>
      <c r="AW36" s="2174"/>
      <c r="AX36" s="2174"/>
      <c r="AY36" s="2174"/>
      <c r="AZ36" s="2174"/>
      <c r="BA36" s="2174"/>
      <c r="BB36" s="2174"/>
      <c r="BC36" s="2174"/>
      <c r="BD36" s="2174"/>
      <c r="BE36" s="2174"/>
      <c r="BF36" s="2174"/>
      <c r="BG36" s="2174"/>
      <c r="BQ36" s="2174"/>
      <c r="BR36" s="2174"/>
      <c r="BS36" s="2174"/>
      <c r="BT36" s="2174"/>
      <c r="BU36" s="2174"/>
      <c r="BV36" s="2174"/>
      <c r="BW36" s="2174"/>
      <c r="BX36" s="2174"/>
      <c r="BY36" s="2174"/>
      <c r="BZ36" s="2174"/>
      <c r="CA36" s="2174"/>
      <c r="CB36" s="2174"/>
      <c r="CC36" s="2174"/>
      <c r="CD36" s="2174"/>
      <c r="CE36" s="2174"/>
      <c r="CF36" s="2174"/>
      <c r="CG36" s="2174"/>
      <c r="CH36" s="2174"/>
      <c r="CI36" s="2174"/>
      <c r="CJ36" s="2174"/>
      <c r="CK36" s="2174"/>
      <c r="CL36" s="2174"/>
    </row>
    <row r="37" spans="1:90" customFormat="1" ht="15.5">
      <c r="A37" s="2200"/>
      <c r="B37" s="666" t="s">
        <v>797</v>
      </c>
      <c r="C37" s="667"/>
      <c r="D37" s="668" t="s">
        <v>1102</v>
      </c>
      <c r="E37" s="669"/>
      <c r="F37" s="669"/>
      <c r="G37" s="669"/>
      <c r="H37" s="669"/>
      <c r="I37" s="669"/>
      <c r="J37" s="495"/>
      <c r="K37" s="496"/>
    </row>
    <row r="38" spans="1:90" customFormat="1" ht="15.5">
      <c r="A38" s="2200"/>
      <c r="B38" s="670" t="s">
        <v>798</v>
      </c>
      <c r="C38" s="671" t="str">
        <f>IFERROR(CRY,0)</f>
        <v>2025-26</v>
      </c>
      <c r="D38" s="672"/>
      <c r="E38" s="673"/>
      <c r="F38" s="673"/>
      <c r="G38" s="673"/>
      <c r="H38" s="673"/>
      <c r="I38" s="673"/>
      <c r="J38" s="497"/>
      <c r="K38" s="498"/>
    </row>
    <row r="39" spans="1:90" customFormat="1" ht="15.5">
      <c r="A39" s="2200"/>
      <c r="B39" s="670" t="s">
        <v>799</v>
      </c>
      <c r="C39" s="671">
        <f ca="1">IFERROR(MATCH(CRY,INDIRECT(dms_RPT),0),0)</f>
        <v>39</v>
      </c>
      <c r="D39" s="672"/>
      <c r="E39" s="673"/>
      <c r="F39" s="673"/>
      <c r="G39" s="673"/>
      <c r="H39" s="673"/>
      <c r="I39" s="673"/>
      <c r="J39" s="497"/>
      <c r="K39" s="498"/>
    </row>
    <row r="40" spans="1:90" customFormat="1" ht="15.5">
      <c r="A40" s="2200"/>
      <c r="B40" s="674" t="s">
        <v>800</v>
      </c>
      <c r="C40" s="675"/>
      <c r="D40" s="676" t="s">
        <v>1103</v>
      </c>
      <c r="E40" s="677"/>
      <c r="F40" s="677"/>
      <c r="G40" s="677"/>
      <c r="H40" s="677"/>
      <c r="I40" s="677"/>
      <c r="J40" s="499"/>
      <c r="K40" s="500"/>
    </row>
    <row r="41" spans="1:90" customFormat="1" ht="15.5">
      <c r="A41" s="2200"/>
      <c r="B41" s="678" t="s">
        <v>801</v>
      </c>
      <c r="C41" s="679"/>
      <c r="D41" s="680" t="s">
        <v>1104</v>
      </c>
      <c r="E41" s="681"/>
      <c r="F41" s="681"/>
      <c r="G41" s="681"/>
      <c r="H41" s="681"/>
      <c r="I41" s="681"/>
      <c r="J41" s="501"/>
      <c r="K41" s="502"/>
    </row>
    <row r="42" spans="1:90" customFormat="1" ht="15.5">
      <c r="A42" s="2200"/>
      <c r="B42" s="678" t="s">
        <v>802</v>
      </c>
      <c r="C42" s="679"/>
      <c r="D42" s="680" t="s">
        <v>1105</v>
      </c>
      <c r="E42" s="681"/>
      <c r="F42" s="681"/>
      <c r="G42" s="681"/>
      <c r="H42" s="681"/>
      <c r="I42" s="681"/>
      <c r="J42" s="501"/>
      <c r="K42" s="502"/>
    </row>
    <row r="43" spans="1:90" customFormat="1" ht="15.5">
      <c r="A43" s="2200"/>
      <c r="B43" s="682" t="s">
        <v>803</v>
      </c>
      <c r="C43" s="683"/>
      <c r="D43" s="684" t="s">
        <v>1106</v>
      </c>
      <c r="E43" s="685"/>
      <c r="F43" s="685"/>
      <c r="G43" s="685"/>
      <c r="H43" s="685"/>
      <c r="I43" s="685"/>
      <c r="J43" s="503"/>
      <c r="K43" s="504"/>
    </row>
    <row r="44" spans="1:90" customFormat="1" ht="15.5">
      <c r="A44" s="2200"/>
      <c r="B44" s="674" t="s">
        <v>804</v>
      </c>
      <c r="C44" s="686"/>
      <c r="D44" s="676" t="s">
        <v>805</v>
      </c>
      <c r="E44" s="677"/>
      <c r="F44" s="677"/>
      <c r="G44" s="677"/>
      <c r="H44" s="677"/>
      <c r="I44" s="677"/>
      <c r="J44" s="499"/>
      <c r="K44" s="500"/>
    </row>
    <row r="45" spans="1:90" customFormat="1" ht="15.5">
      <c r="A45" s="2200"/>
      <c r="B45" s="678" t="s">
        <v>806</v>
      </c>
      <c r="C45" s="679"/>
      <c r="D45" s="680" t="s">
        <v>807</v>
      </c>
      <c r="E45" s="681"/>
      <c r="F45" s="681"/>
      <c r="G45" s="681"/>
      <c r="H45" s="681"/>
      <c r="I45" s="681"/>
      <c r="J45" s="501"/>
      <c r="K45" s="502"/>
    </row>
    <row r="46" spans="1:90" customFormat="1" ht="15.5">
      <c r="A46" s="2200"/>
      <c r="B46" s="687" t="s">
        <v>808</v>
      </c>
      <c r="C46" s="688"/>
      <c r="D46" s="684" t="s">
        <v>809</v>
      </c>
      <c r="E46" s="685"/>
      <c r="F46" s="685"/>
      <c r="G46" s="685"/>
      <c r="H46" s="685"/>
      <c r="I46" s="685"/>
      <c r="J46" s="503"/>
      <c r="K46" s="504"/>
    </row>
    <row r="47" spans="1:90" customFormat="1" ht="15.5">
      <c r="A47" s="2200"/>
      <c r="B47" s="674" t="s">
        <v>810</v>
      </c>
      <c r="C47" s="686"/>
      <c r="D47" s="680" t="s">
        <v>811</v>
      </c>
      <c r="E47" s="681"/>
      <c r="F47" s="681"/>
      <c r="G47" s="681"/>
      <c r="H47" s="681"/>
      <c r="I47" s="681"/>
      <c r="J47" s="501"/>
      <c r="K47" s="502"/>
    </row>
    <row r="48" spans="1:90" customFormat="1" ht="15.5">
      <c r="A48" s="2200"/>
      <c r="B48" s="678" t="s">
        <v>812</v>
      </c>
      <c r="C48" s="679"/>
      <c r="D48" s="680" t="s">
        <v>813</v>
      </c>
      <c r="E48" s="681"/>
      <c r="F48" s="681"/>
      <c r="G48" s="681"/>
      <c r="H48" s="681"/>
      <c r="I48" s="681"/>
      <c r="J48" s="501"/>
      <c r="K48" s="502"/>
    </row>
    <row r="49" spans="1:11" customFormat="1" ht="15.5">
      <c r="A49" s="2200"/>
      <c r="B49" s="687" t="s">
        <v>814</v>
      </c>
      <c r="C49" s="688"/>
      <c r="D49" s="684" t="s">
        <v>815</v>
      </c>
      <c r="E49" s="685"/>
      <c r="F49" s="685"/>
      <c r="G49" s="685"/>
      <c r="H49" s="685"/>
      <c r="I49" s="685"/>
      <c r="J49" s="503"/>
      <c r="K49" s="504"/>
    </row>
    <row r="50" spans="1:11" customFormat="1" ht="15.5">
      <c r="A50" s="2200"/>
      <c r="B50" s="674" t="s">
        <v>816</v>
      </c>
      <c r="C50" s="686"/>
      <c r="D50" s="680" t="s">
        <v>817</v>
      </c>
      <c r="E50" s="681"/>
      <c r="F50" s="681"/>
      <c r="G50" s="681"/>
      <c r="H50" s="681"/>
      <c r="I50" s="681"/>
      <c r="J50" s="501"/>
      <c r="K50" s="502"/>
    </row>
    <row r="51" spans="1:11" customFormat="1" ht="15.5">
      <c r="A51" s="2200"/>
      <c r="B51" s="687" t="s">
        <v>818</v>
      </c>
      <c r="C51" s="689" t="str">
        <f>_xlfn.SINGLE(FRY)</f>
        <v>2025-26</v>
      </c>
      <c r="D51" s="684" t="s">
        <v>1107</v>
      </c>
      <c r="E51" s="685"/>
      <c r="F51" s="685"/>
      <c r="G51" s="685"/>
      <c r="H51" s="685"/>
      <c r="I51" s="685"/>
      <c r="J51" s="503"/>
      <c r="K51" s="504"/>
    </row>
    <row r="52" spans="1:11" customFormat="1" ht="15.5">
      <c r="A52" s="2200"/>
      <c r="B52" s="670" t="s">
        <v>819</v>
      </c>
      <c r="C52" s="690" t="str">
        <f>LEFT(CRCP_final_year,2)&amp;RIGHT(CRCP_final_year,2)</f>
        <v/>
      </c>
      <c r="D52" s="691" t="s">
        <v>1108</v>
      </c>
      <c r="E52" s="692"/>
      <c r="F52" s="693"/>
      <c r="G52" s="693"/>
      <c r="H52" s="693"/>
      <c r="I52" s="693"/>
      <c r="J52" s="505"/>
      <c r="K52" s="506"/>
    </row>
    <row r="53" spans="1:11" customFormat="1" ht="15.5">
      <c r="A53" s="2200"/>
      <c r="B53" s="694" t="s">
        <v>820</v>
      </c>
      <c r="C53" s="695" t="str">
        <f>LEFT(PRCP_final_year,2)&amp;RIGHT(PRCP_final_year,2)</f>
        <v/>
      </c>
      <c r="D53" s="684" t="s">
        <v>1109</v>
      </c>
      <c r="E53" s="685"/>
      <c r="F53" s="685"/>
      <c r="G53" s="685"/>
      <c r="H53" s="685"/>
      <c r="I53" s="685"/>
      <c r="J53" s="503"/>
      <c r="K53" s="504"/>
    </row>
    <row r="54" spans="1:11" customFormat="1" ht="15.5">
      <c r="A54" s="2200"/>
      <c r="B54" s="696" t="s">
        <v>821</v>
      </c>
      <c r="C54" s="697" t="str">
        <f>IFERROR(LEFT(CRY,2)&amp;RIGHT(CRY,2),0)</f>
        <v>2026</v>
      </c>
      <c r="D54" s="676" t="s">
        <v>822</v>
      </c>
      <c r="E54" s="677"/>
      <c r="F54" s="681"/>
      <c r="G54" s="681"/>
      <c r="H54" s="681"/>
      <c r="I54" s="681"/>
      <c r="J54" s="501"/>
      <c r="K54" s="502"/>
    </row>
    <row r="55" spans="1:11" customFormat="1" ht="15.5">
      <c r="A55" s="2200"/>
      <c r="B55" s="678" t="s">
        <v>823</v>
      </c>
      <c r="C55" s="679">
        <f>IF(dms_Model_Span&gt;1,IF(dms_Model="RFM",(LEFT(dms_DollarReal_year,2)&amp;RIGHT(dms_DollarReal_year,2)),(LEFT(dms_Reset_final_year,2)&amp;RIGHT(dms_Reset_final_year,2))),0)</f>
        <v>0</v>
      </c>
      <c r="D55" s="680" t="s">
        <v>1110</v>
      </c>
      <c r="E55" s="681"/>
      <c r="F55" s="681"/>
      <c r="G55" s="681"/>
      <c r="H55" s="681"/>
      <c r="I55" s="681"/>
      <c r="J55" s="501"/>
      <c r="K55" s="502"/>
    </row>
    <row r="56" spans="1:11" customFormat="1" ht="15.5">
      <c r="A56" s="2200"/>
      <c r="B56" s="678" t="s">
        <v>824</v>
      </c>
      <c r="C56" s="679">
        <f>IF(dms_MultiYear_ResponseFlag="Yes",(LEFT(dms_Specified_FinalYear,2)&amp;RIGHT(dms_Specified_FinalYear,2)),0)</f>
        <v>0</v>
      </c>
      <c r="D56" s="680" t="s">
        <v>1111</v>
      </c>
      <c r="E56" s="681"/>
      <c r="F56" s="681"/>
      <c r="G56" s="681"/>
      <c r="H56" s="681"/>
      <c r="I56" s="681"/>
      <c r="J56" s="501"/>
      <c r="K56" s="502"/>
    </row>
    <row r="57" spans="1:11" customFormat="1" ht="15.5">
      <c r="A57" s="2200"/>
      <c r="B57" s="678" t="s">
        <v>825</v>
      </c>
      <c r="C57" s="679">
        <f>INDEX(dms_Model_Span_List,MATCH(dms_Model,dms_Model_List))</f>
        <v>1</v>
      </c>
      <c r="D57" s="680" t="s">
        <v>826</v>
      </c>
      <c r="E57" s="681"/>
      <c r="F57" s="681"/>
      <c r="G57" s="681"/>
      <c r="H57" s="681"/>
      <c r="I57" s="681"/>
      <c r="J57" s="501"/>
      <c r="K57" s="502"/>
    </row>
    <row r="58" spans="1:11" customFormat="1" ht="15.5">
      <c r="A58" s="2200"/>
      <c r="B58" s="687" t="s">
        <v>827</v>
      </c>
      <c r="C58" s="688" t="str">
        <f>IF(dms_MultiYear_ResponseFlag="yes",dms_Specified_RYE,(IF(dms_Model_Span&gt;1,dms_Reset_RYE,dms_CRY_RYE)))</f>
        <v>2026</v>
      </c>
      <c r="D58" s="684" t="s">
        <v>1112</v>
      </c>
      <c r="E58" s="685"/>
      <c r="F58" s="685"/>
      <c r="G58" s="685"/>
      <c r="H58" s="685"/>
      <c r="I58" s="685"/>
      <c r="J58" s="503"/>
      <c r="K58" s="504"/>
    </row>
    <row r="59" spans="1:11" customFormat="1" ht="15.5">
      <c r="A59" s="2200"/>
      <c r="B59" s="696" t="s">
        <v>828</v>
      </c>
      <c r="C59" s="697">
        <f>IF(dms_Reset_RYE&gt;0,CONCATENATE(FRCP_y1," to ",FRCP_final_year),0)</f>
        <v>0</v>
      </c>
      <c r="D59" s="680" t="s">
        <v>829</v>
      </c>
      <c r="E59" s="681"/>
      <c r="F59" s="698"/>
      <c r="G59" s="681"/>
      <c r="H59" s="681"/>
      <c r="I59" s="681"/>
      <c r="J59" s="501"/>
      <c r="K59" s="502"/>
    </row>
    <row r="60" spans="1:11" customFormat="1" ht="15.5">
      <c r="A60" s="2200"/>
      <c r="B60" s="678" t="s">
        <v>830</v>
      </c>
      <c r="C60" s="679">
        <f>IF(dms_Specified_RYE&gt;0,CONCATENATE(CRY," to ",dms_Specified_FinalYear),0)</f>
        <v>0</v>
      </c>
      <c r="D60" s="680" t="s">
        <v>831</v>
      </c>
      <c r="E60" s="681"/>
      <c r="F60" s="681"/>
      <c r="G60" s="681"/>
      <c r="H60" s="681"/>
      <c r="I60" s="681"/>
      <c r="J60" s="501"/>
      <c r="K60" s="502"/>
    </row>
    <row r="61" spans="1:11" customFormat="1" ht="16" thickBot="1">
      <c r="A61" s="2200"/>
      <c r="B61" s="699" t="s">
        <v>832</v>
      </c>
      <c r="C61" s="700" t="str">
        <f>IF(dms_MultiYear_Flag=1,dms_SpecifiedYear_Span,IF(dms_Model_Span&gt;1,dms_Reset_Span,CRY))</f>
        <v>2025-26</v>
      </c>
      <c r="D61" s="701" t="s">
        <v>1113</v>
      </c>
      <c r="E61" s="702"/>
      <c r="F61" s="702"/>
      <c r="G61" s="702"/>
      <c r="H61" s="702"/>
      <c r="I61" s="702"/>
      <c r="J61" s="507"/>
      <c r="K61" s="508"/>
    </row>
    <row r="62" spans="1:11" customFormat="1" ht="25.5" customHeight="1" thickBot="1">
      <c r="B62" s="664" t="s">
        <v>833</v>
      </c>
      <c r="C62" s="665"/>
      <c r="D62" s="658"/>
      <c r="E62" s="658"/>
      <c r="F62" s="659"/>
      <c r="G62" s="659"/>
      <c r="H62" s="659"/>
      <c r="I62" s="659"/>
      <c r="J62" s="491"/>
      <c r="K62" s="492"/>
    </row>
    <row r="63" spans="1:11" customFormat="1" ht="15.5">
      <c r="B63" s="703" t="s">
        <v>834</v>
      </c>
      <c r="C63" s="704" t="s">
        <v>752</v>
      </c>
      <c r="D63" s="705"/>
      <c r="E63" s="706"/>
      <c r="F63" s="707"/>
      <c r="G63" s="707"/>
      <c r="H63" s="707"/>
      <c r="I63" s="707"/>
      <c r="J63" s="509"/>
      <c r="K63" s="510"/>
    </row>
    <row r="64" spans="1:11" customFormat="1" ht="15.5">
      <c r="B64" s="708"/>
      <c r="C64" s="709">
        <f>IF(dms_MultiYear_ResponseFlag="No",0,1)</f>
        <v>0</v>
      </c>
      <c r="D64" s="710" t="s">
        <v>835</v>
      </c>
      <c r="E64" s="711" t="s">
        <v>836</v>
      </c>
      <c r="F64" s="712"/>
      <c r="G64" s="712"/>
      <c r="H64" s="712"/>
      <c r="I64" s="712"/>
      <c r="J64" s="511"/>
      <c r="K64" s="512"/>
    </row>
    <row r="65" spans="2:11" customFormat="1" ht="46.5">
      <c r="B65" s="708"/>
      <c r="C65" s="713" t="str">
        <f>_xlfn.SINGLE(IF(dms_MultiYear_Flag=1,FRY,"not a Multiple year submission"))</f>
        <v>not a Multiple year submission</v>
      </c>
      <c r="D65" s="710" t="s">
        <v>837</v>
      </c>
      <c r="E65" s="714" t="s">
        <v>838</v>
      </c>
      <c r="F65" s="712"/>
      <c r="G65" s="712"/>
      <c r="H65" s="712"/>
      <c r="I65" s="715"/>
      <c r="J65" s="513"/>
      <c r="K65" s="514"/>
    </row>
    <row r="66" spans="2:11" customFormat="1" ht="16" thickBot="1">
      <c r="B66" s="716" t="s">
        <v>839</v>
      </c>
      <c r="C66" s="717" t="str">
        <f>IFERROR(_xlfn.SINGLE(IF(dms_MultiYear_Flag=1,FRY,CRY)),"not an ABC")</f>
        <v>2025-26</v>
      </c>
      <c r="D66" s="718" t="s">
        <v>840</v>
      </c>
      <c r="E66" s="718" t="s">
        <v>841</v>
      </c>
      <c r="F66" s="719"/>
      <c r="G66" s="719" t="s">
        <v>842</v>
      </c>
      <c r="H66" s="719"/>
      <c r="I66" s="719"/>
      <c r="J66" s="515"/>
      <c r="K66" s="516"/>
    </row>
    <row r="67" spans="2:11" customFormat="1" ht="22.5" customHeight="1" thickBot="1">
      <c r="B67" s="664" t="s">
        <v>843</v>
      </c>
      <c r="C67" s="665"/>
      <c r="D67" s="665"/>
      <c r="E67" s="665"/>
      <c r="F67" s="720"/>
      <c r="G67" s="720"/>
      <c r="H67" s="720"/>
      <c r="I67" s="720"/>
      <c r="J67" s="517"/>
      <c r="K67" s="518"/>
    </row>
    <row r="68" spans="2:11" customFormat="1" ht="15.5">
      <c r="B68" s="721" t="s">
        <v>844</v>
      </c>
      <c r="C68" s="722"/>
      <c r="D68" s="723"/>
      <c r="E68" s="724"/>
      <c r="F68" s="725"/>
      <c r="G68" s="725"/>
      <c r="H68" s="725"/>
      <c r="I68" s="725"/>
      <c r="J68" s="520"/>
      <c r="K68" s="521"/>
    </row>
    <row r="69" spans="2:11" customFormat="1" ht="15.5">
      <c r="B69" s="708" t="s">
        <v>845</v>
      </c>
      <c r="C69" s="726">
        <f>INDEX(dms_PRCPlength_List,MATCH(dms_TradingName,dms_TradingName_List))</f>
        <v>5</v>
      </c>
      <c r="D69" s="705" t="s">
        <v>846</v>
      </c>
      <c r="E69" s="727" t="s">
        <v>847</v>
      </c>
      <c r="F69" s="728"/>
      <c r="G69" s="728"/>
      <c r="H69" s="728"/>
      <c r="I69" s="728"/>
      <c r="J69" s="522"/>
      <c r="K69" s="523"/>
    </row>
    <row r="70" spans="2:11" customFormat="1" ht="15.5">
      <c r="B70" s="708" t="s">
        <v>848</v>
      </c>
      <c r="C70" s="709">
        <f>INDEX(dms_CRCPlength_List,MATCH(dms_TradingName,dms_TradingName_List))</f>
        <v>5</v>
      </c>
      <c r="D70" s="729" t="s">
        <v>849</v>
      </c>
      <c r="E70" s="730" t="s">
        <v>850</v>
      </c>
      <c r="F70" s="725"/>
      <c r="G70" s="725"/>
      <c r="H70" s="725"/>
      <c r="I70" s="725"/>
      <c r="J70" s="519"/>
      <c r="K70" s="524"/>
    </row>
    <row r="71" spans="2:11" customFormat="1" ht="15.5">
      <c r="B71" s="731" t="s">
        <v>851</v>
      </c>
      <c r="C71" s="732">
        <f>INDEX(dms_FRCPlength_List,MATCH(dms_TradingName,dms_TradingName_List))</f>
        <v>5</v>
      </c>
      <c r="D71" s="733" t="s">
        <v>852</v>
      </c>
      <c r="E71" s="734" t="s">
        <v>853</v>
      </c>
      <c r="F71" s="735"/>
      <c r="G71" s="735"/>
      <c r="H71" s="735"/>
      <c r="I71" s="735"/>
      <c r="J71" s="525"/>
      <c r="K71" s="526"/>
    </row>
    <row r="72" spans="2:11" customFormat="1" ht="15.5">
      <c r="B72" s="736" t="s">
        <v>854</v>
      </c>
      <c r="C72" s="723"/>
      <c r="D72" s="723"/>
      <c r="E72" s="724"/>
      <c r="F72" s="725"/>
      <c r="G72" s="725"/>
      <c r="H72" s="725"/>
      <c r="I72" s="725"/>
      <c r="J72" s="520"/>
      <c r="K72" s="521"/>
    </row>
    <row r="73" spans="2:11" customFormat="1" ht="15.5">
      <c r="B73" s="2197" t="s">
        <v>855</v>
      </c>
      <c r="C73" s="737">
        <f>IF(dms_Model="AIO",1,0)</f>
        <v>1</v>
      </c>
      <c r="D73" s="723" t="s">
        <v>1689</v>
      </c>
      <c r="E73" s="724"/>
      <c r="F73" s="725"/>
      <c r="G73" s="725"/>
      <c r="H73" s="725"/>
      <c r="I73" s="725"/>
      <c r="J73" s="520"/>
      <c r="K73" s="521"/>
    </row>
    <row r="74" spans="2:11" customFormat="1" ht="15.5">
      <c r="B74" s="2197"/>
      <c r="C74" s="738">
        <f>IF(dms_Model="CA",1,0)</f>
        <v>0</v>
      </c>
      <c r="D74" s="739" t="s">
        <v>856</v>
      </c>
      <c r="E74" s="740" t="s">
        <v>857</v>
      </c>
      <c r="F74" s="741"/>
      <c r="G74" s="741"/>
      <c r="H74" s="741"/>
      <c r="I74" s="741"/>
      <c r="J74" s="527"/>
      <c r="K74" s="528"/>
    </row>
    <row r="75" spans="2:11" customFormat="1" ht="15.5">
      <c r="B75" s="2198"/>
      <c r="C75" s="738">
        <f>IF(dms_Model="ARR",1,0)</f>
        <v>0</v>
      </c>
      <c r="D75" s="739" t="s">
        <v>858</v>
      </c>
      <c r="E75" s="740"/>
      <c r="F75" s="741"/>
      <c r="G75" s="741"/>
      <c r="H75" s="741"/>
      <c r="I75" s="741"/>
      <c r="J75" s="527"/>
      <c r="K75" s="528"/>
    </row>
    <row r="76" spans="2:11" customFormat="1" ht="15.5">
      <c r="B76" s="742" t="s">
        <v>859</v>
      </c>
      <c r="C76" s="743" t="str">
        <f>IF(SUM(dms_SingleYear_Model)=1,"yes","no")</f>
        <v>yes</v>
      </c>
      <c r="D76" s="740" t="s">
        <v>860</v>
      </c>
      <c r="E76" s="740" t="s">
        <v>861</v>
      </c>
      <c r="F76" s="719"/>
      <c r="G76" s="719"/>
      <c r="H76" s="719"/>
      <c r="I76" s="741"/>
      <c r="J76" s="527"/>
      <c r="K76" s="528"/>
    </row>
    <row r="77" spans="2:11" customFormat="1" ht="15.5">
      <c r="B77" s="744" t="s">
        <v>862</v>
      </c>
      <c r="C77" s="745" t="str">
        <f>IF(AND(dms_SingleYearModel="yes",dms_MultiYear_Flag=0),CRY,0)</f>
        <v>2025-26</v>
      </c>
      <c r="D77" s="733" t="s">
        <v>863</v>
      </c>
      <c r="E77" s="734" t="s">
        <v>864</v>
      </c>
      <c r="F77" s="746"/>
      <c r="G77" s="746"/>
      <c r="H77" s="746"/>
      <c r="I77" s="746"/>
      <c r="J77" s="529"/>
      <c r="K77" s="530"/>
    </row>
    <row r="78" spans="2:11" customFormat="1" ht="15.5">
      <c r="B78" s="721" t="s">
        <v>865</v>
      </c>
      <c r="C78" s="717"/>
      <c r="D78" s="729"/>
      <c r="E78" s="730"/>
      <c r="F78" s="725"/>
      <c r="G78" s="725"/>
      <c r="H78" s="725"/>
      <c r="I78" s="725"/>
      <c r="J78" s="519"/>
      <c r="K78" s="524"/>
    </row>
    <row r="79" spans="2:11" customFormat="1" ht="15.5">
      <c r="B79" s="708"/>
      <c r="C79" s="717"/>
      <c r="D79" s="729"/>
      <c r="E79" s="730"/>
      <c r="F79" s="725"/>
      <c r="G79" s="725"/>
      <c r="H79" s="725"/>
      <c r="I79" s="725"/>
      <c r="J79" s="519"/>
      <c r="K79" s="524"/>
    </row>
    <row r="80" spans="2:11" customFormat="1" ht="15.5">
      <c r="B80" s="708" t="s">
        <v>866</v>
      </c>
      <c r="C80" s="717" t="str">
        <f>IF(dms_Model_Span&gt;1,"yes","no")</f>
        <v>no</v>
      </c>
      <c r="D80" s="729"/>
      <c r="E80" s="730"/>
      <c r="F80" s="725"/>
      <c r="G80" s="725"/>
      <c r="H80" s="725"/>
      <c r="I80" s="725"/>
      <c r="J80" s="519"/>
      <c r="K80" s="524"/>
    </row>
    <row r="81" spans="2:12" customFormat="1" ht="15.5">
      <c r="B81" s="708" t="s">
        <v>867</v>
      </c>
      <c r="C81" s="747">
        <f>IF(dms_Model_Span&gt;1,dms_Reset_final_year,0)</f>
        <v>0</v>
      </c>
      <c r="D81" s="729" t="s">
        <v>868</v>
      </c>
      <c r="E81" s="730" t="s">
        <v>869</v>
      </c>
      <c r="F81" s="725"/>
      <c r="G81" s="725"/>
      <c r="H81" s="725"/>
      <c r="I81" s="725"/>
      <c r="J81" s="519"/>
      <c r="K81" s="524"/>
    </row>
    <row r="82" spans="2:12" customFormat="1" ht="15.5">
      <c r="B82" s="708"/>
      <c r="C82" s="717"/>
      <c r="D82" s="729"/>
      <c r="E82" s="730"/>
      <c r="F82" s="725"/>
      <c r="G82" s="725"/>
      <c r="H82" s="725"/>
      <c r="I82" s="725"/>
      <c r="J82" s="519"/>
      <c r="K82" s="524"/>
    </row>
    <row r="83" spans="2:12" customFormat="1" ht="15.5">
      <c r="B83" s="708" t="s">
        <v>870</v>
      </c>
      <c r="C83" s="717" t="str">
        <f>IF(dms_MultiYear_Flag=1,"yes","no")</f>
        <v>no</v>
      </c>
      <c r="D83" s="729" t="s">
        <v>871</v>
      </c>
      <c r="E83" s="730"/>
      <c r="F83" s="725"/>
      <c r="G83" s="725"/>
      <c r="H83" s="725"/>
      <c r="I83" s="725"/>
      <c r="J83" s="519"/>
      <c r="K83" s="524"/>
    </row>
    <row r="84" spans="2:12" customFormat="1" ht="15.5">
      <c r="B84" s="731" t="s">
        <v>872</v>
      </c>
      <c r="C84" s="748">
        <f>IF(dms_MultiYear_Flag=1,C51,0)</f>
        <v>0</v>
      </c>
      <c r="D84" s="749"/>
      <c r="E84" s="750"/>
      <c r="F84" s="735"/>
      <c r="G84" s="735"/>
      <c r="H84" s="735"/>
      <c r="I84" s="735"/>
      <c r="J84" s="525"/>
      <c r="K84" s="526"/>
    </row>
    <row r="85" spans="2:12" customFormat="1" ht="16" thickBot="1">
      <c r="B85" s="708"/>
      <c r="C85" s="717"/>
      <c r="D85" s="729"/>
      <c r="E85" s="730"/>
      <c r="F85" s="725"/>
      <c r="G85" s="725"/>
      <c r="H85" s="725"/>
      <c r="I85" s="725"/>
      <c r="J85" s="519"/>
      <c r="K85" s="524"/>
    </row>
    <row r="86" spans="2:12" customFormat="1" ht="28.5" customHeight="1" thickBot="1">
      <c r="B86" s="664" t="s">
        <v>873</v>
      </c>
      <c r="C86" s="665"/>
      <c r="D86" s="665"/>
      <c r="E86" s="665"/>
      <c r="F86" s="720"/>
      <c r="G86" s="720"/>
      <c r="H86" s="720"/>
      <c r="I86" s="720"/>
      <c r="J86" s="517"/>
      <c r="K86" s="518"/>
    </row>
    <row r="87" spans="2:12" s="2" customFormat="1" ht="24.75" customHeight="1" thickBot="1">
      <c r="B87" s="751" t="s">
        <v>874</v>
      </c>
      <c r="C87" s="631" t="str">
        <f>IFERROR(IF(dms_Segment="Transmission",dms_Cal_Year_B4_CRY,CRY),"CRY not present")</f>
        <v>2025</v>
      </c>
      <c r="D87" s="651" t="s">
        <v>875</v>
      </c>
      <c r="E87" s="662" t="s">
        <v>876</v>
      </c>
      <c r="F87" s="663"/>
      <c r="G87" s="663"/>
      <c r="H87" s="663"/>
      <c r="I87" s="663"/>
      <c r="J87" s="493"/>
      <c r="K87" s="494"/>
    </row>
    <row r="88" spans="2:12" customFormat="1" ht="27" customHeight="1" thickBot="1">
      <c r="B88" s="664" t="s">
        <v>877</v>
      </c>
      <c r="C88" s="665"/>
      <c r="D88" s="665"/>
      <c r="E88" s="665"/>
      <c r="F88" s="720"/>
      <c r="G88" s="720"/>
      <c r="H88" s="720"/>
      <c r="I88" s="720"/>
      <c r="J88" s="517"/>
      <c r="K88" s="518"/>
    </row>
    <row r="89" spans="2:12" customFormat="1" ht="15.5">
      <c r="B89" s="752" t="s">
        <v>878</v>
      </c>
      <c r="C89" s="753"/>
      <c r="D89" s="754"/>
      <c r="E89" s="635" t="s">
        <v>879</v>
      </c>
      <c r="F89" s="755"/>
      <c r="G89" s="755"/>
      <c r="H89" s="755"/>
      <c r="I89" s="755"/>
      <c r="J89" s="531"/>
      <c r="K89" s="532"/>
    </row>
    <row r="90" spans="2:12" customFormat="1" ht="15.5">
      <c r="B90" s="752"/>
      <c r="C90" s="753" t="str">
        <f>IF(dms_Model&lt;&gt;"CA","not a CA","Is a CA")</f>
        <v>not a CA</v>
      </c>
      <c r="D90" s="754"/>
      <c r="E90" s="756" t="s">
        <v>880</v>
      </c>
      <c r="F90" s="755"/>
      <c r="G90" s="755"/>
      <c r="H90" s="755"/>
      <c r="I90" s="755"/>
      <c r="J90" s="531"/>
      <c r="K90" s="532"/>
    </row>
    <row r="91" spans="2:12" customFormat="1" ht="15.5">
      <c r="B91" s="757" t="s">
        <v>881</v>
      </c>
      <c r="C91" s="753" t="str">
        <f>IFERROR(IF(INDEX(dms_060301_Avg_Duration_Sustained_Int_Values,1,1)&lt;&gt;"","yes","no"),"no")</f>
        <v>no</v>
      </c>
      <c r="D91" s="754" t="s">
        <v>882</v>
      </c>
      <c r="E91" s="758" t="s">
        <v>883</v>
      </c>
      <c r="F91" s="755"/>
      <c r="G91" s="755"/>
      <c r="H91" s="755"/>
      <c r="I91" s="755"/>
      <c r="J91" s="531"/>
      <c r="K91" s="532"/>
    </row>
    <row r="92" spans="2:12" customFormat="1" ht="15.5">
      <c r="B92" s="757"/>
      <c r="C92" s="759" t="str">
        <f>IF(AND(dms_Model="CA",(dms_060301_checkvalue="no")),"error - NR not present","no errors")</f>
        <v>no errors</v>
      </c>
      <c r="D92" s="754"/>
      <c r="E92" s="758" t="s">
        <v>884</v>
      </c>
      <c r="F92" s="755"/>
      <c r="G92" s="755"/>
      <c r="H92" s="755"/>
      <c r="I92" s="755"/>
      <c r="J92" s="531"/>
      <c r="K92" s="532"/>
    </row>
    <row r="93" spans="2:12" customFormat="1" ht="15.5">
      <c r="B93" s="760" t="s">
        <v>885</v>
      </c>
      <c r="C93" s="753" t="str">
        <f>IFERROR(IF(dms_Model="CA",LOOKUP(2,1/(dms_060301_Avg_Duration_Sustained_Int_Values&lt;&gt;""),(ROW(dms_060301_Avg_Duration_Sustained_Int_Values))),"not a CA"),"6.3 not present")</f>
        <v>not a CA</v>
      </c>
      <c r="D93" s="754" t="s">
        <v>886</v>
      </c>
      <c r="E93" s="758" t="s">
        <v>887</v>
      </c>
      <c r="F93" s="755"/>
      <c r="G93" s="755"/>
      <c r="H93" s="755"/>
      <c r="I93" s="755"/>
      <c r="J93" s="531"/>
      <c r="K93" s="532"/>
    </row>
    <row r="94" spans="2:12" customFormat="1" ht="15.5">
      <c r="B94" s="761" t="s">
        <v>888</v>
      </c>
      <c r="C94" s="762" t="str">
        <f>IFERROR(IF(dms_Model="CA",(dms_060301_LastRow-15),"not a CA"),"error")</f>
        <v>not a CA</v>
      </c>
      <c r="D94" s="763" t="s">
        <v>889</v>
      </c>
      <c r="E94" s="764" t="s">
        <v>890</v>
      </c>
      <c r="F94" s="765"/>
      <c r="G94" s="765"/>
      <c r="H94" s="765"/>
      <c r="I94" s="765"/>
      <c r="J94" s="533"/>
      <c r="K94" s="534"/>
      <c r="L94" s="6"/>
    </row>
    <row r="95" spans="2:12" ht="16" thickBot="1">
      <c r="B95" s="766" t="s">
        <v>891</v>
      </c>
      <c r="C95" s="767">
        <f>INDEX(dms_663_List,MATCH(dms_TradingName,dms_TradingName_List))</f>
        <v>5</v>
      </c>
      <c r="D95" s="768" t="s">
        <v>892</v>
      </c>
      <c r="E95" s="758" t="s">
        <v>893</v>
      </c>
      <c r="F95" s="769"/>
      <c r="G95" s="769"/>
      <c r="H95" s="769"/>
      <c r="I95" s="769"/>
      <c r="J95" s="535"/>
      <c r="K95" s="536"/>
    </row>
    <row r="96" spans="2:12" customFormat="1" ht="21" customHeight="1" thickBot="1">
      <c r="B96" s="664" t="s">
        <v>894</v>
      </c>
      <c r="C96" s="665"/>
      <c r="D96" s="665"/>
      <c r="E96" s="665"/>
      <c r="F96" s="720"/>
      <c r="G96" s="720"/>
      <c r="H96" s="720"/>
      <c r="I96" s="720"/>
      <c r="J96" s="517"/>
      <c r="K96" s="518"/>
    </row>
    <row r="97" spans="2:12" ht="46.5">
      <c r="B97" s="752" t="s">
        <v>895</v>
      </c>
      <c r="C97" s="770" t="s">
        <v>1114</v>
      </c>
      <c r="D97" s="771"/>
      <c r="E97" s="772" t="s">
        <v>896</v>
      </c>
      <c r="F97" s="773"/>
      <c r="G97" s="773"/>
      <c r="H97" s="769"/>
      <c r="I97" s="769"/>
      <c r="J97" s="535"/>
      <c r="K97" s="536"/>
    </row>
    <row r="98" spans="2:12" ht="15.5">
      <c r="B98" s="760" t="s">
        <v>897</v>
      </c>
      <c r="C98" s="770" t="str">
        <f>IFERROR(IF(dms_LeapYear,"yes"),"no")</f>
        <v>no</v>
      </c>
      <c r="D98" s="771"/>
      <c r="E98" s="774"/>
      <c r="F98" s="773"/>
      <c r="G98" s="773"/>
      <c r="H98" s="769"/>
      <c r="I98" s="769"/>
      <c r="J98" s="535"/>
      <c r="K98" s="536"/>
    </row>
    <row r="99" spans="2:12" ht="31">
      <c r="B99" s="775" t="s">
        <v>898</v>
      </c>
      <c r="C99" s="776" t="str">
        <f xml:space="preserve">
IFERROR(IF(MONTH(DATE(YEAR(dms_LeapYear),2,29))=2,"is a leap year","not a leap year"),
"dms_LeapYear not present")</f>
        <v>dms_LeapYear not present</v>
      </c>
      <c r="D99" s="768" t="s">
        <v>899</v>
      </c>
      <c r="E99" s="768" t="s">
        <v>900</v>
      </c>
      <c r="F99" s="769"/>
      <c r="G99" s="769"/>
      <c r="H99" s="769"/>
      <c r="I99" s="769"/>
      <c r="J99" s="535"/>
      <c r="K99" s="536"/>
    </row>
    <row r="100" spans="2:12" ht="15.5">
      <c r="B100" s="775" t="s">
        <v>901</v>
      </c>
      <c r="C100" s="777">
        <f>IF(dms_LeapYear_Result="is a leap year",1827,1826)</f>
        <v>1826</v>
      </c>
      <c r="D100" s="768" t="s">
        <v>902</v>
      </c>
      <c r="E100" s="778" t="s">
        <v>903</v>
      </c>
      <c r="F100" s="769"/>
      <c r="G100" s="769"/>
      <c r="H100" s="629" t="s">
        <v>904</v>
      </c>
      <c r="I100" s="769"/>
      <c r="J100" s="535"/>
      <c r="K100" s="536"/>
    </row>
    <row r="101" spans="2:12" ht="15.5">
      <c r="B101" s="775" t="s">
        <v>905</v>
      </c>
      <c r="C101" s="777">
        <f>IF(dms_LeapYear_Result="is a leap year",366,365)</f>
        <v>365</v>
      </c>
      <c r="D101" s="768" t="s">
        <v>906</v>
      </c>
      <c r="E101" s="778" t="s">
        <v>907</v>
      </c>
      <c r="F101" s="769"/>
      <c r="G101" s="769"/>
      <c r="H101" s="629" t="s">
        <v>908</v>
      </c>
      <c r="I101" s="769"/>
      <c r="J101" s="535"/>
      <c r="K101" s="536"/>
    </row>
    <row r="102" spans="2:12" ht="16" thickBot="1">
      <c r="B102" s="779" t="s">
        <v>909</v>
      </c>
      <c r="C102" s="780">
        <f>IF(dms_Model="AIO",dms_060701_ARR_MaxRows,IF(dms_Model="Reset",dms_060701_Reset_MaxRows,"not a relevant RIN type"))</f>
        <v>365</v>
      </c>
      <c r="D102" s="781" t="s">
        <v>910</v>
      </c>
      <c r="E102" s="782" t="s">
        <v>911</v>
      </c>
      <c r="F102" s="783"/>
      <c r="G102" s="783"/>
      <c r="H102" s="783"/>
      <c r="I102" s="783"/>
      <c r="J102" s="537"/>
      <c r="K102" s="538"/>
    </row>
    <row r="103" spans="2:12" ht="24" customHeight="1">
      <c r="B103" s="784" t="s">
        <v>912</v>
      </c>
      <c r="C103" s="785" t="str">
        <f>IF(dms_FifthFeeder_flag_NSP="NO","This NSP has only 4 feeder categories","This NSP has 5 feeder categories")</f>
        <v>This NSP has only 4 feeder categories</v>
      </c>
      <c r="D103" s="786"/>
      <c r="E103" s="787"/>
      <c r="F103" s="788"/>
      <c r="G103" s="788"/>
      <c r="H103" s="788"/>
      <c r="I103" s="788"/>
      <c r="J103" s="539"/>
      <c r="K103" s="540"/>
    </row>
    <row r="104" spans="2:12" ht="15.5">
      <c r="B104" s="760" t="s">
        <v>913</v>
      </c>
      <c r="C104" s="789">
        <f>IF(dms_FifthFeeder_flag_NSP="NO",10,12)</f>
        <v>10</v>
      </c>
      <c r="D104" s="768" t="s">
        <v>914</v>
      </c>
      <c r="E104" s="758" t="s">
        <v>915</v>
      </c>
      <c r="F104" s="769"/>
      <c r="G104" s="769"/>
      <c r="H104" s="769"/>
      <c r="I104" s="769"/>
      <c r="J104" s="535"/>
      <c r="K104" s="536"/>
    </row>
    <row r="105" spans="2:12" ht="15.5">
      <c r="B105" s="761" t="s">
        <v>916</v>
      </c>
      <c r="C105" s="790">
        <f>IF(dms_Model="ARR",15,9)</f>
        <v>9</v>
      </c>
      <c r="D105" s="791" t="s">
        <v>917</v>
      </c>
      <c r="E105" s="792" t="s">
        <v>918</v>
      </c>
      <c r="F105" s="793"/>
      <c r="G105" s="793"/>
      <c r="H105" s="793"/>
      <c r="I105" s="793"/>
      <c r="J105" s="541"/>
      <c r="K105" s="542"/>
    </row>
    <row r="106" spans="2:12" ht="15.5">
      <c r="B106" s="752" t="s">
        <v>919</v>
      </c>
      <c r="C106" s="794"/>
      <c r="D106" s="795"/>
      <c r="E106" s="635" t="s">
        <v>1115</v>
      </c>
      <c r="F106" s="769"/>
      <c r="G106" s="769"/>
      <c r="H106" s="769"/>
      <c r="I106" s="769"/>
      <c r="J106" s="535"/>
      <c r="K106" s="536"/>
    </row>
    <row r="107" spans="2:12" ht="15.5">
      <c r="B107" s="760" t="s">
        <v>920</v>
      </c>
      <c r="C107" s="794" t="str">
        <f>IF(dms_SingleYearModel="yes",(CONCATENATE(IF(LEN(CRY)=4,"1-Jan-","1-Jul-"),LEFT(CRY,4))),(CONCATENATE(IF(LEN(PRCP_y4)=4,"1-Jan-","1-Jul-"),LEFT(PRCP_y4,4))))</f>
        <v>1-Jul-2025</v>
      </c>
      <c r="D107" s="768" t="s">
        <v>416</v>
      </c>
      <c r="E107" s="756" t="s">
        <v>921</v>
      </c>
      <c r="F107" s="769"/>
      <c r="G107" s="769"/>
      <c r="H107" s="769"/>
      <c r="I107" s="769"/>
      <c r="J107" s="535"/>
      <c r="K107" s="536"/>
    </row>
    <row r="108" spans="2:12" ht="16" thickBot="1">
      <c r="B108" s="796" t="s">
        <v>922</v>
      </c>
      <c r="C108" s="797">
        <f>DATEVALUE(dms_060701_StartDateTxt)</f>
        <v>45839</v>
      </c>
      <c r="D108" s="798" t="s">
        <v>923</v>
      </c>
      <c r="E108" s="799" t="s">
        <v>924</v>
      </c>
      <c r="F108" s="800"/>
      <c r="G108" s="800"/>
      <c r="H108" s="800"/>
      <c r="I108" s="800"/>
      <c r="J108" s="543"/>
      <c r="K108" s="544"/>
      <c r="L108" s="6"/>
    </row>
    <row r="109" spans="2:12" customFormat="1" ht="16" thickBot="1">
      <c r="B109" s="664" t="s">
        <v>925</v>
      </c>
      <c r="C109" s="665"/>
      <c r="D109" s="665"/>
      <c r="E109" s="665"/>
      <c r="F109" s="720"/>
      <c r="G109" s="720"/>
      <c r="H109" s="720"/>
      <c r="I109" s="720"/>
      <c r="J109" s="517"/>
      <c r="K109" s="518"/>
    </row>
    <row r="110" spans="2:12" ht="62">
      <c r="B110" s="801" t="s">
        <v>926</v>
      </c>
      <c r="C110" s="770" t="s">
        <v>927</v>
      </c>
      <c r="D110" s="635"/>
      <c r="E110" s="635" t="s">
        <v>1116</v>
      </c>
      <c r="F110" s="802"/>
      <c r="G110" s="802"/>
      <c r="H110" s="802"/>
      <c r="I110" s="802"/>
      <c r="J110" s="545"/>
      <c r="K110" s="546"/>
      <c r="L110" s="6"/>
    </row>
    <row r="111" spans="2:12" ht="15.5">
      <c r="B111" s="752" t="s">
        <v>928</v>
      </c>
      <c r="C111" s="770" t="s">
        <v>729</v>
      </c>
      <c r="D111" s="803"/>
      <c r="E111" s="758" t="s">
        <v>929</v>
      </c>
      <c r="F111" s="769"/>
      <c r="G111" s="769"/>
      <c r="H111" s="769"/>
      <c r="I111" s="769"/>
      <c r="J111" s="535"/>
      <c r="K111" s="536"/>
      <c r="L111" s="6"/>
    </row>
    <row r="112" spans="2:12" ht="15.5">
      <c r="B112" s="760" t="s">
        <v>930</v>
      </c>
      <c r="C112" s="794">
        <v>12</v>
      </c>
      <c r="D112" s="768" t="s">
        <v>931</v>
      </c>
      <c r="E112" s="758" t="s">
        <v>932</v>
      </c>
      <c r="F112" s="769"/>
      <c r="G112" s="769"/>
      <c r="H112" s="769"/>
      <c r="I112" s="769"/>
      <c r="J112" s="535"/>
      <c r="K112" s="536"/>
    </row>
    <row r="113" spans="2:11" ht="15.5">
      <c r="B113" s="760" t="s">
        <v>933</v>
      </c>
      <c r="C113" s="804" t="s">
        <v>934</v>
      </c>
      <c r="D113" s="768" t="s">
        <v>935</v>
      </c>
      <c r="E113" s="778" t="s">
        <v>936</v>
      </c>
      <c r="F113" s="769"/>
      <c r="G113" s="769"/>
      <c r="H113" s="769"/>
      <c r="I113" s="769"/>
      <c r="J113" s="535"/>
      <c r="K113" s="536"/>
    </row>
    <row r="114" spans="2:11" ht="16" thickBot="1">
      <c r="B114" s="796" t="s">
        <v>937</v>
      </c>
      <c r="C114" s="805" t="str">
        <f>IFERROR(IF(dms_Model="ARR",(MAX(0,dms_0608_LastRow-dms_0608_OffsetRows)),"not an ARR"),"0")</f>
        <v>not an ARR</v>
      </c>
      <c r="D114" s="798" t="s">
        <v>938</v>
      </c>
      <c r="E114" s="806" t="s">
        <v>939</v>
      </c>
      <c r="F114" s="807"/>
      <c r="G114" s="800"/>
      <c r="H114" s="800"/>
      <c r="I114" s="800"/>
      <c r="J114" s="543"/>
      <c r="K114" s="544"/>
    </row>
    <row r="115" spans="2:11" customFormat="1" ht="16" thickBot="1">
      <c r="B115" s="664" t="s">
        <v>940</v>
      </c>
      <c r="C115" s="665"/>
      <c r="D115" s="665"/>
      <c r="E115" s="665"/>
      <c r="F115" s="720"/>
      <c r="G115" s="720"/>
      <c r="H115" s="720"/>
      <c r="I115" s="720"/>
      <c r="J115" s="517"/>
      <c r="K115" s="518"/>
    </row>
    <row r="116" spans="2:11" ht="15.5">
      <c r="B116" s="752" t="s">
        <v>941</v>
      </c>
      <c r="C116" s="789"/>
      <c r="D116" s="768"/>
      <c r="E116" s="758"/>
      <c r="F116" s="808"/>
      <c r="G116" s="769"/>
      <c r="H116" s="769"/>
      <c r="I116" s="769"/>
      <c r="J116" s="535"/>
      <c r="K116" s="536"/>
    </row>
    <row r="117" spans="2:11" ht="15.5">
      <c r="B117" s="760" t="s">
        <v>942</v>
      </c>
      <c r="C117" s="794" t="str">
        <f ca="1">LEFT(PRCP_y3,4)</f>
        <v>1988</v>
      </c>
      <c r="D117" s="768" t="s">
        <v>943</v>
      </c>
      <c r="E117" s="809" t="s">
        <v>944</v>
      </c>
      <c r="F117" s="769"/>
      <c r="G117" s="769"/>
      <c r="H117" s="769"/>
      <c r="I117" s="769"/>
      <c r="J117" s="535"/>
      <c r="K117" s="536"/>
    </row>
    <row r="118" spans="2:11" ht="16" thickBot="1">
      <c r="B118" s="810"/>
      <c r="C118" s="811"/>
      <c r="D118" s="812"/>
      <c r="E118" s="813"/>
      <c r="F118" s="814"/>
      <c r="G118" s="814"/>
      <c r="H118" s="814"/>
      <c r="I118" s="814"/>
      <c r="J118" s="547"/>
      <c r="K118" s="548"/>
    </row>
    <row r="119" spans="2:11" customFormat="1" ht="16" thickBot="1">
      <c r="B119" s="664" t="s">
        <v>945</v>
      </c>
      <c r="C119" s="665"/>
      <c r="D119" s="665"/>
      <c r="E119" s="665"/>
      <c r="F119" s="720"/>
      <c r="G119" s="720"/>
      <c r="H119" s="720"/>
      <c r="I119" s="720"/>
      <c r="J119" s="517"/>
      <c r="K119" s="518"/>
    </row>
    <row r="120" spans="2:11" customFormat="1" ht="14.25" customHeight="1">
      <c r="B120" s="815" t="s">
        <v>946</v>
      </c>
      <c r="C120" s="816" t="str">
        <f>INDEX(dms_DeterminationRef_List,MATCH(dms_TradingName,dms_TradingName_List))</f>
        <v>transmission determination</v>
      </c>
      <c r="D120" s="817" t="s">
        <v>947</v>
      </c>
      <c r="E120" s="818"/>
      <c r="F120" s="819"/>
      <c r="G120" s="819"/>
      <c r="H120" s="819"/>
      <c r="I120" s="819"/>
      <c r="J120" s="549"/>
      <c r="K120" s="550"/>
    </row>
    <row r="121" spans="2:11" customFormat="1" ht="14.25" customHeight="1">
      <c r="B121" s="820" t="s">
        <v>948</v>
      </c>
      <c r="C121" s="821" t="str">
        <f>INDEX(dms_Public_Lighting_List,MATCH(dms_TradingName,dms_TradingName_List))</f>
        <v>NO</v>
      </c>
      <c r="D121" s="822" t="s">
        <v>949</v>
      </c>
      <c r="E121" s="823" t="s">
        <v>950</v>
      </c>
      <c r="F121" s="824"/>
      <c r="G121" s="824"/>
      <c r="H121" s="824"/>
      <c r="I121" s="824"/>
      <c r="J121" s="551"/>
      <c r="K121" s="552"/>
    </row>
    <row r="122" spans="2:11" ht="15" customHeight="1">
      <c r="B122" s="825" t="s">
        <v>951</v>
      </c>
      <c r="C122" s="621" t="str">
        <f>INDEX(dms_CBD_flag,MATCH(dms_TradingName,dms_TradingName_List))</f>
        <v>NO</v>
      </c>
      <c r="D122" s="622" t="s">
        <v>952</v>
      </c>
      <c r="E122" s="622"/>
      <c r="F122" s="826"/>
      <c r="G122" s="826"/>
      <c r="H122" s="826"/>
      <c r="I122" s="826"/>
      <c r="J122" s="553"/>
      <c r="K122" s="554"/>
    </row>
    <row r="123" spans="2:11" ht="15" customHeight="1">
      <c r="B123" s="827" t="s">
        <v>953</v>
      </c>
      <c r="C123" s="630" t="str">
        <f>INDEX(dms_Urban_flag,MATCH(dms_TradingName,dms_TradingName_List))</f>
        <v>NO</v>
      </c>
      <c r="D123" s="627" t="s">
        <v>954</v>
      </c>
      <c r="E123" s="627"/>
      <c r="F123" s="634"/>
      <c r="G123" s="634"/>
      <c r="H123" s="634"/>
      <c r="I123" s="634"/>
      <c r="J123" s="478"/>
      <c r="K123" s="555"/>
    </row>
    <row r="124" spans="2:11" ht="15" customHeight="1">
      <c r="B124" s="827" t="s">
        <v>955</v>
      </c>
      <c r="C124" s="630" t="str">
        <f>INDEX(dms_ShortRural_flag,MATCH(dms_TradingName,dms_TradingName_List))</f>
        <v>NO</v>
      </c>
      <c r="D124" s="627" t="s">
        <v>956</v>
      </c>
      <c r="E124" s="627"/>
      <c r="F124" s="634"/>
      <c r="G124" s="634"/>
      <c r="H124" s="634"/>
      <c r="I124" s="634"/>
      <c r="J124" s="478"/>
      <c r="K124" s="555"/>
    </row>
    <row r="125" spans="2:11" ht="15" customHeight="1">
      <c r="B125" s="828" t="s">
        <v>957</v>
      </c>
      <c r="C125" s="829" t="str">
        <f>INDEX(dms_LongRural_flag,MATCH(dms_TradingName,dms_TradingName_List))</f>
        <v>NO</v>
      </c>
      <c r="D125" s="830" t="s">
        <v>958</v>
      </c>
      <c r="E125" s="830"/>
      <c r="F125" s="831"/>
      <c r="G125" s="831"/>
      <c r="H125" s="831"/>
      <c r="I125" s="831"/>
      <c r="J125" s="556"/>
      <c r="K125" s="557"/>
    </row>
    <row r="126" spans="2:11" ht="16" thickBot="1">
      <c r="B126" s="832" t="s">
        <v>959</v>
      </c>
      <c r="C126" s="833" t="str">
        <f>INDEX(dms_FeederType_5_flag,MATCH(dms_TradingName,dms_TradingName_List))</f>
        <v>NO</v>
      </c>
      <c r="D126" s="798" t="s">
        <v>960</v>
      </c>
      <c r="E126" s="806" t="s">
        <v>961</v>
      </c>
      <c r="F126" s="834"/>
      <c r="G126" s="834"/>
      <c r="H126" s="834"/>
      <c r="I126" s="834"/>
      <c r="J126" s="558"/>
      <c r="K126" s="559"/>
    </row>
    <row r="127" spans="2:11" ht="16" thickBot="1">
      <c r="B127" s="810"/>
      <c r="C127" s="811"/>
      <c r="D127" s="812"/>
      <c r="E127" s="813"/>
      <c r="F127" s="814"/>
      <c r="G127" s="814"/>
      <c r="H127" s="814"/>
      <c r="I127" s="814"/>
      <c r="J127" s="547"/>
      <c r="K127" s="548"/>
    </row>
    <row r="128" spans="2:11" customFormat="1" ht="16" thickBot="1">
      <c r="B128" s="835" t="s">
        <v>962</v>
      </c>
      <c r="C128" s="836"/>
      <c r="D128" s="836"/>
      <c r="E128" s="836"/>
      <c r="F128" s="837"/>
      <c r="G128" s="837"/>
      <c r="H128" s="837"/>
      <c r="I128" s="837"/>
      <c r="J128" s="560"/>
      <c r="K128" s="561"/>
    </row>
    <row r="129" spans="2:11" ht="16" thickBot="1">
      <c r="B129" s="838" t="s">
        <v>963</v>
      </c>
      <c r="C129" s="839" t="s">
        <v>522</v>
      </c>
      <c r="D129" s="840" t="s">
        <v>964</v>
      </c>
      <c r="E129" s="841" t="s">
        <v>965</v>
      </c>
      <c r="F129" s="842"/>
      <c r="G129" s="842"/>
      <c r="H129" s="842"/>
      <c r="I129" s="842"/>
      <c r="J129" s="562"/>
      <c r="K129" s="563"/>
    </row>
    <row r="130" spans="2:11" customFormat="1" ht="16" thickBot="1">
      <c r="B130" s="580"/>
      <c r="C130" s="580"/>
      <c r="D130" s="580"/>
      <c r="E130" s="580"/>
      <c r="F130" s="580"/>
      <c r="G130" s="580"/>
      <c r="H130" s="580"/>
      <c r="I130" s="580"/>
    </row>
    <row r="131" spans="2:11" customFormat="1" ht="16" thickBot="1">
      <c r="B131" s="835" t="s">
        <v>966</v>
      </c>
      <c r="C131" s="836"/>
      <c r="D131" s="836"/>
      <c r="E131" s="836"/>
      <c r="F131" s="837"/>
      <c r="G131" s="837"/>
      <c r="H131" s="837"/>
      <c r="I131" s="837"/>
      <c r="J131" s="560"/>
      <c r="K131" s="561"/>
    </row>
    <row r="132" spans="2:11" ht="15.5">
      <c r="B132" s="843" t="s">
        <v>967</v>
      </c>
      <c r="C132" s="844" t="s">
        <v>522</v>
      </c>
      <c r="D132" s="627" t="s">
        <v>968</v>
      </c>
      <c r="E132" s="845"/>
      <c r="F132" s="633"/>
      <c r="G132" s="633"/>
      <c r="H132" s="633"/>
      <c r="I132" s="633"/>
      <c r="J132" s="476"/>
      <c r="K132" s="477"/>
    </row>
    <row r="133" spans="2:11" customFormat="1" ht="15.5">
      <c r="B133" s="580"/>
      <c r="C133" s="580"/>
      <c r="D133" s="580"/>
      <c r="E133" s="580"/>
      <c r="F133" s="580"/>
      <c r="G133" s="580"/>
      <c r="H133" s="580"/>
      <c r="I133" s="580"/>
    </row>
    <row r="134" spans="2:11" ht="16" thickBot="1">
      <c r="B134" s="810"/>
      <c r="C134" s="811"/>
      <c r="D134" s="812"/>
      <c r="E134" s="813"/>
      <c r="F134" s="814"/>
      <c r="G134" s="814"/>
      <c r="H134" s="814"/>
      <c r="I134" s="814"/>
      <c r="J134" s="547"/>
      <c r="K134" s="548"/>
    </row>
    <row r="135" spans="2:11" ht="16" thickBot="1">
      <c r="B135" s="846" t="s">
        <v>969</v>
      </c>
      <c r="C135" s="847"/>
      <c r="D135" s="847"/>
      <c r="E135" s="847"/>
      <c r="F135" s="848"/>
      <c r="G135" s="848"/>
      <c r="H135" s="848"/>
      <c r="I135" s="848"/>
      <c r="J135" s="564"/>
      <c r="K135" s="565"/>
    </row>
    <row r="136" spans="2:11" ht="15.5">
      <c r="B136" s="849" t="s">
        <v>970</v>
      </c>
      <c r="C136" s="844" t="s">
        <v>522</v>
      </c>
      <c r="D136" s="850" t="s">
        <v>971</v>
      </c>
      <c r="E136" s="851"/>
      <c r="F136" s="852"/>
      <c r="G136" s="852"/>
      <c r="H136" s="852"/>
      <c r="I136" s="852"/>
      <c r="J136" s="566"/>
      <c r="K136" s="567"/>
    </row>
    <row r="137" spans="2:11" ht="15.5">
      <c r="B137" s="853"/>
      <c r="C137" s="854" t="s">
        <v>972</v>
      </c>
      <c r="D137" s="855" t="s">
        <v>973</v>
      </c>
      <c r="E137" s="856"/>
      <c r="F137" s="857"/>
      <c r="G137" s="857"/>
      <c r="H137" s="857"/>
      <c r="I137" s="857"/>
      <c r="J137" s="568"/>
      <c r="K137" s="569"/>
    </row>
    <row r="138" spans="2:11" ht="15.5">
      <c r="B138" s="853"/>
      <c r="C138" s="858">
        <v>2013</v>
      </c>
      <c r="D138" s="859" t="s">
        <v>974</v>
      </c>
      <c r="E138" s="860"/>
      <c r="F138" s="861"/>
      <c r="G138" s="861"/>
      <c r="H138" s="861"/>
      <c r="I138" s="861"/>
      <c r="J138" s="570"/>
      <c r="K138" s="571"/>
    </row>
    <row r="139" spans="2:11" ht="15.5">
      <c r="B139" s="853"/>
      <c r="C139" s="858">
        <v>2014</v>
      </c>
      <c r="D139" s="859" t="s">
        <v>975</v>
      </c>
      <c r="E139" s="860"/>
      <c r="F139" s="861"/>
      <c r="G139" s="861"/>
      <c r="H139" s="861"/>
      <c r="I139" s="861"/>
      <c r="J139" s="570"/>
      <c r="K139" s="571"/>
    </row>
    <row r="140" spans="2:11" ht="15.5">
      <c r="B140" s="853"/>
      <c r="C140" s="858">
        <v>2015</v>
      </c>
      <c r="D140" s="859" t="s">
        <v>976</v>
      </c>
      <c r="E140" s="860"/>
      <c r="F140" s="861"/>
      <c r="G140" s="861"/>
      <c r="H140" s="861"/>
      <c r="I140" s="861"/>
      <c r="J140" s="570"/>
      <c r="K140" s="571"/>
    </row>
    <row r="141" spans="2:11" ht="15.5">
      <c r="B141" s="853"/>
      <c r="C141" s="858">
        <v>2016</v>
      </c>
      <c r="D141" s="859" t="s">
        <v>977</v>
      </c>
      <c r="E141" s="860"/>
      <c r="F141" s="861"/>
      <c r="G141" s="861"/>
      <c r="H141" s="861"/>
      <c r="I141" s="861"/>
      <c r="J141" s="570"/>
      <c r="K141" s="571"/>
    </row>
    <row r="142" spans="2:11" ht="15.5">
      <c r="B142" s="862"/>
      <c r="C142" s="863">
        <v>2017</v>
      </c>
      <c r="D142" s="864" t="s">
        <v>978</v>
      </c>
      <c r="E142" s="865"/>
      <c r="F142" s="866"/>
      <c r="G142" s="866"/>
      <c r="H142" s="866"/>
      <c r="I142" s="866"/>
      <c r="J142" s="572"/>
      <c r="K142" s="573"/>
    </row>
    <row r="143" spans="2:11" ht="15.5">
      <c r="B143" s="862"/>
      <c r="C143" s="863">
        <v>2018</v>
      </c>
      <c r="D143" s="864" t="s">
        <v>979</v>
      </c>
      <c r="E143" s="865"/>
      <c r="F143" s="866"/>
      <c r="G143" s="866"/>
      <c r="H143" s="866"/>
      <c r="I143" s="866"/>
      <c r="J143" s="572"/>
      <c r="K143" s="573"/>
    </row>
    <row r="144" spans="2:11" ht="15.5">
      <c r="B144" s="862"/>
      <c r="C144" s="863">
        <v>2019</v>
      </c>
      <c r="D144" s="864" t="s">
        <v>980</v>
      </c>
      <c r="E144" s="865"/>
      <c r="F144" s="866"/>
      <c r="G144" s="866"/>
      <c r="H144" s="866"/>
      <c r="I144" s="866"/>
      <c r="J144" s="572"/>
      <c r="K144" s="573"/>
    </row>
    <row r="145" spans="2:11" ht="15.5">
      <c r="B145" s="862"/>
      <c r="C145" s="863">
        <v>2020</v>
      </c>
      <c r="D145" s="864" t="s">
        <v>981</v>
      </c>
      <c r="E145" s="865"/>
      <c r="F145" s="866"/>
      <c r="G145" s="866"/>
      <c r="H145" s="866"/>
      <c r="I145" s="866"/>
      <c r="J145" s="572"/>
      <c r="K145" s="573"/>
    </row>
    <row r="146" spans="2:11" ht="16" thickBot="1">
      <c r="B146" s="867"/>
      <c r="C146" s="868">
        <v>2021</v>
      </c>
      <c r="D146" s="869" t="s">
        <v>982</v>
      </c>
      <c r="E146" s="870"/>
      <c r="F146" s="871"/>
      <c r="G146" s="871"/>
      <c r="H146" s="871"/>
      <c r="I146" s="871"/>
      <c r="J146" s="574"/>
      <c r="K146" s="575"/>
    </row>
    <row r="147" spans="2:11">
      <c r="B147"/>
      <c r="C147"/>
    </row>
    <row r="148" spans="2:11">
      <c r="B148"/>
      <c r="C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sheetData>
  <dataConsolidate/>
  <mergeCells count="13">
    <mergeCell ref="A13:A17"/>
    <mergeCell ref="E14:I14"/>
    <mergeCell ref="C16:E16"/>
    <mergeCell ref="A20:A27"/>
    <mergeCell ref="A28:A33"/>
    <mergeCell ref="B73:B75"/>
    <mergeCell ref="BQ34:CL34"/>
    <mergeCell ref="AL35:BG35"/>
    <mergeCell ref="BQ35:CL35"/>
    <mergeCell ref="A36:A61"/>
    <mergeCell ref="AL36:BG36"/>
    <mergeCell ref="BQ36:CL36"/>
    <mergeCell ref="AL34:BG34"/>
  </mergeCells>
  <conditionalFormatting sqref="B86">
    <cfRule type="expression" dxfId="12" priority="10">
      <formula>dms_Model="EB"</formula>
    </cfRule>
  </conditionalFormatting>
  <conditionalFormatting sqref="B88">
    <cfRule type="expression" dxfId="11" priority="11">
      <formula>dms_Model="CA"</formula>
    </cfRule>
  </conditionalFormatting>
  <conditionalFormatting sqref="B96">
    <cfRule type="expression" dxfId="10" priority="8">
      <formula>IF(OR(dms_Model="ARR",dms_Model="Reset"),"True")</formula>
    </cfRule>
  </conditionalFormatting>
  <conditionalFormatting sqref="B109">
    <cfRule type="expression" dxfId="9" priority="9">
      <formula>dms_Model="ARR"</formula>
    </cfRule>
  </conditionalFormatting>
  <conditionalFormatting sqref="B115">
    <cfRule type="expression" dxfId="8" priority="3">
      <formula>AND(dms_Model="Reset",dms_Segment="Transmission")</formula>
    </cfRule>
  </conditionalFormatting>
  <conditionalFormatting sqref="C25">
    <cfRule type="expression" dxfId="7" priority="13">
      <formula>SUM(dms_SingleYear_Model)&gt;0</formula>
    </cfRule>
  </conditionalFormatting>
  <conditionalFormatting sqref="C63">
    <cfRule type="cellIs" dxfId="6" priority="4" operator="equal">
      <formula>"YES"</formula>
    </cfRule>
  </conditionalFormatting>
  <conditionalFormatting sqref="C65">
    <cfRule type="expression" dxfId="5" priority="12">
      <formula>dms_MultiYear_Flag=1</formula>
    </cfRule>
  </conditionalFormatting>
  <conditionalFormatting sqref="C77">
    <cfRule type="cellIs" dxfId="4" priority="1" operator="greaterThan">
      <formula>0</formula>
    </cfRule>
  </conditionalFormatting>
  <conditionalFormatting sqref="C81 C84">
    <cfRule type="cellIs" dxfId="3" priority="2" operator="greaterThan">
      <formula>0</formula>
    </cfRule>
  </conditionalFormatting>
  <conditionalFormatting sqref="C94">
    <cfRule type="cellIs" dxfId="1" priority="7" operator="equal">
      <formula>"error"</formula>
    </cfRule>
  </conditionalFormatting>
  <conditionalFormatting sqref="C132 C136">
    <cfRule type="cellIs" dxfId="0" priority="5" operator="equal">
      <formula>"YES"</formula>
    </cfRule>
  </conditionalFormatting>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9"/>
  <dimension ref="A1:I82"/>
  <sheetViews>
    <sheetView workbookViewId="0"/>
  </sheetViews>
  <sheetFormatPr defaultColWidth="9.1796875" defaultRowHeight="14.5"/>
  <cols>
    <col min="1" max="1" width="5.6328125" style="1" customWidth="1"/>
    <col min="2" max="2" width="10.54296875" style="1" customWidth="1"/>
    <col min="3" max="3" width="50.54296875" style="1" customWidth="1"/>
    <col min="4" max="4" width="31.81640625" style="1" bestFit="1" customWidth="1"/>
    <col min="5" max="5" width="33.54296875" style="1" customWidth="1"/>
    <col min="6" max="7" width="18.7265625" style="1" customWidth="1"/>
    <col min="8" max="8" width="11.81640625" style="1" customWidth="1"/>
    <col min="9" max="16384" width="9.1796875" style="1"/>
  </cols>
  <sheetData>
    <row r="1" spans="1:9" ht="21">
      <c r="A1" s="1851"/>
      <c r="B1" s="897"/>
      <c r="C1" s="914" t="str">
        <f>dms_SheetHeading1</f>
        <v>ANNUAL INFORMATION ORDER</v>
      </c>
      <c r="D1" s="7"/>
      <c r="E1" s="7"/>
      <c r="F1" s="7"/>
      <c r="G1" s="7"/>
    </row>
    <row r="2" spans="1:9" ht="21">
      <c r="B2" s="898"/>
      <c r="C2" s="915" t="str">
        <f>dms_SheetHeading2</f>
        <v>Australian Transmission Co.</v>
      </c>
      <c r="D2" s="898"/>
      <c r="E2" s="7"/>
      <c r="F2" s="7"/>
      <c r="G2" s="7"/>
    </row>
    <row r="3" spans="1:9" ht="21">
      <c r="B3" s="7"/>
      <c r="C3" s="916" t="str">
        <f>dms_SheetHeading3</f>
        <v>REPORTING STATEMENT: 2025-26</v>
      </c>
      <c r="D3" s="7"/>
      <c r="E3" s="9"/>
      <c r="F3" s="9"/>
      <c r="G3" s="9"/>
    </row>
    <row r="4" spans="1:9" ht="18.5">
      <c r="B4" s="917"/>
      <c r="C4" s="917" t="s">
        <v>1273</v>
      </c>
      <c r="D4" s="917"/>
      <c r="E4" s="917"/>
      <c r="F4" s="917"/>
      <c r="G4" s="917"/>
    </row>
    <row r="5" spans="1:9" ht="11.25" customHeight="1"/>
    <row r="6" spans="1:9" ht="23.25" customHeight="1">
      <c r="B6" s="1518" t="s">
        <v>1272</v>
      </c>
      <c r="C6" s="1519"/>
      <c r="D6" s="1519"/>
      <c r="E6" s="1519"/>
      <c r="F6" s="1519"/>
      <c r="G6" s="1519"/>
    </row>
    <row r="7" spans="1:9" ht="23.25" customHeight="1">
      <c r="B7" s="1520" t="s">
        <v>1274</v>
      </c>
      <c r="C7" s="1521"/>
      <c r="D7" s="1521"/>
      <c r="E7" s="1521"/>
      <c r="F7" s="1521"/>
      <c r="G7" s="1521"/>
    </row>
    <row r="8" spans="1:9" ht="12" customHeight="1"/>
    <row r="9" spans="1:9" ht="19.5" customHeight="1">
      <c r="B9" s="1998" t="s">
        <v>103</v>
      </c>
      <c r="C9" s="1996" t="s">
        <v>104</v>
      </c>
      <c r="D9" s="1996" t="s">
        <v>1285</v>
      </c>
      <c r="E9" s="1996"/>
      <c r="F9" s="1996" t="s">
        <v>1278</v>
      </c>
      <c r="G9" s="1997"/>
    </row>
    <row r="10" spans="1:9" ht="18.75" customHeight="1">
      <c r="B10" s="1999"/>
      <c r="C10" s="2000"/>
      <c r="D10" s="1234" t="s">
        <v>1275</v>
      </c>
      <c r="E10" s="1234" t="s">
        <v>1279</v>
      </c>
      <c r="F10" s="1234" t="s">
        <v>1276</v>
      </c>
      <c r="G10" s="1634" t="s">
        <v>1277</v>
      </c>
    </row>
    <row r="11" spans="1:9" ht="18.75" customHeight="1">
      <c r="B11" s="1624" t="s">
        <v>3</v>
      </c>
      <c r="C11" s="1625"/>
      <c r="D11" s="1626"/>
      <c r="E11" s="1626"/>
      <c r="F11" s="1626"/>
      <c r="G11" s="1635"/>
    </row>
    <row r="12" spans="1:9" s="8" customFormat="1" ht="20.25" customHeight="1">
      <c r="B12" s="1524"/>
      <c r="C12" s="1525" t="s">
        <v>1562</v>
      </c>
      <c r="D12" s="1525"/>
      <c r="E12" s="1526"/>
      <c r="F12" s="1522" t="s">
        <v>1283</v>
      </c>
      <c r="G12" s="1636" t="s">
        <v>1284</v>
      </c>
      <c r="I12" s="12"/>
    </row>
    <row r="13" spans="1:9" s="8" customFormat="1" ht="20.25" customHeight="1">
      <c r="B13" s="1527"/>
      <c r="C13" s="1528" t="s">
        <v>1561</v>
      </c>
      <c r="D13" s="1528"/>
      <c r="E13" s="1529"/>
      <c r="F13" s="1523" t="s">
        <v>1283</v>
      </c>
      <c r="G13" s="1637" t="s">
        <v>1284</v>
      </c>
      <c r="I13" s="12"/>
    </row>
    <row r="14" spans="1:9" s="8" customFormat="1" ht="20.25" customHeight="1">
      <c r="B14" s="1624" t="s">
        <v>4</v>
      </c>
      <c r="C14" s="1625"/>
      <c r="D14" s="1626"/>
      <c r="E14" s="1626"/>
      <c r="F14" s="1626"/>
      <c r="G14" s="1635"/>
      <c r="I14" s="12"/>
    </row>
    <row r="15" spans="1:9" s="8" customFormat="1" ht="20.25" customHeight="1">
      <c r="B15" s="1524"/>
      <c r="C15" s="1629" t="s">
        <v>1563</v>
      </c>
      <c r="D15" s="1525"/>
      <c r="E15" s="1530" t="s">
        <v>1128</v>
      </c>
      <c r="F15" s="1522" t="s">
        <v>1283</v>
      </c>
      <c r="G15" s="1636" t="s">
        <v>1284</v>
      </c>
      <c r="I15" s="12"/>
    </row>
    <row r="16" spans="1:9" s="8" customFormat="1" ht="20.25" customHeight="1">
      <c r="B16" s="1524"/>
      <c r="C16" s="1525"/>
      <c r="D16" s="1525"/>
      <c r="E16" s="1530" t="s">
        <v>1129</v>
      </c>
      <c r="F16" s="2001" t="s">
        <v>1280</v>
      </c>
      <c r="G16" s="2002"/>
      <c r="I16" s="12"/>
    </row>
    <row r="17" spans="1:9" s="8" customFormat="1" ht="20.25" customHeight="1">
      <c r="B17" s="1531"/>
      <c r="C17" s="1532"/>
      <c r="D17" s="1532"/>
      <c r="E17" s="1533" t="s">
        <v>1130</v>
      </c>
      <c r="F17" s="2003" t="s">
        <v>1280</v>
      </c>
      <c r="G17" s="2004"/>
      <c r="H17" s="8" t="str">
        <f t="shared" ref="H17" si="0">PROPER(C17)</f>
        <v/>
      </c>
      <c r="I17" s="12"/>
    </row>
    <row r="18" spans="1:9" s="8" customFormat="1" ht="20.25" customHeight="1">
      <c r="B18" s="1624" t="s">
        <v>1564</v>
      </c>
      <c r="C18" s="1625"/>
      <c r="D18" s="1626"/>
      <c r="E18" s="1626"/>
      <c r="F18" s="1626"/>
      <c r="G18" s="1635"/>
      <c r="I18" s="12"/>
    </row>
    <row r="19" spans="1:9" s="8" customFormat="1" ht="20.25" customHeight="1">
      <c r="B19" s="1524"/>
      <c r="C19" s="1525" t="s">
        <v>1613</v>
      </c>
      <c r="D19" s="1627" t="s">
        <v>1341</v>
      </c>
      <c r="E19" s="1628" t="s">
        <v>1131</v>
      </c>
      <c r="F19" s="2001" t="s">
        <v>1280</v>
      </c>
      <c r="G19" s="2002"/>
    </row>
    <row r="20" spans="1:9" s="8" customFormat="1" ht="20.5" customHeight="1">
      <c r="A20" s="1408"/>
      <c r="B20" s="1524"/>
      <c r="C20" s="1629"/>
      <c r="D20" s="1629"/>
      <c r="E20" s="1530" t="s">
        <v>1163</v>
      </c>
      <c r="F20" s="2001" t="s">
        <v>1280</v>
      </c>
      <c r="G20" s="2002"/>
      <c r="I20" s="12"/>
    </row>
    <row r="21" spans="1:9" s="8" customFormat="1" ht="20.5" customHeight="1">
      <c r="A21" s="1408"/>
      <c r="B21" s="1524"/>
      <c r="C21" s="1525"/>
      <c r="D21" s="1627"/>
      <c r="E21" s="1530" t="s">
        <v>1164</v>
      </c>
      <c r="F21" s="2001" t="s">
        <v>1280</v>
      </c>
      <c r="G21" s="2002"/>
      <c r="I21" s="12"/>
    </row>
    <row r="22" spans="1:9" s="8" customFormat="1" ht="20.5" customHeight="1">
      <c r="A22" s="1408"/>
      <c r="B22" s="1524"/>
      <c r="C22" s="1525"/>
      <c r="D22" s="1627"/>
      <c r="E22" s="1530" t="s">
        <v>1166</v>
      </c>
      <c r="F22" s="2001" t="s">
        <v>1280</v>
      </c>
      <c r="G22" s="2002"/>
      <c r="I22" s="12"/>
    </row>
    <row r="23" spans="1:9" s="8" customFormat="1" ht="20.5" customHeight="1">
      <c r="A23" s="1408"/>
      <c r="B23" s="1524"/>
      <c r="C23" s="1525"/>
      <c r="D23" s="1627"/>
      <c r="E23" s="1530" t="s">
        <v>1281</v>
      </c>
      <c r="F23" s="2001" t="s">
        <v>1280</v>
      </c>
      <c r="G23" s="2002"/>
      <c r="I23" s="12"/>
    </row>
    <row r="24" spans="1:9" s="8" customFormat="1" ht="20.5" customHeight="1">
      <c r="B24" s="1524"/>
      <c r="C24" s="1525"/>
      <c r="D24" s="1627"/>
      <c r="E24" s="1630" t="s">
        <v>1339</v>
      </c>
      <c r="F24" s="2001" t="s">
        <v>1280</v>
      </c>
      <c r="G24" s="2002"/>
      <c r="I24" s="12"/>
    </row>
    <row r="25" spans="1:9" s="8" customFormat="1" ht="20.5" customHeight="1">
      <c r="B25" s="1524"/>
      <c r="C25" s="1525"/>
      <c r="D25" s="1627"/>
      <c r="E25" s="1630" t="s">
        <v>1338</v>
      </c>
      <c r="F25" s="2001" t="s">
        <v>1280</v>
      </c>
      <c r="G25" s="2002"/>
      <c r="I25" s="12"/>
    </row>
    <row r="26" spans="1:9" s="8" customFormat="1" ht="20.5" customHeight="1">
      <c r="B26" s="1524"/>
      <c r="C26" s="1525"/>
      <c r="D26" s="1627" t="s">
        <v>1347</v>
      </c>
      <c r="E26" s="1530" t="s">
        <v>1348</v>
      </c>
      <c r="F26" s="2001" t="s">
        <v>1280</v>
      </c>
      <c r="G26" s="2002"/>
      <c r="I26" s="12"/>
    </row>
    <row r="27" spans="1:9" s="8" customFormat="1" ht="20.5" customHeight="1">
      <c r="B27" s="1524"/>
      <c r="C27" s="1525"/>
      <c r="D27" s="1627"/>
      <c r="E27" s="1530" t="s">
        <v>1322</v>
      </c>
      <c r="F27" s="2001" t="s">
        <v>1280</v>
      </c>
      <c r="G27" s="2002"/>
      <c r="I27" s="12"/>
    </row>
    <row r="28" spans="1:9" s="8" customFormat="1" ht="20.149999999999999" customHeight="1">
      <c r="A28" s="1408"/>
      <c r="B28" s="1642"/>
      <c r="C28" s="1650"/>
      <c r="D28" s="1651"/>
      <c r="E28" s="1652" t="s">
        <v>1337</v>
      </c>
      <c r="F28" s="2001" t="s">
        <v>1280</v>
      </c>
      <c r="G28" s="2002"/>
      <c r="I28" s="12"/>
    </row>
    <row r="29" spans="1:9" s="8" customFormat="1" ht="20.149999999999999" customHeight="1">
      <c r="B29" s="1645"/>
      <c r="C29" s="1653"/>
      <c r="D29" s="1654"/>
      <c r="E29" s="1655" t="s">
        <v>1614</v>
      </c>
      <c r="F29" s="1648" t="s">
        <v>1283</v>
      </c>
      <c r="G29" s="1649" t="s">
        <v>1284</v>
      </c>
      <c r="I29" s="12"/>
    </row>
    <row r="30" spans="1:9" s="8" customFormat="1" ht="20.25" customHeight="1">
      <c r="B30" s="1624" t="s">
        <v>1662</v>
      </c>
      <c r="C30" s="1625"/>
      <c r="D30" s="1626"/>
      <c r="E30" s="1626"/>
      <c r="F30" s="1626"/>
      <c r="G30" s="1635"/>
      <c r="I30" s="12"/>
    </row>
    <row r="31" spans="1:9" s="8" customFormat="1" ht="20.25" customHeight="1">
      <c r="B31" s="1642"/>
      <c r="C31" s="1643" t="s">
        <v>1633</v>
      </c>
      <c r="D31" s="1643"/>
      <c r="E31" s="1644"/>
      <c r="F31" s="1640" t="s">
        <v>1283</v>
      </c>
      <c r="G31" s="1641" t="s">
        <v>1284</v>
      </c>
      <c r="I31" s="12"/>
    </row>
    <row r="32" spans="1:9" s="8" customFormat="1" ht="20.25" customHeight="1">
      <c r="B32" s="1645"/>
      <c r="C32" s="1646" t="s">
        <v>1634</v>
      </c>
      <c r="D32" s="1646"/>
      <c r="E32" s="1647"/>
      <c r="F32" s="1648" t="s">
        <v>1283</v>
      </c>
      <c r="G32" s="1649" t="s">
        <v>1284</v>
      </c>
      <c r="I32" s="12"/>
    </row>
    <row r="33" spans="1:9" s="8" customFormat="1" ht="20.149999999999999" customHeight="1">
      <c r="B33" s="1624" t="s">
        <v>5</v>
      </c>
      <c r="C33" s="1625"/>
      <c r="D33" s="1626"/>
      <c r="E33" s="1626"/>
      <c r="F33" s="1626"/>
      <c r="G33" s="1635"/>
      <c r="I33" s="12"/>
    </row>
    <row r="34" spans="1:9" s="8" customFormat="1" ht="20.25" customHeight="1">
      <c r="B34" s="1531"/>
      <c r="C34" s="1632" t="s">
        <v>1629</v>
      </c>
      <c r="D34" s="1532"/>
      <c r="E34" s="1631"/>
      <c r="F34" s="2003" t="s">
        <v>1280</v>
      </c>
      <c r="G34" s="2004"/>
      <c r="I34" s="12"/>
    </row>
    <row r="35" spans="1:9" s="8" customFormat="1" ht="20.25" customHeight="1">
      <c r="B35" s="1624" t="s">
        <v>6</v>
      </c>
      <c r="C35" s="1625"/>
      <c r="D35" s="1626"/>
      <c r="E35" s="1626"/>
      <c r="F35" s="1626"/>
      <c r="G35" s="1635"/>
      <c r="I35" s="12"/>
    </row>
    <row r="36" spans="1:9" s="8" customFormat="1" ht="20.25" customHeight="1">
      <c r="A36" s="1408"/>
      <c r="B36" s="1524"/>
      <c r="C36" s="1629" t="s">
        <v>1615</v>
      </c>
      <c r="D36" s="1629"/>
      <c r="E36" s="1628"/>
      <c r="F36" s="1640" t="s">
        <v>1283</v>
      </c>
      <c r="G36" s="1641" t="s">
        <v>1284</v>
      </c>
      <c r="I36" s="12"/>
    </row>
    <row r="37" spans="1:9" s="8" customFormat="1" ht="20.25" customHeight="1">
      <c r="B37" s="1624" t="s">
        <v>7</v>
      </c>
      <c r="C37" s="1625"/>
      <c r="D37" s="1626"/>
      <c r="E37" s="1626"/>
      <c r="F37" s="1626"/>
      <c r="G37" s="1635"/>
      <c r="I37" s="12"/>
    </row>
    <row r="38" spans="1:9" s="8" customFormat="1" ht="20.25" customHeight="1">
      <c r="A38" s="1408"/>
      <c r="B38" s="1531"/>
      <c r="C38" s="1632" t="s">
        <v>1630</v>
      </c>
      <c r="D38" s="1532"/>
      <c r="E38" s="1631"/>
      <c r="F38" s="1640" t="s">
        <v>1284</v>
      </c>
      <c r="G38" s="1649" t="s">
        <v>1284</v>
      </c>
      <c r="I38" s="12"/>
    </row>
    <row r="39" spans="1:9" s="8" customFormat="1" ht="20.25" customHeight="1">
      <c r="B39" s="1624" t="s">
        <v>8</v>
      </c>
      <c r="C39" s="1625"/>
      <c r="D39" s="1626"/>
      <c r="E39" s="1626"/>
      <c r="F39" s="1626"/>
      <c r="G39" s="1635"/>
      <c r="I39" s="12"/>
    </row>
    <row r="40" spans="1:9" s="8" customFormat="1" ht="20.25" customHeight="1">
      <c r="B40" s="1524"/>
      <c r="C40" s="1629" t="s">
        <v>1631</v>
      </c>
      <c r="D40" s="1629"/>
      <c r="E40" s="1628"/>
      <c r="F40" s="2001" t="s">
        <v>1280</v>
      </c>
      <c r="G40" s="2002"/>
      <c r="I40" s="12"/>
    </row>
    <row r="41" spans="1:9" s="8" customFormat="1" ht="20.25" customHeight="1">
      <c r="A41" s="1408"/>
      <c r="B41" s="1531"/>
      <c r="C41" s="1632" t="s">
        <v>1632</v>
      </c>
      <c r="D41" s="1632"/>
      <c r="E41" s="1633"/>
      <c r="F41" s="2007" t="s">
        <v>1282</v>
      </c>
      <c r="G41" s="2008"/>
      <c r="I41" s="12"/>
    </row>
    <row r="42" spans="1:9" s="8" customFormat="1" ht="20.25" customHeight="1">
      <c r="B42" s="1624" t="s">
        <v>9</v>
      </c>
      <c r="C42" s="1625"/>
      <c r="D42" s="1626"/>
      <c r="E42" s="1626"/>
      <c r="F42" s="1626"/>
      <c r="G42" s="1635"/>
      <c r="I42" s="12"/>
    </row>
    <row r="43" spans="1:9" s="8" customFormat="1" ht="20.25" customHeight="1">
      <c r="B43" s="1524"/>
      <c r="C43" s="1629" t="s">
        <v>1616</v>
      </c>
      <c r="D43" s="1629"/>
      <c r="E43" s="1628"/>
      <c r="F43" s="1640" t="s">
        <v>1283</v>
      </c>
      <c r="G43" s="1641" t="s">
        <v>1284</v>
      </c>
      <c r="I43" s="12"/>
    </row>
    <row r="44" spans="1:9" s="8" customFormat="1" ht="20.25" customHeight="1">
      <c r="B44" s="1645"/>
      <c r="C44" s="1646" t="s">
        <v>1617</v>
      </c>
      <c r="D44" s="1646"/>
      <c r="E44" s="1647"/>
      <c r="F44" s="1648" t="s">
        <v>1283</v>
      </c>
      <c r="G44" s="1649" t="s">
        <v>1284</v>
      </c>
      <c r="I44" s="12"/>
    </row>
    <row r="45" spans="1:9" s="8" customFormat="1" ht="20.25" customHeight="1">
      <c r="B45" s="1624" t="s">
        <v>10</v>
      </c>
      <c r="C45" s="1625"/>
      <c r="D45" s="1626"/>
      <c r="E45" s="1626"/>
      <c r="F45" s="1626"/>
      <c r="G45" s="1635"/>
      <c r="I45" s="12"/>
    </row>
    <row r="46" spans="1:9" s="8" customFormat="1" ht="20.25" customHeight="1">
      <c r="B46" s="1531"/>
      <c r="C46" s="1632" t="s">
        <v>1619</v>
      </c>
      <c r="D46" s="1532"/>
      <c r="E46" s="1532"/>
      <c r="F46" s="1640" t="s">
        <v>1283</v>
      </c>
      <c r="G46" s="1641" t="s">
        <v>1284</v>
      </c>
      <c r="I46" s="12"/>
    </row>
    <row r="47" spans="1:9" s="8" customFormat="1" ht="20.25" customHeight="1">
      <c r="B47" s="1624" t="s">
        <v>11</v>
      </c>
      <c r="C47" s="1625"/>
      <c r="D47" s="1626"/>
      <c r="E47" s="1626"/>
      <c r="F47" s="1626"/>
      <c r="G47" s="1635"/>
      <c r="I47" s="12"/>
    </row>
    <row r="48" spans="1:9" s="8" customFormat="1" ht="20.25" customHeight="1">
      <c r="B48" s="1656"/>
      <c r="C48" s="1657" t="s">
        <v>1620</v>
      </c>
      <c r="D48" s="1657" t="s">
        <v>1646</v>
      </c>
      <c r="E48" s="1658"/>
      <c r="F48" s="2005" t="s">
        <v>1282</v>
      </c>
      <c r="G48" s="2006"/>
    </row>
    <row r="49" spans="2:9" s="8" customFormat="1" ht="20.25" customHeight="1">
      <c r="B49" s="1531"/>
      <c r="C49" s="1632"/>
      <c r="D49" s="1632" t="s">
        <v>1647</v>
      </c>
      <c r="E49" s="1633"/>
      <c r="F49" s="1640" t="s">
        <v>1283</v>
      </c>
      <c r="G49" s="1641" t="s">
        <v>1284</v>
      </c>
    </row>
    <row r="50" spans="2:9" s="8" customFormat="1" ht="20.25" customHeight="1">
      <c r="B50" s="1659" t="s">
        <v>12</v>
      </c>
      <c r="C50" s="1660"/>
      <c r="D50" s="1638"/>
      <c r="E50" s="1638"/>
      <c r="F50" s="1638"/>
      <c r="G50" s="1639"/>
      <c r="I50" s="12"/>
    </row>
    <row r="51" spans="2:9" s="8" customFormat="1" ht="20.25" customHeight="1">
      <c r="B51" s="1661"/>
      <c r="C51" s="1662" t="s">
        <v>1621</v>
      </c>
      <c r="D51" s="1663"/>
      <c r="E51" s="1664"/>
      <c r="F51" s="2001" t="s">
        <v>1280</v>
      </c>
      <c r="G51" s="2002"/>
      <c r="I51" s="12"/>
    </row>
    <row r="52" spans="2:9" s="8" customFormat="1" ht="20.25" customHeight="1">
      <c r="B52" s="1659" t="s">
        <v>13</v>
      </c>
      <c r="C52" s="1660"/>
      <c r="D52" s="1638"/>
      <c r="E52" s="1638"/>
      <c r="F52" s="1638"/>
      <c r="G52" s="1639"/>
      <c r="I52" s="12"/>
    </row>
    <row r="53" spans="2:9" s="8" customFormat="1" ht="20.25" customHeight="1">
      <c r="B53" s="1665"/>
      <c r="C53" s="1666" t="s">
        <v>1622</v>
      </c>
      <c r="D53" s="1666"/>
      <c r="E53" s="1667"/>
      <c r="F53" s="2001" t="s">
        <v>1280</v>
      </c>
      <c r="G53" s="2002"/>
      <c r="I53" s="12"/>
    </row>
    <row r="54" spans="2:9" s="8" customFormat="1" ht="20.25" customHeight="1">
      <c r="B54" s="1524"/>
      <c r="C54" s="1629" t="s">
        <v>1623</v>
      </c>
      <c r="D54" s="1629"/>
      <c r="E54" s="1628"/>
      <c r="F54" s="2001" t="s">
        <v>1280</v>
      </c>
      <c r="G54" s="2002"/>
      <c r="I54" s="12"/>
    </row>
    <row r="55" spans="2:9" s="8" customFormat="1" ht="20.25" customHeight="1">
      <c r="B55" s="1531"/>
      <c r="C55" s="1632" t="s">
        <v>1624</v>
      </c>
      <c r="D55" s="1632"/>
      <c r="E55" s="1633"/>
      <c r="F55" s="2001" t="s">
        <v>1280</v>
      </c>
      <c r="G55" s="2002"/>
      <c r="I55" s="12"/>
    </row>
    <row r="56" spans="2:9" s="8" customFormat="1" ht="20.25" customHeight="1">
      <c r="B56" s="1624" t="s">
        <v>14</v>
      </c>
      <c r="C56" s="1625"/>
      <c r="D56" s="1626"/>
      <c r="E56" s="1626"/>
      <c r="F56" s="1626"/>
      <c r="G56" s="1635"/>
      <c r="I56" s="12"/>
    </row>
    <row r="57" spans="2:9" s="8" customFormat="1" ht="20.25" customHeight="1">
      <c r="B57" s="1531"/>
      <c r="C57" s="1632" t="s">
        <v>1618</v>
      </c>
      <c r="D57" s="1532"/>
      <c r="E57" s="1532"/>
      <c r="F57" s="2003" t="s">
        <v>1280</v>
      </c>
      <c r="G57" s="2004"/>
      <c r="I57" s="12"/>
    </row>
    <row r="58" spans="2:9" s="8" customFormat="1" ht="20.25" customHeight="1">
      <c r="B58" s="1624" t="s">
        <v>1330</v>
      </c>
      <c r="C58" s="1625"/>
      <c r="D58" s="1626"/>
      <c r="E58" s="1626"/>
      <c r="F58" s="1626"/>
      <c r="G58" s="1635"/>
      <c r="I58" s="12"/>
    </row>
    <row r="59" spans="2:9" s="8" customFormat="1" ht="20.25" customHeight="1">
      <c r="B59" s="1665"/>
      <c r="C59" s="1666" t="s">
        <v>1635</v>
      </c>
      <c r="D59" s="1666"/>
      <c r="E59" s="1667"/>
      <c r="F59" s="1640" t="s">
        <v>1283</v>
      </c>
      <c r="G59" s="1641" t="s">
        <v>1284</v>
      </c>
      <c r="I59" s="12"/>
    </row>
    <row r="60" spans="2:9" s="8" customFormat="1" ht="20.25" customHeight="1">
      <c r="B60" s="1624" t="s">
        <v>1328</v>
      </c>
      <c r="C60" s="1625"/>
      <c r="D60" s="1626"/>
      <c r="E60" s="1626"/>
      <c r="F60" s="1626"/>
      <c r="G60" s="1635"/>
      <c r="I60" s="12"/>
    </row>
    <row r="61" spans="2:9" s="8" customFormat="1" ht="20.25" customHeight="1">
      <c r="B61" s="1665"/>
      <c r="C61" s="1666" t="s">
        <v>1625</v>
      </c>
      <c r="D61" s="1666"/>
      <c r="E61" s="1667"/>
      <c r="F61" s="1640" t="s">
        <v>1283</v>
      </c>
      <c r="G61" s="1641" t="s">
        <v>1284</v>
      </c>
      <c r="I61" s="12"/>
    </row>
    <row r="62" spans="2:9" s="8" customFormat="1" ht="20.25" customHeight="1">
      <c r="B62" s="1624" t="s">
        <v>1639</v>
      </c>
      <c r="C62" s="1625"/>
      <c r="D62" s="1626"/>
      <c r="E62" s="1626"/>
      <c r="F62" s="1626"/>
      <c r="G62" s="1635"/>
      <c r="I62" s="12"/>
    </row>
    <row r="63" spans="2:9" s="8" customFormat="1" ht="20.25" customHeight="1">
      <c r="B63" s="1665"/>
      <c r="C63" s="1666" t="s">
        <v>1626</v>
      </c>
      <c r="D63" s="1666"/>
      <c r="E63" s="1667"/>
      <c r="F63" s="1640" t="s">
        <v>1283</v>
      </c>
      <c r="G63" s="1641" t="s">
        <v>1284</v>
      </c>
      <c r="I63" s="12"/>
    </row>
    <row r="64" spans="2:9" s="8" customFormat="1" ht="20.25" customHeight="1">
      <c r="B64" s="1659" t="s">
        <v>1222</v>
      </c>
      <c r="C64" s="1660"/>
      <c r="D64" s="1638"/>
      <c r="E64" s="1638"/>
      <c r="F64" s="1638"/>
      <c r="G64" s="1639"/>
      <c r="I64" s="12"/>
    </row>
    <row r="65" spans="2:9" s="8" customFormat="1" ht="20.25" customHeight="1">
      <c r="B65" s="1661"/>
      <c r="C65" s="1662" t="s">
        <v>1627</v>
      </c>
      <c r="D65" s="1663"/>
      <c r="E65" s="1664"/>
      <c r="F65" s="2001" t="s">
        <v>1280</v>
      </c>
      <c r="G65" s="2002"/>
      <c r="I65" s="12"/>
    </row>
    <row r="66" spans="2:9" s="8" customFormat="1" ht="20.25" customHeight="1">
      <c r="B66" s="1659" t="s">
        <v>1638</v>
      </c>
      <c r="C66" s="1660"/>
      <c r="D66" s="1638"/>
      <c r="E66" s="1638"/>
      <c r="F66" s="1638"/>
      <c r="G66" s="1639"/>
      <c r="I66" s="12"/>
    </row>
    <row r="67" spans="2:9" s="8" customFormat="1" ht="20.25" customHeight="1">
      <c r="B67" s="1665"/>
      <c r="C67" s="1666" t="s">
        <v>1682</v>
      </c>
      <c r="D67" s="1666"/>
      <c r="E67" s="1667"/>
      <c r="F67" s="1640" t="s">
        <v>1283</v>
      </c>
      <c r="G67" s="1641" t="s">
        <v>1284</v>
      </c>
      <c r="I67" s="12"/>
    </row>
    <row r="68" spans="2:9" s="8" customFormat="1" ht="20.25" customHeight="1">
      <c r="B68" s="1531"/>
      <c r="C68" s="1632" t="s">
        <v>1681</v>
      </c>
      <c r="D68" s="1632"/>
      <c r="E68" s="1633"/>
      <c r="F68" s="1648" t="s">
        <v>1283</v>
      </c>
      <c r="G68" s="1649" t="s">
        <v>1284</v>
      </c>
      <c r="I68" s="12"/>
    </row>
    <row r="69" spans="2:9" s="8" customFormat="1" ht="20.25" customHeight="1">
      <c r="B69" s="1659" t="s">
        <v>1332</v>
      </c>
      <c r="C69" s="1660"/>
      <c r="D69" s="1638"/>
      <c r="E69" s="1638"/>
      <c r="F69" s="1638"/>
      <c r="G69" s="1639"/>
      <c r="I69" s="12"/>
    </row>
    <row r="70" spans="2:9" s="8" customFormat="1" ht="20.25" customHeight="1">
      <c r="B70" s="1665"/>
      <c r="C70" s="1666" t="s">
        <v>1636</v>
      </c>
      <c r="D70" s="1666"/>
      <c r="E70" s="1667"/>
      <c r="F70" s="1640" t="s">
        <v>1283</v>
      </c>
      <c r="G70" s="1641" t="s">
        <v>1284</v>
      </c>
      <c r="I70" s="12"/>
    </row>
    <row r="71" spans="2:9" s="8" customFormat="1" ht="20.25" customHeight="1">
      <c r="B71" s="1531"/>
      <c r="C71" s="1632" t="s">
        <v>1637</v>
      </c>
      <c r="D71" s="1632"/>
      <c r="E71" s="1633"/>
      <c r="F71" s="1648" t="s">
        <v>1283</v>
      </c>
      <c r="G71" s="1649" t="s">
        <v>1284</v>
      </c>
      <c r="I71" s="12"/>
    </row>
    <row r="72" spans="2:9" s="8" customFormat="1" ht="20.25" customHeight="1">
      <c r="B72" s="1659" t="s">
        <v>1331</v>
      </c>
      <c r="C72" s="1660"/>
      <c r="D72" s="1638"/>
      <c r="E72" s="1638"/>
      <c r="F72" s="1638"/>
      <c r="G72" s="1639"/>
      <c r="I72" s="12"/>
    </row>
    <row r="73" spans="2:9" s="8" customFormat="1" ht="20.25" customHeight="1">
      <c r="B73" s="1665"/>
      <c r="C73" s="1666" t="s">
        <v>1628</v>
      </c>
      <c r="D73" s="1666" t="s">
        <v>1640</v>
      </c>
      <c r="E73" s="1667"/>
      <c r="F73" s="1640" t="s">
        <v>1283</v>
      </c>
      <c r="G73" s="1641" t="s">
        <v>1284</v>
      </c>
    </row>
    <row r="74" spans="2:9" s="8" customFormat="1" ht="20.25" customHeight="1">
      <c r="B74" s="1524"/>
      <c r="C74" s="1629"/>
      <c r="D74" s="1629" t="s">
        <v>1641</v>
      </c>
      <c r="E74" s="1628"/>
      <c r="F74" s="1668" t="s">
        <v>1283</v>
      </c>
      <c r="G74" s="1669" t="s">
        <v>1284</v>
      </c>
    </row>
    <row r="75" spans="2:9" s="8" customFormat="1" ht="20.25" customHeight="1">
      <c r="B75" s="1524"/>
      <c r="C75" s="1629"/>
      <c r="D75" s="1629" t="s">
        <v>1642</v>
      </c>
      <c r="E75" s="1628"/>
      <c r="F75" s="2005" t="s">
        <v>1282</v>
      </c>
      <c r="G75" s="2006"/>
    </row>
    <row r="76" spans="2:9" s="8" customFormat="1" ht="20.25" customHeight="1">
      <c r="B76" s="1524"/>
      <c r="C76" s="1629"/>
      <c r="D76" s="1629" t="s">
        <v>1643</v>
      </c>
      <c r="E76" s="1628"/>
      <c r="F76" s="1668" t="s">
        <v>1283</v>
      </c>
      <c r="G76" s="1669" t="s">
        <v>1284</v>
      </c>
    </row>
    <row r="77" spans="2:9" s="8" customFormat="1" ht="20.25" customHeight="1">
      <c r="B77" s="1524"/>
      <c r="C77" s="1629"/>
      <c r="D77" s="1629" t="s">
        <v>1644</v>
      </c>
      <c r="E77" s="1628"/>
      <c r="F77" s="1640" t="s">
        <v>1283</v>
      </c>
      <c r="G77" s="1641" t="s">
        <v>1284</v>
      </c>
    </row>
    <row r="78" spans="2:9" s="8" customFormat="1" ht="20.25" customHeight="1">
      <c r="B78" s="1531"/>
      <c r="C78" s="1632"/>
      <c r="D78" s="1632" t="s">
        <v>1645</v>
      </c>
      <c r="E78" s="1632"/>
      <c r="F78" s="1670" t="s">
        <v>1283</v>
      </c>
      <c r="G78" s="1671" t="s">
        <v>1284</v>
      </c>
    </row>
    <row r="79" spans="2:9" s="8" customFormat="1" ht="20.25" customHeight="1">
      <c r="B79" s="1624" t="s">
        <v>1677</v>
      </c>
      <c r="C79" s="1625"/>
      <c r="D79" s="1626"/>
      <c r="E79" s="1626"/>
      <c r="F79" s="1626"/>
      <c r="G79" s="1635"/>
      <c r="I79" s="12"/>
    </row>
    <row r="80" spans="2:9" s="8" customFormat="1" ht="20.25" customHeight="1">
      <c r="B80" s="1665"/>
      <c r="C80" s="1666" t="s">
        <v>1678</v>
      </c>
      <c r="D80" s="1666"/>
      <c r="E80" s="1667"/>
      <c r="F80" s="1640" t="s">
        <v>1283</v>
      </c>
      <c r="G80" s="1641" t="s">
        <v>1284</v>
      </c>
      <c r="I80" s="12"/>
    </row>
    <row r="81" spans="2:9" s="8" customFormat="1" ht="20.25" customHeight="1">
      <c r="B81" s="1659" t="s">
        <v>1679</v>
      </c>
      <c r="C81" s="1660"/>
      <c r="D81" s="1638"/>
      <c r="E81" s="1638"/>
      <c r="F81" s="1638"/>
      <c r="G81" s="1639"/>
      <c r="I81" s="12"/>
    </row>
    <row r="82" spans="2:9" s="8" customFormat="1" ht="20.25" customHeight="1">
      <c r="B82" s="1645"/>
      <c r="C82" s="1646" t="s">
        <v>1680</v>
      </c>
      <c r="D82" s="1646"/>
      <c r="E82" s="1647"/>
      <c r="F82" s="1648" t="s">
        <v>1283</v>
      </c>
      <c r="G82" s="1649" t="s">
        <v>1284</v>
      </c>
      <c r="I82" s="12"/>
    </row>
  </sheetData>
  <mergeCells count="27">
    <mergeCell ref="F27:G27"/>
    <mergeCell ref="F25:G25"/>
    <mergeCell ref="F75:G75"/>
    <mergeCell ref="F65:G65"/>
    <mergeCell ref="F55:G55"/>
    <mergeCell ref="F57:G57"/>
    <mergeCell ref="F41:G41"/>
    <mergeCell ref="F48:G48"/>
    <mergeCell ref="F51:G51"/>
    <mergeCell ref="F53:G53"/>
    <mergeCell ref="F54:G54"/>
    <mergeCell ref="F9:G9"/>
    <mergeCell ref="D9:E9"/>
    <mergeCell ref="B9:B10"/>
    <mergeCell ref="C9:C10"/>
    <mergeCell ref="F40:G40"/>
    <mergeCell ref="F19:G19"/>
    <mergeCell ref="F16:G16"/>
    <mergeCell ref="F17:G17"/>
    <mergeCell ref="F34:G34"/>
    <mergeCell ref="F20:G20"/>
    <mergeCell ref="F21:G21"/>
    <mergeCell ref="F22:G22"/>
    <mergeCell ref="F23:G23"/>
    <mergeCell ref="F24:G24"/>
    <mergeCell ref="F28:G28"/>
    <mergeCell ref="F26:G26"/>
  </mergeCells>
  <phoneticPr fontId="8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rgb="FF074650"/>
    <pageSetUpPr fitToPage="1"/>
  </sheetPr>
  <dimension ref="A1:U44"/>
  <sheetViews>
    <sheetView workbookViewId="0"/>
  </sheetViews>
  <sheetFormatPr defaultColWidth="9.1796875" defaultRowHeight="14.5"/>
  <cols>
    <col min="1" max="1" width="5.6328125" style="1" customWidth="1"/>
    <col min="2" max="2" width="25.6328125" style="1" customWidth="1"/>
    <col min="3" max="3" width="32.54296875" style="1" customWidth="1"/>
    <col min="4" max="4" width="8.453125" style="1" customWidth="1"/>
    <col min="5" max="6" width="15.54296875" style="1" customWidth="1"/>
    <col min="7" max="7" width="18.54296875" style="1" customWidth="1"/>
    <col min="8" max="8" width="6.1796875" style="1" customWidth="1"/>
    <col min="9" max="21" width="4.6328125" style="1" customWidth="1"/>
    <col min="22" max="22" width="9.1796875" style="1"/>
    <col min="23" max="23" width="5.6328125" style="1" customWidth="1"/>
    <col min="24" max="16384" width="9.1796875" style="1"/>
  </cols>
  <sheetData>
    <row r="1" spans="1:21" s="8" customFormat="1" ht="20" customHeight="1">
      <c r="A1" s="1213"/>
      <c r="B1" s="1213"/>
      <c r="C1" s="914" t="str">
        <f>dms_SheetHeading1</f>
        <v>ANNUAL INFORMATION ORDER</v>
      </c>
      <c r="D1" s="916"/>
      <c r="E1" s="916"/>
      <c r="F1" s="916"/>
      <c r="G1" s="916"/>
      <c r="I1" s="1556" t="s">
        <v>1003</v>
      </c>
      <c r="J1" s="1556"/>
      <c r="K1" s="1556"/>
      <c r="L1" s="1556"/>
      <c r="M1" s="1556"/>
      <c r="N1" s="1556"/>
      <c r="O1" s="1557" t="s">
        <v>1002</v>
      </c>
      <c r="P1" s="1556"/>
      <c r="Q1" s="1556"/>
      <c r="R1" s="1556"/>
      <c r="S1" s="1556"/>
      <c r="T1" s="1556"/>
      <c r="U1" s="1556"/>
    </row>
    <row r="2" spans="1:21" s="8" customFormat="1" ht="20" customHeight="1">
      <c r="B2" s="1"/>
      <c r="C2" s="915" t="str">
        <f>dms_SheetHeading2</f>
        <v>Australian Transmission Co.</v>
      </c>
      <c r="D2" s="915"/>
      <c r="E2" s="916"/>
      <c r="F2" s="916"/>
      <c r="G2" s="916"/>
      <c r="I2" s="1558" t="s">
        <v>1004</v>
      </c>
      <c r="J2" s="1558"/>
      <c r="K2" s="1558"/>
      <c r="L2" s="1558"/>
      <c r="M2" s="1558"/>
      <c r="N2" s="1558"/>
      <c r="O2" s="1559" t="s">
        <v>179</v>
      </c>
      <c r="P2" s="1558"/>
      <c r="Q2" s="1558"/>
      <c r="R2" s="1558"/>
      <c r="S2" s="1558"/>
      <c r="T2" s="1558"/>
      <c r="U2" s="1558"/>
    </row>
    <row r="3" spans="1:21" s="8" customFormat="1" ht="20" customHeight="1">
      <c r="B3" s="1"/>
      <c r="C3" s="916" t="str">
        <f>dms_SheetHeading3</f>
        <v>REPORTING STATEMENT: 2025-26</v>
      </c>
      <c r="D3" s="916"/>
      <c r="E3" s="1027"/>
      <c r="F3" s="1027"/>
      <c r="G3" s="1027"/>
      <c r="I3" s="1560" t="s">
        <v>1005</v>
      </c>
      <c r="J3" s="1560"/>
      <c r="K3" s="1560"/>
      <c r="L3" s="1560"/>
      <c r="M3" s="1560"/>
      <c r="N3" s="1560"/>
      <c r="O3" s="1561" t="s">
        <v>180</v>
      </c>
      <c r="P3" s="1560"/>
      <c r="Q3" s="1560"/>
      <c r="R3" s="1560"/>
      <c r="S3" s="1560"/>
      <c r="T3" s="1560"/>
      <c r="U3" s="1560"/>
    </row>
    <row r="4" spans="1:21" s="8" customFormat="1" ht="20" customHeight="1">
      <c r="B4" s="1"/>
      <c r="C4" s="917" t="s">
        <v>1152</v>
      </c>
      <c r="D4" s="917"/>
      <c r="E4" s="917"/>
      <c r="F4" s="917"/>
      <c r="G4" s="917"/>
      <c r="H4" s="926"/>
      <c r="I4" s="1562" t="s">
        <v>1007</v>
      </c>
      <c r="J4" s="1563"/>
      <c r="K4" s="1564"/>
      <c r="L4" s="1565"/>
      <c r="M4" s="1565"/>
      <c r="N4" s="1565"/>
      <c r="O4" s="1566" t="s">
        <v>1006</v>
      </c>
      <c r="P4" s="1565"/>
      <c r="Q4" s="1565"/>
      <c r="R4" s="1565"/>
      <c r="S4" s="1565"/>
      <c r="T4" s="1565"/>
      <c r="U4" s="1565"/>
    </row>
    <row r="5" spans="1:21" ht="13.5" customHeight="1"/>
    <row r="6" spans="1:21" ht="15" customHeight="1">
      <c r="C6" s="1427" t="s">
        <v>1570</v>
      </c>
      <c r="D6" s="1427"/>
      <c r="E6" s="1427"/>
      <c r="F6" s="1427"/>
      <c r="G6" s="1427"/>
    </row>
    <row r="7" spans="1:21" ht="15" customHeight="1">
      <c r="C7" s="1551" t="s">
        <v>1571</v>
      </c>
      <c r="D7" s="1552"/>
      <c r="E7" s="1552"/>
      <c r="F7" s="1552"/>
      <c r="G7" s="1552"/>
    </row>
    <row r="8" spans="1:21" ht="18" customHeight="1">
      <c r="C8" s="1547" t="s">
        <v>1153</v>
      </c>
      <c r="D8" s="891"/>
      <c r="E8" s="892"/>
      <c r="F8" s="892"/>
      <c r="G8" s="892"/>
      <c r="I8"/>
      <c r="J8" s="8"/>
    </row>
    <row r="9" spans="1:21" ht="18.5">
      <c r="C9" s="13"/>
      <c r="D9" s="13"/>
    </row>
    <row r="10" spans="1:21" ht="28.5" customHeight="1">
      <c r="B10" s="579"/>
      <c r="C10" s="579"/>
      <c r="D10" s="896"/>
      <c r="E10" s="2015" t="s">
        <v>1145</v>
      </c>
      <c r="F10" s="2016"/>
      <c r="G10" s="2017"/>
      <c r="I10" s="1484" t="s">
        <v>1293</v>
      </c>
      <c r="J10" s="1703" t="s">
        <v>1294</v>
      </c>
      <c r="K10" s="1760" t="s">
        <v>1295</v>
      </c>
      <c r="L10" s="1485" t="s">
        <v>1293</v>
      </c>
      <c r="M10" s="1703" t="s">
        <v>1294</v>
      </c>
      <c r="N10" s="1483" t="s">
        <v>1295</v>
      </c>
    </row>
    <row r="11" spans="1:21" ht="22" customHeight="1">
      <c r="B11" s="579"/>
      <c r="C11" s="896"/>
      <c r="D11" s="889" t="s">
        <v>1118</v>
      </c>
      <c r="E11" s="1914" t="s">
        <v>1142</v>
      </c>
      <c r="F11" s="1915" t="s">
        <v>1128</v>
      </c>
      <c r="G11" s="1916" t="s">
        <v>1141</v>
      </c>
      <c r="I11" s="2018" t="s">
        <v>1128</v>
      </c>
      <c r="J11" s="2019"/>
      <c r="K11" s="2020"/>
      <c r="L11" s="2009" t="s">
        <v>1141</v>
      </c>
      <c r="M11" s="2010"/>
      <c r="N11" s="2011"/>
    </row>
    <row r="12" spans="1:21" ht="15" customHeight="1">
      <c r="B12" s="579"/>
      <c r="C12" s="1011" t="s">
        <v>984</v>
      </c>
      <c r="D12" s="1917" t="s">
        <v>66</v>
      </c>
      <c r="E12" s="1918">
        <f>F12+G12</f>
        <v>0</v>
      </c>
      <c r="F12" s="1919"/>
      <c r="G12" s="1920"/>
      <c r="I12" s="1849" t="str">
        <f>IF(ISNONTEXT(F12)=TRUE,"","X")</f>
        <v/>
      </c>
      <c r="J12" s="1850" t="str">
        <f>IF(F12&gt;=0=TRUE,"","X")</f>
        <v/>
      </c>
      <c r="K12" s="1848" t="str">
        <f>IF(F12&lt;&gt;""=TRUE,"","X")</f>
        <v>X</v>
      </c>
      <c r="L12" s="1903"/>
      <c r="M12" s="1904"/>
      <c r="N12" s="1865"/>
      <c r="O12" s="1" t="str">
        <f>IF(ISNONTEXT(F12)=TRUE,"","check")</f>
        <v/>
      </c>
    </row>
    <row r="13" spans="1:21" ht="15" customHeight="1">
      <c r="B13" s="579"/>
      <c r="C13" s="1015" t="s">
        <v>30</v>
      </c>
      <c r="D13" s="1910" t="s">
        <v>66</v>
      </c>
      <c r="E13" s="1911">
        <f t="shared" ref="E13:E20" si="0">F13+G13</f>
        <v>0</v>
      </c>
      <c r="F13" s="1912"/>
      <c r="G13" s="1921"/>
      <c r="H13" s="923"/>
      <c r="I13" s="1327" t="str">
        <f t="shared" ref="I13:I20" si="1">IF(ISNONTEXT(F13)=TRUE,"","X")</f>
        <v/>
      </c>
      <c r="J13" s="1186" t="str">
        <f t="shared" ref="J13:J20" si="2">IF(F13&gt;=0=TRUE,"","X")</f>
        <v/>
      </c>
      <c r="K13" s="1322" t="str">
        <f t="shared" ref="K13:K20" si="3">IF(F13&lt;&gt;""=TRUE,"","X")</f>
        <v>X</v>
      </c>
      <c r="L13" s="1350"/>
      <c r="M13" s="1185"/>
      <c r="N13" s="1328"/>
    </row>
    <row r="14" spans="1:21" ht="15" customHeight="1">
      <c r="B14" s="579"/>
      <c r="C14" s="1015" t="s">
        <v>985</v>
      </c>
      <c r="D14" s="1910" t="s">
        <v>66</v>
      </c>
      <c r="E14" s="1911">
        <f t="shared" si="0"/>
        <v>0</v>
      </c>
      <c r="F14" s="1912"/>
      <c r="G14" s="1921"/>
      <c r="I14" s="1327" t="str">
        <f t="shared" si="1"/>
        <v/>
      </c>
      <c r="J14" s="1186" t="str">
        <f t="shared" si="2"/>
        <v/>
      </c>
      <c r="K14" s="1322" t="str">
        <f t="shared" si="3"/>
        <v>X</v>
      </c>
      <c r="L14" s="1350"/>
      <c r="M14" s="1185"/>
      <c r="N14" s="1328"/>
    </row>
    <row r="15" spans="1:21" ht="15" customHeight="1">
      <c r="B15" s="579"/>
      <c r="C15" s="1015" t="s">
        <v>986</v>
      </c>
      <c r="D15" s="1910" t="s">
        <v>66</v>
      </c>
      <c r="E15" s="1911">
        <f t="shared" si="0"/>
        <v>0</v>
      </c>
      <c r="F15" s="1912"/>
      <c r="G15" s="1921"/>
      <c r="H15" s="923"/>
      <c r="I15" s="1327" t="str">
        <f t="shared" si="1"/>
        <v/>
      </c>
      <c r="J15" s="1186" t="str">
        <f t="shared" si="2"/>
        <v/>
      </c>
      <c r="K15" s="1322" t="str">
        <f t="shared" si="3"/>
        <v>X</v>
      </c>
      <c r="L15" s="1350"/>
      <c r="M15" s="1185"/>
      <c r="N15" s="1328"/>
    </row>
    <row r="16" spans="1:21" ht="15" customHeight="1">
      <c r="B16" s="579"/>
      <c r="C16" s="1015" t="s">
        <v>987</v>
      </c>
      <c r="D16" s="1910" t="s">
        <v>66</v>
      </c>
      <c r="E16" s="1911">
        <f t="shared" si="0"/>
        <v>0</v>
      </c>
      <c r="F16" s="1913"/>
      <c r="G16" s="1922"/>
      <c r="H16" s="924"/>
      <c r="I16" s="1327" t="str">
        <f t="shared" si="1"/>
        <v/>
      </c>
      <c r="J16" s="1186" t="str">
        <f t="shared" si="2"/>
        <v/>
      </c>
      <c r="K16" s="1322" t="str">
        <f t="shared" si="3"/>
        <v>X</v>
      </c>
      <c r="L16" s="1350"/>
      <c r="M16" s="1185"/>
      <c r="N16" s="1328"/>
    </row>
    <row r="17" spans="2:18" ht="15" customHeight="1">
      <c r="B17" s="579"/>
      <c r="C17" s="1015" t="s">
        <v>988</v>
      </c>
      <c r="D17" s="1910" t="s">
        <v>66</v>
      </c>
      <c r="E17" s="1911">
        <f t="shared" si="0"/>
        <v>0</v>
      </c>
      <c r="F17" s="1912"/>
      <c r="G17" s="1921"/>
      <c r="H17" s="923"/>
      <c r="I17" s="1327" t="str">
        <f t="shared" si="1"/>
        <v/>
      </c>
      <c r="J17" s="1186" t="str">
        <f t="shared" si="2"/>
        <v/>
      </c>
      <c r="K17" s="1322" t="str">
        <f t="shared" si="3"/>
        <v>X</v>
      </c>
      <c r="L17" s="1350"/>
      <c r="M17" s="1185"/>
      <c r="N17" s="1328"/>
    </row>
    <row r="18" spans="2:18" ht="15" customHeight="1">
      <c r="B18" s="579"/>
      <c r="C18" s="1015" t="s">
        <v>989</v>
      </c>
      <c r="D18" s="1910" t="s">
        <v>66</v>
      </c>
      <c r="E18" s="1911">
        <f t="shared" si="0"/>
        <v>0</v>
      </c>
      <c r="F18" s="1912"/>
      <c r="G18" s="1921"/>
      <c r="H18" s="923"/>
      <c r="I18" s="1327" t="str">
        <f t="shared" si="1"/>
        <v/>
      </c>
      <c r="J18" s="1186" t="str">
        <f t="shared" si="2"/>
        <v/>
      </c>
      <c r="K18" s="1322" t="str">
        <f t="shared" si="3"/>
        <v>X</v>
      </c>
      <c r="L18" s="1350"/>
      <c r="M18" s="1185"/>
      <c r="N18" s="1328"/>
    </row>
    <row r="19" spans="2:18" ht="15" customHeight="1">
      <c r="B19" s="579"/>
      <c r="C19" s="1015" t="s">
        <v>32</v>
      </c>
      <c r="D19" s="1910" t="s">
        <v>66</v>
      </c>
      <c r="E19" s="1911">
        <f t="shared" si="0"/>
        <v>0</v>
      </c>
      <c r="F19" s="1912"/>
      <c r="G19" s="1336"/>
      <c r="H19" s="923"/>
      <c r="I19" s="1327" t="str">
        <f t="shared" si="1"/>
        <v/>
      </c>
      <c r="J19" s="1186" t="str">
        <f t="shared" si="2"/>
        <v/>
      </c>
      <c r="K19" s="1322" t="str">
        <f t="shared" si="3"/>
        <v>X</v>
      </c>
      <c r="L19" s="1327" t="str">
        <f>IF(ISNONTEXT(G19)=TRUE,"","X")</f>
        <v/>
      </c>
      <c r="M19" s="1186" t="str">
        <f>IF(G19&gt;=0=TRUE,"","X")</f>
        <v/>
      </c>
      <c r="N19" s="1322" t="str">
        <f>IF(G19&lt;&gt;""=TRUE,"","X")</f>
        <v>X</v>
      </c>
    </row>
    <row r="20" spans="2:18" ht="15" customHeight="1">
      <c r="B20" s="579"/>
      <c r="C20" s="1057" t="s">
        <v>33</v>
      </c>
      <c r="D20" s="1923" t="s">
        <v>66</v>
      </c>
      <c r="E20" s="1924">
        <f t="shared" si="0"/>
        <v>0</v>
      </c>
      <c r="F20" s="1925"/>
      <c r="G20" s="1338"/>
      <c r="H20" s="923"/>
      <c r="I20" s="1329" t="str">
        <f t="shared" si="1"/>
        <v/>
      </c>
      <c r="J20" s="1323" t="str">
        <f t="shared" si="2"/>
        <v/>
      </c>
      <c r="K20" s="1324" t="str">
        <f t="shared" si="3"/>
        <v>X</v>
      </c>
      <c r="L20" s="1329" t="str">
        <f>IF(ISNONTEXT(G20)=TRUE,"","X")</f>
        <v/>
      </c>
      <c r="M20" s="1323" t="str">
        <f>IF(G20&gt;=0=TRUE,"","X")</f>
        <v/>
      </c>
      <c r="N20" s="1324" t="str">
        <f>IF(G20&lt;&gt;""=TRUE,"","X")</f>
        <v>X</v>
      </c>
    </row>
    <row r="21" spans="2:18" ht="15" customHeight="1">
      <c r="B21" s="912"/>
      <c r="C21" s="1873" t="s">
        <v>1143</v>
      </c>
      <c r="D21" s="1874" t="s">
        <v>66</v>
      </c>
      <c r="E21" s="1715">
        <f>G21+F21</f>
        <v>0</v>
      </c>
      <c r="F21" s="1875">
        <f>+SUM(F12:F20)</f>
        <v>0</v>
      </c>
      <c r="G21" s="1875">
        <f>+SUM(G19:G20)</f>
        <v>0</v>
      </c>
      <c r="H21" s="1404"/>
      <c r="I21" s="1404"/>
      <c r="J21" s="1404"/>
      <c r="K21" s="1404"/>
      <c r="L21" s="1404"/>
      <c r="M21" s="1404"/>
      <c r="N21" s="1404"/>
      <c r="O21" s="1404"/>
      <c r="P21" s="1404"/>
      <c r="Q21" s="1404"/>
      <c r="R21" s="1404"/>
    </row>
    <row r="22" spans="2:18">
      <c r="B22" s="912"/>
      <c r="C22" s="912"/>
      <c r="D22" s="912"/>
      <c r="E22" s="912"/>
      <c r="F22" s="912"/>
      <c r="G22" s="912"/>
      <c r="H22" s="912"/>
      <c r="I22" s="912"/>
      <c r="J22" s="912"/>
      <c r="K22" s="1404"/>
      <c r="L22" s="1404"/>
      <c r="M22" s="1404"/>
      <c r="N22" s="1404"/>
      <c r="O22" s="1404"/>
      <c r="P22" s="1404"/>
      <c r="Q22" s="1404"/>
      <c r="R22" s="1404"/>
    </row>
    <row r="23" spans="2:18" ht="15" customHeight="1">
      <c r="C23" s="1427" t="s">
        <v>1572</v>
      </c>
      <c r="D23" s="1427"/>
      <c r="E23" s="1427"/>
      <c r="F23" s="1427"/>
      <c r="G23" s="1427"/>
      <c r="H23" s="1404"/>
      <c r="I23" s="1404"/>
      <c r="J23" s="1404"/>
      <c r="K23" s="1404"/>
      <c r="L23" s="1404"/>
      <c r="M23" s="1404"/>
      <c r="N23" s="1404"/>
      <c r="O23" s="1404"/>
      <c r="P23" s="1404"/>
      <c r="Q23" s="1404"/>
      <c r="R23" s="1404"/>
    </row>
    <row r="24" spans="2:18" ht="15" customHeight="1">
      <c r="C24" s="1551" t="s">
        <v>1573</v>
      </c>
      <c r="D24" s="1552"/>
      <c r="E24" s="1552"/>
      <c r="F24" s="1552"/>
      <c r="G24" s="1552"/>
    </row>
    <row r="25" spans="2:18" ht="18" customHeight="1">
      <c r="C25" s="1547" t="s">
        <v>34</v>
      </c>
      <c r="D25" s="891"/>
      <c r="E25" s="892"/>
      <c r="F25" s="892"/>
      <c r="G25" s="892"/>
    </row>
    <row r="26" spans="2:18" s="581" customFormat="1" ht="14.25" customHeight="1">
      <c r="B26" s="579"/>
      <c r="C26" s="896"/>
      <c r="D26" s="896"/>
      <c r="E26" s="579"/>
      <c r="F26" s="896"/>
      <c r="G26" s="579"/>
      <c r="H26" s="579"/>
    </row>
    <row r="27" spans="2:18" s="581" customFormat="1" ht="28.5" customHeight="1">
      <c r="B27" s="579"/>
      <c r="C27" s="896"/>
      <c r="D27" s="896"/>
      <c r="E27" s="2015" t="s">
        <v>1145</v>
      </c>
      <c r="F27" s="2016"/>
      <c r="G27" s="2017"/>
      <c r="H27" s="927"/>
      <c r="I27" s="1484" t="s">
        <v>1293</v>
      </c>
      <c r="J27" s="1703" t="s">
        <v>1294</v>
      </c>
      <c r="K27" s="1483" t="s">
        <v>1295</v>
      </c>
    </row>
    <row r="28" spans="2:18" ht="23.5" customHeight="1">
      <c r="B28" s="579"/>
      <c r="C28" s="896"/>
      <c r="D28" s="889" t="s">
        <v>1118</v>
      </c>
      <c r="E28" s="1553" t="s">
        <v>1142</v>
      </c>
      <c r="F28" s="1554" t="s">
        <v>1128</v>
      </c>
      <c r="G28" s="1555" t="s">
        <v>1141</v>
      </c>
      <c r="H28" s="927"/>
      <c r="I28" s="2012" t="s">
        <v>1128</v>
      </c>
      <c r="J28" s="2013"/>
      <c r="K28" s="2014"/>
    </row>
    <row r="29" spans="2:18" ht="15" customHeight="1">
      <c r="B29" s="579"/>
      <c r="C29" s="900" t="s">
        <v>35</v>
      </c>
      <c r="D29" s="901" t="s">
        <v>66</v>
      </c>
      <c r="E29" s="902">
        <f>F29</f>
        <v>0</v>
      </c>
      <c r="F29" s="903"/>
      <c r="G29" s="904"/>
      <c r="H29" s="923"/>
      <c r="I29" s="1849" t="str">
        <f>IF(ISNONTEXT(F29)=TRUE,"","X")</f>
        <v/>
      </c>
      <c r="J29" s="1850" t="str">
        <f>IF(F29&gt;=0=TRUE,"","X")</f>
        <v/>
      </c>
      <c r="K29" s="1848" t="str">
        <f t="shared" ref="K29" si="4">IF(F29&lt;&gt;""=TRUE,"","X")</f>
        <v>X</v>
      </c>
    </row>
    <row r="30" spans="2:18" ht="15" customHeight="1">
      <c r="B30" s="579"/>
      <c r="C30" s="905" t="s">
        <v>36</v>
      </c>
      <c r="D30" s="906" t="s">
        <v>66</v>
      </c>
      <c r="E30" s="907">
        <f>F30</f>
        <v>0</v>
      </c>
      <c r="F30" s="908"/>
      <c r="G30" s="909"/>
      <c r="H30" s="923"/>
      <c r="I30" s="1327" t="str">
        <f>IF(ISNONTEXT(F30)=TRUE,"","X")</f>
        <v/>
      </c>
      <c r="J30" s="1186" t="str">
        <f>IF(F30&gt;=0=TRUE,"","X")</f>
        <v/>
      </c>
      <c r="K30" s="1322" t="str">
        <f t="shared" ref="K30" si="5">IF(F30&lt;&gt;""=TRUE,"","X")</f>
        <v>X</v>
      </c>
    </row>
    <row r="31" spans="2:18" ht="15" customHeight="1">
      <c r="B31" s="579"/>
      <c r="C31" s="905" t="s">
        <v>31</v>
      </c>
      <c r="D31" s="906" t="s">
        <v>66</v>
      </c>
      <c r="E31" s="907">
        <f>F31</f>
        <v>0</v>
      </c>
      <c r="F31" s="918">
        <f>'2.6 Non-network'!E27</f>
        <v>0</v>
      </c>
      <c r="G31" s="919"/>
      <c r="H31" s="925"/>
      <c r="I31" s="1330"/>
      <c r="J31" s="1209"/>
      <c r="K31" s="1331"/>
    </row>
    <row r="32" spans="2:18" ht="15" customHeight="1">
      <c r="B32" s="579"/>
      <c r="C32" s="905" t="s">
        <v>37</v>
      </c>
      <c r="D32" s="906" t="s">
        <v>66</v>
      </c>
      <c r="E32" s="907">
        <f>SUM(F32:G32)</f>
        <v>0</v>
      </c>
      <c r="F32" s="918">
        <f>'2.10 Overheads'!L14</f>
        <v>0</v>
      </c>
      <c r="G32" s="920">
        <f>'2.10 Overheads'!M14</f>
        <v>0</v>
      </c>
      <c r="H32" s="929"/>
      <c r="I32" s="1330"/>
      <c r="J32" s="1209"/>
      <c r="K32" s="1331"/>
    </row>
    <row r="33" spans="2:16" ht="15" customHeight="1">
      <c r="B33" s="579"/>
      <c r="C33" s="905" t="s">
        <v>38</v>
      </c>
      <c r="D33" s="906" t="s">
        <v>66</v>
      </c>
      <c r="E33" s="907">
        <f>SUM(F33:G33)</f>
        <v>0</v>
      </c>
      <c r="F33" s="918">
        <f>'2.10 Overheads'!L20</f>
        <v>0</v>
      </c>
      <c r="G33" s="920">
        <f>'2.10 Overheads'!M20</f>
        <v>0</v>
      </c>
      <c r="H33" s="929"/>
      <c r="I33" s="1330"/>
      <c r="J33" s="1209"/>
      <c r="K33" s="1331"/>
    </row>
    <row r="34" spans="2:16" ht="15" customHeight="1">
      <c r="B34" s="579"/>
      <c r="C34" s="1215" t="s">
        <v>40</v>
      </c>
      <c r="D34" s="910" t="s">
        <v>66</v>
      </c>
      <c r="E34" s="911">
        <f>F34</f>
        <v>0</v>
      </c>
      <c r="F34" s="921"/>
      <c r="G34" s="922"/>
      <c r="H34" s="924"/>
      <c r="I34" s="1329" t="str">
        <f>IF(ISNONTEXT(F34)=TRUE,"","X")</f>
        <v/>
      </c>
      <c r="J34" s="1323" t="str">
        <f>IF(F34&gt;=0=TRUE,"","X")</f>
        <v/>
      </c>
      <c r="K34" s="1324" t="str">
        <f t="shared" ref="K34" si="6">IF(F34&lt;&gt;""=TRUE,"","X")</f>
        <v>X</v>
      </c>
    </row>
    <row r="35" spans="2:16" ht="15" customHeight="1">
      <c r="B35" s="579"/>
      <c r="C35" s="1873" t="s">
        <v>1144</v>
      </c>
      <c r="D35" s="1874"/>
      <c r="E35" s="1715">
        <f>SUM(E29:E34)</f>
        <v>0</v>
      </c>
      <c r="F35" s="1875">
        <f t="shared" ref="F35:G35" si="7">SUM(F29:F34)</f>
        <v>0</v>
      </c>
      <c r="G35" s="1875">
        <f t="shared" si="7"/>
        <v>0</v>
      </c>
      <c r="H35" s="928"/>
      <c r="I35" s="928"/>
      <c r="J35" s="928"/>
      <c r="K35" s="928"/>
      <c r="L35" s="928"/>
      <c r="M35" s="928"/>
      <c r="N35" s="928"/>
      <c r="O35" s="928"/>
      <c r="P35" s="928"/>
    </row>
    <row r="37" spans="2:16" ht="15" customHeight="1"/>
    <row r="38" spans="2:16" ht="15" customHeight="1"/>
    <row r="39" spans="2:16" ht="15" customHeight="1">
      <c r="C39" s="1310" t="s">
        <v>1471</v>
      </c>
      <c r="D39" s="1852"/>
      <c r="E39" s="1852"/>
      <c r="F39" s="1852"/>
      <c r="G39" s="1852"/>
    </row>
    <row r="40" spans="2:16">
      <c r="C40" s="1510" t="s">
        <v>991</v>
      </c>
      <c r="D40" s="1510"/>
      <c r="E40" s="1079" t="s">
        <v>1491</v>
      </c>
      <c r="F40" s="1079" t="s">
        <v>1492</v>
      </c>
      <c r="G40" s="1079" t="s">
        <v>1493</v>
      </c>
      <c r="H40" s="896" t="s">
        <v>1494</v>
      </c>
      <c r="I40" s="579"/>
      <c r="J40" s="579"/>
      <c r="K40" s="579"/>
      <c r="L40" s="579"/>
      <c r="M40" s="579"/>
      <c r="N40" s="579"/>
    </row>
    <row r="41" spans="2:16">
      <c r="C41" s="1768" t="s">
        <v>35</v>
      </c>
      <c r="D41" s="1959" t="str">
        <f>IF(ABS(E41)-ABS(F41)&gt;1,"FALSE","TRUE")</f>
        <v>TRUE</v>
      </c>
      <c r="E41" s="1419">
        <f>MROUND(F29,1)</f>
        <v>0</v>
      </c>
      <c r="F41" s="1419">
        <f>MROUND(SUM('2.7 Vegetation management'!E12:E17),1)</f>
        <v>0</v>
      </c>
      <c r="G41" s="1420">
        <f>ABS(F41-E41)</f>
        <v>0</v>
      </c>
      <c r="H41" s="1764"/>
      <c r="I41" s="579"/>
      <c r="J41" s="579"/>
      <c r="K41" s="579"/>
      <c r="L41" s="579"/>
      <c r="M41" s="579"/>
      <c r="N41" s="579"/>
    </row>
    <row r="42" spans="2:16">
      <c r="C42" s="1768" t="s">
        <v>36</v>
      </c>
      <c r="D42" s="1959" t="str">
        <f t="shared" ref="D42:D43" si="8">IF(ABS(E42)-ABS(F42)&gt;1,"FALSE","TRUE")</f>
        <v>TRUE</v>
      </c>
      <c r="E42" s="1419">
        <f>MROUND('2.1 Expenditure summary'!F30,1)</f>
        <v>0</v>
      </c>
      <c r="F42" s="1419">
        <f>MROUND(SUM('2.8 Maintenance'!E28:F32),1)</f>
        <v>0</v>
      </c>
      <c r="G42" s="1420">
        <f>ABS(F42-E42)</f>
        <v>0</v>
      </c>
      <c r="H42" s="1764"/>
      <c r="I42" s="579"/>
      <c r="J42" s="579"/>
      <c r="K42" s="579"/>
      <c r="L42" s="579"/>
      <c r="M42" s="579"/>
      <c r="N42" s="579"/>
    </row>
    <row r="43" spans="2:16">
      <c r="C43" s="1768" t="s">
        <v>1144</v>
      </c>
      <c r="D43" s="1959" t="str">
        <f t="shared" si="8"/>
        <v>TRUE</v>
      </c>
      <c r="E43" s="1419">
        <f>MROUND(E35,1)</f>
        <v>0</v>
      </c>
      <c r="F43" s="1419">
        <f>MROUND('8.5 Opex'!F49,1)</f>
        <v>0</v>
      </c>
      <c r="G43" s="1420">
        <f>ABS(F43-E43)</f>
        <v>0</v>
      </c>
      <c r="H43" s="1764"/>
      <c r="I43" s="579"/>
      <c r="J43" s="579"/>
      <c r="K43" s="579"/>
      <c r="L43" s="579"/>
      <c r="M43" s="579"/>
      <c r="N43" s="579"/>
    </row>
    <row r="44" spans="2:16">
      <c r="C44" s="579"/>
      <c r="D44" s="579"/>
      <c r="E44" s="579"/>
      <c r="F44" s="579"/>
      <c r="G44" s="579"/>
      <c r="H44" s="579"/>
      <c r="I44" s="579"/>
      <c r="J44" s="579"/>
      <c r="K44" s="579"/>
      <c r="L44" s="579"/>
      <c r="M44" s="579"/>
      <c r="N44" s="579"/>
    </row>
  </sheetData>
  <mergeCells count="5">
    <mergeCell ref="L11:N11"/>
    <mergeCell ref="I28:K28"/>
    <mergeCell ref="E10:G10"/>
    <mergeCell ref="E27:G27"/>
    <mergeCell ref="I11:K11"/>
  </mergeCells>
  <phoneticPr fontId="85" type="noConversion"/>
  <conditionalFormatting sqref="C39">
    <cfRule type="cellIs" dxfId="57" priority="1" operator="equal">
      <formula>FALSE</formula>
    </cfRule>
  </conditionalFormatting>
  <dataValidations count="1">
    <dataValidation allowBlank="1" sqref="J10 M10 J27" xr:uid="{FE8F79D5-303F-4AA0-8AE8-EC52B84D8FC9}"/>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rgb="FF074650"/>
    <pageSetUpPr fitToPage="1"/>
  </sheetPr>
  <dimension ref="A1:W134"/>
  <sheetViews>
    <sheetView workbookViewId="0"/>
  </sheetViews>
  <sheetFormatPr defaultColWidth="9.1796875" defaultRowHeight="14.5"/>
  <cols>
    <col min="1" max="1" width="5.6328125" style="576" customWidth="1"/>
    <col min="2" max="2" width="25.6328125" style="1" customWidth="1"/>
    <col min="3" max="3" width="39.81640625" style="576" customWidth="1"/>
    <col min="4" max="4" width="9.54296875" style="936" customWidth="1"/>
    <col min="5" max="5" width="26.81640625" style="576" customWidth="1"/>
    <col min="6" max="6" width="17.54296875" style="576" customWidth="1"/>
    <col min="7" max="7" width="22.453125" style="576" customWidth="1"/>
    <col min="8" max="8" width="18.54296875" style="576" customWidth="1"/>
    <col min="9" max="9" width="20.453125" style="576" customWidth="1"/>
    <col min="10" max="10" width="9.54296875" style="576" customWidth="1"/>
    <col min="11" max="23" width="4.6328125" style="576" customWidth="1"/>
    <col min="24" max="16384" width="9.1796875" style="576"/>
  </cols>
  <sheetData>
    <row r="1" spans="1:23" s="932" customFormat="1" ht="20" customHeight="1">
      <c r="A1" s="1213"/>
      <c r="B1" s="1213"/>
      <c r="C1" s="914" t="str">
        <f>dms_SheetHeading1</f>
        <v>ANNUAL INFORMATION ORDER</v>
      </c>
      <c r="D1" s="930"/>
      <c r="E1" s="931"/>
      <c r="F1" s="931"/>
      <c r="G1" s="931"/>
      <c r="H1" s="931"/>
      <c r="I1" s="931"/>
      <c r="J1" s="1"/>
      <c r="K1" s="1556" t="s">
        <v>1003</v>
      </c>
      <c r="L1" s="1556"/>
      <c r="M1" s="1556"/>
      <c r="N1" s="1556"/>
      <c r="O1" s="1556"/>
      <c r="P1" s="1556"/>
      <c r="Q1" s="1557" t="s">
        <v>1002</v>
      </c>
      <c r="R1" s="1556"/>
      <c r="S1" s="1556"/>
      <c r="T1" s="1556"/>
      <c r="U1" s="1556"/>
      <c r="V1" s="1556"/>
      <c r="W1" s="1556"/>
    </row>
    <row r="2" spans="1:23" s="932" customFormat="1" ht="20" customHeight="1">
      <c r="B2" s="581"/>
      <c r="C2" s="915" t="str">
        <f>dms_SheetHeading2</f>
        <v>Australian Transmission Co.</v>
      </c>
      <c r="D2" s="933"/>
      <c r="E2" s="931"/>
      <c r="F2" s="931"/>
      <c r="G2" s="931"/>
      <c r="H2" s="931"/>
      <c r="I2" s="931"/>
      <c r="J2" s="1"/>
      <c r="K2" s="1558" t="s">
        <v>1004</v>
      </c>
      <c r="L2" s="1558"/>
      <c r="M2" s="1558"/>
      <c r="N2" s="1558"/>
      <c r="O2" s="1558"/>
      <c r="P2" s="1558"/>
      <c r="Q2" s="1559" t="s">
        <v>179</v>
      </c>
      <c r="R2" s="1558"/>
      <c r="S2" s="1558"/>
      <c r="T2" s="1558"/>
      <c r="U2" s="1558"/>
      <c r="V2" s="1558"/>
      <c r="W2" s="1558"/>
    </row>
    <row r="3" spans="1:23" s="932" customFormat="1" ht="20" customHeight="1">
      <c r="B3" s="581"/>
      <c r="C3" s="916" t="str">
        <f>dms_SheetHeading3</f>
        <v>REPORTING STATEMENT: 2025-26</v>
      </c>
      <c r="D3" s="930"/>
      <c r="E3" s="934"/>
      <c r="F3" s="934"/>
      <c r="G3" s="934"/>
      <c r="H3" s="934"/>
      <c r="I3" s="934"/>
      <c r="J3" s="1"/>
      <c r="K3" s="1560" t="s">
        <v>1005</v>
      </c>
      <c r="L3" s="1560"/>
      <c r="M3" s="1560"/>
      <c r="N3" s="1560"/>
      <c r="O3" s="1560"/>
      <c r="P3" s="1560"/>
      <c r="Q3" s="1561" t="s">
        <v>180</v>
      </c>
      <c r="R3" s="1560"/>
      <c r="S3" s="1560"/>
      <c r="T3" s="1560"/>
      <c r="U3" s="1560"/>
      <c r="V3" s="1560"/>
      <c r="W3" s="1560"/>
    </row>
    <row r="4" spans="1:23" s="932" customFormat="1" ht="20" customHeight="1">
      <c r="B4" s="581"/>
      <c r="C4" s="917" t="s">
        <v>1154</v>
      </c>
      <c r="D4" s="899"/>
      <c r="E4" s="899"/>
      <c r="F4" s="899"/>
      <c r="G4" s="899"/>
      <c r="H4" s="899"/>
      <c r="I4" s="899"/>
      <c r="J4" s="1"/>
      <c r="K4" s="1562" t="s">
        <v>1007</v>
      </c>
      <c r="L4" s="1563"/>
      <c r="M4" s="1564"/>
      <c r="N4" s="1565"/>
      <c r="O4" s="1565"/>
      <c r="P4" s="1565"/>
      <c r="Q4" s="1566" t="s">
        <v>1006</v>
      </c>
      <c r="R4" s="1565"/>
      <c r="S4" s="1565"/>
      <c r="T4" s="1565"/>
      <c r="U4" s="1565"/>
      <c r="V4" s="1565"/>
      <c r="W4" s="1565"/>
    </row>
    <row r="5" spans="1:23" s="581" customFormat="1" ht="13.5" customHeight="1">
      <c r="K5" s="1"/>
      <c r="L5" s="1"/>
      <c r="M5" s="1"/>
      <c r="N5" s="1"/>
      <c r="O5" s="1"/>
    </row>
    <row r="6" spans="1:23" s="581" customFormat="1" ht="13.5" customHeight="1">
      <c r="C6" s="1568" t="s">
        <v>1570</v>
      </c>
      <c r="D6" s="1568"/>
      <c r="E6" s="1568"/>
      <c r="F6" s="1568"/>
      <c r="G6" s="1568"/>
      <c r="H6" s="1568"/>
      <c r="I6" s="1568"/>
      <c r="K6" s="1"/>
      <c r="L6" s="1"/>
      <c r="M6" s="1"/>
      <c r="N6" s="1"/>
      <c r="O6" s="1"/>
    </row>
    <row r="7" spans="1:23" s="581" customFormat="1" ht="13.5" customHeight="1">
      <c r="C7" s="1429" t="s">
        <v>1574</v>
      </c>
      <c r="D7" s="1569"/>
      <c r="E7" s="1569"/>
      <c r="F7" s="1569"/>
      <c r="G7" s="1569"/>
      <c r="H7" s="1569"/>
      <c r="I7" s="1569"/>
      <c r="K7" s="1"/>
      <c r="L7" s="1"/>
      <c r="M7" s="1"/>
      <c r="N7" s="1"/>
      <c r="O7" s="1"/>
    </row>
    <row r="8" spans="1:23" s="581" customFormat="1" ht="13.5" customHeight="1">
      <c r="C8" s="1427" t="s">
        <v>1501</v>
      </c>
      <c r="D8" s="1427"/>
      <c r="E8" s="1427"/>
      <c r="F8" s="1427"/>
      <c r="G8" s="1427"/>
      <c r="H8" s="1427"/>
      <c r="I8" s="1427"/>
      <c r="K8" s="1"/>
      <c r="L8" s="1"/>
      <c r="M8" s="1"/>
      <c r="N8" s="1"/>
      <c r="O8" s="1"/>
    </row>
    <row r="9" spans="1:23" s="581" customFormat="1" ht="13.5" customHeight="1">
      <c r="C9" s="1429" t="s">
        <v>1502</v>
      </c>
      <c r="D9" s="1569"/>
      <c r="E9" s="1569"/>
      <c r="F9" s="1569"/>
      <c r="G9" s="1569"/>
      <c r="H9" s="1569"/>
      <c r="I9" s="1569"/>
      <c r="K9" s="1"/>
      <c r="L9" s="1"/>
      <c r="M9" s="1"/>
      <c r="N9" s="1"/>
      <c r="O9" s="1"/>
    </row>
    <row r="10" spans="1:23" s="935" customFormat="1" ht="18.5">
      <c r="C10" s="1547" t="s">
        <v>39</v>
      </c>
      <c r="D10" s="891"/>
      <c r="E10" s="892"/>
      <c r="F10" s="892"/>
      <c r="G10" s="892"/>
      <c r="H10" s="10"/>
      <c r="I10" s="10"/>
      <c r="J10" s="1"/>
      <c r="K10" s="1"/>
      <c r="L10" s="1"/>
      <c r="M10" s="1"/>
      <c r="N10" s="1"/>
      <c r="O10" s="1"/>
    </row>
    <row r="11" spans="1:23" s="935" customFormat="1" ht="20.25" customHeight="1">
      <c r="B11" s="11"/>
      <c r="C11" s="932"/>
      <c r="D11" s="932"/>
      <c r="E11" s="932"/>
      <c r="F11" s="932"/>
      <c r="G11" s="932"/>
      <c r="H11" s="932"/>
      <c r="I11" s="932"/>
      <c r="J11" s="1"/>
      <c r="K11" s="1412" t="s">
        <v>1293</v>
      </c>
      <c r="L11" s="1411" t="s">
        <v>1294</v>
      </c>
      <c r="M11" s="1570" t="s">
        <v>1295</v>
      </c>
      <c r="N11" s="1412" t="s">
        <v>1293</v>
      </c>
      <c r="O11" s="1411" t="s">
        <v>1294</v>
      </c>
      <c r="P11" s="1447" t="s">
        <v>1295</v>
      </c>
      <c r="Q11" s="1412" t="s">
        <v>1293</v>
      </c>
      <c r="R11" s="1411" t="s">
        <v>1294</v>
      </c>
      <c r="S11" s="1447" t="s">
        <v>1295</v>
      </c>
      <c r="T11" s="576"/>
      <c r="U11" s="576"/>
      <c r="V11" s="576"/>
    </row>
    <row r="12" spans="1:23" s="932" customFormat="1" ht="28.5" customHeight="1">
      <c r="A12" s="1853"/>
      <c r="B12" s="1853"/>
      <c r="D12" s="889" t="s">
        <v>1118</v>
      </c>
      <c r="E12" s="958" t="s">
        <v>1470</v>
      </c>
      <c r="F12" s="889" t="s">
        <v>1118</v>
      </c>
      <c r="G12" s="958" t="s">
        <v>1129</v>
      </c>
      <c r="H12" s="889" t="s">
        <v>1118</v>
      </c>
      <c r="I12" s="1579" t="s">
        <v>1130</v>
      </c>
      <c r="J12" s="1"/>
      <c r="K12" s="2021" t="s">
        <v>1128</v>
      </c>
      <c r="L12" s="2022"/>
      <c r="M12" s="2023"/>
      <c r="N12" s="2021" t="s">
        <v>1296</v>
      </c>
      <c r="O12" s="2022"/>
      <c r="P12" s="2023"/>
      <c r="Q12" s="2021" t="s">
        <v>1155</v>
      </c>
      <c r="R12" s="2022"/>
      <c r="S12" s="2023"/>
      <c r="T12" s="576"/>
      <c r="U12" s="576"/>
      <c r="V12" s="576"/>
    </row>
    <row r="13" spans="1:23" ht="18" customHeight="1">
      <c r="C13" s="1011" t="s">
        <v>57</v>
      </c>
      <c r="D13" s="1400" t="s">
        <v>66</v>
      </c>
      <c r="E13" s="1573"/>
      <c r="F13" s="1400" t="s">
        <v>990</v>
      </c>
      <c r="G13" s="1573"/>
      <c r="H13" s="1400" t="s">
        <v>990</v>
      </c>
      <c r="I13" s="1576"/>
      <c r="J13" s="1"/>
      <c r="K13" s="1344" t="str">
        <f>IF(ISNONTEXT(E13)=TRUE,"","X")</f>
        <v/>
      </c>
      <c r="L13" s="1345" t="str">
        <f>IF(E13&gt;=0=TRUE,"","X")</f>
        <v/>
      </c>
      <c r="M13" s="1349"/>
      <c r="N13" s="1344" t="str">
        <f>IF(ISNONTEXT(G13)=TRUE,"","X")</f>
        <v/>
      </c>
      <c r="O13" s="1345" t="str">
        <f>IF(G13&gt;=0=TRUE,"","X")</f>
        <v/>
      </c>
      <c r="P13" s="1349"/>
      <c r="Q13" s="1344" t="str">
        <f>IF(ISNONTEXT(I13)=TRUE,"","X")</f>
        <v/>
      </c>
      <c r="R13" s="1345" t="str">
        <f>IF(I13&gt;=0=TRUE,"","X")</f>
        <v/>
      </c>
      <c r="S13" s="1349"/>
    </row>
    <row r="14" spans="1:23" ht="18" customHeight="1">
      <c r="B14" s="952"/>
      <c r="C14" s="1015" t="s">
        <v>58</v>
      </c>
      <c r="D14" s="1399" t="s">
        <v>66</v>
      </c>
      <c r="E14" s="1574"/>
      <c r="F14" s="1399" t="s">
        <v>990</v>
      </c>
      <c r="G14" s="1574"/>
      <c r="H14" s="1399" t="s">
        <v>990</v>
      </c>
      <c r="I14" s="1577"/>
      <c r="J14" s="1"/>
      <c r="K14" s="1327" t="str">
        <f t="shared" ref="K14:K20" si="0">IF(ISNONTEXT(E14)=TRUE,"","X")</f>
        <v/>
      </c>
      <c r="L14" s="1186" t="str">
        <f t="shared" ref="L14:L20" si="1">IF(E14&gt;=0=TRUE,"","X")</f>
        <v/>
      </c>
      <c r="M14" s="1328"/>
      <c r="N14" s="1327" t="str">
        <f t="shared" ref="N14:N20" si="2">IF(ISNONTEXT(G14)=TRUE,"","X")</f>
        <v/>
      </c>
      <c r="O14" s="1186" t="str">
        <f t="shared" ref="O14:O20" si="3">IF(G14&gt;=0=TRUE,"","X")</f>
        <v/>
      </c>
      <c r="P14" s="1328"/>
      <c r="Q14" s="1327" t="str">
        <f t="shared" ref="Q14:Q20" si="4">IF(ISNONTEXT(I14)=TRUE,"","X")</f>
        <v/>
      </c>
      <c r="R14" s="1186" t="str">
        <f t="shared" ref="R14:R20" si="5">IF(I14&gt;=0=TRUE,"","X")</f>
        <v/>
      </c>
      <c r="S14" s="1328"/>
    </row>
    <row r="15" spans="1:23" ht="18" customHeight="1">
      <c r="A15" s="952"/>
      <c r="B15" s="1408"/>
      <c r="C15" s="1015" t="s">
        <v>59</v>
      </c>
      <c r="D15" s="1399" t="s">
        <v>66</v>
      </c>
      <c r="E15" s="1574"/>
      <c r="F15" s="1399" t="s">
        <v>45</v>
      </c>
      <c r="G15" s="1574"/>
      <c r="H15" s="1399" t="s">
        <v>990</v>
      </c>
      <c r="I15" s="1577"/>
      <c r="J15" s="1"/>
      <c r="K15" s="1327" t="str">
        <f t="shared" si="0"/>
        <v/>
      </c>
      <c r="L15" s="1186" t="str">
        <f t="shared" si="1"/>
        <v/>
      </c>
      <c r="M15" s="1322" t="str">
        <f t="shared" ref="M15:M20" si="6">IF(E15&lt;&gt;""=TRUE,"","X")</f>
        <v>X</v>
      </c>
      <c r="N15" s="1327" t="str">
        <f t="shared" si="2"/>
        <v/>
      </c>
      <c r="O15" s="1186" t="str">
        <f t="shared" si="3"/>
        <v/>
      </c>
      <c r="P15" s="1322" t="str">
        <f t="shared" ref="P15:P20" si="7">IF(G15&lt;&gt;""=TRUE,"","X")</f>
        <v>X</v>
      </c>
      <c r="Q15" s="1327" t="str">
        <f t="shared" si="4"/>
        <v/>
      </c>
      <c r="R15" s="1186" t="str">
        <f t="shared" si="5"/>
        <v/>
      </c>
      <c r="S15" s="1322" t="str">
        <f t="shared" ref="S15:S20" si="8">IF(I15&lt;&gt;""=TRUE,"","X")</f>
        <v>X</v>
      </c>
    </row>
    <row r="16" spans="1:23" ht="18" customHeight="1">
      <c r="A16" s="952"/>
      <c r="B16" s="1408"/>
      <c r="C16" s="1015" t="s">
        <v>60</v>
      </c>
      <c r="D16" s="1399" t="s">
        <v>66</v>
      </c>
      <c r="E16" s="1574"/>
      <c r="F16" s="1399" t="s">
        <v>45</v>
      </c>
      <c r="G16" s="1574"/>
      <c r="H16" s="1399" t="s">
        <v>990</v>
      </c>
      <c r="I16" s="1577"/>
      <c r="J16" s="1"/>
      <c r="K16" s="1327" t="str">
        <f t="shared" si="0"/>
        <v/>
      </c>
      <c r="L16" s="1186" t="str">
        <f t="shared" si="1"/>
        <v/>
      </c>
      <c r="M16" s="1322" t="str">
        <f t="shared" si="6"/>
        <v>X</v>
      </c>
      <c r="N16" s="1327" t="str">
        <f t="shared" si="2"/>
        <v/>
      </c>
      <c r="O16" s="1186" t="str">
        <f t="shared" si="3"/>
        <v/>
      </c>
      <c r="P16" s="1322" t="str">
        <f t="shared" si="7"/>
        <v>X</v>
      </c>
      <c r="Q16" s="1327" t="str">
        <f t="shared" si="4"/>
        <v/>
      </c>
      <c r="R16" s="1186" t="str">
        <f t="shared" si="5"/>
        <v/>
      </c>
      <c r="S16" s="1322" t="str">
        <f t="shared" si="8"/>
        <v>X</v>
      </c>
    </row>
    <row r="17" spans="2:19" ht="18" customHeight="1">
      <c r="B17" s="952"/>
      <c r="C17" s="1015" t="s">
        <v>993</v>
      </c>
      <c r="D17" s="1399" t="s">
        <v>66</v>
      </c>
      <c r="E17" s="1574"/>
      <c r="F17" s="1399" t="s">
        <v>990</v>
      </c>
      <c r="G17" s="1574"/>
      <c r="H17" s="1399" t="s">
        <v>990</v>
      </c>
      <c r="I17" s="1577"/>
      <c r="J17" s="1"/>
      <c r="K17" s="1327" t="str">
        <f t="shared" si="0"/>
        <v/>
      </c>
      <c r="L17" s="1186" t="str">
        <f t="shared" si="1"/>
        <v/>
      </c>
      <c r="M17" s="1322" t="str">
        <f t="shared" si="6"/>
        <v>X</v>
      </c>
      <c r="N17" s="1327" t="str">
        <f t="shared" si="2"/>
        <v/>
      </c>
      <c r="O17" s="1186" t="str">
        <f t="shared" si="3"/>
        <v/>
      </c>
      <c r="P17" s="1322" t="str">
        <f t="shared" si="7"/>
        <v>X</v>
      </c>
      <c r="Q17" s="1327" t="str">
        <f t="shared" si="4"/>
        <v/>
      </c>
      <c r="R17" s="1186" t="str">
        <f t="shared" si="5"/>
        <v/>
      </c>
      <c r="S17" s="1322" t="str">
        <f t="shared" si="8"/>
        <v>X</v>
      </c>
    </row>
    <row r="18" spans="2:19" ht="18" customHeight="1">
      <c r="B18" s="952"/>
      <c r="C18" s="1015" t="s">
        <v>61</v>
      </c>
      <c r="D18" s="1399" t="s">
        <v>66</v>
      </c>
      <c r="E18" s="1574"/>
      <c r="F18" s="1399" t="s">
        <v>990</v>
      </c>
      <c r="G18" s="1574"/>
      <c r="H18" s="1399" t="s">
        <v>990</v>
      </c>
      <c r="I18" s="1577"/>
      <c r="J18" s="1"/>
      <c r="K18" s="1327" t="str">
        <f t="shared" si="0"/>
        <v/>
      </c>
      <c r="L18" s="1186" t="str">
        <f t="shared" si="1"/>
        <v/>
      </c>
      <c r="M18" s="1322" t="str">
        <f t="shared" si="6"/>
        <v>X</v>
      </c>
      <c r="N18" s="1327" t="str">
        <f t="shared" si="2"/>
        <v/>
      </c>
      <c r="O18" s="1186" t="str">
        <f t="shared" si="3"/>
        <v/>
      </c>
      <c r="P18" s="1322" t="str">
        <f t="shared" si="7"/>
        <v>X</v>
      </c>
      <c r="Q18" s="1327" t="str">
        <f t="shared" si="4"/>
        <v/>
      </c>
      <c r="R18" s="1186" t="str">
        <f t="shared" si="5"/>
        <v/>
      </c>
      <c r="S18" s="1322" t="str">
        <f t="shared" si="8"/>
        <v>X</v>
      </c>
    </row>
    <row r="19" spans="2:19" ht="18" customHeight="1">
      <c r="B19" s="952"/>
      <c r="C19" s="1015" t="s">
        <v>1352</v>
      </c>
      <c r="D19" s="1399" t="s">
        <v>66</v>
      </c>
      <c r="E19" s="1574"/>
      <c r="F19" s="1399" t="s">
        <v>990</v>
      </c>
      <c r="G19" s="1574"/>
      <c r="H19" s="1399" t="s">
        <v>990</v>
      </c>
      <c r="I19" s="1577"/>
      <c r="J19" s="1"/>
      <c r="K19" s="1327" t="str">
        <f t="shared" si="0"/>
        <v/>
      </c>
      <c r="L19" s="1186" t="str">
        <f t="shared" si="1"/>
        <v/>
      </c>
      <c r="M19" s="1322" t="str">
        <f t="shared" si="6"/>
        <v>X</v>
      </c>
      <c r="N19" s="1327" t="str">
        <f t="shared" si="2"/>
        <v/>
      </c>
      <c r="O19" s="1186" t="str">
        <f t="shared" si="3"/>
        <v/>
      </c>
      <c r="P19" s="1322" t="str">
        <f t="shared" si="7"/>
        <v>X</v>
      </c>
      <c r="Q19" s="1327" t="str">
        <f t="shared" si="4"/>
        <v/>
      </c>
      <c r="R19" s="1186" t="str">
        <f t="shared" si="5"/>
        <v/>
      </c>
      <c r="S19" s="1322" t="str">
        <f t="shared" si="8"/>
        <v>X</v>
      </c>
    </row>
    <row r="20" spans="2:19" ht="18" customHeight="1">
      <c r="B20" s="952"/>
      <c r="C20" s="1015" t="s">
        <v>994</v>
      </c>
      <c r="D20" s="1399" t="s">
        <v>66</v>
      </c>
      <c r="E20" s="1574"/>
      <c r="F20" s="1399" t="s">
        <v>990</v>
      </c>
      <c r="G20" s="1574"/>
      <c r="H20" s="1399" t="s">
        <v>990</v>
      </c>
      <c r="I20" s="1577"/>
      <c r="J20" s="1"/>
      <c r="K20" s="1327" t="str">
        <f t="shared" si="0"/>
        <v/>
      </c>
      <c r="L20" s="1186" t="str">
        <f t="shared" si="1"/>
        <v/>
      </c>
      <c r="M20" s="1322" t="str">
        <f t="shared" si="6"/>
        <v>X</v>
      </c>
      <c r="N20" s="1327" t="str">
        <f t="shared" si="2"/>
        <v/>
      </c>
      <c r="O20" s="1186" t="str">
        <f t="shared" si="3"/>
        <v/>
      </c>
      <c r="P20" s="1322" t="str">
        <f t="shared" si="7"/>
        <v>X</v>
      </c>
      <c r="Q20" s="1327" t="str">
        <f t="shared" si="4"/>
        <v/>
      </c>
      <c r="R20" s="1186" t="str">
        <f t="shared" si="5"/>
        <v/>
      </c>
      <c r="S20" s="1322" t="str">
        <f t="shared" si="8"/>
        <v>X</v>
      </c>
    </row>
    <row r="21" spans="2:19" ht="18" customHeight="1">
      <c r="B21" s="576"/>
      <c r="C21" s="1402"/>
      <c r="D21" s="1399" t="s">
        <v>66</v>
      </c>
      <c r="E21" s="1574"/>
      <c r="F21" s="1571" t="s">
        <v>990</v>
      </c>
      <c r="G21" s="1574"/>
      <c r="H21" s="1571" t="s">
        <v>990</v>
      </c>
      <c r="I21" s="1577"/>
      <c r="J21" s="1"/>
      <c r="K21" s="1327" t="str">
        <f t="shared" ref="K21:K26" si="9">IF(ISNONTEXT(E21)=TRUE,"","X")</f>
        <v/>
      </c>
      <c r="L21" s="1186" t="str">
        <f t="shared" ref="L21:L26" si="10">IF(E21&gt;=0=TRUE,"","X")</f>
        <v/>
      </c>
      <c r="M21" s="1328"/>
      <c r="N21" s="1327" t="str">
        <f t="shared" ref="N21:N26" si="11">IF(ISNONTEXT(G21)=TRUE,"","X")</f>
        <v/>
      </c>
      <c r="O21" s="1186" t="str">
        <f t="shared" ref="O21:O26" si="12">IF(G21&gt;=0=TRUE,"","X")</f>
        <v/>
      </c>
      <c r="P21" s="1328"/>
      <c r="Q21" s="1327" t="str">
        <f t="shared" ref="Q21:Q26" si="13">IF(ISNONTEXT(I21)=TRUE,"","X")</f>
        <v/>
      </c>
      <c r="R21" s="1186" t="str">
        <f t="shared" ref="R21:R26" si="14">IF(I21&gt;=0=TRUE,"","X")</f>
        <v/>
      </c>
      <c r="S21" s="1328"/>
    </row>
    <row r="22" spans="2:19" ht="18" customHeight="1">
      <c r="B22" s="576"/>
      <c r="C22" s="1402"/>
      <c r="D22" s="1399" t="s">
        <v>66</v>
      </c>
      <c r="E22" s="1574"/>
      <c r="F22" s="1571" t="s">
        <v>990</v>
      </c>
      <c r="G22" s="1574"/>
      <c r="H22" s="1571" t="s">
        <v>990</v>
      </c>
      <c r="I22" s="1577"/>
      <c r="J22" s="1"/>
      <c r="K22" s="1327" t="str">
        <f t="shared" si="9"/>
        <v/>
      </c>
      <c r="L22" s="1186" t="str">
        <f t="shared" si="10"/>
        <v/>
      </c>
      <c r="M22" s="1328"/>
      <c r="N22" s="1327" t="str">
        <f t="shared" si="11"/>
        <v/>
      </c>
      <c r="O22" s="1186" t="str">
        <f t="shared" si="12"/>
        <v/>
      </c>
      <c r="P22" s="1328"/>
      <c r="Q22" s="1327" t="str">
        <f t="shared" si="13"/>
        <v/>
      </c>
      <c r="R22" s="1186" t="str">
        <f t="shared" si="14"/>
        <v/>
      </c>
      <c r="S22" s="1328"/>
    </row>
    <row r="23" spans="2:19" ht="18" customHeight="1">
      <c r="B23" s="576"/>
      <c r="C23" s="1402"/>
      <c r="D23" s="1399" t="s">
        <v>66</v>
      </c>
      <c r="E23" s="1574"/>
      <c r="F23" s="1571" t="s">
        <v>990</v>
      </c>
      <c r="G23" s="1574"/>
      <c r="H23" s="1571" t="s">
        <v>990</v>
      </c>
      <c r="I23" s="1577"/>
      <c r="J23" s="1"/>
      <c r="K23" s="1327" t="str">
        <f t="shared" si="9"/>
        <v/>
      </c>
      <c r="L23" s="1186" t="str">
        <f t="shared" si="10"/>
        <v/>
      </c>
      <c r="M23" s="1328"/>
      <c r="N23" s="1327" t="str">
        <f t="shared" si="11"/>
        <v/>
      </c>
      <c r="O23" s="1186" t="str">
        <f t="shared" si="12"/>
        <v/>
      </c>
      <c r="P23" s="1328"/>
      <c r="Q23" s="1327" t="str">
        <f t="shared" si="13"/>
        <v/>
      </c>
      <c r="R23" s="1186" t="str">
        <f t="shared" si="14"/>
        <v/>
      </c>
      <c r="S23" s="1328"/>
    </row>
    <row r="24" spans="2:19" ht="18" customHeight="1">
      <c r="B24" s="576"/>
      <c r="C24" s="1402"/>
      <c r="D24" s="1399" t="s">
        <v>66</v>
      </c>
      <c r="E24" s="1574"/>
      <c r="F24" s="1571" t="s">
        <v>990</v>
      </c>
      <c r="G24" s="1574"/>
      <c r="H24" s="1571" t="s">
        <v>990</v>
      </c>
      <c r="I24" s="1577"/>
      <c r="J24" s="1"/>
      <c r="K24" s="1327" t="str">
        <f t="shared" si="9"/>
        <v/>
      </c>
      <c r="L24" s="1186" t="str">
        <f t="shared" si="10"/>
        <v/>
      </c>
      <c r="M24" s="1328"/>
      <c r="N24" s="1327" t="str">
        <f t="shared" si="11"/>
        <v/>
      </c>
      <c r="O24" s="1186" t="str">
        <f t="shared" si="12"/>
        <v/>
      </c>
      <c r="P24" s="1328"/>
      <c r="Q24" s="1327" t="str">
        <f t="shared" si="13"/>
        <v/>
      </c>
      <c r="R24" s="1186" t="str">
        <f t="shared" si="14"/>
        <v/>
      </c>
      <c r="S24" s="1328"/>
    </row>
    <row r="25" spans="2:19" ht="18" customHeight="1">
      <c r="B25" s="576"/>
      <c r="C25" s="1402"/>
      <c r="D25" s="1399" t="s">
        <v>66</v>
      </c>
      <c r="E25" s="1574"/>
      <c r="F25" s="1571" t="s">
        <v>990</v>
      </c>
      <c r="G25" s="1574"/>
      <c r="H25" s="1571" t="s">
        <v>990</v>
      </c>
      <c r="I25" s="1577"/>
      <c r="J25" s="1"/>
      <c r="K25" s="1327" t="str">
        <f t="shared" si="9"/>
        <v/>
      </c>
      <c r="L25" s="1186" t="str">
        <f t="shared" si="10"/>
        <v/>
      </c>
      <c r="M25" s="1328"/>
      <c r="N25" s="1327" t="str">
        <f t="shared" si="11"/>
        <v/>
      </c>
      <c r="O25" s="1186" t="str">
        <f t="shared" si="12"/>
        <v/>
      </c>
      <c r="P25" s="1328"/>
      <c r="Q25" s="1327" t="str">
        <f t="shared" si="13"/>
        <v/>
      </c>
      <c r="R25" s="1186" t="str">
        <f t="shared" si="14"/>
        <v/>
      </c>
      <c r="S25" s="1328"/>
    </row>
    <row r="26" spans="2:19" ht="18" customHeight="1">
      <c r="B26" s="1909" t="s">
        <v>1334</v>
      </c>
      <c r="C26" s="1403"/>
      <c r="D26" s="1401" t="s">
        <v>66</v>
      </c>
      <c r="E26" s="1575"/>
      <c r="F26" s="1572" t="s">
        <v>990</v>
      </c>
      <c r="G26" s="1575"/>
      <c r="H26" s="1572" t="s">
        <v>990</v>
      </c>
      <c r="I26" s="1578"/>
      <c r="J26" s="1"/>
      <c r="K26" s="1329" t="str">
        <f t="shared" si="9"/>
        <v/>
      </c>
      <c r="L26" s="1323" t="str">
        <f t="shared" si="10"/>
        <v/>
      </c>
      <c r="M26" s="1333"/>
      <c r="N26" s="1329" t="str">
        <f t="shared" si="11"/>
        <v/>
      </c>
      <c r="O26" s="1323" t="str">
        <f t="shared" si="12"/>
        <v/>
      </c>
      <c r="P26" s="1333"/>
      <c r="Q26" s="1329" t="str">
        <f t="shared" si="13"/>
        <v/>
      </c>
      <c r="R26" s="1323" t="str">
        <f t="shared" si="14"/>
        <v/>
      </c>
      <c r="S26" s="1333"/>
    </row>
    <row r="27" spans="2:19">
      <c r="D27" s="576"/>
      <c r="F27" s="1309"/>
    </row>
    <row r="28" spans="2:19">
      <c r="D28" s="576"/>
      <c r="F28" s="1309"/>
    </row>
    <row r="29" spans="2:19">
      <c r="E29" s="1"/>
      <c r="F29" s="1309"/>
      <c r="G29" s="1"/>
      <c r="H29" s="1"/>
      <c r="I29" s="1"/>
      <c r="J29" s="1"/>
      <c r="K29" s="1"/>
    </row>
    <row r="30" spans="2:19" ht="15.5">
      <c r="C30" s="1310" t="s">
        <v>1471</v>
      </c>
      <c r="D30" s="1852"/>
      <c r="K30" s="1"/>
      <c r="L30" s="937"/>
    </row>
    <row r="31" spans="2:19">
      <c r="C31" s="1847" t="s">
        <v>1495</v>
      </c>
      <c r="D31" s="579"/>
      <c r="E31" s="579"/>
      <c r="F31" s="1"/>
      <c r="G31" s="1"/>
      <c r="H31" s="1"/>
      <c r="I31" s="1"/>
      <c r="J31" s="1"/>
    </row>
    <row r="32" spans="2:19">
      <c r="C32" s="1"/>
      <c r="D32" s="1"/>
      <c r="E32" s="1"/>
      <c r="F32" s="1"/>
      <c r="G32" s="1"/>
      <c r="H32" s="1"/>
      <c r="I32" s="1"/>
      <c r="J32" s="1"/>
    </row>
    <row r="33" spans="3:11">
      <c r="C33" s="1"/>
      <c r="D33" s="1"/>
      <c r="E33" s="1"/>
      <c r="F33" s="1"/>
      <c r="G33" s="1"/>
      <c r="H33" s="1"/>
      <c r="I33" s="1"/>
      <c r="J33" s="1"/>
    </row>
    <row r="34" spans="3:11">
      <c r="C34" s="1"/>
      <c r="D34" s="1"/>
      <c r="E34" s="1"/>
      <c r="F34" s="1"/>
      <c r="G34" s="1"/>
      <c r="H34" s="1"/>
      <c r="I34" s="1"/>
      <c r="J34" s="1"/>
    </row>
    <row r="35" spans="3:11">
      <c r="C35" s="1"/>
      <c r="D35" s="1"/>
      <c r="E35" s="1"/>
      <c r="F35" s="1"/>
      <c r="G35" s="1"/>
      <c r="H35" s="1"/>
      <c r="I35" s="1"/>
      <c r="J35" s="1"/>
    </row>
    <row r="36" spans="3:11">
      <c r="C36" s="1"/>
      <c r="D36" s="1"/>
      <c r="E36" s="1"/>
      <c r="F36" s="1"/>
      <c r="G36" s="1"/>
      <c r="H36" s="1"/>
      <c r="I36" s="1"/>
      <c r="J36" s="1"/>
    </row>
    <row r="37" spans="3:11">
      <c r="C37" s="1"/>
      <c r="D37" s="1"/>
      <c r="E37" s="1"/>
      <c r="F37" s="1"/>
      <c r="G37" s="1"/>
      <c r="H37" s="1"/>
      <c r="I37" s="1"/>
      <c r="J37" s="1"/>
    </row>
    <row r="38" spans="3:11">
      <c r="C38" s="1"/>
      <c r="D38" s="1"/>
      <c r="E38" s="1"/>
      <c r="F38" s="1"/>
      <c r="G38" s="1"/>
      <c r="H38" s="1"/>
      <c r="I38" s="1"/>
      <c r="J38" s="1"/>
    </row>
    <row r="39" spans="3:11">
      <c r="C39" s="1"/>
      <c r="D39" s="1"/>
      <c r="E39" s="1"/>
      <c r="F39" s="1"/>
      <c r="G39" s="1"/>
      <c r="H39" s="1"/>
      <c r="I39" s="1"/>
      <c r="J39" s="1"/>
    </row>
    <row r="40" spans="3:11">
      <c r="C40" s="1"/>
      <c r="D40" s="1"/>
      <c r="E40" s="1"/>
      <c r="F40" s="1"/>
      <c r="G40" s="1"/>
      <c r="H40" s="1"/>
      <c r="I40" s="1"/>
      <c r="J40" s="1"/>
    </row>
    <row r="41" spans="3:11">
      <c r="C41" s="1"/>
      <c r="D41" s="1"/>
      <c r="E41" s="1"/>
      <c r="F41" s="1"/>
      <c r="G41" s="1"/>
      <c r="H41" s="1"/>
      <c r="I41" s="1"/>
      <c r="J41" s="1"/>
    </row>
    <row r="42" spans="3:11">
      <c r="C42" s="1"/>
      <c r="D42" s="1"/>
      <c r="E42" s="1"/>
      <c r="F42" s="1"/>
      <c r="G42" s="1"/>
      <c r="H42" s="1"/>
      <c r="I42" s="1"/>
      <c r="J42" s="1"/>
    </row>
    <row r="43" spans="3:11">
      <c r="C43" s="1"/>
      <c r="D43" s="1"/>
      <c r="E43" s="1"/>
      <c r="F43" s="1"/>
      <c r="G43" s="1"/>
      <c r="H43" s="1"/>
      <c r="I43" s="1"/>
      <c r="J43" s="1"/>
    </row>
    <row r="44" spans="3:11">
      <c r="C44" s="1"/>
      <c r="D44" s="1"/>
      <c r="E44" s="1"/>
      <c r="F44" s="1"/>
      <c r="G44" s="1"/>
      <c r="H44" s="1"/>
      <c r="I44" s="1"/>
      <c r="J44" s="1"/>
    </row>
    <row r="45" spans="3:11">
      <c r="C45" s="1"/>
      <c r="D45" s="1"/>
      <c r="E45" s="1"/>
      <c r="F45" s="1"/>
      <c r="G45" s="1"/>
      <c r="H45" s="1"/>
      <c r="I45" s="1"/>
      <c r="J45" s="1"/>
      <c r="K45" s="1"/>
    </row>
    <row r="46" spans="3:11">
      <c r="C46" s="1"/>
      <c r="D46" s="1"/>
      <c r="E46" s="1"/>
      <c r="F46" s="1"/>
      <c r="G46" s="1"/>
      <c r="H46" s="1"/>
      <c r="I46" s="1"/>
      <c r="J46" s="1"/>
      <c r="K46" s="1"/>
    </row>
    <row r="47" spans="3:11">
      <c r="C47" s="1"/>
      <c r="D47" s="1"/>
      <c r="E47" s="1"/>
      <c r="F47" s="1"/>
      <c r="G47" s="1"/>
      <c r="H47" s="1"/>
      <c r="I47" s="1"/>
      <c r="J47" s="1"/>
      <c r="K47" s="1"/>
    </row>
    <row r="48" spans="3:11" s="1" customFormat="1" ht="15" customHeight="1"/>
    <row r="49" spans="3:11" ht="31.5" customHeight="1">
      <c r="C49" s="1"/>
      <c r="D49" s="1"/>
      <c r="E49" s="1"/>
      <c r="F49" s="1"/>
      <c r="G49" s="1"/>
      <c r="H49" s="1"/>
      <c r="I49" s="1"/>
      <c r="J49" s="1"/>
      <c r="K49" s="1"/>
    </row>
    <row r="50" spans="3:11">
      <c r="C50" s="1"/>
      <c r="D50" s="1"/>
      <c r="E50" s="1"/>
      <c r="F50" s="1"/>
      <c r="G50" s="1"/>
      <c r="H50" s="1"/>
      <c r="I50" s="1"/>
      <c r="J50" s="1"/>
    </row>
    <row r="51" spans="3:11">
      <c r="C51" s="1"/>
      <c r="D51" s="1"/>
      <c r="E51" s="1"/>
      <c r="F51" s="1"/>
      <c r="G51" s="1"/>
      <c r="H51" s="1"/>
      <c r="I51" s="1"/>
      <c r="J51" s="1"/>
    </row>
    <row r="52" spans="3:11">
      <c r="C52" s="1"/>
      <c r="D52" s="1"/>
      <c r="E52" s="1"/>
      <c r="F52" s="1"/>
      <c r="G52" s="1"/>
      <c r="H52" s="1"/>
      <c r="I52" s="1"/>
      <c r="J52" s="1"/>
    </row>
    <row r="53" spans="3:11">
      <c r="C53" s="1"/>
      <c r="D53" s="1"/>
      <c r="E53" s="1"/>
      <c r="F53" s="1"/>
      <c r="G53" s="1"/>
      <c r="H53" s="1"/>
      <c r="I53" s="1"/>
      <c r="J53" s="1"/>
    </row>
    <row r="54" spans="3:11">
      <c r="C54" s="1"/>
      <c r="D54" s="1"/>
      <c r="E54" s="1"/>
      <c r="F54" s="1"/>
      <c r="G54" s="1"/>
      <c r="H54" s="1"/>
      <c r="I54" s="1"/>
      <c r="J54" s="1"/>
    </row>
    <row r="55" spans="3:11">
      <c r="C55" s="1"/>
      <c r="D55" s="1"/>
      <c r="E55" s="1"/>
      <c r="F55" s="1"/>
      <c r="G55" s="1"/>
      <c r="H55" s="1"/>
      <c r="I55" s="1"/>
      <c r="J55" s="1"/>
    </row>
    <row r="56" spans="3:11">
      <c r="C56" s="1"/>
      <c r="D56" s="1"/>
      <c r="E56" s="1"/>
      <c r="F56" s="1"/>
      <c r="G56" s="1"/>
      <c r="H56" s="1"/>
      <c r="I56" s="1"/>
      <c r="J56" s="1"/>
    </row>
    <row r="57" spans="3:11">
      <c r="C57" s="1"/>
      <c r="D57" s="1"/>
      <c r="E57" s="1"/>
      <c r="F57" s="1"/>
      <c r="G57" s="1"/>
      <c r="H57" s="1"/>
      <c r="I57" s="1"/>
      <c r="J57" s="1"/>
    </row>
    <row r="58" spans="3:11">
      <c r="C58" s="1"/>
      <c r="D58" s="1"/>
      <c r="E58" s="1"/>
      <c r="F58" s="1"/>
      <c r="G58" s="1"/>
      <c r="H58" s="1"/>
      <c r="I58" s="1"/>
      <c r="J58" s="1"/>
    </row>
    <row r="59" spans="3:11">
      <c r="C59" s="1"/>
      <c r="D59" s="1"/>
      <c r="E59" s="1"/>
      <c r="F59" s="1"/>
      <c r="G59" s="1"/>
      <c r="H59" s="1"/>
      <c r="I59" s="1"/>
      <c r="J59" s="1"/>
    </row>
    <row r="60" spans="3:11">
      <c r="C60" s="1"/>
      <c r="D60" s="1"/>
      <c r="E60" s="1"/>
      <c r="F60" s="1"/>
      <c r="G60" s="1"/>
      <c r="H60" s="1"/>
      <c r="I60" s="1"/>
      <c r="J60" s="1"/>
    </row>
    <row r="61" spans="3:11">
      <c r="C61" s="1"/>
      <c r="D61" s="1"/>
      <c r="E61" s="1"/>
      <c r="F61" s="1"/>
      <c r="G61" s="1"/>
      <c r="H61" s="1"/>
      <c r="I61" s="1"/>
      <c r="J61" s="1"/>
    </row>
    <row r="62" spans="3:11">
      <c r="C62" s="1"/>
      <c r="D62" s="1"/>
      <c r="E62" s="1"/>
      <c r="F62" s="1"/>
      <c r="G62" s="1"/>
      <c r="H62" s="1"/>
      <c r="I62" s="1"/>
      <c r="J62" s="1"/>
    </row>
    <row r="63" spans="3:11">
      <c r="C63" s="1"/>
      <c r="D63" s="1"/>
      <c r="E63" s="1"/>
      <c r="F63" s="1"/>
      <c r="G63" s="1"/>
      <c r="H63" s="1"/>
      <c r="I63" s="1"/>
      <c r="J63" s="1"/>
    </row>
    <row r="64" spans="3:11">
      <c r="C64" s="1"/>
      <c r="D64" s="1"/>
      <c r="E64" s="1"/>
      <c r="F64" s="1"/>
      <c r="G64" s="1"/>
      <c r="H64" s="1"/>
      <c r="I64" s="1"/>
      <c r="J64" s="1"/>
    </row>
    <row r="65" spans="3:10">
      <c r="C65" s="1"/>
      <c r="D65" s="1"/>
      <c r="E65" s="1"/>
      <c r="F65" s="1"/>
      <c r="G65" s="1"/>
      <c r="H65" s="1"/>
      <c r="I65" s="1"/>
      <c r="J65" s="1"/>
    </row>
    <row r="66" spans="3:10">
      <c r="C66" s="1"/>
      <c r="D66" s="1"/>
      <c r="E66" s="1"/>
      <c r="F66" s="1"/>
      <c r="G66" s="1"/>
      <c r="H66" s="1"/>
      <c r="I66" s="1"/>
      <c r="J66" s="1"/>
    </row>
    <row r="67" spans="3:10">
      <c r="C67" s="1"/>
      <c r="D67" s="1"/>
      <c r="E67" s="1"/>
      <c r="F67" s="1"/>
      <c r="G67" s="1"/>
      <c r="H67" s="1"/>
      <c r="I67" s="1"/>
      <c r="J67" s="1"/>
    </row>
    <row r="68" spans="3:10">
      <c r="C68" s="1"/>
      <c r="D68" s="1"/>
      <c r="E68" s="1"/>
      <c r="F68" s="1"/>
      <c r="G68" s="1"/>
      <c r="H68" s="1"/>
      <c r="I68" s="1"/>
      <c r="J68" s="1"/>
    </row>
    <row r="69" spans="3:10">
      <c r="C69" s="1"/>
      <c r="D69" s="1"/>
      <c r="E69" s="1"/>
      <c r="F69" s="1"/>
      <c r="G69" s="1"/>
      <c r="H69" s="1"/>
      <c r="I69" s="1"/>
      <c r="J69" s="1"/>
    </row>
    <row r="70" spans="3:10">
      <c r="C70" s="1"/>
      <c r="D70" s="1"/>
      <c r="E70" s="1"/>
      <c r="F70" s="1"/>
    </row>
    <row r="71" spans="3:10">
      <c r="C71" s="1"/>
      <c r="D71" s="1"/>
      <c r="E71" s="1"/>
      <c r="F71" s="1"/>
    </row>
    <row r="72" spans="3:10">
      <c r="C72" s="1"/>
      <c r="D72" s="1"/>
      <c r="E72" s="1"/>
      <c r="F72" s="1"/>
    </row>
    <row r="73" spans="3:10">
      <c r="C73" s="1"/>
      <c r="D73" s="1"/>
      <c r="E73" s="1"/>
      <c r="F73" s="1"/>
    </row>
    <row r="74" spans="3:10">
      <c r="C74" s="1"/>
      <c r="D74" s="1"/>
      <c r="E74" s="1"/>
      <c r="F74" s="1"/>
    </row>
    <row r="75" spans="3:10">
      <c r="C75" s="1"/>
      <c r="D75" s="1"/>
      <c r="E75" s="1"/>
      <c r="F75" s="1"/>
    </row>
    <row r="76" spans="3:10">
      <c r="C76" s="1"/>
      <c r="D76" s="1"/>
      <c r="E76" s="1"/>
      <c r="F76" s="1"/>
    </row>
    <row r="77" spans="3:10">
      <c r="C77" s="1"/>
      <c r="D77" s="1"/>
      <c r="E77" s="1"/>
      <c r="F77" s="1"/>
    </row>
    <row r="78" spans="3:10">
      <c r="C78" s="1"/>
      <c r="D78" s="1"/>
      <c r="E78" s="1"/>
      <c r="F78" s="1"/>
    </row>
    <row r="79" spans="3:10">
      <c r="C79" s="1"/>
      <c r="D79" s="1"/>
      <c r="E79" s="1"/>
      <c r="F79" s="1"/>
    </row>
    <row r="80" spans="3:10">
      <c r="C80" s="1"/>
      <c r="D80" s="1"/>
      <c r="E80" s="1"/>
      <c r="F80" s="1"/>
    </row>
    <row r="81" spans="3:6">
      <c r="C81" s="1"/>
      <c r="D81" s="1"/>
      <c r="E81" s="1"/>
      <c r="F81" s="1"/>
    </row>
    <row r="82" spans="3:6">
      <c r="C82" s="1"/>
      <c r="D82" s="1"/>
      <c r="E82" s="1"/>
      <c r="F82" s="1"/>
    </row>
    <row r="83" spans="3:6">
      <c r="C83" s="1"/>
      <c r="D83" s="1"/>
      <c r="E83" s="1"/>
      <c r="F83" s="1"/>
    </row>
    <row r="84" spans="3:6">
      <c r="C84" s="1"/>
      <c r="D84" s="1"/>
      <c r="E84" s="1"/>
      <c r="F84" s="1"/>
    </row>
    <row r="85" spans="3:6">
      <c r="C85" s="1"/>
      <c r="D85" s="1"/>
      <c r="E85" s="1"/>
      <c r="F85" s="1"/>
    </row>
    <row r="86" spans="3:6">
      <c r="C86" s="1"/>
      <c r="D86" s="1"/>
      <c r="E86" s="1"/>
      <c r="F86" s="1"/>
    </row>
    <row r="87" spans="3:6">
      <c r="C87" s="1"/>
      <c r="D87" s="1"/>
      <c r="E87" s="1"/>
      <c r="F87" s="1"/>
    </row>
    <row r="88" spans="3:6">
      <c r="C88" s="1"/>
      <c r="D88" s="1"/>
      <c r="E88" s="1"/>
      <c r="F88" s="1"/>
    </row>
    <row r="89" spans="3:6">
      <c r="C89" s="1"/>
      <c r="D89" s="1"/>
      <c r="E89" s="1"/>
      <c r="F89" s="1"/>
    </row>
    <row r="90" spans="3:6">
      <c r="C90" s="1"/>
      <c r="D90" s="1"/>
      <c r="E90" s="1"/>
      <c r="F90" s="1"/>
    </row>
    <row r="91" spans="3:6">
      <c r="C91" s="1"/>
      <c r="D91" s="1"/>
      <c r="E91" s="1"/>
      <c r="F91" s="1"/>
    </row>
    <row r="92" spans="3:6">
      <c r="C92" s="1"/>
      <c r="D92" s="1"/>
      <c r="E92" s="1"/>
      <c r="F92" s="1"/>
    </row>
    <row r="93" spans="3:6">
      <c r="C93" s="1"/>
      <c r="D93" s="1"/>
      <c r="E93" s="1"/>
      <c r="F93" s="1"/>
    </row>
    <row r="94" spans="3:6">
      <c r="C94" s="1"/>
      <c r="D94" s="1"/>
      <c r="E94" s="1"/>
      <c r="F94" s="1"/>
    </row>
    <row r="95" spans="3:6">
      <c r="C95" s="1"/>
      <c r="D95" s="1"/>
      <c r="E95" s="1"/>
      <c r="F95" s="1"/>
    </row>
    <row r="96" spans="3:6">
      <c r="C96" s="1"/>
      <c r="D96" s="1"/>
      <c r="E96" s="1"/>
      <c r="F96" s="1"/>
    </row>
    <row r="97" spans="3:6">
      <c r="C97" s="1"/>
      <c r="D97" s="1"/>
      <c r="E97" s="1"/>
      <c r="F97" s="1"/>
    </row>
    <row r="98" spans="3:6">
      <c r="C98" s="1"/>
      <c r="D98" s="1"/>
      <c r="E98" s="1"/>
      <c r="F98" s="1"/>
    </row>
    <row r="99" spans="3:6">
      <c r="C99" s="1"/>
      <c r="D99" s="1"/>
      <c r="E99" s="1"/>
      <c r="F99" s="1"/>
    </row>
    <row r="100" spans="3:6">
      <c r="C100" s="1"/>
      <c r="D100" s="1"/>
      <c r="E100" s="1"/>
      <c r="F100" s="1"/>
    </row>
    <row r="101" spans="3:6">
      <c r="C101" s="1"/>
      <c r="D101" s="1"/>
      <c r="E101" s="1"/>
      <c r="F101" s="1"/>
    </row>
    <row r="102" spans="3:6">
      <c r="C102" s="1"/>
      <c r="D102" s="1"/>
      <c r="E102" s="1"/>
      <c r="F102" s="1"/>
    </row>
    <row r="103" spans="3:6">
      <c r="C103" s="1"/>
      <c r="D103" s="1"/>
      <c r="E103" s="1"/>
      <c r="F103" s="1"/>
    </row>
    <row r="104" spans="3:6">
      <c r="C104" s="1"/>
      <c r="D104" s="1"/>
      <c r="E104" s="1"/>
      <c r="F104" s="1"/>
    </row>
    <row r="105" spans="3:6">
      <c r="C105" s="1"/>
      <c r="D105" s="1"/>
      <c r="E105" s="1"/>
      <c r="F105" s="1"/>
    </row>
    <row r="106" spans="3:6">
      <c r="C106" s="1"/>
      <c r="D106" s="1"/>
      <c r="E106" s="1"/>
      <c r="F106" s="1"/>
    </row>
    <row r="107" spans="3:6">
      <c r="C107" s="1"/>
      <c r="D107" s="1"/>
      <c r="E107" s="1"/>
      <c r="F107" s="1"/>
    </row>
    <row r="108" spans="3:6">
      <c r="C108" s="1"/>
      <c r="D108" s="1"/>
      <c r="E108" s="1"/>
      <c r="F108" s="1"/>
    </row>
    <row r="109" spans="3:6">
      <c r="C109" s="1"/>
      <c r="D109" s="1"/>
      <c r="E109" s="1"/>
      <c r="F109" s="1"/>
    </row>
    <row r="110" spans="3:6">
      <c r="C110" s="1"/>
      <c r="D110" s="1"/>
      <c r="E110" s="1"/>
      <c r="F110" s="1"/>
    </row>
    <row r="111" spans="3:6">
      <c r="C111" s="1"/>
      <c r="D111" s="1"/>
      <c r="E111" s="1"/>
      <c r="F111" s="1"/>
    </row>
    <row r="112" spans="3:6">
      <c r="C112" s="1"/>
      <c r="D112" s="1"/>
      <c r="E112" s="1"/>
      <c r="F112" s="1"/>
    </row>
    <row r="113" spans="3:6">
      <c r="C113" s="1"/>
      <c r="D113" s="1"/>
      <c r="E113" s="1"/>
      <c r="F113" s="1"/>
    </row>
    <row r="114" spans="3:6">
      <c r="C114" s="1"/>
      <c r="D114" s="1"/>
      <c r="E114" s="1"/>
      <c r="F114" s="1"/>
    </row>
    <row r="115" spans="3:6">
      <c r="C115" s="1"/>
      <c r="D115" s="1"/>
      <c r="E115" s="1"/>
      <c r="F115" s="1"/>
    </row>
    <row r="116" spans="3:6">
      <c r="C116" s="1"/>
      <c r="D116" s="1"/>
      <c r="E116" s="1"/>
      <c r="F116" s="1"/>
    </row>
    <row r="117" spans="3:6">
      <c r="C117" s="1"/>
      <c r="D117" s="1"/>
      <c r="E117" s="1"/>
      <c r="F117" s="1"/>
    </row>
    <row r="118" spans="3:6">
      <c r="C118" s="1"/>
      <c r="D118" s="1"/>
      <c r="E118" s="1"/>
      <c r="F118" s="1"/>
    </row>
    <row r="119" spans="3:6">
      <c r="C119" s="1"/>
      <c r="D119" s="1"/>
      <c r="E119" s="1"/>
      <c r="F119" s="1"/>
    </row>
    <row r="120" spans="3:6">
      <c r="C120" s="1"/>
      <c r="D120" s="1"/>
      <c r="E120" s="1"/>
      <c r="F120" s="1"/>
    </row>
    <row r="121" spans="3:6">
      <c r="C121" s="1"/>
      <c r="D121" s="1"/>
      <c r="E121" s="1"/>
      <c r="F121" s="1"/>
    </row>
    <row r="122" spans="3:6">
      <c r="C122" s="1"/>
      <c r="D122" s="1"/>
      <c r="E122" s="1"/>
      <c r="F122" s="1"/>
    </row>
    <row r="123" spans="3:6">
      <c r="C123" s="1"/>
      <c r="D123" s="1"/>
      <c r="E123" s="1"/>
      <c r="F123" s="1"/>
    </row>
    <row r="124" spans="3:6">
      <c r="C124" s="1"/>
      <c r="D124" s="1"/>
      <c r="E124" s="1"/>
      <c r="F124" s="1"/>
    </row>
    <row r="125" spans="3:6">
      <c r="C125" s="1"/>
      <c r="D125" s="1"/>
      <c r="E125" s="1"/>
      <c r="F125" s="1"/>
    </row>
    <row r="126" spans="3:6">
      <c r="C126" s="1"/>
      <c r="D126" s="1"/>
      <c r="E126" s="1"/>
      <c r="F126" s="1"/>
    </row>
    <row r="127" spans="3:6">
      <c r="C127" s="1"/>
      <c r="D127" s="1"/>
      <c r="E127" s="1"/>
      <c r="F127" s="1"/>
    </row>
    <row r="128" spans="3:6">
      <c r="C128" s="1"/>
      <c r="D128" s="1"/>
      <c r="E128" s="1"/>
      <c r="F128" s="1"/>
    </row>
    <row r="129" spans="3:6">
      <c r="C129" s="1"/>
      <c r="D129" s="1"/>
      <c r="E129" s="1"/>
      <c r="F129" s="1"/>
    </row>
    <row r="130" spans="3:6">
      <c r="C130" s="1"/>
      <c r="D130" s="1"/>
      <c r="E130" s="1"/>
      <c r="F130" s="1"/>
    </row>
    <row r="131" spans="3:6">
      <c r="C131" s="1"/>
      <c r="D131" s="1"/>
      <c r="E131" s="1"/>
      <c r="F131" s="1"/>
    </row>
    <row r="132" spans="3:6">
      <c r="C132" s="1"/>
      <c r="D132" s="1"/>
      <c r="E132" s="1"/>
      <c r="F132" s="1"/>
    </row>
    <row r="133" spans="3:6">
      <c r="C133" s="1"/>
      <c r="D133" s="1"/>
      <c r="E133" s="1"/>
      <c r="F133" s="1"/>
    </row>
    <row r="134" spans="3:6">
      <c r="C134" s="1"/>
      <c r="D134" s="1"/>
    </row>
  </sheetData>
  <mergeCells count="3">
    <mergeCell ref="K12:M12"/>
    <mergeCell ref="N12:P12"/>
    <mergeCell ref="Q12:S12"/>
  </mergeCells>
  <conditionalFormatting sqref="C30">
    <cfRule type="cellIs" dxfId="56" priority="1" operator="equal">
      <formula>FALSE</formula>
    </cfRule>
  </conditionalFormatting>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rgb="FF074650"/>
  </sheetPr>
  <dimension ref="A1:AQ32"/>
  <sheetViews>
    <sheetView workbookViewId="0"/>
  </sheetViews>
  <sheetFormatPr defaultColWidth="9.1796875" defaultRowHeight="14.5"/>
  <cols>
    <col min="1" max="1" width="5.6328125" style="1" customWidth="1"/>
    <col min="2" max="2" width="25.6328125" style="1" customWidth="1"/>
    <col min="3" max="3" width="22.453125" style="1" customWidth="1"/>
    <col min="4" max="7" width="14.453125" style="1" customWidth="1"/>
    <col min="8" max="8" width="15.54296875" style="1" customWidth="1"/>
    <col min="9" max="9" width="18.54296875" style="1" customWidth="1"/>
    <col min="10" max="10" width="27.453125" style="1" customWidth="1"/>
    <col min="11" max="11" width="17" style="1" customWidth="1"/>
    <col min="12" max="13" width="20.1796875" style="1" customWidth="1"/>
    <col min="14" max="14" width="28.453125" style="1" customWidth="1"/>
    <col min="15" max="15" width="8.453125" style="1" customWidth="1"/>
    <col min="16" max="22" width="5.54296875" style="1" customWidth="1"/>
    <col min="23" max="23" width="5.6328125" style="1" customWidth="1"/>
    <col min="24" max="43" width="5.54296875" style="1" customWidth="1"/>
    <col min="44" max="16384" width="9.1796875" style="1"/>
  </cols>
  <sheetData>
    <row r="1" spans="1:43" s="8" customFormat="1" ht="20" customHeight="1">
      <c r="A1" s="1213"/>
      <c r="B1" s="1213"/>
      <c r="C1" s="914" t="str">
        <f>dms_SheetHeading1</f>
        <v>ANNUAL INFORMATION ORDER</v>
      </c>
      <c r="D1" s="7"/>
      <c r="E1" s="7"/>
      <c r="F1" s="7"/>
      <c r="G1" s="7"/>
      <c r="H1" s="7"/>
      <c r="I1" s="7"/>
      <c r="J1" s="7"/>
      <c r="K1" s="7"/>
      <c r="L1" s="7"/>
      <c r="M1" s="7"/>
      <c r="N1" s="7"/>
      <c r="O1" s="959"/>
      <c r="P1" s="1556" t="s">
        <v>1003</v>
      </c>
      <c r="Q1" s="1556"/>
      <c r="R1" s="1556"/>
      <c r="S1" s="1556"/>
      <c r="T1" s="1556"/>
      <c r="U1" s="1556"/>
      <c r="V1" s="1557" t="s">
        <v>1002</v>
      </c>
      <c r="W1" s="1556"/>
      <c r="X1" s="1556"/>
      <c r="Y1" s="1556"/>
      <c r="Z1" s="1556"/>
      <c r="AA1" s="1556"/>
      <c r="AB1" s="1556"/>
    </row>
    <row r="2" spans="1:43" s="8" customFormat="1" ht="20" customHeight="1">
      <c r="B2" s="581"/>
      <c r="C2" s="915" t="str">
        <f>dms_SheetHeading2</f>
        <v>Australian Transmission Co.</v>
      </c>
      <c r="D2" s="7"/>
      <c r="E2" s="7"/>
      <c r="F2" s="7"/>
      <c r="G2" s="7"/>
      <c r="H2" s="7"/>
      <c r="I2" s="7"/>
      <c r="J2" s="7"/>
      <c r="K2" s="7"/>
      <c r="L2" s="7"/>
      <c r="M2" s="7"/>
      <c r="N2" s="7"/>
      <c r="O2" s="959"/>
      <c r="P2" s="1558" t="s">
        <v>1004</v>
      </c>
      <c r="Q2" s="1558"/>
      <c r="R2" s="1558"/>
      <c r="S2" s="1558"/>
      <c r="T2" s="1558"/>
      <c r="U2" s="1558"/>
      <c r="V2" s="1559" t="s">
        <v>179</v>
      </c>
      <c r="W2" s="1558"/>
      <c r="X2" s="1558"/>
      <c r="Y2" s="1558"/>
      <c r="Z2" s="1558"/>
      <c r="AA2" s="1558"/>
      <c r="AB2" s="1558"/>
    </row>
    <row r="3" spans="1:43" s="8" customFormat="1" ht="20" customHeight="1">
      <c r="B3" s="581"/>
      <c r="C3" s="916" t="str">
        <f>dms_SheetHeading3</f>
        <v>REPORTING STATEMENT: 2025-26</v>
      </c>
      <c r="D3" s="7"/>
      <c r="E3" s="7"/>
      <c r="F3" s="7"/>
      <c r="G3" s="7"/>
      <c r="H3" s="7"/>
      <c r="I3" s="7"/>
      <c r="J3" s="7"/>
      <c r="K3" s="7"/>
      <c r="L3" s="7"/>
      <c r="M3" s="7"/>
      <c r="N3" s="7"/>
      <c r="O3" s="959"/>
      <c r="P3" s="1560" t="s">
        <v>1005</v>
      </c>
      <c r="Q3" s="1560"/>
      <c r="R3" s="1560"/>
      <c r="S3" s="1560"/>
      <c r="T3" s="1560"/>
      <c r="U3" s="1560"/>
      <c r="V3" s="1561" t="s">
        <v>180</v>
      </c>
      <c r="W3" s="1560"/>
      <c r="X3" s="1560"/>
      <c r="Y3" s="1560"/>
      <c r="Z3" s="1560"/>
      <c r="AA3" s="1560"/>
      <c r="AB3" s="1560"/>
    </row>
    <row r="4" spans="1:43" s="12" customFormat="1" ht="20" customHeight="1">
      <c r="B4" s="581"/>
      <c r="C4" s="917" t="s">
        <v>1466</v>
      </c>
      <c r="D4" s="899"/>
      <c r="E4" s="899"/>
      <c r="F4" s="899"/>
      <c r="G4" s="899"/>
      <c r="H4" s="899"/>
      <c r="I4" s="899"/>
      <c r="J4" s="899"/>
      <c r="K4" s="899"/>
      <c r="L4" s="899"/>
      <c r="M4" s="899"/>
      <c r="N4" s="899"/>
      <c r="O4" s="926"/>
      <c r="P4" s="1562" t="s">
        <v>1007</v>
      </c>
      <c r="Q4" s="1563"/>
      <c r="R4" s="1564"/>
      <c r="S4" s="1565"/>
      <c r="T4" s="1565"/>
      <c r="U4" s="1565"/>
      <c r="V4" s="1566" t="s">
        <v>1006</v>
      </c>
      <c r="W4" s="1565"/>
      <c r="X4" s="1565"/>
      <c r="Y4" s="1565"/>
      <c r="Z4" s="1565"/>
      <c r="AA4" s="1565"/>
      <c r="AB4" s="1565"/>
    </row>
    <row r="5" spans="1:43" s="581" customFormat="1" ht="13.5" customHeight="1">
      <c r="C5" s="1"/>
      <c r="D5" s="1"/>
      <c r="E5" s="1"/>
      <c r="F5" s="1"/>
      <c r="G5" s="1"/>
      <c r="H5" s="1"/>
      <c r="I5" s="1"/>
      <c r="J5" s="1"/>
      <c r="K5" s="1"/>
      <c r="L5" s="1"/>
      <c r="M5" s="1"/>
      <c r="N5" s="1"/>
      <c r="O5" s="926"/>
      <c r="P5" s="1"/>
      <c r="Q5" s="1"/>
      <c r="R5" s="1"/>
      <c r="S5" s="1"/>
      <c r="T5" s="1"/>
    </row>
    <row r="6" spans="1:43" s="581" customFormat="1" ht="15" customHeight="1">
      <c r="C6" s="1427" t="s">
        <v>1575</v>
      </c>
      <c r="D6" s="1427"/>
      <c r="E6" s="1427"/>
      <c r="F6" s="1427"/>
      <c r="G6" s="1427"/>
      <c r="H6" s="1427"/>
      <c r="I6" s="1427"/>
      <c r="J6" s="1427"/>
      <c r="K6" s="1427"/>
      <c r="L6" s="1427"/>
      <c r="M6" s="1427"/>
      <c r="N6" s="1427"/>
      <c r="O6" s="926"/>
      <c r="P6" s="1"/>
      <c r="Q6" s="1"/>
      <c r="R6" s="1"/>
      <c r="S6" s="1"/>
      <c r="T6" s="1"/>
    </row>
    <row r="7" spans="1:43" s="581" customFormat="1" ht="15" customHeight="1">
      <c r="C7" s="1429" t="s">
        <v>1576</v>
      </c>
      <c r="D7" s="1569"/>
      <c r="E7" s="1569"/>
      <c r="F7" s="1569"/>
      <c r="G7" s="1569"/>
      <c r="H7" s="1569"/>
      <c r="I7" s="1569"/>
      <c r="J7" s="1569"/>
      <c r="K7" s="1569"/>
      <c r="L7" s="1569"/>
      <c r="M7" s="1569"/>
      <c r="N7" s="1569"/>
      <c r="O7" s="926"/>
      <c r="P7" s="1"/>
      <c r="Q7" s="1"/>
      <c r="R7" s="1"/>
      <c r="S7" s="1"/>
      <c r="T7" s="1"/>
    </row>
    <row r="8" spans="1:43" s="581" customFormat="1" ht="15" customHeight="1">
      <c r="C8" s="1427" t="s">
        <v>1577</v>
      </c>
      <c r="D8" s="1427"/>
      <c r="E8" s="1427"/>
      <c r="F8" s="1427"/>
      <c r="G8" s="1427"/>
      <c r="H8" s="1427"/>
      <c r="I8" s="1427"/>
      <c r="J8" s="1427"/>
      <c r="K8" s="1427"/>
      <c r="L8" s="1427"/>
      <c r="M8" s="1427"/>
      <c r="N8" s="1427"/>
      <c r="O8" s="926"/>
      <c r="P8" s="1"/>
      <c r="Q8" s="1"/>
      <c r="R8" s="1"/>
      <c r="S8" s="1"/>
      <c r="T8" s="1"/>
    </row>
    <row r="9" spans="1:43" s="581" customFormat="1" ht="15" customHeight="1">
      <c r="C9" s="1429" t="s">
        <v>1578</v>
      </c>
      <c r="D9" s="1569"/>
      <c r="E9" s="1569"/>
      <c r="F9" s="1569"/>
      <c r="G9" s="1569"/>
      <c r="H9" s="1569"/>
      <c r="I9" s="1569"/>
      <c r="J9" s="1569"/>
      <c r="K9" s="1569"/>
      <c r="L9" s="1569"/>
      <c r="M9" s="1569"/>
      <c r="N9" s="1569"/>
      <c r="O9" s="926"/>
      <c r="P9" s="1"/>
      <c r="Q9" s="1"/>
      <c r="R9" s="1"/>
      <c r="S9" s="1"/>
      <c r="T9" s="1"/>
    </row>
    <row r="10" spans="1:43" s="13" customFormat="1" ht="18" customHeight="1">
      <c r="C10" s="1547" t="s">
        <v>1684</v>
      </c>
      <c r="D10" s="891"/>
      <c r="E10" s="892"/>
      <c r="F10" s="892"/>
      <c r="G10" s="892"/>
      <c r="H10" s="10"/>
      <c r="I10" s="10"/>
      <c r="J10" s="10"/>
      <c r="K10" s="10"/>
      <c r="L10" s="10"/>
      <c r="M10" s="10"/>
      <c r="N10" s="10"/>
      <c r="O10" s="926"/>
      <c r="P10" s="935"/>
      <c r="Q10" s="960"/>
      <c r="R10" s="960"/>
      <c r="S10" s="960"/>
      <c r="T10" s="960"/>
    </row>
    <row r="11" spans="1:43" s="13" customFormat="1" ht="12" customHeight="1">
      <c r="O11" s="926"/>
      <c r="P11" s="935"/>
      <c r="Q11" s="960"/>
      <c r="R11" s="960"/>
      <c r="S11" s="960"/>
      <c r="T11" s="960"/>
    </row>
    <row r="12" spans="1:43" ht="21" customHeight="1">
      <c r="C12" s="2024" t="s">
        <v>1341</v>
      </c>
      <c r="D12" s="2024"/>
      <c r="E12" s="2024"/>
      <c r="F12" s="2024"/>
      <c r="G12" s="2024"/>
      <c r="H12" s="2024"/>
      <c r="I12" s="2025"/>
      <c r="J12" s="2031" t="s">
        <v>1347</v>
      </c>
      <c r="K12" s="2032"/>
      <c r="L12" s="2032"/>
      <c r="M12" s="2032"/>
      <c r="N12" s="2033"/>
      <c r="O12" s="926"/>
    </row>
    <row r="13" spans="1:43" ht="29" customHeight="1">
      <c r="C13" s="1535" t="s">
        <v>1131</v>
      </c>
      <c r="D13" s="1536" t="s">
        <v>1163</v>
      </c>
      <c r="E13" s="1536" t="s">
        <v>1164</v>
      </c>
      <c r="F13" s="1536" t="s">
        <v>1166</v>
      </c>
      <c r="G13" s="1536" t="s">
        <v>1165</v>
      </c>
      <c r="H13" s="1536" t="s">
        <v>1339</v>
      </c>
      <c r="I13" s="1537" t="s">
        <v>1338</v>
      </c>
      <c r="J13" s="1540" t="s">
        <v>1348</v>
      </c>
      <c r="K13" s="1538" t="s">
        <v>1565</v>
      </c>
      <c r="L13" s="1538" t="s">
        <v>1337</v>
      </c>
      <c r="M13" s="1869" t="s">
        <v>1683</v>
      </c>
      <c r="N13" s="1539" t="s">
        <v>1340</v>
      </c>
      <c r="P13" s="1541" t="s">
        <v>1304</v>
      </c>
      <c r="Q13" s="1542" t="s">
        <v>1295</v>
      </c>
      <c r="R13" s="1541" t="s">
        <v>1304</v>
      </c>
      <c r="S13" s="1542" t="s">
        <v>1536</v>
      </c>
      <c r="T13" s="1541" t="s">
        <v>1304</v>
      </c>
      <c r="U13" s="1542" t="s">
        <v>1536</v>
      </c>
      <c r="V13" s="1541" t="s">
        <v>1304</v>
      </c>
      <c r="W13" s="1542" t="s">
        <v>1536</v>
      </c>
      <c r="X13" s="1543" t="s">
        <v>1293</v>
      </c>
      <c r="Y13" s="1544" t="s">
        <v>1294</v>
      </c>
      <c r="Z13" s="1542" t="s">
        <v>1536</v>
      </c>
      <c r="AA13" s="1854" t="s">
        <v>1293</v>
      </c>
      <c r="AB13" s="1542" t="s">
        <v>1536</v>
      </c>
      <c r="AC13" s="1854" t="s">
        <v>1293</v>
      </c>
      <c r="AD13" s="1545" t="s">
        <v>1536</v>
      </c>
      <c r="AE13" s="1541" t="s">
        <v>1304</v>
      </c>
      <c r="AF13" s="1542" t="s">
        <v>1536</v>
      </c>
      <c r="AG13" s="1546" t="s">
        <v>1304</v>
      </c>
      <c r="AH13" s="1542" t="s">
        <v>1536</v>
      </c>
      <c r="AI13" s="1543" t="s">
        <v>1293</v>
      </c>
      <c r="AJ13" s="1544" t="s">
        <v>1294</v>
      </c>
      <c r="AK13" s="1542" t="s">
        <v>1536</v>
      </c>
      <c r="AL13" s="1543" t="s">
        <v>1293</v>
      </c>
      <c r="AM13" s="1544" t="s">
        <v>1294</v>
      </c>
      <c r="AN13" s="1542" t="s">
        <v>1536</v>
      </c>
      <c r="AO13" s="1543" t="s">
        <v>1293</v>
      </c>
      <c r="AP13" s="1544" t="s">
        <v>1294</v>
      </c>
      <c r="AQ13" s="1542" t="s">
        <v>1536</v>
      </c>
    </row>
    <row r="14" spans="1:43">
      <c r="B14" s="1876" t="s">
        <v>1118</v>
      </c>
      <c r="C14" s="1534" t="s">
        <v>1566</v>
      </c>
      <c r="D14" s="1534" t="s">
        <v>1566</v>
      </c>
      <c r="E14" s="1534" t="s">
        <v>1566</v>
      </c>
      <c r="F14" s="1534" t="s">
        <v>1566</v>
      </c>
      <c r="G14" s="1534" t="s">
        <v>1162</v>
      </c>
      <c r="H14" s="1534" t="s">
        <v>1342</v>
      </c>
      <c r="I14" s="1534" t="s">
        <v>1342</v>
      </c>
      <c r="J14" s="1534" t="s">
        <v>1566</v>
      </c>
      <c r="K14" s="1534" t="s">
        <v>1705</v>
      </c>
      <c r="L14" s="1534" t="s">
        <v>990</v>
      </c>
      <c r="M14" s="1534" t="s">
        <v>990</v>
      </c>
      <c r="N14" s="985" t="s">
        <v>1343</v>
      </c>
      <c r="P14" s="2026" t="s">
        <v>1131</v>
      </c>
      <c r="Q14" s="2028"/>
      <c r="R14" s="2026" t="s">
        <v>1163</v>
      </c>
      <c r="S14" s="2028"/>
      <c r="T14" s="2026" t="s">
        <v>1164</v>
      </c>
      <c r="U14" s="2028"/>
      <c r="V14" s="2026" t="s">
        <v>1166</v>
      </c>
      <c r="W14" s="2028"/>
      <c r="X14" s="2030" t="s">
        <v>1281</v>
      </c>
      <c r="Y14" s="2027"/>
      <c r="Z14" s="2028"/>
      <c r="AA14" s="2026" t="s">
        <v>1567</v>
      </c>
      <c r="AB14" s="2028"/>
      <c r="AC14" s="2026" t="s">
        <v>1569</v>
      </c>
      <c r="AD14" s="2029"/>
      <c r="AE14" s="2026" t="s">
        <v>1348</v>
      </c>
      <c r="AF14" s="2028"/>
      <c r="AG14" s="2026" t="s">
        <v>1568</v>
      </c>
      <c r="AH14" s="2028"/>
      <c r="AI14" s="2026" t="s">
        <v>1337</v>
      </c>
      <c r="AJ14" s="2027"/>
      <c r="AK14" s="2028"/>
      <c r="AL14" s="2026" t="s">
        <v>1683</v>
      </c>
      <c r="AM14" s="2027"/>
      <c r="AN14" s="2028"/>
      <c r="AO14" s="2026" t="s">
        <v>1346</v>
      </c>
      <c r="AP14" s="2027"/>
      <c r="AQ14" s="2028"/>
    </row>
    <row r="15" spans="1:43">
      <c r="C15" s="1251"/>
      <c r="D15" s="1243"/>
      <c r="E15" s="1243"/>
      <c r="F15" s="1243"/>
      <c r="G15" s="1243"/>
      <c r="H15" s="1258"/>
      <c r="I15" s="1259"/>
      <c r="J15" s="1252"/>
      <c r="K15" s="1243"/>
      <c r="L15" s="1243"/>
      <c r="M15" s="1870"/>
      <c r="N15" s="1250"/>
      <c r="P15" s="1280"/>
      <c r="Q15" s="1275"/>
      <c r="R15" s="1281"/>
      <c r="S15" s="1242" t="str">
        <f>IF(AND($C15&lt;&gt;"",LEFT($C15,5)&lt;&gt;"&lt;Proj",ISBLANK(D15))=TRUE,"X","")</f>
        <v/>
      </c>
      <c r="T15" s="1280"/>
      <c r="U15" s="1242" t="str">
        <f>IF(AND($C15&lt;&gt;"",LEFT($C15,5)&lt;&gt;"&lt;Proj",ISBLANK(E15))=TRUE,"X","")</f>
        <v/>
      </c>
      <c r="V15" s="1280"/>
      <c r="W15" s="1242" t="str">
        <f>IF(AND($C15&lt;&gt;"",LEFT($C15,5)&lt;&gt;"&lt;Proj",ISBLANK(F15))=TRUE,"X","")</f>
        <v/>
      </c>
      <c r="X15" s="1267" t="str">
        <f>IF(ISNONTEXT(G15)=TRUE,"","X")</f>
        <v/>
      </c>
      <c r="Y15" s="1257" t="str">
        <f>IF(AND(G15&gt;=0)=TRUE,"","X")</f>
        <v/>
      </c>
      <c r="Z15" s="1242" t="str">
        <f>IF(AND($C15&lt;&gt;"",LEFT($C15,5)&lt;&gt;"&lt;Proj",ISBLANK(G15))=TRUE,"X","")</f>
        <v/>
      </c>
      <c r="AA15" s="1268" t="str">
        <f>IF(ISTEXT(H15),"X","")</f>
        <v/>
      </c>
      <c r="AB15" s="1242" t="str">
        <f>IF(AND($C15&lt;&gt;"",LEFT($C15,5)&lt;&gt;"&lt;Proj",ISBLANK(H15))=TRUE,"X","")</f>
        <v/>
      </c>
      <c r="AC15" s="1268" t="str">
        <f>IF(ISTEXT(I15),"X","")</f>
        <v/>
      </c>
      <c r="AD15" s="1264" t="str">
        <f>IF(AND($C15&lt;&gt;"",LEFT($C15,5)&lt;&gt;"&lt;Proj",ISBLANK(I15))=TRUE,"X","")</f>
        <v/>
      </c>
      <c r="AE15" s="1192"/>
      <c r="AF15" s="1191" t="str">
        <f>IF(AND($C$15&lt;&gt;"",LEFT($C$15,5)&lt;&gt;"&lt;Proj",ISBLANK(J15))=TRUE,"X","")</f>
        <v/>
      </c>
      <c r="AG15" s="1192"/>
      <c r="AH15" s="1191" t="str">
        <f>IF(AND($C$15&lt;&gt;"",LEFT($C$15,5)&lt;&gt;"&lt;Proj",ISBLANK(K15))=TRUE,"X","")</f>
        <v/>
      </c>
      <c r="AI15" s="1192" t="str">
        <f>IF(ISNONTEXT(L15)=TRUE,"","X")</f>
        <v/>
      </c>
      <c r="AJ15" s="1190" t="str">
        <f>IF(AND(L15&gt;=0)=TRUE,"","X")</f>
        <v/>
      </c>
      <c r="AK15" s="1191" t="str">
        <f>IF(AND($C$15&lt;&gt;"",LEFT($C$15,5)&lt;&gt;"&lt;Proj",ISBLANK(L15))=TRUE,"X","")</f>
        <v/>
      </c>
      <c r="AL15" s="1849" t="str">
        <f>IF(ISNONTEXT(M15)=TRUE,"","X")</f>
        <v/>
      </c>
      <c r="AM15" s="1850" t="str">
        <f>IF(AND(M15&gt;=0)=TRUE,"","X")</f>
        <v/>
      </c>
      <c r="AN15" s="1848" t="str">
        <f>IF(AND($C$15&lt;&gt;"",LEFT($C$15,5)&lt;&gt;"&lt;Proj",ISBLANK(M15))=TRUE,"X","")</f>
        <v/>
      </c>
      <c r="AO15" s="1192" t="str">
        <f>IF(ISNONTEXT(N15)=TRUE,"","X")</f>
        <v/>
      </c>
      <c r="AP15" s="1190" t="str">
        <f>IF(AND(N15&gt;=0)=TRUE,"","X")</f>
        <v/>
      </c>
      <c r="AQ15" s="1191" t="str">
        <f>IF(AND($C$15&lt;&gt;"",LEFT($C$15,5)&lt;&gt;"&lt;Proj",ISBLANK(N15))=TRUE,"X","")</f>
        <v/>
      </c>
    </row>
    <row r="16" spans="1:43">
      <c r="C16" s="1254"/>
      <c r="D16" s="1188"/>
      <c r="E16" s="1188"/>
      <c r="F16" s="1188"/>
      <c r="G16" s="1188"/>
      <c r="H16" s="1188"/>
      <c r="I16" s="1188"/>
      <c r="J16" s="1249"/>
      <c r="K16" s="964"/>
      <c r="L16" s="964"/>
      <c r="M16" s="1871"/>
      <c r="N16" s="1244"/>
      <c r="P16" s="1262"/>
      <c r="Q16" s="1276"/>
      <c r="R16" s="1278"/>
      <c r="S16" s="1272"/>
      <c r="T16" s="1262"/>
      <c r="U16" s="1272"/>
      <c r="V16" s="1262"/>
      <c r="W16" s="1272"/>
      <c r="X16" s="1269"/>
      <c r="Y16" s="1260"/>
      <c r="Z16" s="1272"/>
      <c r="AA16" s="1271"/>
      <c r="AB16" s="1272"/>
      <c r="AC16" s="1271"/>
      <c r="AD16" s="1265"/>
      <c r="AE16" s="1182"/>
      <c r="AF16" s="1180"/>
      <c r="AG16" s="1182"/>
      <c r="AH16" s="1181" t="str">
        <f>IF(AND(J16&lt;&gt;"",ISBLANK(K16))=TRUE,"X","")</f>
        <v/>
      </c>
      <c r="AI16" s="1182" t="str">
        <f t="shared" ref="AI16:AI26" si="0">IF(ISNONTEXT(L16)=TRUE,"","X")</f>
        <v/>
      </c>
      <c r="AJ16" s="1178" t="str">
        <f t="shared" ref="AJ16:AJ26" si="1">IF(AND(L16&gt;=0)=TRUE,"","X")</f>
        <v/>
      </c>
      <c r="AK16" s="1181" t="str">
        <f>IF(AND(J16&lt;&gt;"",ISBLANK(L16))=TRUE,"X","")</f>
        <v/>
      </c>
      <c r="AL16" s="1327" t="str">
        <f t="shared" ref="AL16:AL19" si="2">IF(ISNONTEXT(M16)=TRUE,"","X")</f>
        <v/>
      </c>
      <c r="AM16" s="1186" t="str">
        <f t="shared" ref="AM16:AM19" si="3">IF(AND(M16&gt;=0)=TRUE,"","X")</f>
        <v/>
      </c>
      <c r="AN16" s="1322" t="str">
        <f t="shared" ref="AN16:AN18" si="4">IF(AND($C$15&lt;&gt;"",LEFT($C$15,5)&lt;&gt;"&lt;Proj",ISBLANK(M16))=TRUE,"X","")</f>
        <v/>
      </c>
      <c r="AO16" s="1182" t="str">
        <f t="shared" ref="AO16:AO26" si="5">IF(ISNONTEXT(N16)=TRUE,"","X")</f>
        <v/>
      </c>
      <c r="AP16" s="1178" t="str">
        <f t="shared" ref="AP16:AP26" si="6">IF(AND(N16&gt;=0)=TRUE,"","X")</f>
        <v/>
      </c>
      <c r="AQ16" s="1181" t="str">
        <f>IF(AND(J16&lt;&gt;"",ISBLANK(N16))=TRUE,"X","")</f>
        <v/>
      </c>
    </row>
    <row r="17" spans="1:43">
      <c r="A17" s="1216"/>
      <c r="C17" s="1254"/>
      <c r="D17" s="1188"/>
      <c r="E17" s="1188"/>
      <c r="F17" s="1188"/>
      <c r="G17" s="1188"/>
      <c r="H17" s="1188"/>
      <c r="I17" s="1188"/>
      <c r="J17" s="1249"/>
      <c r="K17" s="964"/>
      <c r="L17" s="964"/>
      <c r="M17" s="1871"/>
      <c r="N17" s="1244"/>
      <c r="P17" s="1262"/>
      <c r="Q17" s="1276"/>
      <c r="R17" s="1278"/>
      <c r="S17" s="1272"/>
      <c r="T17" s="1262"/>
      <c r="U17" s="1272"/>
      <c r="V17" s="1262"/>
      <c r="W17" s="1272"/>
      <c r="X17" s="1269"/>
      <c r="Y17" s="1260"/>
      <c r="Z17" s="1272"/>
      <c r="AA17" s="1271"/>
      <c r="AB17" s="1272"/>
      <c r="AC17" s="1271"/>
      <c r="AD17" s="1265"/>
      <c r="AE17" s="1282"/>
      <c r="AF17" s="1180"/>
      <c r="AG17" s="1282"/>
      <c r="AH17" s="1181" t="str">
        <f>IF(AND(J17&lt;&gt;"",ISBLANK(K17))=TRUE,"X","")</f>
        <v/>
      </c>
      <c r="AI17" s="1182" t="str">
        <f t="shared" si="0"/>
        <v/>
      </c>
      <c r="AJ17" s="1178" t="str">
        <f t="shared" si="1"/>
        <v/>
      </c>
      <c r="AK17" s="1181" t="str">
        <f>IF(AND(J17&lt;&gt;"",ISBLANK(L17))=TRUE,"X","")</f>
        <v/>
      </c>
      <c r="AL17" s="1327" t="str">
        <f t="shared" si="2"/>
        <v/>
      </c>
      <c r="AM17" s="1186" t="str">
        <f t="shared" si="3"/>
        <v/>
      </c>
      <c r="AN17" s="1322" t="str">
        <f t="shared" si="4"/>
        <v/>
      </c>
      <c r="AO17" s="1182" t="str">
        <f t="shared" si="5"/>
        <v/>
      </c>
      <c r="AP17" s="1178" t="str">
        <f t="shared" si="6"/>
        <v/>
      </c>
      <c r="AQ17" s="1181" t="str">
        <f>IF(AND(J17&lt;&gt;"",ISBLANK(N17))=TRUE,"X","")</f>
        <v/>
      </c>
    </row>
    <row r="18" spans="1:43">
      <c r="B18" s="1909" t="s">
        <v>1334</v>
      </c>
      <c r="C18" s="1255"/>
      <c r="D18" s="1248"/>
      <c r="E18" s="1248"/>
      <c r="F18" s="1248"/>
      <c r="G18" s="1248"/>
      <c r="H18" s="1248"/>
      <c r="I18" s="1248"/>
      <c r="J18" s="1256"/>
      <c r="K18" s="1245"/>
      <c r="L18" s="1245"/>
      <c r="M18" s="1872"/>
      <c r="N18" s="1246"/>
      <c r="P18" s="1263"/>
      <c r="Q18" s="1277"/>
      <c r="R18" s="1279"/>
      <c r="S18" s="1274"/>
      <c r="T18" s="1263"/>
      <c r="U18" s="1274"/>
      <c r="V18" s="1263"/>
      <c r="W18" s="1274"/>
      <c r="X18" s="1270"/>
      <c r="Y18" s="1261"/>
      <c r="Z18" s="1274"/>
      <c r="AA18" s="1273"/>
      <c r="AB18" s="1274"/>
      <c r="AC18" s="1273"/>
      <c r="AD18" s="1266"/>
      <c r="AE18" s="1283"/>
      <c r="AF18" s="1200"/>
      <c r="AG18" s="1283"/>
      <c r="AH18" s="1181" t="str">
        <f>IF(AND(J18&lt;&gt;"",ISBLANK(K18))=TRUE,"X","")</f>
        <v/>
      </c>
      <c r="AI18" s="1184" t="str">
        <f t="shared" si="0"/>
        <v/>
      </c>
      <c r="AJ18" s="1187" t="str">
        <f t="shared" si="1"/>
        <v/>
      </c>
      <c r="AK18" s="1181" t="str">
        <f>IF(AND(J18&lt;&gt;"",ISBLANK(L18))=TRUE,"X","")</f>
        <v/>
      </c>
      <c r="AL18" s="1329" t="str">
        <f t="shared" si="2"/>
        <v/>
      </c>
      <c r="AM18" s="1323" t="str">
        <f t="shared" si="3"/>
        <v/>
      </c>
      <c r="AN18" s="1324" t="str">
        <f t="shared" si="4"/>
        <v/>
      </c>
      <c r="AO18" s="1184" t="str">
        <f t="shared" si="5"/>
        <v/>
      </c>
      <c r="AP18" s="1187" t="str">
        <f t="shared" si="6"/>
        <v/>
      </c>
      <c r="AQ18" s="1181" t="str">
        <f>IF(AND(J18&lt;&gt;"",ISBLANK(N18))=TRUE,"X","")</f>
        <v/>
      </c>
    </row>
    <row r="19" spans="1:43">
      <c r="C19" s="1251"/>
      <c r="D19" s="1243"/>
      <c r="E19" s="1243"/>
      <c r="F19" s="1243"/>
      <c r="G19" s="1243"/>
      <c r="H19" s="1258"/>
      <c r="I19" s="1259"/>
      <c r="J19" s="1253"/>
      <c r="K19" s="1243"/>
      <c r="L19" s="1243"/>
      <c r="M19" s="1870"/>
      <c r="N19" s="1250"/>
      <c r="P19" s="1280"/>
      <c r="Q19" s="1275"/>
      <c r="R19" s="1281"/>
      <c r="S19" s="1242" t="str">
        <f>IF(AND($C19&lt;&gt;"",LEFT($C19,5)&lt;&gt;"&lt;Proj",ISBLANK(D19))=TRUE,"X","")</f>
        <v/>
      </c>
      <c r="T19" s="1280"/>
      <c r="U19" s="1242" t="str">
        <f>IF(AND($C19&lt;&gt;"",LEFT($C19,5)&lt;&gt;"&lt;Proj",ISBLANK(E19))=TRUE,"X","")</f>
        <v/>
      </c>
      <c r="V19" s="1280"/>
      <c r="W19" s="1242" t="str">
        <f>IF(AND($C19&lt;&gt;"",LEFT($C19,5)&lt;&gt;"&lt;Proj",ISBLANK(F19))=TRUE,"X","")</f>
        <v/>
      </c>
      <c r="X19" s="1267" t="str">
        <f>IF(ISNONTEXT(G19)=TRUE,"","X")</f>
        <v/>
      </c>
      <c r="Y19" s="1257" t="str">
        <f>IF(AND(G19&gt;=0)=TRUE,"","X")</f>
        <v/>
      </c>
      <c r="Z19" s="1242" t="str">
        <f>IF(AND($C19&lt;&gt;"",LEFT($C19,5)&lt;&gt;"&lt;Proj",ISBLANK(G19))=TRUE,"X","")</f>
        <v/>
      </c>
      <c r="AA19" s="1268" t="str" cm="1">
        <f t="array" aca="1" ref="AA19" ca="1">IF(CELL("format",H19)="D1","","X")</f>
        <v/>
      </c>
      <c r="AB19" s="1242" t="str">
        <f>IF(AND($C19&lt;&gt;"",LEFT($C19,5)&lt;&gt;"&lt;Proj",ISBLANK(H19))=TRUE,"X","")</f>
        <v/>
      </c>
      <c r="AC19" s="1268" t="str">
        <f>IF(ISTEXT(I19),"X","")</f>
        <v/>
      </c>
      <c r="AD19" s="1264" t="str">
        <f>IF(AND($C19&lt;&gt;"",LEFT($C19,5)&lt;&gt;"&lt;Proj",ISBLANK(I19))=TRUE,"X","")</f>
        <v/>
      </c>
      <c r="AE19" s="1284"/>
      <c r="AF19" s="1191" t="str">
        <f>IF(AND($C$19&lt;&gt;"",LEFT($C$19,5)&lt;&gt;"&lt;Proj",ISBLANK(J19))=TRUE,"X","")</f>
        <v/>
      </c>
      <c r="AG19" s="1284"/>
      <c r="AH19" s="1191" t="str">
        <f>IF(AND($C$19&lt;&gt;"",LEFT($C$19,5)&lt;&gt;"&lt;Proj",ISBLANK(K19))=TRUE,"X","")</f>
        <v/>
      </c>
      <c r="AI19" s="1192" t="str">
        <f t="shared" si="0"/>
        <v/>
      </c>
      <c r="AJ19" s="1190" t="str">
        <f t="shared" si="1"/>
        <v/>
      </c>
      <c r="AK19" s="1191" t="str">
        <f>IF(AND($C$19&lt;&gt;"",LEFT($C$19,5)&lt;&gt;"&lt;Proj",ISBLANK(L19))=TRUE,"X","")</f>
        <v/>
      </c>
      <c r="AL19" s="1849" t="str">
        <f t="shared" si="2"/>
        <v/>
      </c>
      <c r="AM19" s="1850" t="str">
        <f t="shared" si="3"/>
        <v/>
      </c>
      <c r="AN19" s="1848" t="str">
        <f>IF(AND($C$19&lt;&gt;"",LEFT($C$19,5)&lt;&gt;"&lt;Proj",ISBLANK(M19))=TRUE,"X","")</f>
        <v/>
      </c>
      <c r="AO19" s="1192" t="str">
        <f t="shared" si="5"/>
        <v/>
      </c>
      <c r="AP19" s="1190" t="str">
        <f t="shared" si="6"/>
        <v/>
      </c>
      <c r="AQ19" s="1191" t="str">
        <f>IF(AND($C$19&lt;&gt;"",LEFT($C$19,5)&lt;&gt;"&lt;Proj",ISBLANK(N19))=TRUE,"X","")</f>
        <v/>
      </c>
    </row>
    <row r="20" spans="1:43">
      <c r="C20" s="1254"/>
      <c r="D20" s="1188"/>
      <c r="E20" s="1188"/>
      <c r="F20" s="1188"/>
      <c r="G20" s="1188"/>
      <c r="H20" s="1188"/>
      <c r="I20" s="1188"/>
      <c r="J20" s="1249"/>
      <c r="K20" s="964"/>
      <c r="L20" s="964"/>
      <c r="M20" s="1871"/>
      <c r="N20" s="1244"/>
      <c r="P20" s="1262"/>
      <c r="Q20" s="1276"/>
      <c r="R20" s="1278"/>
      <c r="S20" s="1272"/>
      <c r="T20" s="1262"/>
      <c r="U20" s="1272"/>
      <c r="V20" s="1262"/>
      <c r="W20" s="1272"/>
      <c r="X20" s="1269"/>
      <c r="Y20" s="1260"/>
      <c r="Z20" s="1272"/>
      <c r="AA20" s="1271"/>
      <c r="AB20" s="1272"/>
      <c r="AC20" s="1271"/>
      <c r="AD20" s="1265"/>
      <c r="AE20" s="1282"/>
      <c r="AF20" s="1180"/>
      <c r="AG20" s="1282"/>
      <c r="AH20" s="1181" t="str">
        <f>IF(AND(J20&lt;&gt;"",ISBLANK(K20))=TRUE,"X","")</f>
        <v/>
      </c>
      <c r="AI20" s="1182" t="str">
        <f t="shared" si="0"/>
        <v/>
      </c>
      <c r="AJ20" s="1178" t="str">
        <f t="shared" si="1"/>
        <v/>
      </c>
      <c r="AK20" s="1181" t="str">
        <f>IF(AND(J20&lt;&gt;"",ISBLANK(L20))=TRUE,"X","")</f>
        <v/>
      </c>
      <c r="AL20" s="1327" t="str">
        <f t="shared" ref="AL20:AL22" si="7">IF(ISNONTEXT(M20)=TRUE,"","X")</f>
        <v/>
      </c>
      <c r="AM20" s="1186" t="str">
        <f t="shared" ref="AM20:AM22" si="8">IF(AND(M20&gt;=0)=TRUE,"","X")</f>
        <v/>
      </c>
      <c r="AN20" s="1322" t="str">
        <f t="shared" ref="AN20:AN22" si="9">IF(AND($C$19&lt;&gt;"",LEFT($C$19,5)&lt;&gt;"&lt;Proj",ISBLANK(M20))=TRUE,"X","")</f>
        <v/>
      </c>
      <c r="AO20" s="1182" t="str">
        <f t="shared" si="5"/>
        <v/>
      </c>
      <c r="AP20" s="1178" t="str">
        <f t="shared" si="6"/>
        <v/>
      </c>
      <c r="AQ20" s="1181" t="str">
        <f>IF(AND(J20&lt;&gt;"",ISBLANK(N20))=TRUE,"X","")</f>
        <v/>
      </c>
    </row>
    <row r="21" spans="1:43">
      <c r="A21" s="1216"/>
      <c r="C21" s="1254"/>
      <c r="D21" s="1188"/>
      <c r="E21" s="1188"/>
      <c r="F21" s="1188"/>
      <c r="G21" s="1188"/>
      <c r="H21" s="1188"/>
      <c r="I21" s="1188"/>
      <c r="J21" s="1249"/>
      <c r="K21" s="964"/>
      <c r="L21" s="964"/>
      <c r="M21" s="1871"/>
      <c r="N21" s="1244"/>
      <c r="P21" s="1262"/>
      <c r="Q21" s="1276"/>
      <c r="R21" s="1278"/>
      <c r="S21" s="1272"/>
      <c r="T21" s="1262"/>
      <c r="U21" s="1272"/>
      <c r="V21" s="1262"/>
      <c r="W21" s="1272"/>
      <c r="X21" s="1269"/>
      <c r="Y21" s="1260"/>
      <c r="Z21" s="1272"/>
      <c r="AA21" s="1271"/>
      <c r="AB21" s="1272"/>
      <c r="AC21" s="1271"/>
      <c r="AD21" s="1265"/>
      <c r="AE21" s="1282"/>
      <c r="AF21" s="1180"/>
      <c r="AG21" s="1282"/>
      <c r="AH21" s="1181" t="str">
        <f>IF(AND(J21&lt;&gt;"",ISBLANK(K21))=TRUE,"X","")</f>
        <v/>
      </c>
      <c r="AI21" s="1182" t="str">
        <f>IF(ISNONTEXT(L21)=TRUE,"","X")</f>
        <v/>
      </c>
      <c r="AJ21" s="1178" t="str">
        <f t="shared" si="1"/>
        <v/>
      </c>
      <c r="AK21" s="1181" t="str">
        <f>IF(AND(J21&lt;&gt;"",ISBLANK(L21))=TRUE,"X","")</f>
        <v/>
      </c>
      <c r="AL21" s="1327" t="str">
        <f t="shared" si="7"/>
        <v/>
      </c>
      <c r="AM21" s="1186" t="str">
        <f t="shared" si="8"/>
        <v/>
      </c>
      <c r="AN21" s="1322" t="str">
        <f t="shared" si="9"/>
        <v/>
      </c>
      <c r="AO21" s="1182" t="str">
        <f t="shared" si="5"/>
        <v/>
      </c>
      <c r="AP21" s="1178" t="str">
        <f t="shared" si="6"/>
        <v/>
      </c>
      <c r="AQ21" s="1181" t="str">
        <f>IF(AND(J21&lt;&gt;"",ISBLANK(N21))=TRUE,"X","")</f>
        <v/>
      </c>
    </row>
    <row r="22" spans="1:43">
      <c r="B22" s="1909" t="s">
        <v>1334</v>
      </c>
      <c r="C22" s="1255"/>
      <c r="D22" s="1248"/>
      <c r="E22" s="1248"/>
      <c r="F22" s="1248"/>
      <c r="G22" s="1248"/>
      <c r="H22" s="1248"/>
      <c r="I22" s="1248"/>
      <c r="J22" s="1256"/>
      <c r="K22" s="1245"/>
      <c r="L22" s="1245"/>
      <c r="M22" s="1872"/>
      <c r="N22" s="1246"/>
      <c r="P22" s="1263"/>
      <c r="Q22" s="1277"/>
      <c r="R22" s="1279"/>
      <c r="S22" s="1274"/>
      <c r="T22" s="1263"/>
      <c r="U22" s="1274"/>
      <c r="V22" s="1263"/>
      <c r="W22" s="1274"/>
      <c r="X22" s="1270"/>
      <c r="Y22" s="1261"/>
      <c r="Z22" s="1274"/>
      <c r="AA22" s="1273"/>
      <c r="AB22" s="1274"/>
      <c r="AC22" s="1273"/>
      <c r="AD22" s="1266"/>
      <c r="AE22" s="1283"/>
      <c r="AF22" s="1200"/>
      <c r="AG22" s="1283"/>
      <c r="AH22" s="1181" t="str">
        <f>IF(AND(J22&lt;&gt;"",ISBLANK(K22))=TRUE,"X","")</f>
        <v/>
      </c>
      <c r="AI22" s="1184" t="str">
        <f t="shared" si="0"/>
        <v/>
      </c>
      <c r="AJ22" s="1187" t="str">
        <f t="shared" si="1"/>
        <v/>
      </c>
      <c r="AK22" s="1181" t="str">
        <f>IF(AND(J22&lt;&gt;"",ISBLANK(L22))=TRUE,"X","")</f>
        <v/>
      </c>
      <c r="AL22" s="1329" t="str">
        <f t="shared" si="7"/>
        <v/>
      </c>
      <c r="AM22" s="1323" t="str">
        <f t="shared" si="8"/>
        <v/>
      </c>
      <c r="AN22" s="1324" t="str">
        <f t="shared" si="9"/>
        <v/>
      </c>
      <c r="AO22" s="1184" t="str">
        <f t="shared" si="5"/>
        <v/>
      </c>
      <c r="AP22" s="1187" t="str">
        <f t="shared" si="6"/>
        <v/>
      </c>
      <c r="AQ22" s="1181" t="str">
        <f>IF(AND(J22&lt;&gt;"",ISBLANK(N22))=TRUE,"X","")</f>
        <v/>
      </c>
    </row>
    <row r="23" spans="1:43">
      <c r="C23" s="1251"/>
      <c r="D23" s="1243"/>
      <c r="E23" s="1243"/>
      <c r="F23" s="1243"/>
      <c r="G23" s="1243"/>
      <c r="H23" s="1258"/>
      <c r="I23" s="1259"/>
      <c r="J23" s="1253"/>
      <c r="K23" s="1243"/>
      <c r="L23" s="1243"/>
      <c r="M23" s="1870"/>
      <c r="N23" s="1250"/>
      <c r="P23" s="1280"/>
      <c r="Q23" s="1275"/>
      <c r="R23" s="1281"/>
      <c r="S23" s="1242" t="str">
        <f>IF(AND($C23&lt;&gt;"",LEFT($C23,5)&lt;&gt;"&lt;Proj",ISBLANK(D23))=TRUE,"X","")</f>
        <v/>
      </c>
      <c r="T23" s="1280"/>
      <c r="U23" s="1242" t="str">
        <f>IF(AND($C23&lt;&gt;"",LEFT($C23,5)&lt;&gt;"&lt;Proj",ISBLANK(E23))=TRUE,"X","")</f>
        <v/>
      </c>
      <c r="V23" s="1280"/>
      <c r="W23" s="1242" t="str">
        <f>IF(AND($C23&lt;&gt;"",LEFT($C23,5)&lt;&gt;"&lt;Proj",ISBLANK(F23))=TRUE,"X","")</f>
        <v/>
      </c>
      <c r="X23" s="1267" t="str">
        <f>IF(ISNONTEXT(G23)=TRUE,"","X")</f>
        <v/>
      </c>
      <c r="Y23" s="1257" t="str">
        <f>IF(AND(G23&gt;=0)=TRUE,"","X")</f>
        <v/>
      </c>
      <c r="Z23" s="1242" t="str">
        <f>IF(AND($C23&lt;&gt;"",LEFT($C23,5)&lt;&gt;"&lt;Proj",ISBLANK(G23))=TRUE,"X","")</f>
        <v/>
      </c>
      <c r="AA23" s="1268" t="str" cm="1">
        <f t="array" aca="1" ref="AA23" ca="1">IF(CELL("format",H23)="D1","","X")</f>
        <v/>
      </c>
      <c r="AB23" s="1242" t="str">
        <f>IF(AND($C23&lt;&gt;"",LEFT($C23,5)&lt;&gt;"&lt;Proj",ISBLANK(H23))=TRUE,"X","")</f>
        <v/>
      </c>
      <c r="AC23" s="1268" t="str">
        <f>IF(ISTEXT(I23),"X","")</f>
        <v/>
      </c>
      <c r="AD23" s="1264" t="str">
        <f>IF(AND($C23&lt;&gt;"",LEFT($C23,5)&lt;&gt;"&lt;Proj",ISBLANK(I23))=TRUE,"X","")</f>
        <v/>
      </c>
      <c r="AE23" s="1284"/>
      <c r="AF23" s="1191" t="str">
        <f>IF(AND($C$23&lt;&gt;"",LEFT($C$23,5)&lt;&gt;"&lt;Proj",ISBLANK(J23))=TRUE,"X","")</f>
        <v/>
      </c>
      <c r="AG23" s="1284"/>
      <c r="AH23" s="1191" t="str">
        <f>IF(AND($C$23&lt;&gt;"",LEFT($C$23,5)&lt;&gt;"&lt;Proj",ISBLANK(K23))=TRUE,"X","")</f>
        <v/>
      </c>
      <c r="AI23" s="1192" t="str">
        <f t="shared" si="0"/>
        <v/>
      </c>
      <c r="AJ23" s="1190" t="str">
        <f t="shared" si="1"/>
        <v/>
      </c>
      <c r="AK23" s="1191" t="str">
        <f>IF(AND($C$23&lt;&gt;"",LEFT($C$23,5)&lt;&gt;"&lt;Proj",ISBLANK(L23))=TRUE,"X","")</f>
        <v/>
      </c>
      <c r="AL23" s="1849" t="str">
        <f t="shared" ref="AL23" si="10">IF(ISNONTEXT(M23)=TRUE,"","X")</f>
        <v/>
      </c>
      <c r="AM23" s="1850" t="str">
        <f t="shared" ref="AM23" si="11">IF(AND(M23&gt;=0)=TRUE,"","X")</f>
        <v/>
      </c>
      <c r="AN23" s="1848" t="str">
        <f>IF(AND($C$23&lt;&gt;"",LEFT($C$23,5)&lt;&gt;"&lt;Proj",ISBLANK(M23))=TRUE,"X","")</f>
        <v/>
      </c>
      <c r="AO23" s="1192" t="str">
        <f t="shared" si="5"/>
        <v/>
      </c>
      <c r="AP23" s="1190" t="str">
        <f t="shared" si="6"/>
        <v/>
      </c>
      <c r="AQ23" s="1191" t="str">
        <f>IF(AND($C$23&lt;&gt;"",LEFT($C$23,5)&lt;&gt;"&lt;Proj",ISBLANK(N23))=TRUE,"X","")</f>
        <v/>
      </c>
    </row>
    <row r="24" spans="1:43">
      <c r="C24" s="1254"/>
      <c r="D24" s="1188"/>
      <c r="E24" s="1188"/>
      <c r="F24" s="1188"/>
      <c r="G24" s="1188"/>
      <c r="H24" s="1188"/>
      <c r="I24" s="1188"/>
      <c r="J24" s="1249"/>
      <c r="K24" s="964"/>
      <c r="L24" s="964"/>
      <c r="M24" s="1871"/>
      <c r="N24" s="1244"/>
      <c r="P24" s="1262"/>
      <c r="Q24" s="1276"/>
      <c r="R24" s="1278"/>
      <c r="S24" s="1272"/>
      <c r="T24" s="1262"/>
      <c r="U24" s="1272"/>
      <c r="V24" s="1262"/>
      <c r="W24" s="1272"/>
      <c r="X24" s="1269"/>
      <c r="Y24" s="1260"/>
      <c r="Z24" s="1272"/>
      <c r="AA24" s="1271"/>
      <c r="AB24" s="1272"/>
      <c r="AC24" s="1271"/>
      <c r="AD24" s="1265"/>
      <c r="AE24" s="1282"/>
      <c r="AF24" s="1180"/>
      <c r="AG24" s="1282"/>
      <c r="AH24" s="1181" t="str">
        <f>IF(AND(J24&lt;&gt;"",ISBLANK(K24))=TRUE,"X","")</f>
        <v/>
      </c>
      <c r="AI24" s="1182" t="str">
        <f t="shared" si="0"/>
        <v/>
      </c>
      <c r="AJ24" s="1178" t="str">
        <f t="shared" si="1"/>
        <v/>
      </c>
      <c r="AK24" s="1181" t="str">
        <f>IF(AND(J24&lt;&gt;"",ISBLANK(L24))=TRUE,"X","")</f>
        <v/>
      </c>
      <c r="AL24" s="1327" t="str">
        <f t="shared" ref="AL24:AL26" si="12">IF(ISNONTEXT(M24)=TRUE,"","X")</f>
        <v/>
      </c>
      <c r="AM24" s="1186" t="str">
        <f t="shared" ref="AM24:AM26" si="13">IF(AND(M24&gt;=0)=TRUE,"","X")</f>
        <v/>
      </c>
      <c r="AN24" s="1322" t="str">
        <f t="shared" ref="AN24:AN26" si="14">IF(AND($C$23&lt;&gt;"",LEFT($C$23,5)&lt;&gt;"&lt;Proj",ISBLANK(M24))=TRUE,"X","")</f>
        <v/>
      </c>
      <c r="AO24" s="1182" t="str">
        <f t="shared" si="5"/>
        <v/>
      </c>
      <c r="AP24" s="1178" t="str">
        <f t="shared" si="6"/>
        <v/>
      </c>
      <c r="AQ24" s="1181" t="str">
        <f>IF(AND(J24&lt;&gt;"",ISBLANK(N24))=TRUE,"X","")</f>
        <v/>
      </c>
    </row>
    <row r="25" spans="1:43">
      <c r="A25" s="1216"/>
      <c r="C25" s="1254"/>
      <c r="D25" s="1188"/>
      <c r="E25" s="1188"/>
      <c r="F25" s="1188"/>
      <c r="G25" s="1188"/>
      <c r="H25" s="1188"/>
      <c r="I25" s="1188"/>
      <c r="J25" s="1249"/>
      <c r="K25" s="964"/>
      <c r="L25" s="964"/>
      <c r="M25" s="1871"/>
      <c r="N25" s="1244"/>
      <c r="P25" s="1262"/>
      <c r="Q25" s="1276"/>
      <c r="R25" s="1278"/>
      <c r="S25" s="1272"/>
      <c r="T25" s="1262"/>
      <c r="U25" s="1272"/>
      <c r="V25" s="1262"/>
      <c r="W25" s="1272"/>
      <c r="X25" s="1269"/>
      <c r="Y25" s="1260"/>
      <c r="Z25" s="1272"/>
      <c r="AA25" s="1271"/>
      <c r="AB25" s="1272"/>
      <c r="AC25" s="1271"/>
      <c r="AD25" s="1265"/>
      <c r="AE25" s="1282"/>
      <c r="AF25" s="1180"/>
      <c r="AG25" s="1282"/>
      <c r="AH25" s="1181" t="str">
        <f>IF(AND(J25&lt;&gt;"",ISBLANK(K25))=TRUE,"X","")</f>
        <v/>
      </c>
      <c r="AI25" s="1182" t="str">
        <f t="shared" si="0"/>
        <v/>
      </c>
      <c r="AJ25" s="1178" t="str">
        <f t="shared" si="1"/>
        <v/>
      </c>
      <c r="AK25" s="1181" t="str">
        <f>IF(AND(J25&lt;&gt;"",ISBLANK(L25))=TRUE,"X","")</f>
        <v/>
      </c>
      <c r="AL25" s="1327" t="str">
        <f t="shared" si="12"/>
        <v/>
      </c>
      <c r="AM25" s="1186" t="str">
        <f t="shared" si="13"/>
        <v/>
      </c>
      <c r="AN25" s="1322" t="str">
        <f t="shared" si="14"/>
        <v/>
      </c>
      <c r="AO25" s="1182" t="str">
        <f t="shared" si="5"/>
        <v/>
      </c>
      <c r="AP25" s="1178" t="str">
        <f t="shared" si="6"/>
        <v/>
      </c>
      <c r="AQ25" s="1181" t="str">
        <f>IF(AND(J25&lt;&gt;"",ISBLANK(N25))=TRUE,"X","")</f>
        <v/>
      </c>
    </row>
    <row r="26" spans="1:43">
      <c r="B26" s="1909" t="s">
        <v>1334</v>
      </c>
      <c r="C26" s="1255"/>
      <c r="D26" s="1248"/>
      <c r="E26" s="1248"/>
      <c r="F26" s="1248"/>
      <c r="G26" s="1248"/>
      <c r="H26" s="1248"/>
      <c r="I26" s="1248"/>
      <c r="J26" s="1256"/>
      <c r="K26" s="1245"/>
      <c r="L26" s="1245"/>
      <c r="M26" s="1872"/>
      <c r="N26" s="1246"/>
      <c r="P26" s="1263"/>
      <c r="Q26" s="1277"/>
      <c r="R26" s="1279"/>
      <c r="S26" s="1274"/>
      <c r="T26" s="1263"/>
      <c r="U26" s="1274"/>
      <c r="V26" s="1263"/>
      <c r="W26" s="1274"/>
      <c r="X26" s="1270"/>
      <c r="Y26" s="1261"/>
      <c r="Z26" s="1274"/>
      <c r="AA26" s="1273"/>
      <c r="AB26" s="1274"/>
      <c r="AC26" s="1273"/>
      <c r="AD26" s="1266"/>
      <c r="AE26" s="1283"/>
      <c r="AF26" s="1200"/>
      <c r="AG26" s="1283"/>
      <c r="AH26" s="1183" t="str">
        <f>IF(AND(J26&lt;&gt;"",ISBLANK(K26))=TRUE,"X","")</f>
        <v/>
      </c>
      <c r="AI26" s="1184" t="str">
        <f t="shared" si="0"/>
        <v/>
      </c>
      <c r="AJ26" s="1187" t="str">
        <f t="shared" si="1"/>
        <v/>
      </c>
      <c r="AK26" s="1183" t="str">
        <f>IF(AND(J26&lt;&gt;"",ISBLANK(L26))=TRUE,"X","")</f>
        <v/>
      </c>
      <c r="AL26" s="1329" t="str">
        <f t="shared" si="12"/>
        <v/>
      </c>
      <c r="AM26" s="1323" t="str">
        <f t="shared" si="13"/>
        <v/>
      </c>
      <c r="AN26" s="1324" t="str">
        <f t="shared" si="14"/>
        <v/>
      </c>
      <c r="AO26" s="1184" t="str">
        <f t="shared" si="5"/>
        <v/>
      </c>
      <c r="AP26" s="1187" t="str">
        <f t="shared" si="6"/>
        <v/>
      </c>
      <c r="AQ26" s="1183" t="str">
        <f>IF(AND(J26&lt;&gt;"",ISBLANK(N26))=TRUE,"X","")</f>
        <v/>
      </c>
    </row>
    <row r="27" spans="1:43">
      <c r="A27" s="1216"/>
      <c r="P27" s="961"/>
      <c r="Q27" s="961"/>
      <c r="R27" s="961"/>
    </row>
    <row r="28" spans="1:43">
      <c r="P28" s="961"/>
      <c r="Q28" s="961"/>
      <c r="R28" s="961"/>
    </row>
    <row r="29" spans="1:43">
      <c r="Q29" s="961"/>
      <c r="R29" s="961"/>
      <c r="S29" s="961"/>
      <c r="T29" s="961"/>
    </row>
    <row r="30" spans="1:43" ht="15.75" customHeight="1">
      <c r="C30" s="1310" t="s">
        <v>1471</v>
      </c>
      <c r="D30" s="1852"/>
      <c r="E30" s="579"/>
      <c r="Q30" s="961"/>
      <c r="R30" s="961"/>
      <c r="S30" s="961"/>
      <c r="T30" s="961"/>
    </row>
    <row r="31" spans="1:43">
      <c r="C31" s="1847" t="s">
        <v>1495</v>
      </c>
      <c r="D31" s="579"/>
      <c r="E31" s="579"/>
      <c r="Q31" s="961"/>
      <c r="R31" s="961"/>
      <c r="S31" s="961"/>
      <c r="T31" s="961"/>
    </row>
    <row r="32" spans="1:43">
      <c r="C32" s="1847"/>
      <c r="D32" s="579"/>
      <c r="E32" s="579"/>
    </row>
  </sheetData>
  <mergeCells count="14">
    <mergeCell ref="C12:I12"/>
    <mergeCell ref="AO14:AQ14"/>
    <mergeCell ref="AI14:AK14"/>
    <mergeCell ref="AG14:AH14"/>
    <mergeCell ref="AC14:AD14"/>
    <mergeCell ref="AE14:AF14"/>
    <mergeCell ref="AA14:AB14"/>
    <mergeCell ref="T14:U14"/>
    <mergeCell ref="V14:W14"/>
    <mergeCell ref="X14:Z14"/>
    <mergeCell ref="P14:Q14"/>
    <mergeCell ref="J12:N12"/>
    <mergeCell ref="R14:S14"/>
    <mergeCell ref="AL14:AN14"/>
  </mergeCells>
  <conditionalFormatting sqref="C30">
    <cfRule type="cellIs" dxfId="55" priority="1" operator="equal">
      <formula>FALSE</formula>
    </cfRule>
  </conditionalFormatting>
  <dataValidations count="1">
    <dataValidation allowBlank="1" showErrorMessage="1" sqref="D19:I19 D15:F15 D23:I23 J24:J26 H15" xr:uid="{DEE3F72F-2555-4E64-B4BA-EAC871EF546C}"/>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074650"/>
    <pageSetUpPr fitToPage="1"/>
  </sheetPr>
  <dimension ref="A1:W71"/>
  <sheetViews>
    <sheetView workbookViewId="0"/>
  </sheetViews>
  <sheetFormatPr defaultColWidth="9.1796875" defaultRowHeight="14.5"/>
  <cols>
    <col min="1" max="1" width="5.6328125" style="1" customWidth="1"/>
    <col min="2" max="2" width="25.6328125" style="1" customWidth="1"/>
    <col min="3" max="3" width="62.453125" style="1" customWidth="1"/>
    <col min="4" max="4" width="7.54296875" style="1" customWidth="1"/>
    <col min="5" max="9" width="20.1796875" style="1" customWidth="1"/>
    <col min="10" max="10" width="13" style="1" customWidth="1"/>
    <col min="11" max="11" width="12.54296875" style="1" customWidth="1"/>
    <col min="12" max="22" width="5.1796875" style="1" customWidth="1"/>
    <col min="23" max="23" width="5.6328125" style="1" customWidth="1"/>
    <col min="24" max="16384" width="9.1796875" style="1"/>
  </cols>
  <sheetData>
    <row r="1" spans="1:23" s="8" customFormat="1" ht="20" customHeight="1">
      <c r="A1" s="1213"/>
      <c r="B1" s="1213"/>
      <c r="C1" s="914" t="str">
        <f>dms_SheetHeading1</f>
        <v>ANNUAL INFORMATION ORDER</v>
      </c>
      <c r="D1" s="916"/>
      <c r="E1" s="916"/>
      <c r="F1" s="916"/>
      <c r="G1" s="916"/>
      <c r="H1" s="916"/>
      <c r="I1" s="916"/>
      <c r="J1" s="1"/>
      <c r="K1" s="1556" t="s">
        <v>1003</v>
      </c>
      <c r="L1" s="1556"/>
      <c r="M1" s="1556"/>
      <c r="N1" s="1556"/>
      <c r="O1" s="1556"/>
      <c r="P1" s="1556"/>
      <c r="Q1" s="1557" t="s">
        <v>1002</v>
      </c>
      <c r="R1" s="1556"/>
      <c r="S1" s="1556"/>
      <c r="T1" s="1556"/>
      <c r="U1" s="1556"/>
      <c r="V1" s="1556"/>
      <c r="W1" s="1556"/>
    </row>
    <row r="2" spans="1:23" s="8" customFormat="1" ht="20" customHeight="1">
      <c r="B2" s="1"/>
      <c r="C2" s="915" t="str">
        <f>dms_SheetHeading2</f>
        <v>Australian Transmission Co.</v>
      </c>
      <c r="D2" s="916"/>
      <c r="E2" s="916"/>
      <c r="F2" s="916"/>
      <c r="G2" s="916"/>
      <c r="H2" s="916"/>
      <c r="I2" s="916"/>
      <c r="J2" s="1"/>
      <c r="K2" s="1558" t="s">
        <v>1004</v>
      </c>
      <c r="L2" s="1558"/>
      <c r="M2" s="1558"/>
      <c r="N2" s="1558"/>
      <c r="O2" s="1558"/>
      <c r="P2" s="1558"/>
      <c r="Q2" s="1559" t="s">
        <v>179</v>
      </c>
      <c r="R2" s="1558"/>
      <c r="S2" s="1558"/>
      <c r="T2" s="1558"/>
      <c r="U2" s="1558"/>
      <c r="V2" s="1558"/>
      <c r="W2" s="1558"/>
    </row>
    <row r="3" spans="1:23" s="8" customFormat="1" ht="20" customHeight="1">
      <c r="B3" s="1"/>
      <c r="C3" s="916" t="str">
        <f>dms_SheetHeading3</f>
        <v>REPORTING STATEMENT: 2025-26</v>
      </c>
      <c r="D3" s="1027"/>
      <c r="E3" s="1027"/>
      <c r="F3" s="1027"/>
      <c r="G3" s="1027"/>
      <c r="H3" s="1027"/>
      <c r="I3" s="1027"/>
      <c r="J3" s="1"/>
      <c r="K3" s="1560" t="s">
        <v>1005</v>
      </c>
      <c r="L3" s="1560"/>
      <c r="M3" s="1560"/>
      <c r="N3" s="1560"/>
      <c r="O3" s="1560"/>
      <c r="P3" s="1560"/>
      <c r="Q3" s="1561" t="s">
        <v>180</v>
      </c>
      <c r="R3" s="1560"/>
      <c r="S3" s="1560"/>
      <c r="T3" s="1560"/>
      <c r="U3" s="1560"/>
      <c r="V3" s="1560"/>
      <c r="W3" s="1560"/>
    </row>
    <row r="4" spans="1:23" s="8" customFormat="1" ht="20" customHeight="1">
      <c r="B4" s="1"/>
      <c r="C4" s="917" t="s">
        <v>1670</v>
      </c>
      <c r="D4" s="917"/>
      <c r="E4" s="917"/>
      <c r="F4" s="917"/>
      <c r="G4" s="917"/>
      <c r="H4" s="917"/>
      <c r="I4" s="917"/>
      <c r="J4" s="1"/>
      <c r="K4" s="1562" t="s">
        <v>1007</v>
      </c>
      <c r="L4" s="1563"/>
      <c r="M4" s="1564"/>
      <c r="N4" s="1565"/>
      <c r="O4" s="1565"/>
      <c r="P4" s="1565"/>
      <c r="Q4" s="1566" t="s">
        <v>1006</v>
      </c>
      <c r="R4" s="1565"/>
      <c r="S4" s="1565"/>
      <c r="T4" s="1565"/>
      <c r="U4" s="1565"/>
      <c r="V4" s="1565"/>
      <c r="W4" s="1565"/>
    </row>
    <row r="5" spans="1:23" ht="13.5" customHeight="1"/>
    <row r="6" spans="1:23" ht="15" customHeight="1">
      <c r="C6" s="1427" t="s">
        <v>1579</v>
      </c>
      <c r="D6" s="1427"/>
      <c r="E6" s="1427"/>
      <c r="F6" s="1427"/>
      <c r="G6" s="1427"/>
      <c r="H6" s="1427"/>
      <c r="I6" s="1427"/>
    </row>
    <row r="7" spans="1:23" ht="15" customHeight="1">
      <c r="C7" s="1551" t="s">
        <v>1580</v>
      </c>
      <c r="D7" s="1552"/>
      <c r="E7" s="1552"/>
      <c r="F7" s="1552"/>
      <c r="G7" s="1552"/>
      <c r="H7" s="1552"/>
      <c r="I7" s="1552"/>
    </row>
    <row r="8" spans="1:23" ht="18" customHeight="1">
      <c r="C8" s="1547" t="s">
        <v>1287</v>
      </c>
      <c r="D8" s="1583"/>
      <c r="E8" s="1582"/>
      <c r="F8" s="1582"/>
      <c r="G8" s="1582"/>
      <c r="H8" s="1584"/>
      <c r="I8" s="1584"/>
    </row>
    <row r="9" spans="1:23" s="579" customFormat="1">
      <c r="P9" s="1"/>
      <c r="Q9" s="1"/>
      <c r="R9" s="1"/>
    </row>
    <row r="10" spans="1:23" s="579" customFormat="1" ht="39">
      <c r="D10" s="889" t="s">
        <v>1118</v>
      </c>
      <c r="E10" s="1765" t="s">
        <v>1145</v>
      </c>
      <c r="F10" s="1766" t="s">
        <v>1180</v>
      </c>
      <c r="G10" s="1766" t="s">
        <v>1181</v>
      </c>
      <c r="H10" s="1766" t="s">
        <v>1182</v>
      </c>
      <c r="I10" s="1767" t="s">
        <v>1183</v>
      </c>
    </row>
    <row r="11" spans="1:23" s="579" customFormat="1" ht="15" customHeight="1">
      <c r="C11" s="1003" t="s">
        <v>1178</v>
      </c>
      <c r="D11" s="1004"/>
      <c r="E11" s="1004"/>
      <c r="F11" s="1004"/>
      <c r="G11" s="1004"/>
      <c r="H11" s="1004"/>
      <c r="I11" s="1004"/>
      <c r="J11" s="984"/>
      <c r="K11" s="1905" t="s">
        <v>1302</v>
      </c>
      <c r="L11" s="1906" t="s">
        <v>1293</v>
      </c>
      <c r="M11" s="1907" t="s">
        <v>1295</v>
      </c>
      <c r="N11" s="1908" t="s">
        <v>1701</v>
      </c>
      <c r="O11" s="1906" t="s">
        <v>1293</v>
      </c>
      <c r="P11" s="1907" t="s">
        <v>1295</v>
      </c>
      <c r="Q11" s="1908" t="s">
        <v>1701</v>
      </c>
      <c r="R11" s="1906" t="s">
        <v>1293</v>
      </c>
      <c r="S11" s="1907" t="s">
        <v>1295</v>
      </c>
      <c r="T11" s="1908" t="s">
        <v>1701</v>
      </c>
      <c r="U11" s="1906" t="s">
        <v>1293</v>
      </c>
      <c r="V11" s="1907" t="s">
        <v>1295</v>
      </c>
      <c r="W11" s="1908" t="s">
        <v>1701</v>
      </c>
    </row>
    <row r="12" spans="1:23" s="579" customFormat="1" ht="15" customHeight="1">
      <c r="B12" s="1009"/>
      <c r="C12" s="1000" t="s">
        <v>1528</v>
      </c>
      <c r="J12" s="984"/>
      <c r="K12" s="1455" t="s">
        <v>1298</v>
      </c>
      <c r="L12" s="2034" t="s">
        <v>1311</v>
      </c>
      <c r="M12" s="2035"/>
      <c r="N12" s="2036"/>
      <c r="O12" s="2034" t="s">
        <v>1525</v>
      </c>
      <c r="P12" s="2035"/>
      <c r="Q12" s="2036"/>
      <c r="R12" s="2034" t="s">
        <v>1520</v>
      </c>
      <c r="S12" s="2035"/>
      <c r="T12" s="2036"/>
      <c r="U12" s="2034" t="s">
        <v>1522</v>
      </c>
      <c r="V12" s="2035"/>
      <c r="W12" s="2036"/>
    </row>
    <row r="13" spans="1:23" s="579" customFormat="1" ht="15" customHeight="1">
      <c r="B13" s="1009"/>
      <c r="C13" s="1460"/>
      <c r="D13" s="1005" t="s">
        <v>66</v>
      </c>
      <c r="E13" s="1672"/>
      <c r="F13" s="1672"/>
      <c r="G13" s="1678">
        <f t="shared" ref="G13:G20" si="0">E13-F13</f>
        <v>0</v>
      </c>
      <c r="H13" s="1672"/>
      <c r="I13" s="1675"/>
      <c r="K13" s="2037" t="s">
        <v>1306</v>
      </c>
      <c r="L13" s="1711" t="str">
        <f>IF(ISNONTEXT(E13)=TRUE,"","X")</f>
        <v/>
      </c>
      <c r="M13" s="1345" t="str">
        <f>IF(E13&lt;&gt;""=TRUE,"","X")</f>
        <v>X</v>
      </c>
      <c r="N13" s="1796"/>
      <c r="O13" s="1711" t="str">
        <f t="shared" ref="O13:O20" si="1">IF(ISNONTEXT(F13)=TRUE,"","X")</f>
        <v/>
      </c>
      <c r="P13" s="1345" t="str">
        <f>IF(F13&lt;&gt;""=TRUE,"","X")</f>
        <v>X</v>
      </c>
      <c r="Q13" s="1796"/>
      <c r="R13" s="1711" t="str">
        <f t="shared" ref="R13:R20" si="2">IF(ISNONTEXT(H13)=TRUE,"","X")</f>
        <v/>
      </c>
      <c r="S13" s="1345" t="str">
        <f>IF(H13&lt;&gt;""=TRUE,"","X")</f>
        <v>X</v>
      </c>
      <c r="T13" s="1796"/>
      <c r="U13" s="1711" t="str">
        <f t="shared" ref="U13:U20" si="3">IF(ISNONTEXT(I13)=TRUE,"","X")</f>
        <v/>
      </c>
      <c r="V13" s="1345" t="str">
        <f>IF(I13&lt;&gt;""=TRUE,"","X")</f>
        <v>X</v>
      </c>
      <c r="W13" s="1796"/>
    </row>
    <row r="14" spans="1:23" s="579" customFormat="1" ht="15" customHeight="1">
      <c r="B14" s="1009"/>
      <c r="C14" s="1461"/>
      <c r="D14" s="1006" t="s">
        <v>66</v>
      </c>
      <c r="E14" s="1673"/>
      <c r="F14" s="1673"/>
      <c r="G14" s="1679">
        <f t="shared" si="0"/>
        <v>0</v>
      </c>
      <c r="H14" s="1673"/>
      <c r="I14" s="1676"/>
      <c r="K14" s="2038"/>
      <c r="L14" s="1327" t="str">
        <f t="shared" ref="L14:L18" si="4">IF(ISNONTEXT(E14)=TRUE,"","X")</f>
        <v/>
      </c>
      <c r="M14" s="1185"/>
      <c r="N14" s="1322" t="str">
        <f>IF(AND(E14&lt;&gt;"",$C14&lt;&gt;""),"",IF(AND(ISBLANK(E14),LEFT($C14,5)="&lt;TNSP"),"",IF(AND(ISBLANK(E14),ISBLANK($C14)),"","X")))</f>
        <v/>
      </c>
      <c r="O14" s="1327" t="str">
        <f t="shared" si="1"/>
        <v/>
      </c>
      <c r="P14" s="1185"/>
      <c r="Q14" s="1322" t="str">
        <f>IF(AND(F14&lt;&gt;"",$C14&lt;&gt;""),"",IF(AND(ISBLANK(F14),LEFT($C14,5)="&lt;TNSP"),"",IF(AND(ISBLANK(F14),ISBLANK($C14)),"","X")))</f>
        <v/>
      </c>
      <c r="R14" s="1327" t="str">
        <f t="shared" si="2"/>
        <v/>
      </c>
      <c r="S14" s="1185"/>
      <c r="T14" s="1322" t="str">
        <f>IF(AND(H14&lt;&gt;"",$C14&lt;&gt;""),"",IF(AND(ISBLANK(H14),LEFT($C14,5)="&lt;TNSP"),"",IF(AND(ISBLANK(H14),ISBLANK($C14)),"","X")))</f>
        <v/>
      </c>
      <c r="U14" s="1327" t="str">
        <f t="shared" si="3"/>
        <v/>
      </c>
      <c r="V14" s="1185"/>
      <c r="W14" s="1322" t="str">
        <f>IF(AND(I14&lt;&gt;"",$C14&lt;&gt;""),"",IF(AND(ISBLANK(I14),LEFT($C14,5)="&lt;TNSP"),"",IF(AND(ISBLANK(I14),ISBLANK($C14)),"","X")))</f>
        <v/>
      </c>
    </row>
    <row r="15" spans="1:23" s="579" customFormat="1" ht="15" customHeight="1">
      <c r="B15" s="1009"/>
      <c r="C15" s="1461"/>
      <c r="D15" s="1006" t="s">
        <v>66</v>
      </c>
      <c r="E15" s="1673"/>
      <c r="F15" s="1673"/>
      <c r="G15" s="1679">
        <f t="shared" si="0"/>
        <v>0</v>
      </c>
      <c r="H15" s="1673"/>
      <c r="I15" s="1676"/>
      <c r="K15" s="2038"/>
      <c r="L15" s="1327" t="str">
        <f t="shared" si="4"/>
        <v/>
      </c>
      <c r="M15" s="1185"/>
      <c r="N15" s="1322" t="str">
        <f t="shared" ref="N15:N20" si="5">IF(AND(E15&lt;&gt;"",$C15&lt;&gt;""),"",IF(AND(ISBLANK(E15),LEFT($C15,5)="&lt;TNSP"),"",IF(AND(ISBLANK(E15),ISBLANK($C15)),"","X")))</f>
        <v/>
      </c>
      <c r="O15" s="1327" t="str">
        <f t="shared" si="1"/>
        <v/>
      </c>
      <c r="P15" s="1185"/>
      <c r="Q15" s="1322" t="str">
        <f t="shared" ref="Q15:Q20" si="6">IF(AND(F15&lt;&gt;"",$C15&lt;&gt;""),"",IF(AND(ISBLANK(F15),LEFT($C15,5)="&lt;TNSP"),"",IF(AND(ISBLANK(F15),ISBLANK($C15)),"","X")))</f>
        <v/>
      </c>
      <c r="R15" s="1327" t="str">
        <f t="shared" si="2"/>
        <v/>
      </c>
      <c r="S15" s="1185"/>
      <c r="T15" s="1322" t="str">
        <f t="shared" ref="T15:T20" si="7">IF(AND(H15&lt;&gt;"",$C15&lt;&gt;""),"",IF(AND(ISBLANK(H15),LEFT($C15,5)="&lt;TNSP"),"",IF(AND(ISBLANK(H15),ISBLANK($C15)),"","X")))</f>
        <v/>
      </c>
      <c r="U15" s="1327" t="str">
        <f t="shared" si="3"/>
        <v/>
      </c>
      <c r="V15" s="1185"/>
      <c r="W15" s="1322" t="str">
        <f t="shared" ref="W15:W20" si="8">IF(AND(I15&lt;&gt;"",$C15&lt;&gt;""),"",IF(AND(ISBLANK(I15),LEFT($C15,5)="&lt;TNSP"),"",IF(AND(ISBLANK(I15),ISBLANK($C15)),"","X")))</f>
        <v/>
      </c>
    </row>
    <row r="16" spans="1:23" s="579" customFormat="1" ht="15" customHeight="1">
      <c r="B16" s="1009"/>
      <c r="C16" s="1461"/>
      <c r="D16" s="1006" t="s">
        <v>66</v>
      </c>
      <c r="E16" s="1673"/>
      <c r="F16" s="1673"/>
      <c r="G16" s="1679">
        <f t="shared" si="0"/>
        <v>0</v>
      </c>
      <c r="H16" s="1673"/>
      <c r="I16" s="1676"/>
      <c r="K16" s="2038"/>
      <c r="L16" s="1327" t="str">
        <f t="shared" si="4"/>
        <v/>
      </c>
      <c r="M16" s="1185"/>
      <c r="N16" s="1322" t="str">
        <f t="shared" si="5"/>
        <v/>
      </c>
      <c r="O16" s="1327" t="str">
        <f t="shared" si="1"/>
        <v/>
      </c>
      <c r="P16" s="1185"/>
      <c r="Q16" s="1322" t="str">
        <f t="shared" si="6"/>
        <v/>
      </c>
      <c r="R16" s="1327" t="str">
        <f t="shared" si="2"/>
        <v/>
      </c>
      <c r="S16" s="1185"/>
      <c r="T16" s="1322" t="str">
        <f t="shared" si="7"/>
        <v/>
      </c>
      <c r="U16" s="1327" t="str">
        <f t="shared" si="3"/>
        <v/>
      </c>
      <c r="V16" s="1185"/>
      <c r="W16" s="1322" t="str">
        <f t="shared" si="8"/>
        <v/>
      </c>
    </row>
    <row r="17" spans="2:23" s="579" customFormat="1" ht="15" customHeight="1">
      <c r="B17" s="1009"/>
      <c r="C17" s="1461"/>
      <c r="D17" s="1006" t="s">
        <v>66</v>
      </c>
      <c r="E17" s="1673"/>
      <c r="F17" s="1673"/>
      <c r="G17" s="1679">
        <f t="shared" si="0"/>
        <v>0</v>
      </c>
      <c r="H17" s="1673"/>
      <c r="I17" s="1676"/>
      <c r="K17" s="2038"/>
      <c r="L17" s="1327" t="str">
        <f t="shared" si="4"/>
        <v/>
      </c>
      <c r="M17" s="1185"/>
      <c r="N17" s="1322" t="str">
        <f t="shared" si="5"/>
        <v/>
      </c>
      <c r="O17" s="1327" t="str">
        <f t="shared" si="1"/>
        <v/>
      </c>
      <c r="P17" s="1185"/>
      <c r="Q17" s="1322" t="str">
        <f t="shared" si="6"/>
        <v/>
      </c>
      <c r="R17" s="1327" t="str">
        <f t="shared" si="2"/>
        <v/>
      </c>
      <c r="S17" s="1185"/>
      <c r="T17" s="1322" t="str">
        <f t="shared" si="7"/>
        <v/>
      </c>
      <c r="U17" s="1327" t="str">
        <f t="shared" si="3"/>
        <v/>
      </c>
      <c r="V17" s="1185"/>
      <c r="W17" s="1322" t="str">
        <f t="shared" si="8"/>
        <v/>
      </c>
    </row>
    <row r="18" spans="2:23" s="579" customFormat="1" ht="15" customHeight="1">
      <c r="B18" s="1009"/>
      <c r="C18" s="1461"/>
      <c r="D18" s="1006" t="s">
        <v>66</v>
      </c>
      <c r="E18" s="1673"/>
      <c r="F18" s="1673"/>
      <c r="G18" s="1679">
        <f t="shared" si="0"/>
        <v>0</v>
      </c>
      <c r="H18" s="1673"/>
      <c r="I18" s="1676"/>
      <c r="K18" s="2038"/>
      <c r="L18" s="1327" t="str">
        <f t="shared" si="4"/>
        <v/>
      </c>
      <c r="M18" s="1185"/>
      <c r="N18" s="1322" t="str">
        <f t="shared" si="5"/>
        <v/>
      </c>
      <c r="O18" s="1327" t="str">
        <f t="shared" si="1"/>
        <v/>
      </c>
      <c r="P18" s="1185"/>
      <c r="Q18" s="1322" t="str">
        <f t="shared" si="6"/>
        <v/>
      </c>
      <c r="R18" s="1327" t="str">
        <f t="shared" si="2"/>
        <v/>
      </c>
      <c r="S18" s="1185"/>
      <c r="T18" s="1322" t="str">
        <f t="shared" si="7"/>
        <v/>
      </c>
      <c r="U18" s="1327" t="str">
        <f t="shared" si="3"/>
        <v/>
      </c>
      <c r="V18" s="1185"/>
      <c r="W18" s="1322" t="str">
        <f t="shared" si="8"/>
        <v/>
      </c>
    </row>
    <row r="19" spans="2:23" s="579" customFormat="1" ht="15" customHeight="1">
      <c r="C19" s="1461"/>
      <c r="D19" s="1006" t="s">
        <v>66</v>
      </c>
      <c r="E19" s="1673"/>
      <c r="F19" s="1673"/>
      <c r="G19" s="1679">
        <f t="shared" si="0"/>
        <v>0</v>
      </c>
      <c r="H19" s="1673"/>
      <c r="I19" s="1676"/>
      <c r="K19" s="2038"/>
      <c r="L19" s="1327" t="str">
        <f t="shared" ref="L19:L20" si="9">IF(ISNONTEXT(E19)=TRUE,"","X")</f>
        <v/>
      </c>
      <c r="M19" s="1185"/>
      <c r="N19" s="1322" t="str">
        <f t="shared" si="5"/>
        <v/>
      </c>
      <c r="O19" s="1327" t="str">
        <f t="shared" si="1"/>
        <v/>
      </c>
      <c r="P19" s="1185"/>
      <c r="Q19" s="1322" t="str">
        <f t="shared" si="6"/>
        <v/>
      </c>
      <c r="R19" s="1327" t="str">
        <f t="shared" si="2"/>
        <v/>
      </c>
      <c r="S19" s="1185"/>
      <c r="T19" s="1322" t="str">
        <f t="shared" si="7"/>
        <v/>
      </c>
      <c r="U19" s="1327" t="str">
        <f t="shared" si="3"/>
        <v/>
      </c>
      <c r="V19" s="1185"/>
      <c r="W19" s="1322" t="str">
        <f t="shared" si="8"/>
        <v/>
      </c>
    </row>
    <row r="20" spans="2:23" s="579" customFormat="1" ht="15" customHeight="1">
      <c r="B20" s="1909" t="s">
        <v>1334</v>
      </c>
      <c r="C20" s="1462"/>
      <c r="D20" s="1007" t="s">
        <v>66</v>
      </c>
      <c r="E20" s="1674"/>
      <c r="F20" s="1674"/>
      <c r="G20" s="1680">
        <f t="shared" si="0"/>
        <v>0</v>
      </c>
      <c r="H20" s="1674"/>
      <c r="I20" s="1677"/>
      <c r="K20" s="2039"/>
      <c r="L20" s="1329" t="str">
        <f t="shared" si="9"/>
        <v/>
      </c>
      <c r="M20" s="1332"/>
      <c r="N20" s="1324" t="str">
        <f t="shared" si="5"/>
        <v/>
      </c>
      <c r="O20" s="1329" t="str">
        <f t="shared" si="1"/>
        <v/>
      </c>
      <c r="P20" s="1332"/>
      <c r="Q20" s="1324" t="str">
        <f t="shared" si="6"/>
        <v/>
      </c>
      <c r="R20" s="1329" t="str">
        <f t="shared" si="2"/>
        <v/>
      </c>
      <c r="S20" s="1332"/>
      <c r="T20" s="1324" t="str">
        <f t="shared" si="7"/>
        <v/>
      </c>
      <c r="U20" s="1329" t="str">
        <f t="shared" si="3"/>
        <v/>
      </c>
      <c r="V20" s="1332"/>
      <c r="W20" s="1324" t="str">
        <f t="shared" si="8"/>
        <v/>
      </c>
    </row>
    <row r="21" spans="2:23" s="579" customFormat="1" ht="15" customHeight="1">
      <c r="B21" s="1010"/>
      <c r="C21" s="999" t="s">
        <v>1521</v>
      </c>
      <c r="D21" s="985" t="s">
        <v>66</v>
      </c>
      <c r="E21" s="1681">
        <f>SUM(E13:E20)</f>
        <v>0</v>
      </c>
      <c r="F21" s="1681">
        <f t="shared" ref="F21:G21" si="10">SUM(F13:F20)</f>
        <v>0</v>
      </c>
      <c r="G21" s="1681">
        <f t="shared" si="10"/>
        <v>0</v>
      </c>
      <c r="H21" s="1681">
        <f>SUM(H13:H20)</f>
        <v>0</v>
      </c>
      <c r="I21" s="1681">
        <f>SUM(I13:I20)</f>
        <v>0</v>
      </c>
      <c r="R21" s="1"/>
    </row>
    <row r="22" spans="2:23" s="579" customFormat="1" ht="15" customHeight="1">
      <c r="B22" s="1010"/>
      <c r="C22" s="999"/>
      <c r="D22" s="999"/>
      <c r="E22" s="999"/>
      <c r="F22" s="999"/>
      <c r="G22" s="999"/>
      <c r="H22" s="999"/>
      <c r="I22" s="999"/>
      <c r="R22" s="1"/>
    </row>
    <row r="23" spans="2:23" s="579" customFormat="1" ht="15" customHeight="1">
      <c r="B23" s="1009"/>
      <c r="C23" s="1003" t="s">
        <v>1527</v>
      </c>
      <c r="D23" s="1004"/>
      <c r="E23" s="1004"/>
      <c r="K23" s="956"/>
    </row>
    <row r="24" spans="2:23" s="579" customFormat="1" ht="13">
      <c r="B24" s="1009"/>
      <c r="C24" s="1000" t="s">
        <v>1524</v>
      </c>
      <c r="K24" s="956"/>
    </row>
    <row r="25" spans="2:23" s="579" customFormat="1" ht="15" customHeight="1">
      <c r="B25" s="1009"/>
      <c r="C25" s="1688"/>
      <c r="D25" s="1005" t="s">
        <v>66</v>
      </c>
      <c r="E25" s="1675"/>
      <c r="K25" s="2037" t="s">
        <v>1306</v>
      </c>
      <c r="L25" s="1711" t="str">
        <f t="shared" ref="L25" si="11">IF(ISNONTEXT(E25)=TRUE,"","X")</f>
        <v/>
      </c>
      <c r="M25" s="1348"/>
      <c r="N25" s="1712" t="str">
        <f>IF(AND(E25&lt;&gt;"",$C25&lt;&gt;""),"",IF(AND(ISBLANK(E25),LEFT($C25,5)="&lt;TNSP"),"",IF(AND(ISBLANK(E25),ISBLANK($C25)),"","X")))</f>
        <v/>
      </c>
    </row>
    <row r="26" spans="2:23" s="579" customFormat="1" ht="15" customHeight="1">
      <c r="B26" s="1009"/>
      <c r="C26" s="1689"/>
      <c r="D26" s="1006" t="s">
        <v>66</v>
      </c>
      <c r="E26" s="1676"/>
      <c r="K26" s="2038"/>
      <c r="L26" s="1327" t="str">
        <f t="shared" ref="L26:L27" si="12">IF(ISNONTEXT(E26)=TRUE,"","X")</f>
        <v/>
      </c>
      <c r="M26" s="1185"/>
      <c r="N26" s="1322" t="str">
        <f>IF(AND(E26&lt;&gt;"",$C26&lt;&gt;""),"",IF(AND(ISBLANK(E26),LEFT($C26,5)="&lt;TNSP"),"",IF(AND(ISBLANK(E26),ISBLANK($C26)),"","X")))</f>
        <v/>
      </c>
    </row>
    <row r="27" spans="2:23" s="579" customFormat="1" ht="15" customHeight="1">
      <c r="B27" s="1909" t="s">
        <v>1334</v>
      </c>
      <c r="C27" s="1690"/>
      <c r="D27" s="1007" t="s">
        <v>66</v>
      </c>
      <c r="E27" s="1677"/>
      <c r="K27" s="2039"/>
      <c r="L27" s="1329" t="str">
        <f t="shared" si="12"/>
        <v/>
      </c>
      <c r="M27" s="1332"/>
      <c r="N27" s="1324" t="str">
        <f>IF(AND(E27&lt;&gt;"",$C27&lt;&gt;""),"",IF(AND(ISBLANK(E27),LEFT($C27,5)="&lt;TNSP"),"",IF(AND(ISBLANK(E27),ISBLANK($C27)),"","X")))</f>
        <v/>
      </c>
    </row>
    <row r="28" spans="2:23" s="579" customFormat="1" ht="15" customHeight="1">
      <c r="B28" s="1009"/>
      <c r="C28" s="999" t="s">
        <v>1150</v>
      </c>
      <c r="D28" s="985" t="s">
        <v>66</v>
      </c>
      <c r="E28" s="1681">
        <f>SUM(E25:E27)</f>
        <v>0</v>
      </c>
      <c r="F28" s="895"/>
      <c r="G28" s="895"/>
      <c r="H28" s="895"/>
      <c r="I28" s="895"/>
      <c r="J28" s="895"/>
    </row>
    <row r="29" spans="2:23" s="579" customFormat="1" ht="15" customHeight="1">
      <c r="B29" s="1009"/>
      <c r="C29" s="999"/>
      <c r="D29" s="985"/>
      <c r="E29" s="985"/>
      <c r="F29" s="985"/>
      <c r="G29" s="895"/>
      <c r="H29" s="895"/>
      <c r="I29" s="895"/>
      <c r="J29" s="895"/>
    </row>
    <row r="30" spans="2:23" s="579" customFormat="1" ht="15" customHeight="1">
      <c r="C30" s="1427" t="s">
        <v>1579</v>
      </c>
      <c r="D30" s="1427"/>
      <c r="E30" s="1427"/>
      <c r="F30" s="1427"/>
      <c r="G30" s="1427"/>
      <c r="H30" s="1427"/>
      <c r="I30" s="895"/>
      <c r="J30" s="895"/>
    </row>
    <row r="31" spans="2:23" s="579" customFormat="1" ht="15" customHeight="1">
      <c r="C31" s="1551" t="s">
        <v>1581</v>
      </c>
      <c r="D31" s="1552"/>
      <c r="E31" s="1552"/>
      <c r="F31" s="1552"/>
      <c r="G31" s="1552"/>
      <c r="H31" s="1552"/>
      <c r="I31" s="895"/>
      <c r="J31" s="895"/>
      <c r="K31" s="956"/>
    </row>
    <row r="32" spans="2:23" ht="18" customHeight="1">
      <c r="C32" s="1547" t="s">
        <v>1286</v>
      </c>
      <c r="D32" s="1583"/>
      <c r="E32" s="1582"/>
      <c r="F32" s="1582"/>
      <c r="G32" s="1582"/>
      <c r="H32" s="1584"/>
      <c r="I32" s="895"/>
      <c r="J32" s="1047"/>
      <c r="K32" s="578"/>
    </row>
    <row r="33" spans="1:20" ht="15" customHeight="1">
      <c r="B33" s="1009"/>
      <c r="C33" s="1009"/>
      <c r="D33" s="1009"/>
      <c r="E33" s="1009"/>
      <c r="F33" s="895"/>
      <c r="G33" s="895"/>
      <c r="H33" s="895"/>
      <c r="I33" s="895"/>
      <c r="J33" s="895"/>
      <c r="K33" s="578"/>
    </row>
    <row r="34" spans="1:20" s="579" customFormat="1" ht="41.25" customHeight="1">
      <c r="A34" s="1"/>
      <c r="B34" s="1009"/>
      <c r="C34" s="1009"/>
      <c r="D34" s="889" t="s">
        <v>1118</v>
      </c>
      <c r="E34" s="1765" t="s">
        <v>1145</v>
      </c>
      <c r="F34" s="1766" t="s">
        <v>1184</v>
      </c>
      <c r="G34" s="1766" t="s">
        <v>1181</v>
      </c>
      <c r="H34" s="1767" t="s">
        <v>1182</v>
      </c>
      <c r="I34" s="895"/>
      <c r="J34" s="895"/>
    </row>
    <row r="35" spans="1:20" s="579" customFormat="1" ht="15" customHeight="1">
      <c r="A35" s="1"/>
      <c r="B35" s="1009"/>
      <c r="C35" s="1003" t="s">
        <v>1179</v>
      </c>
      <c r="D35" s="1002"/>
      <c r="E35" s="1002"/>
      <c r="F35" s="1002"/>
      <c r="G35" s="1002"/>
      <c r="H35" s="1002"/>
      <c r="K35" s="1394" t="s">
        <v>1302</v>
      </c>
      <c r="L35" s="1449" t="s">
        <v>1293</v>
      </c>
      <c r="M35" s="1454" t="s">
        <v>1295</v>
      </c>
      <c r="N35" s="1451" t="s">
        <v>1523</v>
      </c>
      <c r="O35" s="1449" t="s">
        <v>1293</v>
      </c>
      <c r="P35" s="1454" t="s">
        <v>1295</v>
      </c>
      <c r="Q35" s="1451" t="s">
        <v>1523</v>
      </c>
      <c r="R35" s="1449" t="s">
        <v>1293</v>
      </c>
      <c r="S35" s="1454" t="s">
        <v>1295</v>
      </c>
      <c r="T35" s="1451" t="s">
        <v>1523</v>
      </c>
    </row>
    <row r="36" spans="1:20" s="579" customFormat="1" ht="15" customHeight="1">
      <c r="A36" s="990"/>
      <c r="B36" s="1009"/>
      <c r="C36" s="1000" t="s">
        <v>1528</v>
      </c>
      <c r="D36" s="912"/>
      <c r="E36" s="912"/>
      <c r="F36" s="912"/>
      <c r="G36" s="912"/>
      <c r="H36" s="912"/>
      <c r="K36" s="1205" t="s">
        <v>1298</v>
      </c>
      <c r="L36" s="2040" t="s">
        <v>1311</v>
      </c>
      <c r="M36" s="2041"/>
      <c r="N36" s="2042"/>
      <c r="O36" s="2043" t="s">
        <v>1525</v>
      </c>
      <c r="P36" s="2044"/>
      <c r="Q36" s="2045"/>
      <c r="R36" s="2043" t="s">
        <v>1520</v>
      </c>
      <c r="S36" s="2044"/>
      <c r="T36" s="2045"/>
    </row>
    <row r="37" spans="1:20" s="579" customFormat="1" ht="15" customHeight="1">
      <c r="A37" s="990"/>
      <c r="B37" s="1009"/>
      <c r="C37" s="1685" t="str">
        <f t="shared" ref="C37:C44" si="13">IF(C13="","",C13)</f>
        <v/>
      </c>
      <c r="D37" s="1005" t="s">
        <v>66</v>
      </c>
      <c r="E37" s="1672"/>
      <c r="F37" s="1672"/>
      <c r="G37" s="1678">
        <f t="shared" ref="G37:G44" si="14">E37-F37</f>
        <v>0</v>
      </c>
      <c r="H37" s="1675"/>
      <c r="K37" s="1395"/>
      <c r="L37" s="1711" t="str">
        <f t="shared" ref="L37:L44" si="15">IF(ISNONTEXT(E37)=TRUE,"","X")</f>
        <v/>
      </c>
      <c r="M37" s="1345" t="str">
        <f>IF(E37&lt;&gt;""=TRUE,"","X")</f>
        <v>X</v>
      </c>
      <c r="N37" s="1796"/>
      <c r="O37" s="1711" t="str">
        <f t="shared" ref="O37:O44" si="16">IF(ISNONTEXT(F37)=TRUE,"","X")</f>
        <v/>
      </c>
      <c r="P37" s="1345" t="str">
        <f>IF(F37&lt;&gt;""=TRUE,"","X")</f>
        <v>X</v>
      </c>
      <c r="Q37" s="1796"/>
      <c r="R37" s="1711" t="str">
        <f t="shared" ref="R37:R44" si="17">IF(ISNONTEXT(H37)=TRUE,"","X")</f>
        <v/>
      </c>
      <c r="S37" s="1345" t="str">
        <f>IF(H37&lt;&gt;""=TRUE,"","X")</f>
        <v>X</v>
      </c>
      <c r="T37" s="1796"/>
    </row>
    <row r="38" spans="1:20" s="579" customFormat="1" ht="15" customHeight="1">
      <c r="A38" s="990"/>
      <c r="B38" s="1009"/>
      <c r="C38" s="1686" t="str">
        <f t="shared" si="13"/>
        <v/>
      </c>
      <c r="D38" s="1006" t="s">
        <v>66</v>
      </c>
      <c r="E38" s="1673"/>
      <c r="F38" s="1673"/>
      <c r="G38" s="1679">
        <f t="shared" si="14"/>
        <v>0</v>
      </c>
      <c r="H38" s="1676"/>
      <c r="K38" s="1396"/>
      <c r="L38" s="1327" t="str">
        <f t="shared" si="15"/>
        <v/>
      </c>
      <c r="M38" s="1185"/>
      <c r="N38" s="1322" t="str">
        <f>IF(AND(E38&lt;&gt;"",$C14&lt;&gt;""),"",IF(AND(ISBLANK(E38),LEFT($C14,5)="&lt;TNSP"),"",IF(AND(ISBLANK(E38),ISBLANK($C14)),"","X")))</f>
        <v/>
      </c>
      <c r="O38" s="1327" t="str">
        <f t="shared" si="16"/>
        <v/>
      </c>
      <c r="P38" s="1185"/>
      <c r="Q38" s="1322" t="str">
        <f>IF(AND(F38&lt;&gt;"",$C14&lt;&gt;""),"",IF(AND(ISBLANK(F38),LEFT($C14,5)="&lt;TNSP"),"",IF(AND(ISBLANK(F38),ISBLANK($C14)),"","X")))</f>
        <v/>
      </c>
      <c r="R38" s="1327" t="str">
        <f t="shared" si="17"/>
        <v/>
      </c>
      <c r="S38" s="1185"/>
      <c r="T38" s="1322" t="str">
        <f>IF(AND(H38&lt;&gt;"",$C14&lt;&gt;""),"",IF(AND(ISBLANK(H38),LEFT($C14,5)="&lt;TNSP"),"",IF(AND(ISBLANK(H38),ISBLANK($C14)),"","X")))</f>
        <v/>
      </c>
    </row>
    <row r="39" spans="1:20" s="579" customFormat="1" ht="15" customHeight="1">
      <c r="A39" s="990"/>
      <c r="B39" s="1009"/>
      <c r="C39" s="1686" t="str">
        <f t="shared" si="13"/>
        <v/>
      </c>
      <c r="D39" s="1006" t="s">
        <v>66</v>
      </c>
      <c r="E39" s="1673"/>
      <c r="F39" s="1673"/>
      <c r="G39" s="1679">
        <f t="shared" si="14"/>
        <v>0</v>
      </c>
      <c r="H39" s="1676"/>
      <c r="K39" s="1396"/>
      <c r="L39" s="1327" t="str">
        <f t="shared" si="15"/>
        <v/>
      </c>
      <c r="M39" s="1185"/>
      <c r="N39" s="1322" t="str">
        <f t="shared" ref="N39:N44" si="18">IF(AND(E39&lt;&gt;"",$C15&lt;&gt;""),"",IF(AND(ISBLANK(E39),LEFT($C15,5)="&lt;TNSP"),"",IF(AND(ISBLANK(E39),ISBLANK($C15)),"","X")))</f>
        <v/>
      </c>
      <c r="O39" s="1327" t="str">
        <f t="shared" si="16"/>
        <v/>
      </c>
      <c r="P39" s="1185"/>
      <c r="Q39" s="1322" t="str">
        <f t="shared" ref="Q39:Q44" si="19">IF(AND(F39&lt;&gt;"",$C15&lt;&gt;""),"",IF(AND(ISBLANK(F39),LEFT($C15,5)="&lt;TNSP"),"",IF(AND(ISBLANK(F39),ISBLANK($C15)),"","X")))</f>
        <v/>
      </c>
      <c r="R39" s="1327" t="str">
        <f t="shared" si="17"/>
        <v/>
      </c>
      <c r="S39" s="1185"/>
      <c r="T39" s="1322" t="str">
        <f t="shared" ref="T39:T44" si="20">IF(AND(H39&lt;&gt;"",$C15&lt;&gt;""),"",IF(AND(ISBLANK(H39),LEFT($C15,5)="&lt;TNSP"),"",IF(AND(ISBLANK(H39),ISBLANK($C15)),"","X")))</f>
        <v/>
      </c>
    </row>
    <row r="40" spans="1:20" s="579" customFormat="1" ht="15" customHeight="1">
      <c r="B40" s="1009"/>
      <c r="C40" s="1686" t="str">
        <f t="shared" si="13"/>
        <v/>
      </c>
      <c r="D40" s="1006" t="s">
        <v>66</v>
      </c>
      <c r="E40" s="1673"/>
      <c r="F40" s="1673"/>
      <c r="G40" s="1679">
        <f t="shared" si="14"/>
        <v>0</v>
      </c>
      <c r="H40" s="1676"/>
      <c r="K40" s="1396"/>
      <c r="L40" s="1327" t="str">
        <f t="shared" si="15"/>
        <v/>
      </c>
      <c r="M40" s="1185"/>
      <c r="N40" s="1322" t="str">
        <f t="shared" si="18"/>
        <v/>
      </c>
      <c r="O40" s="1327" t="str">
        <f t="shared" si="16"/>
        <v/>
      </c>
      <c r="P40" s="1185"/>
      <c r="Q40" s="1322" t="str">
        <f t="shared" si="19"/>
        <v/>
      </c>
      <c r="R40" s="1327" t="str">
        <f t="shared" si="17"/>
        <v/>
      </c>
      <c r="S40" s="1185"/>
      <c r="T40" s="1322" t="str">
        <f t="shared" si="20"/>
        <v/>
      </c>
    </row>
    <row r="41" spans="1:20" s="579" customFormat="1" ht="15" customHeight="1">
      <c r="B41" s="1009"/>
      <c r="C41" s="1686" t="str">
        <f t="shared" si="13"/>
        <v/>
      </c>
      <c r="D41" s="1006" t="s">
        <v>66</v>
      </c>
      <c r="E41" s="1673"/>
      <c r="F41" s="1673"/>
      <c r="G41" s="1679">
        <f t="shared" si="14"/>
        <v>0</v>
      </c>
      <c r="H41" s="1676"/>
      <c r="K41" s="1396"/>
      <c r="L41" s="1327" t="str">
        <f t="shared" si="15"/>
        <v/>
      </c>
      <c r="M41" s="1185"/>
      <c r="N41" s="1322" t="str">
        <f t="shared" si="18"/>
        <v/>
      </c>
      <c r="O41" s="1327" t="str">
        <f t="shared" si="16"/>
        <v/>
      </c>
      <c r="P41" s="1185"/>
      <c r="Q41" s="1322" t="str">
        <f t="shared" si="19"/>
        <v/>
      </c>
      <c r="R41" s="1327" t="str">
        <f t="shared" si="17"/>
        <v/>
      </c>
      <c r="S41" s="1185"/>
      <c r="T41" s="1322" t="str">
        <f t="shared" si="20"/>
        <v/>
      </c>
    </row>
    <row r="42" spans="1:20" s="579" customFormat="1" ht="15" customHeight="1">
      <c r="B42" s="1009"/>
      <c r="C42" s="1686" t="str">
        <f t="shared" si="13"/>
        <v/>
      </c>
      <c r="D42" s="1006" t="s">
        <v>66</v>
      </c>
      <c r="E42" s="1673"/>
      <c r="F42" s="1673"/>
      <c r="G42" s="1679">
        <f t="shared" si="14"/>
        <v>0</v>
      </c>
      <c r="H42" s="1676"/>
      <c r="K42" s="1396"/>
      <c r="L42" s="1327" t="str">
        <f t="shared" si="15"/>
        <v/>
      </c>
      <c r="M42" s="1185"/>
      <c r="N42" s="1322" t="str">
        <f t="shared" si="18"/>
        <v/>
      </c>
      <c r="O42" s="1327" t="str">
        <f t="shared" si="16"/>
        <v/>
      </c>
      <c r="P42" s="1185"/>
      <c r="Q42" s="1322" t="str">
        <f t="shared" si="19"/>
        <v/>
      </c>
      <c r="R42" s="1327" t="str">
        <f t="shared" si="17"/>
        <v/>
      </c>
      <c r="S42" s="1185"/>
      <c r="T42" s="1322" t="str">
        <f t="shared" si="20"/>
        <v/>
      </c>
    </row>
    <row r="43" spans="1:20" s="579" customFormat="1" ht="15" customHeight="1">
      <c r="A43" s="1225"/>
      <c r="B43" s="1009"/>
      <c r="C43" s="1686" t="str">
        <f t="shared" si="13"/>
        <v/>
      </c>
      <c r="D43" s="1006" t="s">
        <v>66</v>
      </c>
      <c r="E43" s="1673"/>
      <c r="F43" s="1673"/>
      <c r="G43" s="1679">
        <f t="shared" si="14"/>
        <v>0</v>
      </c>
      <c r="H43" s="1676"/>
      <c r="K43" s="1456"/>
      <c r="L43" s="1327" t="str">
        <f t="shared" si="15"/>
        <v/>
      </c>
      <c r="M43" s="1185"/>
      <c r="N43" s="1322" t="str">
        <f t="shared" si="18"/>
        <v/>
      </c>
      <c r="O43" s="1327" t="str">
        <f t="shared" si="16"/>
        <v/>
      </c>
      <c r="P43" s="1185"/>
      <c r="Q43" s="1322" t="str">
        <f t="shared" si="19"/>
        <v/>
      </c>
      <c r="R43" s="1327" t="str">
        <f t="shared" si="17"/>
        <v/>
      </c>
      <c r="S43" s="1185"/>
      <c r="T43" s="1322" t="str">
        <f t="shared" si="20"/>
        <v/>
      </c>
    </row>
    <row r="44" spans="1:20" s="579" customFormat="1" ht="15" customHeight="1">
      <c r="B44" s="1909" t="s">
        <v>1334</v>
      </c>
      <c r="C44" s="1687" t="str">
        <f t="shared" si="13"/>
        <v/>
      </c>
      <c r="D44" s="1007" t="s">
        <v>66</v>
      </c>
      <c r="E44" s="1674"/>
      <c r="F44" s="1674"/>
      <c r="G44" s="1680">
        <f t="shared" si="14"/>
        <v>0</v>
      </c>
      <c r="H44" s="1677"/>
      <c r="K44" s="1457"/>
      <c r="L44" s="1329" t="str">
        <f t="shared" si="15"/>
        <v/>
      </c>
      <c r="M44" s="1332"/>
      <c r="N44" s="1324" t="str">
        <f t="shared" si="18"/>
        <v/>
      </c>
      <c r="O44" s="1329" t="str">
        <f t="shared" si="16"/>
        <v/>
      </c>
      <c r="P44" s="1332"/>
      <c r="Q44" s="1324" t="str">
        <f t="shared" si="19"/>
        <v/>
      </c>
      <c r="R44" s="1329" t="str">
        <f t="shared" si="17"/>
        <v/>
      </c>
      <c r="S44" s="1332"/>
      <c r="T44" s="1324" t="str">
        <f t="shared" si="20"/>
        <v/>
      </c>
    </row>
    <row r="45" spans="1:20" s="579" customFormat="1" ht="15" customHeight="1">
      <c r="B45" s="1009"/>
      <c r="C45" s="1001" t="s">
        <v>1521</v>
      </c>
      <c r="D45" s="985" t="s">
        <v>66</v>
      </c>
      <c r="E45" s="1681">
        <f>SUM(E37:E44)</f>
        <v>0</v>
      </c>
      <c r="F45" s="1681">
        <f t="shared" ref="F45:G45" si="21">SUM(F37:F44)</f>
        <v>0</v>
      </c>
      <c r="G45" s="1681">
        <f t="shared" si="21"/>
        <v>0</v>
      </c>
      <c r="H45" s="1681">
        <f>SUM(H37:H44)</f>
        <v>0</v>
      </c>
    </row>
    <row r="46" spans="1:20" s="579" customFormat="1" ht="15" customHeight="1">
      <c r="B46" s="1009"/>
      <c r="D46" s="985"/>
      <c r="K46" s="956"/>
    </row>
    <row r="47" spans="1:20" s="579" customFormat="1" ht="15" customHeight="1">
      <c r="B47" s="1009"/>
      <c r="C47" s="1003" t="s">
        <v>1526</v>
      </c>
      <c r="D47" s="1004"/>
      <c r="E47" s="1004"/>
      <c r="K47" s="956"/>
    </row>
    <row r="48" spans="1:20" s="579" customFormat="1" ht="13">
      <c r="B48" s="1009"/>
      <c r="C48" s="1000" t="s">
        <v>1524</v>
      </c>
      <c r="K48" s="956"/>
    </row>
    <row r="49" spans="2:14" s="579" customFormat="1" ht="15" customHeight="1">
      <c r="B49" s="1009"/>
      <c r="C49" s="1682"/>
      <c r="D49" s="1005" t="s">
        <v>66</v>
      </c>
      <c r="E49" s="1675"/>
      <c r="K49" s="2037" t="s">
        <v>1306</v>
      </c>
      <c r="L49" s="1344" t="str">
        <f t="shared" ref="L49" si="22">IF(ISNONTEXT(E49)=TRUE,"","X")</f>
        <v/>
      </c>
      <c r="M49" s="1348"/>
      <c r="N49" s="1712" t="str">
        <f>IF(AND(E49&lt;&gt;"",$C49&lt;&gt;""),"",IF(AND(ISBLANK(E49),LEFT($C49,5)="&lt;TNSP"),"",IF(AND(ISBLANK(E49),ISBLANK($C49)),"","X")))</f>
        <v/>
      </c>
    </row>
    <row r="50" spans="2:14" s="579" customFormat="1" ht="15" customHeight="1">
      <c r="B50" s="1009"/>
      <c r="C50" s="1683"/>
      <c r="D50" s="1006" t="s">
        <v>66</v>
      </c>
      <c r="E50" s="1676"/>
      <c r="K50" s="2038"/>
      <c r="L50" s="1327" t="str">
        <f t="shared" ref="L50:L51" si="23">IF(ISNONTEXT(E50)=TRUE,"","X")</f>
        <v/>
      </c>
      <c r="M50" s="1185"/>
      <c r="N50" s="1322" t="str">
        <f>IF(AND(E50&lt;&gt;"",$C50&lt;&gt;""),"",IF(AND(ISBLANK(E50),LEFT($C50,5)="&lt;TNSP"),"",IF(AND(ISBLANK(E50),ISBLANK($C50)),"","X")))</f>
        <v/>
      </c>
    </row>
    <row r="51" spans="2:14" s="579" customFormat="1" ht="15" customHeight="1">
      <c r="B51" s="1909" t="s">
        <v>1334</v>
      </c>
      <c r="C51" s="1684"/>
      <c r="D51" s="1007" t="s">
        <v>66</v>
      </c>
      <c r="E51" s="1677"/>
      <c r="K51" s="2039"/>
      <c r="L51" s="1329" t="str">
        <f t="shared" si="23"/>
        <v/>
      </c>
      <c r="M51" s="1332"/>
      <c r="N51" s="1324" t="str">
        <f>IF(AND(E51&lt;&gt;"",$C51&lt;&gt;""),"",IF(AND(ISBLANK(E51),LEFT($C51,5)="&lt;TNSP"),"",IF(AND(ISBLANK(E51),ISBLANK($C51)),"","X")))</f>
        <v/>
      </c>
    </row>
    <row r="52" spans="2:14" s="579" customFormat="1" ht="15" customHeight="1">
      <c r="C52" s="999" t="s">
        <v>1150</v>
      </c>
      <c r="D52" s="985" t="s">
        <v>66</v>
      </c>
      <c r="E52" s="1008">
        <f>SUM(E49:E51)</f>
        <v>0</v>
      </c>
    </row>
    <row r="53" spans="2:14" s="579" customFormat="1" ht="15" customHeight="1"/>
    <row r="54" spans="2:14" s="579" customFormat="1" ht="15" customHeight="1"/>
    <row r="55" spans="2:14" ht="15" customHeight="1">
      <c r="C55" s="1354" t="s">
        <v>1471</v>
      </c>
      <c r="D55" s="1852"/>
    </row>
    <row r="56" spans="2:14" ht="15" customHeight="1">
      <c r="C56" s="1847" t="s">
        <v>1495</v>
      </c>
      <c r="D56" s="579"/>
    </row>
    <row r="57" spans="2:14" ht="15" customHeight="1"/>
    <row r="58" spans="2:14" ht="15" customHeight="1"/>
    <row r="59" spans="2:14" ht="15" customHeight="1"/>
    <row r="60" spans="2:14" ht="15" customHeight="1"/>
    <row r="61" spans="2:14" ht="15" customHeight="1"/>
    <row r="62" spans="2:14" ht="15" customHeight="1"/>
    <row r="63" spans="2:14" ht="15" customHeight="1"/>
    <row r="64" spans="2:14" ht="15" customHeight="1"/>
    <row r="65" ht="15" customHeight="1"/>
    <row r="66" ht="15" customHeight="1"/>
    <row r="67" ht="15" customHeight="1"/>
    <row r="68" ht="15" customHeight="1"/>
    <row r="69" ht="15" customHeight="1"/>
    <row r="70" ht="15" customHeight="1"/>
    <row r="71" ht="15" customHeight="1"/>
  </sheetData>
  <mergeCells count="10">
    <mergeCell ref="U12:W12"/>
    <mergeCell ref="K49:K51"/>
    <mergeCell ref="K25:K27"/>
    <mergeCell ref="L36:N36"/>
    <mergeCell ref="K13:K20"/>
    <mergeCell ref="O36:Q36"/>
    <mergeCell ref="R36:T36"/>
    <mergeCell ref="L12:N12"/>
    <mergeCell ref="O12:Q12"/>
    <mergeCell ref="R12:T12"/>
  </mergeCells>
  <conditionalFormatting sqref="C55">
    <cfRule type="cellIs" dxfId="54" priority="1" operator="equal">
      <formula>FALSE</formula>
    </cfRule>
  </conditionalFormatting>
  <pageMargins left="0.25" right="0.25" top="0.75" bottom="0.75" header="0.3" footer="0.3"/>
  <pageSetup paperSize="9" scale="67" fitToHeight="0" orientation="portrait" r:id="rId1"/>
  <rowBreaks count="1" manualBreakCount="1">
    <brk id="34"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rgb="FF074650"/>
    <pageSetUpPr fitToPage="1"/>
  </sheetPr>
  <dimension ref="A1:V28"/>
  <sheetViews>
    <sheetView workbookViewId="0"/>
  </sheetViews>
  <sheetFormatPr defaultColWidth="9.1796875" defaultRowHeight="14.5"/>
  <cols>
    <col min="1" max="1" width="5.6328125" style="1" customWidth="1"/>
    <col min="2" max="2" width="25.6328125" style="1" customWidth="1"/>
    <col min="3" max="3" width="31" style="1" customWidth="1"/>
    <col min="4" max="4" width="6.81640625" style="1" bestFit="1" customWidth="1"/>
    <col min="5" max="7" width="18.7265625" style="1" customWidth="1"/>
    <col min="8" max="8" width="19.7265625" style="1" customWidth="1"/>
    <col min="9" max="9" width="11.453125" style="1" customWidth="1"/>
    <col min="10" max="12" width="3.54296875" style="1" customWidth="1"/>
    <col min="13" max="14" width="4.6328125" style="1" customWidth="1"/>
    <col min="15" max="15" width="5.08984375" style="1" customWidth="1"/>
    <col min="16" max="17" width="4.6328125" style="1" customWidth="1"/>
    <col min="18" max="18" width="5.1796875" style="1" customWidth="1"/>
    <col min="19" max="19" width="4.6328125" style="1" customWidth="1"/>
    <col min="20" max="20" width="5.36328125" style="1" customWidth="1"/>
    <col min="21" max="21" width="4.6328125" style="1" customWidth="1"/>
    <col min="22" max="22" width="5.1796875" style="1" customWidth="1"/>
    <col min="23" max="23" width="5.6328125" style="1" customWidth="1"/>
    <col min="24" max="26" width="11.54296875" style="1" customWidth="1"/>
    <col min="27" max="27" width="9.1796875" style="1"/>
    <col min="28" max="38" width="12.453125" style="1" customWidth="1"/>
    <col min="39" max="39" width="9.1796875" style="1"/>
    <col min="40" max="50" width="7.54296875" style="1" customWidth="1"/>
    <col min="51" max="51" width="9.1796875" style="1"/>
    <col min="52" max="62" width="7.54296875" style="1" customWidth="1"/>
    <col min="63" max="63" width="9.1796875" style="1"/>
    <col min="64" max="74" width="8.453125" style="1" customWidth="1"/>
    <col min="75" max="75" width="9.1796875" style="1"/>
    <col min="76" max="86" width="7.54296875" style="1" customWidth="1"/>
    <col min="87" max="87" width="9.1796875" style="1"/>
    <col min="88" max="98" width="7.54296875" style="1" customWidth="1"/>
    <col min="99" max="99" width="9.1796875" style="1"/>
    <col min="100" max="110" width="7.453125" style="1" customWidth="1"/>
    <col min="111" max="16384" width="9.1796875" style="1"/>
  </cols>
  <sheetData>
    <row r="1" spans="1:22" s="8" customFormat="1" ht="20" customHeight="1">
      <c r="B1" s="581"/>
      <c r="C1" s="914" t="str">
        <f>dms_SheetHeading1</f>
        <v>ANNUAL INFORMATION ORDER</v>
      </c>
      <c r="D1" s="7"/>
      <c r="E1" s="7"/>
      <c r="F1" s="7"/>
      <c r="G1" s="7"/>
      <c r="H1" s="7"/>
      <c r="J1" s="1556" t="s">
        <v>1003</v>
      </c>
      <c r="K1" s="1556"/>
      <c r="L1" s="1556"/>
      <c r="M1" s="1556"/>
      <c r="N1" s="1556"/>
      <c r="O1" s="1556"/>
      <c r="P1" s="1557" t="s">
        <v>1002</v>
      </c>
      <c r="Q1" s="1556"/>
      <c r="R1" s="1556"/>
      <c r="S1" s="1556"/>
      <c r="T1" s="1556"/>
      <c r="U1" s="1556"/>
      <c r="V1" s="1556"/>
    </row>
    <row r="2" spans="1:22" s="8" customFormat="1" ht="20" customHeight="1">
      <c r="B2" s="581"/>
      <c r="C2" s="915" t="str">
        <f>dms_SheetHeading2</f>
        <v>Australian Transmission Co.</v>
      </c>
      <c r="D2" s="898"/>
      <c r="E2" s="7"/>
      <c r="F2" s="7"/>
      <c r="G2" s="7"/>
      <c r="H2" s="7"/>
      <c r="J2" s="1558" t="s">
        <v>1004</v>
      </c>
      <c r="K2" s="1558"/>
      <c r="L2" s="1558"/>
      <c r="M2" s="1558"/>
      <c r="N2" s="1558"/>
      <c r="O2" s="1558"/>
      <c r="P2" s="1559" t="s">
        <v>179</v>
      </c>
      <c r="Q2" s="1558"/>
      <c r="R2" s="1558"/>
      <c r="S2" s="1558"/>
      <c r="T2" s="1558"/>
      <c r="U2" s="1558"/>
      <c r="V2" s="1558"/>
    </row>
    <row r="3" spans="1:22" s="8" customFormat="1" ht="20" customHeight="1">
      <c r="B3" s="581"/>
      <c r="C3" s="916" t="str">
        <f>dms_SheetHeading3</f>
        <v>REPORTING STATEMENT: 2025-26</v>
      </c>
      <c r="D3" s="7"/>
      <c r="E3" s="9"/>
      <c r="F3" s="9"/>
      <c r="G3" s="9"/>
      <c r="H3" s="9"/>
      <c r="J3" s="1560" t="s">
        <v>1005</v>
      </c>
      <c r="K3" s="1560"/>
      <c r="L3" s="1560"/>
      <c r="M3" s="1560"/>
      <c r="N3" s="1560"/>
      <c r="O3" s="1560"/>
      <c r="P3" s="1561" t="s">
        <v>180</v>
      </c>
      <c r="Q3" s="1560"/>
      <c r="R3" s="1560"/>
      <c r="S3" s="1560"/>
      <c r="T3" s="1560"/>
      <c r="U3" s="1560"/>
      <c r="V3" s="1560"/>
    </row>
    <row r="4" spans="1:22" s="8" customFormat="1" ht="20" customHeight="1">
      <c r="B4" s="581"/>
      <c r="C4" s="966" t="s">
        <v>1157</v>
      </c>
      <c r="D4" s="939"/>
      <c r="E4" s="939"/>
      <c r="F4" s="939"/>
      <c r="G4" s="939"/>
      <c r="H4" s="939"/>
      <c r="J4" s="1562" t="s">
        <v>1007</v>
      </c>
      <c r="K4" s="1563"/>
      <c r="L4" s="1564"/>
      <c r="M4" s="1565"/>
      <c r="N4" s="1565"/>
      <c r="O4" s="1565"/>
      <c r="P4" s="1566" t="s">
        <v>1006</v>
      </c>
      <c r="Q4" s="1565"/>
      <c r="R4" s="1565"/>
      <c r="S4" s="1565"/>
      <c r="T4" s="1565"/>
      <c r="U4" s="1565"/>
      <c r="V4" s="1565"/>
    </row>
    <row r="5" spans="1:22" s="581" customFormat="1" ht="18.5">
      <c r="C5" s="970"/>
      <c r="J5" s="13"/>
      <c r="K5" s="13"/>
      <c r="L5" s="13"/>
      <c r="M5" s="13"/>
      <c r="N5" s="13"/>
      <c r="O5" s="13"/>
    </row>
    <row r="6" spans="1:22" s="581" customFormat="1" ht="15" customHeight="1">
      <c r="C6" s="1427" t="s">
        <v>1582</v>
      </c>
      <c r="D6" s="1567"/>
      <c r="E6" s="1567"/>
      <c r="F6" s="1567"/>
      <c r="G6" s="1567"/>
      <c r="H6" s="1567"/>
      <c r="J6" s="13"/>
      <c r="K6" s="13"/>
      <c r="L6" s="13"/>
      <c r="M6" s="13"/>
      <c r="N6" s="13"/>
      <c r="O6" s="13"/>
    </row>
    <row r="7" spans="1:22" s="581" customFormat="1" ht="15" customHeight="1">
      <c r="C7" s="1429" t="s">
        <v>1583</v>
      </c>
      <c r="D7" s="1430"/>
      <c r="E7" s="1430"/>
      <c r="F7" s="1430"/>
      <c r="G7" s="1430"/>
      <c r="H7" s="1430"/>
      <c r="J7" s="13"/>
      <c r="K7" s="13"/>
      <c r="L7" s="13"/>
      <c r="M7" s="13"/>
      <c r="N7" s="13"/>
      <c r="O7" s="13"/>
    </row>
    <row r="8" spans="1:22" s="13" customFormat="1" ht="18" customHeight="1">
      <c r="A8" s="1"/>
      <c r="C8" s="1547" t="s">
        <v>43</v>
      </c>
      <c r="D8" s="891"/>
      <c r="E8" s="892"/>
      <c r="F8" s="892"/>
      <c r="G8" s="892"/>
      <c r="H8" s="10"/>
      <c r="J8" s="589"/>
      <c r="K8" s="589"/>
      <c r="L8" s="589"/>
      <c r="M8" s="589"/>
      <c r="N8" s="589"/>
      <c r="O8" s="589"/>
    </row>
    <row r="9" spans="1:22" s="589" customFormat="1" ht="12.75" customHeight="1">
      <c r="C9" s="955"/>
      <c r="D9" s="955"/>
      <c r="E9" s="581"/>
      <c r="F9" s="955"/>
      <c r="G9" s="955"/>
      <c r="H9" s="955"/>
    </row>
    <row r="10" spans="1:22" s="589" customFormat="1" ht="28" customHeight="1">
      <c r="D10" s="955"/>
      <c r="E10" s="938" t="s">
        <v>1168</v>
      </c>
      <c r="F10" s="938" t="s">
        <v>1169</v>
      </c>
      <c r="G10" s="938" t="s">
        <v>1602</v>
      </c>
      <c r="H10" s="938" t="s">
        <v>1702</v>
      </c>
      <c r="J10" s="2054" t="s">
        <v>1300</v>
      </c>
      <c r="K10" s="2055"/>
      <c r="L10" s="2056"/>
      <c r="M10" s="1611" t="s">
        <v>1293</v>
      </c>
      <c r="N10" s="1612" t="s">
        <v>1294</v>
      </c>
      <c r="O10" s="1614" t="s">
        <v>1603</v>
      </c>
      <c r="P10" s="1611" t="s">
        <v>1293</v>
      </c>
      <c r="Q10" s="1612" t="s">
        <v>1294</v>
      </c>
      <c r="R10" s="1614" t="s">
        <v>1603</v>
      </c>
      <c r="S10" s="1926" t="s">
        <v>1031</v>
      </c>
      <c r="T10" s="1614" t="s">
        <v>1603</v>
      </c>
      <c r="U10" s="1926" t="s">
        <v>1297</v>
      </c>
      <c r="V10" s="1614" t="s">
        <v>1603</v>
      </c>
    </row>
    <row r="11" spans="1:22" s="589" customFormat="1" ht="18.75" customHeight="1">
      <c r="C11" s="1421" t="s">
        <v>1497</v>
      </c>
      <c r="D11" s="889" t="s">
        <v>1118</v>
      </c>
      <c r="E11" s="971" t="s">
        <v>85</v>
      </c>
      <c r="F11" s="971" t="s">
        <v>1021</v>
      </c>
      <c r="G11" s="971" t="s">
        <v>1022</v>
      </c>
      <c r="H11" s="971" t="s">
        <v>1023</v>
      </c>
      <c r="J11" s="2057" t="s">
        <v>1299</v>
      </c>
      <c r="K11" s="2058"/>
      <c r="L11" s="2059"/>
      <c r="M11" s="2052" t="s">
        <v>1168</v>
      </c>
      <c r="N11" s="2052"/>
      <c r="O11" s="2052"/>
      <c r="P11" s="2052" t="s">
        <v>1301</v>
      </c>
      <c r="Q11" s="2052"/>
      <c r="R11" s="2052"/>
      <c r="S11" s="2052" t="s">
        <v>1479</v>
      </c>
      <c r="T11" s="2052"/>
      <c r="U11" s="2053" t="s">
        <v>1023</v>
      </c>
      <c r="V11" s="2053"/>
    </row>
    <row r="12" spans="1:22" ht="15.5">
      <c r="A12" s="589"/>
      <c r="B12" s="589"/>
      <c r="C12" s="1460"/>
      <c r="D12" s="1693"/>
      <c r="E12" s="1697"/>
      <c r="F12" s="1697"/>
      <c r="G12" s="1694"/>
      <c r="H12" s="1698"/>
      <c r="J12" s="2046"/>
      <c r="K12" s="2047"/>
      <c r="L12" s="2048"/>
      <c r="M12" s="1325" t="str">
        <f>IF(ISNONTEXT(E12)=TRUE,"","X")</f>
        <v/>
      </c>
      <c r="N12" s="1320" t="str">
        <f>IF(E12&gt;=0=TRUE,"","X")</f>
        <v/>
      </c>
      <c r="O12" s="1321" t="str">
        <f>IF(AND(E12&lt;&gt;"",C12&lt;&gt;""),"",IF(AND(ISBLANK(E12),LEFT(C12,5)="&lt;TNSP"),"",IF(AND(ISBLANK(E12),ISBLANK(C12)),"","X")))</f>
        <v/>
      </c>
      <c r="P12" s="1325" t="str">
        <f>IF(ISNONTEXT(F12)=TRUE,"","X")</f>
        <v/>
      </c>
      <c r="Q12" s="1320" t="str">
        <f>IF(F12&gt;=0=TRUE,"","X")</f>
        <v/>
      </c>
      <c r="R12" s="1321" t="str">
        <f>IF(AND(F12&lt;&gt;"",C12&lt;&gt;""),"",IF(AND(ISBLANK(F12),LEFT(C12,5)="&lt;TNSP"),"",IF(AND(ISBLANK(F12),ISBLANK(C12)),"","X")))</f>
        <v/>
      </c>
      <c r="S12" s="1325" t="str">
        <f>IF(G12="","",IF(AND(OR(G12="Underground",G12="Overhead")),"","X"))</f>
        <v/>
      </c>
      <c r="T12" s="1321" t="str">
        <f>IF(AND(G12&lt;&gt;"",C12&lt;&gt;""),"",IF(AND(ISBLANK(G12),LEFT(C12,5)="&lt;TNSP"),"",IF(AND(ISBLANK(G12),ISBLANK(C12)),"","X")))</f>
        <v/>
      </c>
      <c r="U12" s="1320" t="str">
        <f>IF(C12="","",IF(LEFT(C12,5)="&lt;TNSP","",IF(AND(LEN(H12)=4,ISNONTEXT(H12)=TRUE),"","X")))</f>
        <v/>
      </c>
      <c r="V12" s="1321" t="str">
        <f>IF(AND(H12&lt;&gt;"",C12&lt;&gt;""),"",IF(AND(ISBLANK(H12),LEFT(C12,5)="&lt;TNSP"),"",IF(AND(ISBLANK(H12),ISBLANK(C12)),"","X")))</f>
        <v/>
      </c>
    </row>
    <row r="13" spans="1:22">
      <c r="C13" s="1461"/>
      <c r="D13" s="1691"/>
      <c r="E13" s="1699"/>
      <c r="F13" s="1699"/>
      <c r="G13" s="1692"/>
      <c r="H13" s="1700"/>
      <c r="J13" s="2049"/>
      <c r="K13" s="2050"/>
      <c r="L13" s="2051"/>
      <c r="M13" s="1327" t="str">
        <f t="shared" ref="M13" si="0">IF(ISNONTEXT(E13)=TRUE,"","X")</f>
        <v/>
      </c>
      <c r="N13" s="1186" t="str">
        <f t="shared" ref="N13" si="1">IF(E13&gt;=0=TRUE,"","X")</f>
        <v/>
      </c>
      <c r="O13" s="1322" t="str">
        <f t="shared" ref="O13" si="2">IF(AND(E13&lt;&gt;"",C13&lt;&gt;""),"",IF(AND(ISBLANK(E13),LEFT(C13,5)="&lt;TNSP"),"",IF(AND(ISBLANK(E13),ISBLANK(C13)),"","X")))</f>
        <v/>
      </c>
      <c r="P13" s="1327" t="str">
        <f t="shared" ref="P13" si="3">IF(ISNONTEXT(F13)=TRUE,"","X")</f>
        <v/>
      </c>
      <c r="Q13" s="1186" t="str">
        <f t="shared" ref="Q13" si="4">IF(F13&gt;=0=TRUE,"","X")</f>
        <v/>
      </c>
      <c r="R13" s="1322" t="str">
        <f>IF(AND(F13&lt;&gt;"",C13&lt;&gt;""),"",IF(AND(ISBLANK(F13),LEFT(C13,5)="&lt;TNSP"),"",IF(AND(ISBLANK(F13),ISBLANK(C13)),"","X")))</f>
        <v/>
      </c>
      <c r="S13" s="1327" t="str">
        <f t="shared" ref="S13" si="5">IF(G13="","",IF(OR(G13="Underground",G13="Overhead"),"","X"))</f>
        <v/>
      </c>
      <c r="T13" s="1322" t="str">
        <f>IF(AND(G13&lt;&gt;"",C13&lt;&gt;""),"",IF(AND(ISBLANK(G13),LEFT(C13,5)="&lt;TNSP"),"",IF(AND(ISBLANK(G13),ISBLANK(C13)),"","X")))</f>
        <v/>
      </c>
      <c r="U13" s="1186" t="str">
        <f t="shared" ref="U13" si="6">IF(H13="","",IF(LEN(H13)=4=TRUE,"","X"))</f>
        <v/>
      </c>
      <c r="V13" s="1322" t="str">
        <f t="shared" ref="V13" si="7">IF(AND(H13&lt;&gt;"",C13&lt;&gt;""),"",IF(AND(ISBLANK(H13),LEFT(C13,5)="&lt;TNSP"),"",IF(AND(ISBLANK(H13),ISBLANK(C13)),"","X")))</f>
        <v/>
      </c>
    </row>
    <row r="14" spans="1:22">
      <c r="C14" s="1461"/>
      <c r="D14" s="1691"/>
      <c r="E14" s="1699"/>
      <c r="F14" s="1699"/>
      <c r="G14" s="1692"/>
      <c r="H14" s="1700"/>
      <c r="J14" s="2049"/>
      <c r="K14" s="2050"/>
      <c r="L14" s="2051"/>
      <c r="M14" s="1327" t="str">
        <f t="shared" ref="M14:M21" si="8">IF(ISNONTEXT(E14)=TRUE,"","X")</f>
        <v/>
      </c>
      <c r="N14" s="1186" t="str">
        <f t="shared" ref="N14:N21" si="9">IF(E14&gt;=0=TRUE,"","X")</f>
        <v/>
      </c>
      <c r="O14" s="1322" t="str">
        <f t="shared" ref="O14:O21" si="10">IF(AND(E14&lt;&gt;"",C14&lt;&gt;""),"",IF(AND(ISBLANK(E14),LEFT(C14,5)="&lt;TNSP"),"",IF(AND(ISBLANK(E14),ISBLANK(C14)),"","X")))</f>
        <v/>
      </c>
      <c r="P14" s="1327" t="str">
        <f t="shared" ref="P14:P21" si="11">IF(ISNONTEXT(F14)=TRUE,"","X")</f>
        <v/>
      </c>
      <c r="Q14" s="1186" t="str">
        <f t="shared" ref="Q14:Q21" si="12">IF(F14&gt;=0=TRUE,"","X")</f>
        <v/>
      </c>
      <c r="R14" s="1322" t="str">
        <f t="shared" ref="R14:R21" si="13">IF(AND(F14&lt;&gt;"",C14&lt;&gt;""),"",IF(AND(ISBLANK(F14),LEFT(C14,5)="&lt;TNSP"),"",IF(AND(ISBLANK(F14),ISBLANK(C14)),"","X")))</f>
        <v/>
      </c>
      <c r="S14" s="1327" t="str">
        <f t="shared" ref="S14:S21" si="14">IF(G14="","",IF(OR(G14="Underground",G14="Overhead"),"","X"))</f>
        <v/>
      </c>
      <c r="T14" s="1322" t="str">
        <f t="shared" ref="T14:T21" si="15">IF(AND(G14&lt;&gt;"",C14&lt;&gt;""),"",IF(AND(ISBLANK(G14),LEFT(C14,5)="&lt;TNSP"),"",IF(AND(ISBLANK(G14),ISBLANK(C14)),"","X")))</f>
        <v/>
      </c>
      <c r="U14" s="1186" t="str">
        <f t="shared" ref="U14:U21" si="16">IF(H14="","",IF(LEN(H14)=4=TRUE,"","X"))</f>
        <v/>
      </c>
      <c r="V14" s="1322" t="str">
        <f t="shared" ref="V14:V21" si="17">IF(AND(H14&lt;&gt;"",C14&lt;&gt;""),"",IF(AND(ISBLANK(H14),LEFT(C14,5)="&lt;TNSP"),"",IF(AND(ISBLANK(H14),ISBLANK(C14)),"","X")))</f>
        <v/>
      </c>
    </row>
    <row r="15" spans="1:22">
      <c r="C15" s="1461"/>
      <c r="D15" s="1691"/>
      <c r="E15" s="1699"/>
      <c r="F15" s="1699"/>
      <c r="G15" s="1692"/>
      <c r="H15" s="1700"/>
      <c r="J15" s="2049"/>
      <c r="K15" s="2050"/>
      <c r="L15" s="2051"/>
      <c r="M15" s="1327" t="str">
        <f t="shared" si="8"/>
        <v/>
      </c>
      <c r="N15" s="1186" t="str">
        <f t="shared" si="9"/>
        <v/>
      </c>
      <c r="O15" s="1322" t="str">
        <f t="shared" si="10"/>
        <v/>
      </c>
      <c r="P15" s="1327" t="str">
        <f t="shared" si="11"/>
        <v/>
      </c>
      <c r="Q15" s="1186" t="str">
        <f t="shared" si="12"/>
        <v/>
      </c>
      <c r="R15" s="1322" t="str">
        <f t="shared" si="13"/>
        <v/>
      </c>
      <c r="S15" s="1327" t="str">
        <f t="shared" si="14"/>
        <v/>
      </c>
      <c r="T15" s="1322" t="str">
        <f t="shared" si="15"/>
        <v/>
      </c>
      <c r="U15" s="1186" t="str">
        <f t="shared" si="16"/>
        <v/>
      </c>
      <c r="V15" s="1322" t="str">
        <f t="shared" si="17"/>
        <v/>
      </c>
    </row>
    <row r="16" spans="1:22">
      <c r="C16" s="1461"/>
      <c r="D16" s="1691"/>
      <c r="E16" s="1699"/>
      <c r="F16" s="1699"/>
      <c r="G16" s="1692"/>
      <c r="H16" s="1700"/>
      <c r="J16" s="2049"/>
      <c r="K16" s="2050"/>
      <c r="L16" s="2051"/>
      <c r="M16" s="1327" t="str">
        <f t="shared" si="8"/>
        <v/>
      </c>
      <c r="N16" s="1186" t="str">
        <f t="shared" si="9"/>
        <v/>
      </c>
      <c r="O16" s="1322" t="str">
        <f t="shared" si="10"/>
        <v/>
      </c>
      <c r="P16" s="1327" t="str">
        <f t="shared" si="11"/>
        <v/>
      </c>
      <c r="Q16" s="1186" t="str">
        <f t="shared" si="12"/>
        <v/>
      </c>
      <c r="R16" s="1322" t="str">
        <f t="shared" si="13"/>
        <v/>
      </c>
      <c r="S16" s="1327" t="str">
        <f t="shared" si="14"/>
        <v/>
      </c>
      <c r="T16" s="1322" t="str">
        <f t="shared" si="15"/>
        <v/>
      </c>
      <c r="U16" s="1186" t="str">
        <f t="shared" si="16"/>
        <v/>
      </c>
      <c r="V16" s="1322" t="str">
        <f t="shared" si="17"/>
        <v/>
      </c>
    </row>
    <row r="17" spans="2:22">
      <c r="C17" s="1461"/>
      <c r="D17" s="1691"/>
      <c r="E17" s="1699"/>
      <c r="F17" s="1699"/>
      <c r="G17" s="1692"/>
      <c r="H17" s="1700"/>
      <c r="J17" s="1367"/>
      <c r="L17" s="1368"/>
      <c r="M17" s="1327" t="str">
        <f t="shared" si="8"/>
        <v/>
      </c>
      <c r="N17" s="1186" t="str">
        <f t="shared" si="9"/>
        <v/>
      </c>
      <c r="O17" s="1322" t="str">
        <f t="shared" si="10"/>
        <v/>
      </c>
      <c r="P17" s="1327" t="str">
        <f t="shared" si="11"/>
        <v/>
      </c>
      <c r="Q17" s="1186" t="str">
        <f t="shared" si="12"/>
        <v/>
      </c>
      <c r="R17" s="1322" t="str">
        <f t="shared" si="13"/>
        <v/>
      </c>
      <c r="S17" s="1327" t="str">
        <f t="shared" si="14"/>
        <v/>
      </c>
      <c r="T17" s="1322" t="str">
        <f t="shared" si="15"/>
        <v/>
      </c>
      <c r="U17" s="1186" t="str">
        <f t="shared" si="16"/>
        <v/>
      </c>
      <c r="V17" s="1322" t="str">
        <f t="shared" si="17"/>
        <v/>
      </c>
    </row>
    <row r="18" spans="2:22">
      <c r="C18" s="1461"/>
      <c r="D18" s="1691"/>
      <c r="E18" s="1699"/>
      <c r="F18" s="1699"/>
      <c r="G18" s="1692"/>
      <c r="H18" s="1700"/>
      <c r="J18" s="1367"/>
      <c r="L18" s="1368"/>
      <c r="M18" s="1327" t="str">
        <f t="shared" si="8"/>
        <v/>
      </c>
      <c r="N18" s="1186" t="str">
        <f t="shared" si="9"/>
        <v/>
      </c>
      <c r="O18" s="1322" t="str">
        <f t="shared" si="10"/>
        <v/>
      </c>
      <c r="P18" s="1327" t="str">
        <f t="shared" si="11"/>
        <v/>
      </c>
      <c r="Q18" s="1186" t="str">
        <f t="shared" si="12"/>
        <v/>
      </c>
      <c r="R18" s="1322" t="str">
        <f t="shared" si="13"/>
        <v/>
      </c>
      <c r="S18" s="1327" t="str">
        <f t="shared" si="14"/>
        <v/>
      </c>
      <c r="T18" s="1322" t="str">
        <f t="shared" si="15"/>
        <v/>
      </c>
      <c r="U18" s="1186" t="str">
        <f t="shared" si="16"/>
        <v/>
      </c>
      <c r="V18" s="1322" t="str">
        <f t="shared" si="17"/>
        <v/>
      </c>
    </row>
    <row r="19" spans="2:22">
      <c r="C19" s="1461"/>
      <c r="D19" s="1691"/>
      <c r="E19" s="1699"/>
      <c r="F19" s="1699"/>
      <c r="G19" s="1692"/>
      <c r="H19" s="1700"/>
      <c r="J19" s="1367"/>
      <c r="L19" s="1368"/>
      <c r="M19" s="1327" t="str">
        <f t="shared" si="8"/>
        <v/>
      </c>
      <c r="N19" s="1186" t="str">
        <f t="shared" si="9"/>
        <v/>
      </c>
      <c r="O19" s="1322" t="str">
        <f t="shared" si="10"/>
        <v/>
      </c>
      <c r="P19" s="1327" t="str">
        <f t="shared" si="11"/>
        <v/>
      </c>
      <c r="Q19" s="1186" t="str">
        <f t="shared" si="12"/>
        <v/>
      </c>
      <c r="R19" s="1322" t="str">
        <f t="shared" si="13"/>
        <v/>
      </c>
      <c r="S19" s="1327" t="str">
        <f t="shared" si="14"/>
        <v/>
      </c>
      <c r="T19" s="1322" t="str">
        <f t="shared" si="15"/>
        <v/>
      </c>
      <c r="U19" s="1186" t="str">
        <f t="shared" si="16"/>
        <v/>
      </c>
      <c r="V19" s="1322" t="str">
        <f t="shared" si="17"/>
        <v/>
      </c>
    </row>
    <row r="20" spans="2:22">
      <c r="C20" s="1461"/>
      <c r="D20" s="1691"/>
      <c r="E20" s="1699"/>
      <c r="F20" s="1699"/>
      <c r="G20" s="1692"/>
      <c r="H20" s="1700"/>
      <c r="J20" s="1367"/>
      <c r="L20" s="1368"/>
      <c r="M20" s="1327" t="str">
        <f t="shared" si="8"/>
        <v/>
      </c>
      <c r="N20" s="1186" t="str">
        <f t="shared" si="9"/>
        <v/>
      </c>
      <c r="O20" s="1322" t="str">
        <f t="shared" si="10"/>
        <v/>
      </c>
      <c r="P20" s="1327" t="str">
        <f t="shared" si="11"/>
        <v/>
      </c>
      <c r="Q20" s="1186" t="str">
        <f t="shared" si="12"/>
        <v/>
      </c>
      <c r="R20" s="1322" t="str">
        <f t="shared" si="13"/>
        <v/>
      </c>
      <c r="S20" s="1327" t="str">
        <f t="shared" si="14"/>
        <v/>
      </c>
      <c r="T20" s="1322" t="str">
        <f t="shared" si="15"/>
        <v/>
      </c>
      <c r="U20" s="1186" t="str">
        <f t="shared" si="16"/>
        <v/>
      </c>
      <c r="V20" s="1322" t="str">
        <f t="shared" si="17"/>
        <v/>
      </c>
    </row>
    <row r="21" spans="2:22">
      <c r="B21" s="1909" t="s">
        <v>1334</v>
      </c>
      <c r="C21" s="1462"/>
      <c r="D21" s="1695"/>
      <c r="E21" s="1701"/>
      <c r="F21" s="1701"/>
      <c r="G21" s="1696"/>
      <c r="H21" s="1702"/>
      <c r="J21" s="1369"/>
      <c r="K21" s="1370"/>
      <c r="L21" s="1371"/>
      <c r="M21" s="1329" t="str">
        <f t="shared" si="8"/>
        <v/>
      </c>
      <c r="N21" s="1323" t="str">
        <f t="shared" si="9"/>
        <v/>
      </c>
      <c r="O21" s="1324" t="str">
        <f t="shared" si="10"/>
        <v/>
      </c>
      <c r="P21" s="1329" t="str">
        <f t="shared" si="11"/>
        <v/>
      </c>
      <c r="Q21" s="1323" t="str">
        <f t="shared" si="12"/>
        <v/>
      </c>
      <c r="R21" s="1324" t="str">
        <f t="shared" si="13"/>
        <v/>
      </c>
      <c r="S21" s="1329" t="str">
        <f t="shared" si="14"/>
        <v/>
      </c>
      <c r="T21" s="1324" t="str">
        <f t="shared" si="15"/>
        <v/>
      </c>
      <c r="U21" s="1323" t="str">
        <f t="shared" si="16"/>
        <v/>
      </c>
      <c r="V21" s="1324" t="str">
        <f t="shared" si="17"/>
        <v/>
      </c>
    </row>
    <row r="23" spans="2:22" ht="15" customHeight="1"/>
    <row r="24" spans="2:22" ht="15" customHeight="1">
      <c r="C24" s="1354" t="s">
        <v>1471</v>
      </c>
      <c r="D24" s="1852"/>
      <c r="E24" s="579"/>
    </row>
    <row r="25" spans="2:22" ht="15" customHeight="1">
      <c r="C25" s="1847" t="s">
        <v>1495</v>
      </c>
      <c r="D25" s="579"/>
      <c r="E25" s="579"/>
    </row>
    <row r="26" spans="2:22" ht="15" customHeight="1">
      <c r="C26" s="579"/>
      <c r="D26" s="579"/>
      <c r="E26" s="579"/>
    </row>
    <row r="27" spans="2:22" ht="15" customHeight="1"/>
    <row r="28" spans="2:22" ht="15" customHeight="1"/>
  </sheetData>
  <mergeCells count="7">
    <mergeCell ref="J12:L16"/>
    <mergeCell ref="P11:R11"/>
    <mergeCell ref="S11:T11"/>
    <mergeCell ref="U11:V11"/>
    <mergeCell ref="J10:L10"/>
    <mergeCell ref="J11:L11"/>
    <mergeCell ref="M11:O11"/>
  </mergeCells>
  <conditionalFormatting sqref="C24">
    <cfRule type="cellIs" dxfId="53" priority="1" operator="equal">
      <formula>FALSE</formula>
    </cfRule>
  </conditionalFormatting>
  <dataValidations count="1">
    <dataValidation allowBlank="1" showErrorMessage="1" sqref="C11" xr:uid="{ABB32D9A-10F4-4BAB-8660-E5E77065FD77}"/>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582</vt:i4>
      </vt:variant>
    </vt:vector>
  </HeadingPairs>
  <TitlesOfParts>
    <vt:vector size="610" baseType="lpstr">
      <vt:lpstr>CONTENTS</vt:lpstr>
      <vt:lpstr>Concepts</vt:lpstr>
      <vt:lpstr>Business &amp; other details</vt:lpstr>
      <vt:lpstr>Assurance requirements by table</vt:lpstr>
      <vt:lpstr>2.1 Expenditure summary</vt:lpstr>
      <vt:lpstr>2.2 Repex</vt:lpstr>
      <vt:lpstr>2.3c Material projects</vt:lpstr>
      <vt:lpstr>2.4 Capex by Asset Class</vt:lpstr>
      <vt:lpstr>2.5 Connections</vt:lpstr>
      <vt:lpstr>2.6 Non-network</vt:lpstr>
      <vt:lpstr>2.7 Vegetation management</vt:lpstr>
      <vt:lpstr>2.8 Maintenance</vt:lpstr>
      <vt:lpstr>2.10 Overheads</vt:lpstr>
      <vt:lpstr>3.1 Revenue</vt:lpstr>
      <vt:lpstr>3.2.3 Provisions</vt:lpstr>
      <vt:lpstr>3.5 Physical assets</vt:lpstr>
      <vt:lpstr>3.6 Quality of services</vt:lpstr>
      <vt:lpstr>5.2 Asset Age Profile</vt:lpstr>
      <vt:lpstr>7.5 Large projects</vt:lpstr>
      <vt:lpstr>7.6 PTS Price Reduction</vt:lpstr>
      <vt:lpstr>7.7 Related Party Transactions</vt:lpstr>
      <vt:lpstr>7.9 MIC</vt:lpstr>
      <vt:lpstr>8.5 Opex</vt:lpstr>
      <vt:lpstr>8.6 Ind Asset Base Roll Fwd</vt:lpstr>
      <vt:lpstr>8.8 Revenue Requirements</vt:lpstr>
      <vt:lpstr>9.1 Income - ASA</vt:lpstr>
      <vt:lpstr>9.2 Income - RA</vt:lpstr>
      <vt:lpstr>NSP additional information</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dms_020201_01_Exp_INT_Values</vt:lpstr>
      <vt:lpstr>dms_020201_01_Fail_INT_Values</vt:lpstr>
      <vt:lpstr>dms_020201_01_INT_Rows</vt:lpstr>
      <vt:lpstr>dms_020201_01_Repl_INT_Values</vt:lpstr>
      <vt:lpstr>dms_020303_01_UOM</vt:lpstr>
      <vt:lpstr>dms_020401_01_Rows</vt:lpstr>
      <vt:lpstr>dms_020401_01_Values</vt:lpstr>
      <vt:lpstr>dms_020401_02_Rows</vt:lpstr>
      <vt:lpstr>dms_020401_02_Values</vt:lpstr>
      <vt:lpstr>dms_020401_03_Rows</vt:lpstr>
      <vt:lpstr>dms_020401_03_Values</vt:lpstr>
      <vt:lpstr>dms_020401_04_Rows</vt:lpstr>
      <vt:lpstr>dms_020401_04_Values</vt:lpstr>
      <vt:lpstr>dms_020401_05_Rows</vt:lpstr>
      <vt:lpstr>dms_020401_05_Values</vt:lpstr>
      <vt:lpstr>dms_020401_06_Rows</vt:lpstr>
      <vt:lpstr>dms_020401_06_Values</vt:lpstr>
      <vt:lpstr>dms_020402_01_Rows</vt:lpstr>
      <vt:lpstr>dms_020402_01_Values</vt:lpstr>
      <vt:lpstr>dms_020402_02_Rows</vt:lpstr>
      <vt:lpstr>dms_020402_02_Values</vt:lpstr>
      <vt:lpstr>dms_020402_03_Rows</vt:lpstr>
      <vt:lpstr>dms_020402_03_Values</vt:lpstr>
      <vt:lpstr>dms_020402_04_Rows</vt:lpstr>
      <vt:lpstr>dms_020402_04_Values</vt:lpstr>
      <vt:lpstr>dms_020402_06_Rows</vt:lpstr>
      <vt:lpstr>dms_020402_06_Values</vt:lpstr>
      <vt:lpstr>dms_020501_01_UOM</vt:lpstr>
      <vt:lpstr>dms_020501_02_UOM</vt:lpstr>
      <vt:lpstr>dms_020501_03_UOM</vt:lpstr>
      <vt:lpstr>dms_020501_04_UOM</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dms_020701_02_UOM</vt:lpstr>
      <vt:lpstr>dms_020702_01_Rows</vt:lpstr>
      <vt:lpstr>dms_020702_01_Values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dms_021002_01_opex_Values</vt:lpstr>
      <vt:lpstr>dms_021002_02_opex_Values</vt:lpstr>
      <vt:lpstr>dms_021002_03_opex_Values</vt:lpstr>
      <vt:lpstr>dms_021002_04_opex_Values</vt:lpstr>
      <vt:lpstr>dms_021002_05_opex_Values</vt:lpstr>
      <vt:lpstr>dms_021002_06_opex_Values</vt:lpstr>
      <vt:lpstr>dms_021002_07_opex_Values</vt:lpstr>
      <vt:lpstr>dms_021002_08_opex_Values</vt:lpstr>
      <vt:lpstr>dms_021002_09_opex_Values</vt:lpstr>
      <vt:lpstr>dms_021002_opex_Rows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dms_030203_Provision_01</vt:lpstr>
      <vt:lpstr>dms_030203_Provision_02</vt:lpstr>
      <vt:lpstr>dms_030203_Provision_03</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dms_0306_Year</vt:lpstr>
      <vt:lpstr>dms_030601_01_Rows</vt:lpstr>
      <vt:lpstr>dms_030601_01_UOM</vt:lpstr>
      <vt:lpstr>dms_030601_01_Values</vt:lpstr>
      <vt:lpstr>dms_030601_02_UOM</vt:lpstr>
      <vt:lpstr>dms_030601_04_Rows</vt:lpstr>
      <vt:lpstr>dms_030601_04_Values</vt:lpstr>
      <vt:lpstr>dms_030602_Rows</vt:lpstr>
      <vt:lpstr>dms_030602_Values</vt:lpstr>
      <vt:lpstr>dms_030603_Rows</vt:lpstr>
      <vt:lpstr>dms_030603_Values</vt:lpstr>
      <vt:lpstr>dms_030605_UOM</vt:lpstr>
      <vt:lpstr>dms_03060703_UOM</vt:lpstr>
      <vt:lpstr>dms_030701_01_UOM</vt:lpstr>
      <vt:lpstr>dms_030702_01_UOM</vt:lpstr>
      <vt:lpstr>dms_030703_01_UOM</vt:lpstr>
      <vt:lpstr>dms_040102_01_UOM</vt:lpstr>
      <vt:lpstr>dms_040102_04_UOM</vt:lpstr>
      <vt:lpstr>dms_0502_Inst_Year</vt:lpstr>
      <vt:lpstr>dms_050201_01_INT_Rows</vt:lpstr>
      <vt:lpstr>dms_050201_INT_UOM</vt:lpstr>
      <vt:lpstr>dms_050202_01_INT_Values</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dms_Addr1_List</vt:lpstr>
      <vt:lpstr>dms_Addr2_List</vt:lpstr>
      <vt:lpstr>dms_AdjAllowedRev</vt:lpstr>
      <vt:lpstr>dms_AIO</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dms_Cost_Allocation_Agreement_List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FRY</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'2.4 Capex by Asset Class'!Print_Area</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2026-05-06T05:21:04Z</dcterms:created>
  <dcterms:modified xsi:type="dcterms:W3CDTF">2026-05-06T05:21:44Z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2026-05-06T05:21:11Z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ffdee521-bbfa-4c13-a6be-db6db23d2c14</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