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119" documentId="8_{3770B685-DDB1-442F-8891-8B542555A0C5}" xr6:coauthVersionLast="47" xr6:coauthVersionMax="47" xr10:uidLastSave="{1CD87114-0D2F-43F6-B6DF-A10D91168A3A}"/>
  <bookViews>
    <workbookView xWindow="28680" yWindow="-120" windowWidth="29040" windowHeight="15720" xr2:uid="{BB4DAFDD-F5B6-4627-8625-37014651564E}"/>
  </bookViews>
  <sheets>
    <sheet name="CONTENTS" sheetId="19" r:id="rId1"/>
    <sheet name="Concepts" sheetId="87" r:id="rId2"/>
    <sheet name="Business &amp; other details" sheetId="7" r:id="rId3"/>
    <sheet name="Assurance requirements by table" sheetId="86" r:id="rId4"/>
    <sheet name="8.1LM Income statement" sheetId="79" r:id="rId5"/>
    <sheet name="8.4LM Operating expenditure" sheetId="81" r:id="rId6"/>
    <sheet name="8.6LM Ind Asset Base Roll Fwd" sheetId="80" r:id="rId7"/>
    <sheet name="AER CF" sheetId="82" state="veryHidden" r:id="rId8"/>
    <sheet name="AER NRs" sheetId="83" state="veryHidden" r:id="rId9"/>
    <sheet name="AER lookups" sheetId="84" state="veryHidden" r:id="rId10"/>
    <sheet name="AER ETL" sheetId="85" state="veryHidden" r:id="rId11"/>
  </sheets>
  <definedNames>
    <definedName name="abba" localSheetId="10" hidden="1">{"Ownership",#N/A,FALSE,"Ownership";"Contents",#N/A,FALSE,"Contents"}</definedName>
    <definedName name="abba" localSheetId="9" hidden="1">{"Ownership",#N/A,FALSE,"Ownership";"Contents",#N/A,FALSE,"Contents"}</definedName>
    <definedName name="abba" localSheetId="8" hidden="1">{"Ownership",#N/A,FALSE,"Ownership";"Contents",#N/A,FALSE,"Contents"}</definedName>
    <definedName name="abba" localSheetId="1" hidden="1">{"Ownership",#N/A,FALSE,"Ownership";"Contents",#N/A,FALSE,"Contents"}</definedName>
    <definedName name="abba" hidden="1">{"Ownership",#N/A,FALSE,"Ownership";"Contents",#N/A,FALSE,"Contents"}</definedName>
    <definedName name="anscount" hidden="1">1</definedName>
    <definedName name="ARR">'AER lookups'!$C$29</definedName>
    <definedName name="ARR_Fmt2">'AER lookups'!$D$29</definedName>
    <definedName name="CA">'AER lookups'!$C$30</definedName>
    <definedName name="CA_Fmt2">'AER lookups'!$D$30</definedName>
    <definedName name="Calendar">'AER lookups'!$C$48:$C$108</definedName>
    <definedName name="CESS">'AER lookups'!$C$31</definedName>
    <definedName name="CESS_Fmt2">'AER lookups'!$D$31</definedName>
    <definedName name="CPI">'AER lookups'!$C$32</definedName>
    <definedName name="CPI_Fmt2">'AER lookups'!$D$32</definedName>
    <definedName name="CRCP_final_year" localSheetId="1">#REF!</definedName>
    <definedName name="CRCP_final_year">'AER ETL'!$C$48</definedName>
    <definedName name="CRCP_start_year">'AER ETL'!$C$45</definedName>
    <definedName name="CRCP_y1" localSheetId="1">#REF!</definedName>
    <definedName name="CRCP_y1">'AER lookups'!$G$48</definedName>
    <definedName name="CRCP_y10" localSheetId="1">#REF!</definedName>
    <definedName name="CRCP_y10">'AER lookups'!$G$57</definedName>
    <definedName name="CRCP_y11" localSheetId="1">#REF!</definedName>
    <definedName name="CRCP_y11">'AER lookups'!$G$58</definedName>
    <definedName name="CRCP_y12" localSheetId="1">#REF!</definedName>
    <definedName name="CRCP_y12">'AER lookups'!$G$59</definedName>
    <definedName name="CRCP_y13" localSheetId="1">#REF!</definedName>
    <definedName name="CRCP_y13">'AER lookups'!$G$60</definedName>
    <definedName name="CRCP_y14" localSheetId="1">#REF!</definedName>
    <definedName name="CRCP_y14">'AER lookups'!$G$61</definedName>
    <definedName name="CRCP_y15" localSheetId="1">#REF!</definedName>
    <definedName name="CRCP_y15">'AER lookups'!$G$62</definedName>
    <definedName name="CRCP_y16">'AER lookups'!$G$63</definedName>
    <definedName name="CRCP_y17">'AER lookups'!$G$64</definedName>
    <definedName name="CRCP_y18">'AER lookups'!$G$65</definedName>
    <definedName name="CRCP_y19">'AER lookups'!$G$66</definedName>
    <definedName name="CRCP_y2" localSheetId="1">#REF!</definedName>
    <definedName name="CRCP_y2">'AER lookups'!$G$49</definedName>
    <definedName name="CRCP_y20">'AER lookups'!$G$67</definedName>
    <definedName name="CRCP_y21">'AER lookups'!$G$68</definedName>
    <definedName name="CRCP_y22">'AER lookups'!$G$69</definedName>
    <definedName name="CRCP_y23">'AER lookups'!$G$70</definedName>
    <definedName name="CRCP_y24">'AER lookups'!$G$71</definedName>
    <definedName name="CRCP_y25">'AER lookups'!$G$72</definedName>
    <definedName name="CRCP_y3" localSheetId="1">#REF!</definedName>
    <definedName name="CRCP_y3">'AER lookups'!$G$50</definedName>
    <definedName name="CRCP_y4" localSheetId="1">#REF!</definedName>
    <definedName name="CRCP_y4">'AER lookups'!$G$51</definedName>
    <definedName name="CRCP_y5" localSheetId="1">#REF!</definedName>
    <definedName name="CRCP_y5">'AER lookups'!$G$52</definedName>
    <definedName name="CRCP_y6" localSheetId="1">#REF!</definedName>
    <definedName name="CRCP_y6">'AER lookups'!$G$53</definedName>
    <definedName name="CRCP_y7" localSheetId="1">#REF!</definedName>
    <definedName name="CRCP_y7">'AER lookups'!$G$54</definedName>
    <definedName name="CRCP_y8" localSheetId="1">#REF!</definedName>
    <definedName name="CRCP_y8">'AER lookups'!$G$55</definedName>
    <definedName name="CRCP_y9" localSheetId="1">#REF!</definedName>
    <definedName name="CRCP_y9">'AER lookups'!$G$56</definedName>
    <definedName name="CRY" localSheetId="1">#REF!</definedName>
    <definedName name="CRY">'Business &amp; other details'!$N$19</definedName>
    <definedName name="dms_020303_01_UOM">'AER NRs'!$C$86:$C$92</definedName>
    <definedName name="dms_020501_01_UOM">'AER NRs'!$D$86:$D$98</definedName>
    <definedName name="dms_020501_02_UOM">'AER NRs'!$E$86:$E$94</definedName>
    <definedName name="dms_020501_03_UOM">'AER NRs'!$F$86:$F$95</definedName>
    <definedName name="dms_020501_04_UOM">'AER NRs'!$G$86:$G$94</definedName>
    <definedName name="dms_020603_01_UOM">'AER NRs'!$C$112:$C$116</definedName>
    <definedName name="dms_020701_01_Rows">'AER NRs'!$J$86:$J$91</definedName>
    <definedName name="dms_020701_01_UOM">'AER NRs'!$H$86:$H$91</definedName>
    <definedName name="dms_020701_02_UOM">'AER NRs'!$I$86:$I$91</definedName>
    <definedName name="dms_030101_01_SCS_Values">#REF!</definedName>
    <definedName name="dms_030102_01_SCS_Values">#REF!</definedName>
    <definedName name="dms_030203_P01_01_Values">#REF!</definedName>
    <definedName name="dms_030203_P02_01_Values">#REF!</definedName>
    <definedName name="dms_030203_P03_01_Values">#REF!</definedName>
    <definedName name="dms_030203_P04_01_Values">#REF!</definedName>
    <definedName name="dms_030203_P05_01_Values">#REF!</definedName>
    <definedName name="dms_030203_P06_01_Values">#REF!</definedName>
    <definedName name="dms_030203_P07_01_Values">#REF!</definedName>
    <definedName name="dms_030203_P08_01_Values">#REF!</definedName>
    <definedName name="dms_030203_P09_01_Values">#REF!</definedName>
    <definedName name="dms_030203_P10_01_Values">#REF!</definedName>
    <definedName name="dms_030203_P11_01_Values">#REF!</definedName>
    <definedName name="dms_030203_P12_01_Values">#REF!</definedName>
    <definedName name="dms_030203_P13_01_Values">#REF!</definedName>
    <definedName name="dms_030203_P14_01_Values">#REF!</definedName>
    <definedName name="dms_030203_P15_01_Values">#REF!</definedName>
    <definedName name="dms_030203_P16_01_Values">#REF!</definedName>
    <definedName name="dms_030203_P16_02_01_Values">#REF!</definedName>
    <definedName name="dms_030203_P16_02_02_Values">#REF!</definedName>
    <definedName name="dms_030203_P16_02_03_Values">#REF!</definedName>
    <definedName name="dms_030203_P16_02_04_Values">#REF!</definedName>
    <definedName name="dms_030203_P16_03_Values">#REF!</definedName>
    <definedName name="dms_030203_P17_01_Values">#REF!</definedName>
    <definedName name="dms_030203_P17_02_01_Values">#REF!</definedName>
    <definedName name="dms_030203_P17_02_02_Values">#REF!</definedName>
    <definedName name="dms_030203_P17_02_03_Values">#REF!</definedName>
    <definedName name="dms_030203_P17_02_04_Values">#REF!</definedName>
    <definedName name="dms_030203_P17_03_Values">#REF!</definedName>
    <definedName name="dms_030203_P18_01_Values">#REF!</definedName>
    <definedName name="dms_030203_P18_02_01_Values">#REF!</definedName>
    <definedName name="dms_030203_P18_02_02_Values">#REF!</definedName>
    <definedName name="dms_030203_P18_02_03_Values">#REF!</definedName>
    <definedName name="dms_030203_P18_02_04_Values">#REF!</definedName>
    <definedName name="dms_030203_P18_03_Values">#REF!</definedName>
    <definedName name="dms_030203_Provision_16">#REF!</definedName>
    <definedName name="dms_030203_Provision_17">#REF!</definedName>
    <definedName name="dms_030203_Provision_18">#REF!</definedName>
    <definedName name="dms_030401_01_Values">#REF!</definedName>
    <definedName name="dms_030402_02_Start_Values">#REF!</definedName>
    <definedName name="dms_0306_Year">'AER ETL'!$C$87</definedName>
    <definedName name="dms_030601_01_Rows" localSheetId="1">#REF!</definedName>
    <definedName name="dms_030601_01_UOM">'AER NRs'!$C$120:$C$123</definedName>
    <definedName name="dms_030601_01_Values" localSheetId="1">#REF!</definedName>
    <definedName name="dms_030601_02_Rows" localSheetId="1">#REF!</definedName>
    <definedName name="dms_030601_02_UOM">'AER NRs'!$D$120:$D$123</definedName>
    <definedName name="dms_030601_02_Values" localSheetId="1">#REF!</definedName>
    <definedName name="dms_030602_Rows" localSheetId="1">#REF!</definedName>
    <definedName name="dms_030602_Values" localSheetId="1">#REF!</definedName>
    <definedName name="dms_030603_Rows" localSheetId="1">#REF!</definedName>
    <definedName name="dms_030603_Values" localSheetId="1">#REF!</definedName>
    <definedName name="dms_030604_Rows" localSheetId="1">#REF!</definedName>
    <definedName name="dms_030604_Values" localSheetId="1">#REF!</definedName>
    <definedName name="dms_030605_UOM">'AER NRs'!$C$162:$C$175</definedName>
    <definedName name="dms_03060703_UOM">'AER NRs'!$D$162:$D$166</definedName>
    <definedName name="dms_030701_01_UOM">'AER NRs'!$E$120:$E$122</definedName>
    <definedName name="dms_030702_01_UOM">'AER NRs'!$F$120:$F$133</definedName>
    <definedName name="dms_030703_01_UOM">'AER NRs'!$G$120</definedName>
    <definedName name="dms_03090401_01_Values">#REF!</definedName>
    <definedName name="dms_040102_01_UOM">'AER NRs'!$K$86:$K$89</definedName>
    <definedName name="dms_040102_04_UOM">'AER NRs'!$L$86:$L$89</definedName>
    <definedName name="dms_0502_Inst_Year">'AER ETL'!$C$66</definedName>
    <definedName name="dms_060101_Rows">'AER NRs'!$C$197</definedName>
    <definedName name="dms_060101_StartDateTxt">'AER NRs'!$E$197</definedName>
    <definedName name="dms_060101_StartDateVal">'AER ETL'!$C$108</definedName>
    <definedName name="dms_060102_Rows">'AER NRs'!$D$197</definedName>
    <definedName name="dms_0603_FeederList" localSheetId="1">#REF!</definedName>
    <definedName name="dms_0603_FeederList">'AER NRs'!$D$214:$H$214</definedName>
    <definedName name="dms_060301_Avg_Duration_Sustained_Int_Row">'AER NRs'!$D$193</definedName>
    <definedName name="dms_060301_Avg_Duration_Sustained_Int_Values">#REF!</definedName>
    <definedName name="dms_060301_checkvalue" localSheetId="1">#REF!</definedName>
    <definedName name="dms_060301_checkvalue">'AER ETL'!$C$91</definedName>
    <definedName name="dms_060301_CustNo_Affected_Row">'AER NRs'!$C$193</definedName>
    <definedName name="dms_060301_Effect_unplanned_SAIDI_Row">'AER NRs'!$E$193</definedName>
    <definedName name="dms_060301_Effect_unplanned_SAIFI_Row">'AER NRs'!$F$193</definedName>
    <definedName name="dms_060301_LastRow" localSheetId="1">#REF!</definedName>
    <definedName name="dms_060301_LastRow">'AER ETL'!$C$93</definedName>
    <definedName name="dms_060301_MaxRows">'AER ETL'!$C$94</definedName>
    <definedName name="dms_060701_ARR_MaxRows" localSheetId="1">#REF!</definedName>
    <definedName name="dms_060701_ARR_MaxRows">'AER ETL'!$C$101</definedName>
    <definedName name="dms_060701_Feeder_Header_Lvl4">'AER NRs'!$D$209:$O$209</definedName>
    <definedName name="dms_060701_MaxCols">'AER ETL'!$C$104</definedName>
    <definedName name="dms_060701_MaxRows" localSheetId="1">#REF!</definedName>
    <definedName name="dms_060701_MaxRows">'AER ETL'!$C$102</definedName>
    <definedName name="dms_060701_OffsetRows">'AER ETL'!$C$105</definedName>
    <definedName name="dms_060701_Reset_MaxRows" localSheetId="1">#REF!</definedName>
    <definedName name="dms_060701_Reset_MaxRows">'AER ETL'!$C$100</definedName>
    <definedName name="dms_060701_Rows">'AER NRs'!$D$211:$O$211</definedName>
    <definedName name="dms_060701_StartDateTxt" localSheetId="1">#REF!</definedName>
    <definedName name="dms_060701_StartDateTxt">'AER ETL'!$C$107</definedName>
    <definedName name="dms_060701_StartDateVal">'AER ETL'!$C$108</definedName>
    <definedName name="dms_0608_LastRow" localSheetId="1">#REF!</definedName>
    <definedName name="dms_0608_LastRow">'AER ETL'!$C$114</definedName>
    <definedName name="dms_0608_OffsetRows" localSheetId="1">#REF!</definedName>
    <definedName name="dms_0608_OffsetRows">'AER ETL'!$C$113</definedName>
    <definedName name="dms_060801_01_Rows">'AER NRs'!$C$201</definedName>
    <definedName name="dms_060801_02_Rows">'AER NRs'!$D$201</definedName>
    <definedName name="dms_060801_03_Rows">'AER NRs'!$E$201</definedName>
    <definedName name="dms_060801_04_Rows">'AER NRs'!$F$201</definedName>
    <definedName name="dms_060801_MaxRows">'AER ETL'!$C$115</definedName>
    <definedName name="dms_070904_01_Rows">'AER NRs'!$D$204:$E$204</definedName>
    <definedName name="dms_070904_Start_Year">'AER ETL'!$C$118</definedName>
    <definedName name="dms_071001_Values">#REF!</definedName>
    <definedName name="dms_080205a_C_Rows">#REF!</definedName>
    <definedName name="dms_663">'AER ETL'!$C$95</definedName>
    <definedName name="dms_663_List" localSheetId="1">#REF!</definedName>
    <definedName name="dms_663_List">'AER lookups'!$O$10:$O$24</definedName>
    <definedName name="dms_ABN_List" localSheetId="1">#REF!</definedName>
    <definedName name="dms_ABN_List">'AER lookups'!$D$10:$D$24</definedName>
    <definedName name="dms_Addr1_List">'AER lookups'!$P$10:$P$24</definedName>
    <definedName name="dms_Addr2_List" localSheetId="1">#REF!</definedName>
    <definedName name="dms_Addr2_List">'AER lookups'!$Q$10:$Q$24</definedName>
    <definedName name="dms_Amendment_Text" localSheetId="1">#REF!</definedName>
    <definedName name="dms_Amendment_Text">'Business &amp; other details'!$N$30</definedName>
    <definedName name="dms_AmendmentReason">'AER ETL'!$C$16</definedName>
    <definedName name="dms_ARR">'AER ETL'!$C$75</definedName>
    <definedName name="dms_Beg">'AER NRs'!$C$178</definedName>
    <definedName name="dms_CA">'AER ETL'!$C$74</definedName>
    <definedName name="dms_Cal_Year_B4_CRY" localSheetId="1">#REF!</definedName>
    <definedName name="dms_Cal_Year_B4_CRY">'AER ETL'!$C$30</definedName>
    <definedName name="dms_CBD_flag" localSheetId="1">#REF!</definedName>
    <definedName name="dms_CBD_flag">'AER lookups'!$Z$10:$Z$24</definedName>
    <definedName name="dms_CBD_flag_NSP">'AER ETL'!$C$123</definedName>
    <definedName name="dms_CF_3.6.1">'AER CF'!$F$7:$F$35</definedName>
    <definedName name="dms_CF_3.6.5">'AER CF'!$G$7:$G$35</definedName>
    <definedName name="dms_CF_3.6.6.1">'AER CF'!$H$7:$H$35</definedName>
    <definedName name="dms_CF_3.6.6.2">'AER CF'!$I$7:$I$35</definedName>
    <definedName name="dms_CF_3.6.6.3">'AER CF'!$J$7:$J$35</definedName>
    <definedName name="dms_CF_3.6.7.1">'AER CF'!$K$7:$K$35</definedName>
    <definedName name="dms_CF_3.6.7.2">'AER CF'!$L$7:$L$35</definedName>
    <definedName name="dms_CF_3.6.7.3">'AER CF'!$M$7:$M$35</definedName>
    <definedName name="dms_CF_3.6.7.4">'AER CF'!$N$7:$N$35</definedName>
    <definedName name="dms_CF_3.6.8">'AER CF'!$O$7:$O$35</definedName>
    <definedName name="dms_CF_4.1">'AER CF'!$P$7:$P$35</definedName>
    <definedName name="dms_CF_4.4.1">'AER CF'!$V$7:$V$35</definedName>
    <definedName name="dms_CF_6.8">'AER CF'!$Q$7:$Q$35</definedName>
    <definedName name="dms_CF_7.12">'AER CF'!$R$7:$R$35</definedName>
    <definedName name="dms_CF_8.1_A">'AER CF'!$S$7:$S$35</definedName>
    <definedName name="dms_CF_8.1_B">'AER CF'!$T$7:$T$35</definedName>
    <definedName name="dms_CF_8.1_Neg" localSheetId="1">#REF!</definedName>
    <definedName name="dms_CF_8.1_Neg">'AER CF'!$U$7:$U$35</definedName>
    <definedName name="dms_CF_F10">'AER CF'!$Y$7:$Y$35</definedName>
    <definedName name="dms_CF_TradingName" localSheetId="1">#REF!</definedName>
    <definedName name="dms_CF_TradingName">'AER CF'!$B$7:$B$35</definedName>
    <definedName name="dms_Classification">'AER ETL'!$C$26</definedName>
    <definedName name="dms_Confid_status_List">'AER NRs'!$D$6:$D$9</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'AER ETL'!$C$48</definedName>
    <definedName name="dms_CRCP_start_row" localSheetId="1">#REF!</definedName>
    <definedName name="dms_CRCP_start_row">'AER ETL'!$C$41</definedName>
    <definedName name="dms_CRCPlength_List" localSheetId="1">#REF!</definedName>
    <definedName name="dms_CRCPlength_List">'AER lookups'!$L$10:$L$24</definedName>
    <definedName name="dms_CRCPlength_Num" localSheetId="1">#REF!</definedName>
    <definedName name="dms_CRCPlength_Num">'AER ETL'!$C$70</definedName>
    <definedName name="dms_CRY_RYE" localSheetId="1">#REF!</definedName>
    <definedName name="dms_CRY_RYE">'AER ETL'!$C$54</definedName>
    <definedName name="dms_CRY_start_row" localSheetId="1">#REF!</definedName>
    <definedName name="dms_CRY_start_row">'AER ETL'!$C$39</definedName>
    <definedName name="dms_CRY_start_year" localSheetId="1">#REF!</definedName>
    <definedName name="dms_CRY_start_year">'AER ETL'!$C$38</definedName>
    <definedName name="dms_DataQuality">'AER ETL'!$C$20</definedName>
    <definedName name="dms_DataQuality_List" localSheetId="1">#REF!</definedName>
    <definedName name="dms_DataQuality_List">'AER NRs'!$C$6:$C$9</definedName>
    <definedName name="dms_Defined_Names_Used">'AER ETL'!$C$3</definedName>
    <definedName name="dms_DeterminationRef_List">#REF!</definedName>
    <definedName name="dms_DISCARD">'AER ETL'!$C$130</definedName>
    <definedName name="dms_DNSP_020301_ProjectTrigger">'AER NRs'!$E$34:$E$40</definedName>
    <definedName name="dms_DNSP_020301_ProjectType">'AER NRs'!$D$34:$D$37</definedName>
    <definedName name="dms_DNSP_020301_SubstationType">'AER NRs'!$C$34:$C$37</definedName>
    <definedName name="dms_DNSP_020302_ProjectTrigger">'AER NRs'!$G$34:$G$41</definedName>
    <definedName name="dms_DNSP_020302_ProjectType">'AER NRs'!$F$34:$F$46</definedName>
    <definedName name="dms_dollar_nom_UOM">#REF!</definedName>
    <definedName name="dms_DollarReal">'AER ETL'!$C$32</definedName>
    <definedName name="dms_DollarReal_Prev" localSheetId="1">#REF!</definedName>
    <definedName name="dms_DollarReal_Prev">'AER ETL'!$C$33</definedName>
    <definedName name="dms_DollarReal_year" localSheetId="1">#REF!</definedName>
    <definedName name="dms_DollarReal_year">'AER ETL'!$C$52</definedName>
    <definedName name="dms_DQ_1">'AER ETL'!$C$14</definedName>
    <definedName name="dms_DQ_2">'AER ETL'!$C$15</definedName>
    <definedName name="dms_E020202_UOM">'AER NRs'!$E$162:$E$163</definedName>
    <definedName name="dms_E050201_UOM">'AER NRs'!$O$86:$O$88</definedName>
    <definedName name="dms_E050202_UOM">'AER NRs'!$P$86:$P$88</definedName>
    <definedName name="dms_EB">'AER ETL'!$C$73</definedName>
    <definedName name="dms_EB_RAB_PIT">'AER NRs'!$C$154:$C$159</definedName>
    <definedName name="dms_End">'AER NRs'!$E$178</definedName>
    <definedName name="dms_FeederName_1" localSheetId="1">#REF!</definedName>
    <definedName name="dms_FeederName_1">'AER lookups'!$AE$10:$AE$24</definedName>
    <definedName name="dms_FeederName_2" localSheetId="1">#REF!</definedName>
    <definedName name="dms_FeederName_2">'AER lookups'!$AF$10:$AF$24</definedName>
    <definedName name="dms_FeederName_3" localSheetId="1">#REF!</definedName>
    <definedName name="dms_FeederName_3">'AER lookups'!$AG$10:$AG$24</definedName>
    <definedName name="dms_FeederName_4" localSheetId="1">#REF!</definedName>
    <definedName name="dms_FeederName_4">'AER lookups'!$AH$10:$AH$24</definedName>
    <definedName name="dms_FeederName_5" localSheetId="1">#REF!</definedName>
    <definedName name="dms_FeederName_5">'AER lookups'!$AI$10:$AI$24</definedName>
    <definedName name="dms_FeederType_5_flag" localSheetId="1">#REF!</definedName>
    <definedName name="dms_FeederType_5_flag">'AER lookups'!$AD$10:$AD$24</definedName>
    <definedName name="dms_FifthFeeder_flag_NSP" localSheetId="1">#REF!</definedName>
    <definedName name="dms_FifthFeeder_flag_NSP">'AER ETL'!$C$127</definedName>
    <definedName name="dms_FormControl">'AER ETL'!$C$35</definedName>
    <definedName name="dms_FormControl_Choices">'AER NRs'!$D$14:$D$17</definedName>
    <definedName name="dms_FormControl_List" localSheetId="1">#REF!</definedName>
    <definedName name="dms_FormControl_List">'AER lookups'!$I$10:$I$24</definedName>
    <definedName name="dms_FRCP_start_row" localSheetId="1">#REF!</definedName>
    <definedName name="dms_FRCP_start_row">'AER ETL'!$C$40</definedName>
    <definedName name="dms_FRCP_y1">'AER lookups'!$H$48</definedName>
    <definedName name="dms_FRCPlength_List" localSheetId="1">#REF!</definedName>
    <definedName name="dms_FRCPlength_List">'AER lookups'!$M$10:$M$24</definedName>
    <definedName name="dms_FRCPlength_Num" localSheetId="1">#REF!</definedName>
    <definedName name="dms_FRCPlength_Num">'AER ETL'!$C$71</definedName>
    <definedName name="dms_Header_Span" localSheetId="1">#REF!</definedName>
    <definedName name="dms_Header_Span">'AER ETL'!$C$61</definedName>
    <definedName name="dms_Jurisdiction">'AER ETL'!$C$27</definedName>
    <definedName name="dms_JurisdictionList" localSheetId="1">#REF!</definedName>
    <definedName name="dms_JurisdictionList">'AER lookups'!$F$10:$F$24</definedName>
    <definedName name="dms_LeapYear">#REF!</definedName>
    <definedName name="dms_LeapYear_Result" localSheetId="1">#REF!</definedName>
    <definedName name="dms_LeapYear_Result">'AER ETL'!$C$99</definedName>
    <definedName name="dms_LongRural_flag" localSheetId="1">#REF!</definedName>
    <definedName name="dms_LongRural_flag">'AER lookups'!$AC$10:$AC$24</definedName>
    <definedName name="dms_LongRural_flag_NSP">'AER ETL'!$C$126</definedName>
    <definedName name="dms_MAIFI_Flag" localSheetId="1">#REF!</definedName>
    <definedName name="dms_MAIFI_Flag">'AER ETL'!$C$109</definedName>
    <definedName name="dms_MAIFI_flag_List">'AER lookups'!$AJ$10:$AJ$24</definedName>
    <definedName name="dms_Mid">'AER NRs'!$D$178</definedName>
    <definedName name="dms_Model" localSheetId="1">#REF!</definedName>
    <definedName name="dms_Model">'AER ETL'!$C$12</definedName>
    <definedName name="dms_Model_List" localSheetId="1">#REF!</definedName>
    <definedName name="dms_Model_List">'AER lookups'!$B$29:$B$43</definedName>
    <definedName name="dms_Model_Name_Format1">'AER lookups'!$C$29:$C$43</definedName>
    <definedName name="dms_Model_Span" localSheetId="1">#REF!</definedName>
    <definedName name="dms_Model_Span">'AER ETL'!$C$57</definedName>
    <definedName name="dms_Model_Span_List" localSheetId="1">#REF!</definedName>
    <definedName name="dms_Model_Span_List">'AER lookups'!$E$29:$E$43</definedName>
    <definedName name="dms_Multi_RYE_flag">'AER ETL'!$C$137</definedName>
    <definedName name="dms_MultiYear_ABC_RIN">'AER ETL'!$C$83</definedName>
    <definedName name="dms_MultiYear_FinalYear_Result">'AER ETL'!$C$81</definedName>
    <definedName name="dms_MultiYear_Flag" localSheetId="1">#REF!</definedName>
    <definedName name="dms_MultiYear_Flag">'AER ETL'!$C$64</definedName>
    <definedName name="dms_MultiYear_ResponseFlag" localSheetId="1">#REF!</definedName>
    <definedName name="dms_MultiYear_ResponseFlag">'AER ETL'!$C$63</definedName>
    <definedName name="dms_N0205_AssetType">'AER NRs'!$N$34:$N$44</definedName>
    <definedName name="dms_PAddr1_List" localSheetId="1">#REF!</definedName>
    <definedName name="dms_PAddr1_List">'AER lookups'!$U$10:$U$24</definedName>
    <definedName name="dms_PAddr2_List" localSheetId="1">#REF!</definedName>
    <definedName name="dms_PAddr2_List">'AER lookups'!$V$10:$V$24</definedName>
    <definedName name="dms_Partial">'AER ETL'!$C$133</definedName>
    <definedName name="dms_PostCode">'Business &amp; other details'!#REF!</definedName>
    <definedName name="dms_PostCode_List">'AER lookups'!$T$10:$T$24</definedName>
    <definedName name="dms_PPostCode">'Business &amp; other details'!#REF!</definedName>
    <definedName name="dms_PPostCode_List">'AER lookups'!$Y$10:$Y$24</definedName>
    <definedName name="dms_PRCP_start_row" localSheetId="1">#REF!</definedName>
    <definedName name="dms_PRCP_start_row">'AER ETL'!$C$42</definedName>
    <definedName name="dms_PRCPlength_List" localSheetId="1">#REF!</definedName>
    <definedName name="dms_PRCPlength_List">'AER lookups'!$N$10:$N$24</definedName>
    <definedName name="dms_PRCPlength_Num" localSheetId="1">#REF!</definedName>
    <definedName name="dms_PRCPlength_Num">'AER ETL'!$C$69</definedName>
    <definedName name="dms_Previous_DollarReal_year" localSheetId="1">#REF!</definedName>
    <definedName name="dms_Previous_DollarReal_year">'AER ETL'!$C$53</definedName>
    <definedName name="dms_PState_List" localSheetId="1">#REF!</definedName>
    <definedName name="dms_PState_List">'AER lookups'!$X$10:$X$24</definedName>
    <definedName name="dms_PSuburb_List" localSheetId="1">#REF!</definedName>
    <definedName name="dms_PSuburb_List">'AER lookups'!$W$10:$W$24</definedName>
    <definedName name="dms_PTRM_RAB_PIT">'AER NRs'!$C$181:$C$185</definedName>
    <definedName name="dms_PTRM_TAB_PIT">'AER NRs'!$D$181:$D$184</definedName>
    <definedName name="dms_Public_Lighting">'AER ETL'!$C$122</definedName>
    <definedName name="dms_Public_Lighting_List" localSheetId="1">#REF!</definedName>
    <definedName name="dms_Public_Lighting_List">'AER lookups'!$AK$10:$AK$24</definedName>
    <definedName name="dms_Reason_Interruption">'AER NRs'!$I$34:$I$49</definedName>
    <definedName name="dms_Reset_final_year" localSheetId="1">#REF!</definedName>
    <definedName name="dms_Reset_final_year">'AER ETL'!$C$50</definedName>
    <definedName name="dms_Reset_RYE" localSheetId="1">#REF!</definedName>
    <definedName name="dms_Reset_RYE">'AER ETL'!$C$55</definedName>
    <definedName name="dms_Reset_Span" localSheetId="1">#REF!</definedName>
    <definedName name="dms_Reset_Span">'AER ETL'!$C$59</definedName>
    <definedName name="dms_RPT" localSheetId="1">#REF!</definedName>
    <definedName name="dms_RPT">'AER ETL'!$C$24</definedName>
    <definedName name="dms_RPT_List" localSheetId="1">#REF!</definedName>
    <definedName name="dms_RPT_List">'AER lookups'!$J$10:$J$24</definedName>
    <definedName name="dms_RPTMonth" localSheetId="1">#REF!</definedName>
    <definedName name="dms_RPTMonth">'AER ETL'!$C$31</definedName>
    <definedName name="dms_RPTMonth_List" localSheetId="1">#REF!</definedName>
    <definedName name="dms_RPTMonth_List">'AER lookups'!$K$10:$K$24</definedName>
    <definedName name="dms_RYE">'AER ETL'!$C$23</definedName>
    <definedName name="dms_RYE_01">'AER ETL'!$C$139</definedName>
    <definedName name="dms_RYE_02">'AER ETL'!$C$140</definedName>
    <definedName name="dms_RYE_03">'AER ETL'!$C$141</definedName>
    <definedName name="dms_RYE_04">'AER ETL'!$C$142</definedName>
    <definedName name="dms_RYE_05">'AER ETL'!$C$143</definedName>
    <definedName name="dms_RYE_06">'AER ETL'!$C$144</definedName>
    <definedName name="dms_RYE_07">'AER ETL'!$C$145</definedName>
    <definedName name="dms_RYE_08">'AER ETL'!$C$146</definedName>
    <definedName name="dms_RYE_09">'AER ETL'!$C$147</definedName>
    <definedName name="dms_RYE_result" localSheetId="1">#REF!</definedName>
    <definedName name="dms_RYE_result">'AER ETL'!$C$58</definedName>
    <definedName name="dms_RYE_start_row" localSheetId="1">#REF!</definedName>
    <definedName name="dms_RYE_start_row">'AER ETL'!$C$43</definedName>
    <definedName name="dms_S140101_UOM">'AER NRs'!$M$86:$M$89</definedName>
    <definedName name="dms_S140201_UOM">'AER NRs'!$N$86:$N$88</definedName>
    <definedName name="dms_Sector" localSheetId="1">#REF!</definedName>
    <definedName name="dms_Sector">'AER ETL'!$C$21</definedName>
    <definedName name="dms_Sector_List" localSheetId="1">#REF!</definedName>
    <definedName name="dms_Sector_List">'AER lookups'!$G$10:$G$24</definedName>
    <definedName name="dms_Segment" localSheetId="1">#REF!</definedName>
    <definedName name="dms_Segment">'AER ETL'!$C$22</definedName>
    <definedName name="dms_Segment_List" localSheetId="1">#REF!</definedName>
    <definedName name="dms_Segment_List">'AER lookups'!$H$10:$H$24</definedName>
    <definedName name="dms_Selected_Quality" localSheetId="1">#REF!</definedName>
    <definedName name="dms_Selected_Quality">'Business &amp; other details'!#REF!</definedName>
    <definedName name="dms_Selected_Source" localSheetId="1">#REF!</definedName>
    <definedName name="dms_Selected_Source">'Business &amp; other details'!$N$26</definedName>
    <definedName name="dms_Selected_Status" localSheetId="1">#REF!</definedName>
    <definedName name="dms_Selected_Status">'Business &amp; other details'!$N$28</definedName>
    <definedName name="dms_SheetHeading1" localSheetId="1">#REF!</definedName>
    <definedName name="dms_SheetHeading1">'Business &amp; other details'!$C$1</definedName>
    <definedName name="dms_SheetHeading2" localSheetId="1">#REF!</definedName>
    <definedName name="dms_SheetHeading2">'Business &amp; other details'!$C$2</definedName>
    <definedName name="dms_SheetHeading3" localSheetId="1">#REF!</definedName>
    <definedName name="dms_SheetHeading3">'Business &amp; other details'!$C$3</definedName>
    <definedName name="dms_ShortRural_flag" localSheetId="1">#REF!</definedName>
    <definedName name="dms_ShortRural_flag">'AER lookups'!$AB$10:$AB$24</definedName>
    <definedName name="dms_ShortRural_flag_NSP">'AER ETL'!$C$125</definedName>
    <definedName name="dms_SingleYear_FinalYear_Result">'AER ETL'!$C$77</definedName>
    <definedName name="dms_SingleYear_Model" localSheetId="1">#REF!</definedName>
    <definedName name="dms_SingleYear_Model">'AER ETL'!$C$73:$C$75</definedName>
    <definedName name="dms_SingleYearModel" localSheetId="1">#REF!</definedName>
    <definedName name="dms_SingleYearModel">'AER ETL'!$C$76</definedName>
    <definedName name="dms_Source">'AER ETL'!$C$13</definedName>
    <definedName name="dms_SourceList" localSheetId="1">#REF!</definedName>
    <definedName name="dms_SourceList">'AER NRs'!$C$14:$C$29</definedName>
    <definedName name="dms_Specified_FinalYear" localSheetId="1">#REF!</definedName>
    <definedName name="dms_Specified_FinalYear">'AER ETL'!$C$65</definedName>
    <definedName name="dms_Specified_RYE" localSheetId="1">#REF!</definedName>
    <definedName name="dms_Specified_RYE">'AER ETL'!$C$56</definedName>
    <definedName name="dms_SpecifiedYear_final_year">'AER ETL'!$C$51</definedName>
    <definedName name="dms_SpecifiedYear_Span" localSheetId="1">#REF!</definedName>
    <definedName name="dms_SpecifiedYear_Span">'AER ETL'!$C$60</definedName>
    <definedName name="dms_start_year" localSheetId="1">#REF!</definedName>
    <definedName name="dms_start_year">'AER ETL'!$C$37</definedName>
    <definedName name="dms_State_List" localSheetId="1">#REF!</definedName>
    <definedName name="dms_State_List">'AER lookups'!$S$10:$S$24</definedName>
    <definedName name="dms_STPIS_Exclusion_List">'AER NRs'!$H$34:$H$43</definedName>
    <definedName name="dms_SubmissionDate">'AER ETL'!$C$17</definedName>
    <definedName name="dms_Suburb_List" localSheetId="1">#REF!</definedName>
    <definedName name="dms_Suburb_List">'AER lookups'!$R$10:$R$24</definedName>
    <definedName name="dms_TemplateNumber">'AER lookups'!$C$3</definedName>
    <definedName name="dms_TNSP_0203_ProjectTrigger">'AER NRs'!$G$67:$G$74</definedName>
    <definedName name="dms_TNSP_0203_SubstationType">'AER NRs'!$C$67:$C$70</definedName>
    <definedName name="dms_TNSP_020301_ProjectTrigger">'AER NRs'!$E$67:$E$74</definedName>
    <definedName name="dms_TNSP_020301_ProjectType">'AER NRs'!$D$67:$D$70</definedName>
    <definedName name="dms_TNSP_020302_ProjectType">'AER NRs'!$F$67:$F$79</definedName>
    <definedName name="dms_TradingName" localSheetId="1">#REF!</definedName>
    <definedName name="dms_TradingName">'Business &amp; other details'!$N$13</definedName>
    <definedName name="dms_TradingName_List" localSheetId="1">#REF!</definedName>
    <definedName name="dms_TradingName_List">'AER lookups'!$B$10:$B$24</definedName>
    <definedName name="dms_TradingNameFull" localSheetId="1">#REF!</definedName>
    <definedName name="dms_TradingNameFull">'AER ETL'!$C$9</definedName>
    <definedName name="dms_TradingNameFull_List" localSheetId="1">#REF!</definedName>
    <definedName name="dms_TradingNameFull_List">'AER lookups'!$C$10:$C$24</definedName>
    <definedName name="dms_Typed_Submission_Date" localSheetId="1">#REF!</definedName>
    <definedName name="dms_Typed_Submission_Date">'Business &amp; other details'!$N$34</definedName>
    <definedName name="dms_UID_List" localSheetId="1">#REF!</definedName>
    <definedName name="dms_UID_List">'AER lookups'!$E$10:$E$24</definedName>
    <definedName name="dms_Urban_flag" localSheetId="1">#REF!</definedName>
    <definedName name="dms_Urban_flag">'AER lookups'!$AA$10:$AA$24</definedName>
    <definedName name="dms_Urban_flag_NSP">'AER ETL'!$C$124</definedName>
    <definedName name="dms_Worksheet_List" localSheetId="1">#REF!</definedName>
    <definedName name="dms_Worksheet_List">'AER lookups'!$D$29:$D$43</definedName>
    <definedName name="DMS_Xfactor">'AER NRs'!$E$181</definedName>
    <definedName name="dms_y1" localSheetId="1">#REF!</definedName>
    <definedName name="dms_y1">'AER lookups'!$E$83</definedName>
    <definedName name="dms_y10">'AER lookups'!$E$92</definedName>
    <definedName name="dms_y11">'AER lookups'!$E$93</definedName>
    <definedName name="dms_y12">'AER lookups'!$E$94</definedName>
    <definedName name="dms_y13">'AER lookups'!$E$95</definedName>
    <definedName name="dms_y14">'AER lookups'!$E$96</definedName>
    <definedName name="dms_y15">'AER lookups'!$E$97</definedName>
    <definedName name="dms_y16">'AER lookups'!$E$98</definedName>
    <definedName name="dms_y17">'AER lookups'!$E$99</definedName>
    <definedName name="dms_y18">'AER lookups'!$E$100</definedName>
    <definedName name="dms_y19">'AER lookups'!$E$101</definedName>
    <definedName name="dms_y2">'AER lookups'!$E$84</definedName>
    <definedName name="dms_y20">'AER lookups'!$E$102</definedName>
    <definedName name="dms_y21">'AER lookups'!$E$103</definedName>
    <definedName name="dms_y22">'AER lookups'!$E$104</definedName>
    <definedName name="dms_y23">'AER lookups'!$E$105</definedName>
    <definedName name="dms_y24">'AER lookups'!$E$106</definedName>
    <definedName name="dms_y25">'AER lookups'!$E$107</definedName>
    <definedName name="dms_y26">'AER lookups'!$E$108</definedName>
    <definedName name="dms_y3">'AER lookups'!$E$85</definedName>
    <definedName name="dms_y4">'AER lookups'!$E$86</definedName>
    <definedName name="dms_y5">'AER lookups'!$E$87</definedName>
    <definedName name="dms_y6">'AER lookups'!$E$88</definedName>
    <definedName name="dms_y7">'AER lookups'!$E$89</definedName>
    <definedName name="dms_y8">'AER lookups'!$E$90</definedName>
    <definedName name="dms_y9">'AER lookups'!$E$91</definedName>
    <definedName name="EB">'AER lookups'!$C$33</definedName>
    <definedName name="EB_Fmt2">'AER lookups'!$D$33</definedName>
    <definedName name="Financial">'AER lookups'!$B$48:$B$113</definedName>
    <definedName name="FRCP_final_year" localSheetId="1">#REF!</definedName>
    <definedName name="FRCP_final_year">'AER ETL'!$C$47</definedName>
    <definedName name="FRCP_start_year">'AER ETL'!$C$44</definedName>
    <definedName name="FRCP_y1" localSheetId="1">#REF!</definedName>
    <definedName name="FRCP_y1">'Business &amp; other details'!#REF!</definedName>
    <definedName name="FRCP_y10" localSheetId="1">#REF!</definedName>
    <definedName name="FRCP_y10">'AER lookups'!$I$57</definedName>
    <definedName name="FRCP_y11" localSheetId="1">#REF!</definedName>
    <definedName name="FRCP_y11">'AER lookups'!$I$58</definedName>
    <definedName name="FRCP_y12" localSheetId="1">#REF!</definedName>
    <definedName name="FRCP_y12">'AER lookups'!$I$59</definedName>
    <definedName name="FRCP_y13" localSheetId="1">#REF!</definedName>
    <definedName name="FRCP_y13">'AER lookups'!$I$60</definedName>
    <definedName name="FRCP_y14" localSheetId="1">#REF!</definedName>
    <definedName name="FRCP_y14">'AER lookups'!$I$61</definedName>
    <definedName name="FRCP_y15" localSheetId="1">#REF!</definedName>
    <definedName name="FRCP_y15">'AER lookups'!$I$62</definedName>
    <definedName name="FRCP_y16">'AER lookups'!$I$63</definedName>
    <definedName name="FRCP_y17">'AER lookups'!$I$64</definedName>
    <definedName name="FRCP_y18">'AER lookups'!$I$65</definedName>
    <definedName name="FRCP_y19">'AER lookups'!$I$66</definedName>
    <definedName name="FRCP_y2" localSheetId="1">#REF!</definedName>
    <definedName name="FRCP_y2">'AER lookups'!$I$49</definedName>
    <definedName name="FRCP_y20">'AER lookups'!$I$67</definedName>
    <definedName name="FRCP_y21">'AER lookups'!$I$68</definedName>
    <definedName name="FRCP_y22">'AER lookups'!$I$69</definedName>
    <definedName name="FRCP_y23">'AER lookups'!$I$70</definedName>
    <definedName name="FRCP_y24">'AER lookups'!$I$71</definedName>
    <definedName name="FRCP_y25">'AER lookups'!$I$72</definedName>
    <definedName name="FRCP_y3" localSheetId="1">#REF!</definedName>
    <definedName name="FRCP_y3">'AER lookups'!$I$50</definedName>
    <definedName name="FRCP_y4" localSheetId="1">#REF!</definedName>
    <definedName name="FRCP_y4">'AER lookups'!$I$51</definedName>
    <definedName name="FRCP_y5" localSheetId="1">#REF!</definedName>
    <definedName name="FRCP_y5">'AER lookups'!$I$52</definedName>
    <definedName name="FRCP_y6" localSheetId="1">#REF!</definedName>
    <definedName name="FRCP_y6">'AER lookups'!$I$53</definedName>
    <definedName name="FRCP_y7" localSheetId="1">#REF!</definedName>
    <definedName name="FRCP_y7">'AER lookups'!$I$54</definedName>
    <definedName name="FRCP_y8" localSheetId="1">#REF!</definedName>
    <definedName name="FRCP_y8">'AER lookups'!$I$55</definedName>
    <definedName name="FRCP_y9" localSheetId="1">#REF!</definedName>
    <definedName name="FRCP_y9">'AER lookups'!$I$56</definedName>
    <definedName name="FRY" localSheetId="1">#REF!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CF'!$C$7:$C$35</definedName>
    <definedName name="LAN" localSheetId="7" hidden="1">{"Ownership",#N/A,FALSE,"Ownership";"Contents",#N/A,FALSE,"Contents"}</definedName>
    <definedName name="LAN" localSheetId="10" hidden="1">{"Ownership",#N/A,FALSE,"Ownership";"Contents",#N/A,FALSE,"Contents"}</definedName>
    <definedName name="LAN" localSheetId="9" hidden="1">{"Ownership",#N/A,FALSE,"Ownership";"Contents",#N/A,FALSE,"Contents"}</definedName>
    <definedName name="LAN" localSheetId="8" hidden="1">{"Ownership",#N/A,FALSE,"Ownership";"Contents",#N/A,FALSE,"Contents"}</definedName>
    <definedName name="LAN" localSheetId="1">{"Ownership",#N/A,FALSE,"Ownership";"Contents",#N/A,FALSE,"Contents"}</definedName>
    <definedName name="LAN">{"Ownership",#N/A,FALSE,"Ownership";"Contents",#N/A,FALSE,"Contents"}</definedName>
    <definedName name="PRCP_final_year" localSheetId="1">#REF!</definedName>
    <definedName name="PRCP_final_year">'AER ETL'!$C$49</definedName>
    <definedName name="PRCP_start_year">'AER ETL'!$C$46</definedName>
    <definedName name="PRCP_y1" localSheetId="1">#REF!</definedName>
    <definedName name="PRCP_y1">'AER lookups'!$E$48</definedName>
    <definedName name="PRCP_y10" localSheetId="1">#REF!</definedName>
    <definedName name="PRCP_y10">'AER lookups'!$E$57</definedName>
    <definedName name="PRCP_y11" localSheetId="1">#REF!</definedName>
    <definedName name="PRCP_y11">'AER lookups'!$E$58</definedName>
    <definedName name="PRCP_y12" localSheetId="1">#REF!</definedName>
    <definedName name="PRCP_y12">'AER lookups'!$E$59</definedName>
    <definedName name="PRCP_y13" localSheetId="1">#REF!</definedName>
    <definedName name="PRCP_y13">'AER lookups'!$E$60</definedName>
    <definedName name="PRCP_y14" localSheetId="1">#REF!</definedName>
    <definedName name="PRCP_y14">'AER lookups'!$E$61</definedName>
    <definedName name="PRCP_y15" localSheetId="1">#REF!</definedName>
    <definedName name="PRCP_y15">'AER lookups'!$E$62</definedName>
    <definedName name="PRCP_y16">'AER lookups'!$E$63</definedName>
    <definedName name="PRCP_y17">'AER lookups'!$E$64</definedName>
    <definedName name="PRCP_y18">'AER lookups'!$E$65</definedName>
    <definedName name="PRCP_y19">'AER lookups'!$E$66</definedName>
    <definedName name="PRCP_y2" localSheetId="1">#REF!</definedName>
    <definedName name="PRCP_y2">'AER lookups'!$E$49</definedName>
    <definedName name="PRCP_y20">'AER lookups'!$E$67</definedName>
    <definedName name="PRCP_y21">'AER lookups'!$E$68</definedName>
    <definedName name="PRCP_y22">'AER lookups'!$E$69</definedName>
    <definedName name="PRCP_y23">'AER lookups'!$E$70</definedName>
    <definedName name="PRCP_y24">'AER lookups'!$E$71</definedName>
    <definedName name="PRCP_y25">'AER lookups'!$E$72</definedName>
    <definedName name="PRCP_y3" localSheetId="1">#REF!</definedName>
    <definedName name="PRCP_y3">'AER lookups'!$E$50</definedName>
    <definedName name="PRCP_y4" localSheetId="1">#REF!</definedName>
    <definedName name="PRCP_y4">'AER lookups'!$E$51</definedName>
    <definedName name="PRCP_y5" localSheetId="1">#REF!</definedName>
    <definedName name="PRCP_y5">'AER lookups'!$E$52</definedName>
    <definedName name="PRCP_y6" localSheetId="1">#REF!</definedName>
    <definedName name="PRCP_y6">'AER lookups'!$E$53</definedName>
    <definedName name="PRCP_y7" localSheetId="1">#REF!</definedName>
    <definedName name="PRCP_y7">'AER lookups'!$E$54</definedName>
    <definedName name="PRCP_y8" localSheetId="1">#REF!</definedName>
    <definedName name="PRCP_y8">'AER lookups'!$E$55</definedName>
    <definedName name="PRCP_y9" localSheetId="1">#REF!</definedName>
    <definedName name="PRCP_y9">'AER lookups'!$E$56</definedName>
    <definedName name="Pricing">'AER lookups'!$C$35</definedName>
    <definedName name="Pricing_Fmt2">'AER lookups'!$D$35</definedName>
    <definedName name="PTRM">'AER lookups'!$C$37</definedName>
    <definedName name="PTRM_Fmt2">'AER lookups'!$D$37</definedName>
    <definedName name="Reset">'AER lookups'!$C$38</definedName>
    <definedName name="Reset_Fmt2">'AER lookups'!$D$38</definedName>
    <definedName name="Reset_outputs">'AER lookups'!$C$39</definedName>
    <definedName name="RFM">'AER lookups'!$C$40</definedName>
    <definedName name="RFM_Fmt2">'AER lookups'!$D$40</definedName>
    <definedName name="Sector">'AER CF'!$D$7:$D$35</definedName>
    <definedName name="Segment">'AER CF'!$E$7:$E$35</definedName>
    <definedName name="teest" localSheetId="10" hidden="1">{"Ownership",#N/A,FALSE,"Ownership";"Contents",#N/A,FALSE,"Contents"}</definedName>
    <definedName name="teest" localSheetId="9" hidden="1">{"Ownership",#N/A,FALSE,"Ownership";"Contents",#N/A,FALSE,"Contents"}</definedName>
    <definedName name="teest" localSheetId="8" hidden="1">{"Ownership",#N/A,FALSE,"Ownership";"Contents",#N/A,FALSE,"Contents"}</definedName>
    <definedName name="teest" localSheetId="1" hidden="1">{"Ownership",#N/A,FALSE,"Ownership";"Contents",#N/A,FALSE,"Contents"}</definedName>
    <definedName name="teest" hidden="1">{"Ownership",#N/A,FALSE,"Ownership";"Contents",#N/A,FALSE,"Contents"}</definedName>
    <definedName name="test" localSheetId="10" hidden="1">{"Ownership",#N/A,FALSE,"Ownership";"Contents",#N/A,FALSE,"Contents"}</definedName>
    <definedName name="test" localSheetId="9" hidden="1">{"Ownership",#N/A,FALSE,"Ownership";"Contents",#N/A,FALSE,"Contents"}</definedName>
    <definedName name="test" localSheetId="8" hidden="1">{"Ownership",#N/A,FALSE,"Ownership";"Contents",#N/A,FALSE,"Contents"}</definedName>
    <definedName name="test" localSheetId="1" hidden="1">{"Ownership",#N/A,FALSE,"Ownership";"Contents",#N/A,FALSE,"Contents"}</definedName>
    <definedName name="test" hidden="1">{"Ownership",#N/A,FALSE,"Ownership";"Contents",#N/A,FALSE,"Contents"}</definedName>
    <definedName name="WACC">'AER lookups'!$C$43</definedName>
    <definedName name="WACC_Fmt2">'AER lookups'!$D$43</definedName>
    <definedName name="wrn.App._.Custodians." localSheetId="10" hidden="1">{"Ownership",#N/A,FALSE,"Ownership";"Contents",#N/A,FALSE,"Contents"}</definedName>
    <definedName name="wrn.App._.Custodians." localSheetId="9" hidden="1">{"Ownership",#N/A,FALSE,"Ownership";"Contents",#N/A,FALSE,"Contents"}</definedName>
    <definedName name="wrn.App._.Custodians." localSheetId="8" hidden="1">{"Ownership",#N/A,FALSE,"Ownership";"Contents",#N/A,FALSE,"Contents"}</definedName>
    <definedName name="wrn.App._.Custodians." localSheetId="1" hidden="1">{"Ownership",#N/A,FALSE,"Ownership";"Contents",#N/A,FALSE,"Contents"}</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19" l="1"/>
  <c r="B6" i="86" l="1"/>
  <c r="C2" i="7" l="1"/>
  <c r="C32" i="81"/>
  <c r="C33" i="81"/>
  <c r="C34" i="81"/>
  <c r="C35" i="81"/>
  <c r="C36" i="81"/>
  <c r="C37" i="81"/>
  <c r="C38" i="81"/>
  <c r="C39" i="81"/>
  <c r="C40" i="81"/>
  <c r="C41" i="81"/>
  <c r="C31" i="81"/>
  <c r="C30" i="81"/>
  <c r="I25" i="79"/>
  <c r="H25" i="79"/>
  <c r="G25" i="79"/>
  <c r="I24" i="79"/>
  <c r="H24" i="79"/>
  <c r="G24" i="79"/>
  <c r="E23" i="79"/>
  <c r="I23" i="79" s="1"/>
  <c r="E13" i="79"/>
  <c r="I13" i="79" s="1"/>
  <c r="I15" i="79"/>
  <c r="I14" i="79"/>
  <c r="C2" i="86" l="1"/>
  <c r="B2" i="19"/>
  <c r="H23" i="79"/>
  <c r="G23" i="79"/>
  <c r="G12" i="79" l="1"/>
  <c r="H12" i="79"/>
  <c r="I12" i="79"/>
  <c r="G13" i="79"/>
  <c r="H13" i="79"/>
  <c r="G14" i="79"/>
  <c r="H14" i="79"/>
  <c r="G15" i="79"/>
  <c r="H15" i="79"/>
  <c r="G16" i="79"/>
  <c r="H16" i="79"/>
  <c r="I16" i="79"/>
  <c r="G17" i="79"/>
  <c r="H17" i="79"/>
  <c r="I17" i="79"/>
  <c r="N24" i="7"/>
  <c r="C1" i="7" s="1"/>
  <c r="B1" i="19" s="1"/>
  <c r="C1" i="86" l="1"/>
  <c r="C127" i="85" l="1"/>
  <c r="C104" i="85" s="1"/>
  <c r="C126" i="85"/>
  <c r="C125" i="85"/>
  <c r="C124" i="85"/>
  <c r="C123" i="85"/>
  <c r="C122" i="85"/>
  <c r="C115" i="85"/>
  <c r="C114" i="85"/>
  <c r="C112" i="85"/>
  <c r="C105" i="85"/>
  <c r="C101" i="85"/>
  <c r="C95" i="85"/>
  <c r="C94" i="85"/>
  <c r="C92" i="85"/>
  <c r="C90" i="85"/>
  <c r="C75" i="85"/>
  <c r="C74" i="85"/>
  <c r="C73" i="85"/>
  <c r="C71" i="85"/>
  <c r="C70" i="85"/>
  <c r="C69" i="85"/>
  <c r="C64" i="85"/>
  <c r="C84" i="85" s="1"/>
  <c r="C57" i="85"/>
  <c r="C80" i="85" s="1"/>
  <c r="C56" i="85"/>
  <c r="C60" i="85" s="1"/>
  <c r="C54" i="85"/>
  <c r="C37" i="85"/>
  <c r="C35" i="85"/>
  <c r="C31" i="85"/>
  <c r="C29" i="85"/>
  <c r="C27" i="85"/>
  <c r="C24" i="85"/>
  <c r="C30" i="85" s="1"/>
  <c r="C22" i="85"/>
  <c r="C87" i="85" s="1"/>
  <c r="C21" i="85"/>
  <c r="C17" i="85"/>
  <c r="C16" i="85"/>
  <c r="E13" i="85"/>
  <c r="C11" i="85"/>
  <c r="C10" i="85"/>
  <c r="C9" i="85"/>
  <c r="AL10" i="84"/>
  <c r="AL11" i="84"/>
  <c r="AL12" i="84"/>
  <c r="AL13" i="84"/>
  <c r="AL14" i="84"/>
  <c r="AL15" i="84"/>
  <c r="AL16" i="84"/>
  <c r="AL17" i="84"/>
  <c r="AL18" i="84"/>
  <c r="AL19" i="84"/>
  <c r="AL20" i="84"/>
  <c r="AL21" i="84"/>
  <c r="AL22" i="84"/>
  <c r="AL23" i="84"/>
  <c r="AL24" i="84"/>
  <c r="D29" i="84"/>
  <c r="D30" i="84"/>
  <c r="D33" i="84"/>
  <c r="H48" i="84"/>
  <c r="H214" i="83"/>
  <c r="G214" i="83"/>
  <c r="F214" i="83"/>
  <c r="E214" i="83"/>
  <c r="D214" i="83"/>
  <c r="M209" i="83"/>
  <c r="L209" i="83"/>
  <c r="K209" i="83"/>
  <c r="J209" i="83"/>
  <c r="I209" i="83"/>
  <c r="H209" i="83"/>
  <c r="G209" i="83"/>
  <c r="F209" i="83"/>
  <c r="E209" i="83"/>
  <c r="D209" i="83"/>
  <c r="X35" i="82"/>
  <c r="W35" i="82"/>
  <c r="Q35" i="82"/>
  <c r="X34" i="82"/>
  <c r="W34" i="82"/>
  <c r="Q34" i="82"/>
  <c r="X33" i="82"/>
  <c r="W33" i="82"/>
  <c r="Q33" i="82"/>
  <c r="X32" i="82"/>
  <c r="W32" i="82"/>
  <c r="Q32" i="82"/>
  <c r="X31" i="82"/>
  <c r="W31" i="82"/>
  <c r="Q31" i="82"/>
  <c r="X29" i="82"/>
  <c r="W29" i="82"/>
  <c r="Q29" i="82"/>
  <c r="X28" i="82"/>
  <c r="W28" i="82"/>
  <c r="Q28" i="82"/>
  <c r="X27" i="82"/>
  <c r="W27" i="82"/>
  <c r="Q27" i="82"/>
  <c r="X26" i="82"/>
  <c r="W26" i="82"/>
  <c r="Q26" i="82"/>
  <c r="X24" i="82"/>
  <c r="W24" i="82"/>
  <c r="Q24" i="82"/>
  <c r="X23" i="82"/>
  <c r="W23" i="82"/>
  <c r="Q23" i="82"/>
  <c r="X22" i="82"/>
  <c r="W22" i="82"/>
  <c r="Q22" i="82"/>
  <c r="X21" i="82"/>
  <c r="W21" i="82"/>
  <c r="Q21" i="82"/>
  <c r="X20" i="82"/>
  <c r="W20" i="82"/>
  <c r="Q20" i="82"/>
  <c r="X19" i="82"/>
  <c r="W19" i="82"/>
  <c r="Q19" i="82"/>
  <c r="X18" i="82"/>
  <c r="W18" i="82"/>
  <c r="Q18" i="82"/>
  <c r="X17" i="82"/>
  <c r="W17" i="82"/>
  <c r="Q17" i="82"/>
  <c r="X16" i="82"/>
  <c r="W16" i="82"/>
  <c r="Q16" i="82"/>
  <c r="X15" i="82"/>
  <c r="W15" i="82"/>
  <c r="Q15" i="82"/>
  <c r="X14" i="82"/>
  <c r="W14" i="82"/>
  <c r="Q14" i="82"/>
  <c r="X13" i="82"/>
  <c r="W13" i="82"/>
  <c r="Q13" i="82"/>
  <c r="X12" i="82"/>
  <c r="W12" i="82"/>
  <c r="Q12" i="82"/>
  <c r="X11" i="82"/>
  <c r="W11" i="82"/>
  <c r="Q11" i="82"/>
  <c r="X10" i="82"/>
  <c r="W10" i="82"/>
  <c r="Q10" i="82"/>
  <c r="X9" i="82"/>
  <c r="W9" i="82"/>
  <c r="Q9" i="82"/>
  <c r="U5" i="82"/>
  <c r="I60" i="81"/>
  <c r="J60" i="81"/>
  <c r="K60" i="81"/>
  <c r="L60" i="81"/>
  <c r="M60" i="81"/>
  <c r="N60" i="81"/>
  <c r="N59" i="81"/>
  <c r="M59" i="81"/>
  <c r="L59" i="81"/>
  <c r="K59" i="81"/>
  <c r="J59" i="81"/>
  <c r="I59" i="81"/>
  <c r="I67" i="81"/>
  <c r="J67" i="81"/>
  <c r="K67" i="81"/>
  <c r="L67" i="81"/>
  <c r="M67" i="81"/>
  <c r="N67" i="81"/>
  <c r="I68" i="81"/>
  <c r="J68" i="81"/>
  <c r="K68" i="81"/>
  <c r="L68" i="81"/>
  <c r="M68" i="81"/>
  <c r="N68" i="81"/>
  <c r="I69" i="81"/>
  <c r="J69" i="81"/>
  <c r="K69" i="81"/>
  <c r="L69" i="81"/>
  <c r="M69" i="81"/>
  <c r="N69" i="81"/>
  <c r="J66" i="81"/>
  <c r="N66" i="81"/>
  <c r="M66" i="81"/>
  <c r="L66" i="81"/>
  <c r="K66" i="81"/>
  <c r="I66" i="81"/>
  <c r="N50" i="81"/>
  <c r="N49" i="81"/>
  <c r="M50" i="81"/>
  <c r="M49" i="81"/>
  <c r="L50" i="81"/>
  <c r="L49" i="81"/>
  <c r="K50" i="81"/>
  <c r="K49" i="81"/>
  <c r="J50" i="81"/>
  <c r="J49" i="81"/>
  <c r="I50" i="81"/>
  <c r="I49" i="81"/>
  <c r="L26" i="81"/>
  <c r="M26" i="81"/>
  <c r="O26" i="81"/>
  <c r="P26" i="81"/>
  <c r="Q26" i="81"/>
  <c r="S26" i="81"/>
  <c r="L32" i="81"/>
  <c r="M32" i="81"/>
  <c r="O32" i="81"/>
  <c r="P32" i="81"/>
  <c r="Q32" i="81"/>
  <c r="S32" i="81"/>
  <c r="L33" i="81"/>
  <c r="M33" i="81"/>
  <c r="O33" i="81"/>
  <c r="P33" i="81"/>
  <c r="Q33" i="81"/>
  <c r="S33" i="81"/>
  <c r="L34" i="81"/>
  <c r="M34" i="81"/>
  <c r="O34" i="81"/>
  <c r="P34" i="81"/>
  <c r="Q34" i="81"/>
  <c r="S34" i="81"/>
  <c r="L35" i="81"/>
  <c r="M35" i="81"/>
  <c r="O35" i="81"/>
  <c r="P35" i="81"/>
  <c r="Q35" i="81"/>
  <c r="S35" i="81"/>
  <c r="L36" i="81"/>
  <c r="M36" i="81"/>
  <c r="O36" i="81"/>
  <c r="P36" i="81"/>
  <c r="Q36" i="81"/>
  <c r="S36" i="81"/>
  <c r="L37" i="81"/>
  <c r="M37" i="81"/>
  <c r="O37" i="81"/>
  <c r="P37" i="81"/>
  <c r="Q37" i="81"/>
  <c r="S37" i="81"/>
  <c r="L38" i="81"/>
  <c r="M38" i="81"/>
  <c r="O38" i="81"/>
  <c r="P38" i="81"/>
  <c r="Q38" i="81"/>
  <c r="S38" i="81"/>
  <c r="L39" i="81"/>
  <c r="M39" i="81"/>
  <c r="O39" i="81"/>
  <c r="P39" i="81"/>
  <c r="Q39" i="81"/>
  <c r="S39" i="81"/>
  <c r="L40" i="81"/>
  <c r="M40" i="81"/>
  <c r="O40" i="81"/>
  <c r="P40" i="81"/>
  <c r="Q40" i="81"/>
  <c r="S40" i="81"/>
  <c r="L41" i="81"/>
  <c r="M41" i="81"/>
  <c r="O41" i="81"/>
  <c r="P41" i="81"/>
  <c r="Q41" i="81"/>
  <c r="S41" i="81"/>
  <c r="O31" i="81"/>
  <c r="M31" i="81"/>
  <c r="L31" i="81"/>
  <c r="S31" i="81"/>
  <c r="Q31" i="81"/>
  <c r="P31" i="81"/>
  <c r="R30" i="81"/>
  <c r="Q30" i="81"/>
  <c r="P30" i="81"/>
  <c r="N30" i="81"/>
  <c r="M30" i="81"/>
  <c r="L30" i="81"/>
  <c r="S17" i="81"/>
  <c r="S18" i="81"/>
  <c r="S19" i="81"/>
  <c r="S20" i="81"/>
  <c r="S21" i="81"/>
  <c r="S22" i="81"/>
  <c r="S23" i="81"/>
  <c r="S24" i="81"/>
  <c r="S25" i="81"/>
  <c r="S16" i="81"/>
  <c r="R15" i="81"/>
  <c r="Q17" i="81"/>
  <c r="Q16" i="81"/>
  <c r="Q18" i="81"/>
  <c r="Q19" i="81"/>
  <c r="Q20" i="81"/>
  <c r="Q21" i="81"/>
  <c r="Q22" i="81"/>
  <c r="Q23" i="81"/>
  <c r="Q24" i="81"/>
  <c r="Q25" i="81"/>
  <c r="Q15" i="81"/>
  <c r="P16" i="81"/>
  <c r="P17" i="81"/>
  <c r="P18" i="81"/>
  <c r="P19" i="81"/>
  <c r="P20" i="81"/>
  <c r="P21" i="81"/>
  <c r="P22" i="81"/>
  <c r="P23" i="81"/>
  <c r="P24" i="81"/>
  <c r="P25" i="81"/>
  <c r="P15" i="81"/>
  <c r="O17" i="81"/>
  <c r="O18" i="81"/>
  <c r="O19" i="81"/>
  <c r="O20" i="81"/>
  <c r="O21" i="81"/>
  <c r="O22" i="81"/>
  <c r="O23" i="81"/>
  <c r="O24" i="81"/>
  <c r="O25" i="81"/>
  <c r="O16" i="81"/>
  <c r="H22" i="80"/>
  <c r="H23" i="80"/>
  <c r="H24" i="80"/>
  <c r="H21" i="80"/>
  <c r="G22" i="80"/>
  <c r="G23" i="80"/>
  <c r="G24" i="80"/>
  <c r="G21" i="80"/>
  <c r="H13" i="80"/>
  <c r="H14" i="80"/>
  <c r="H15" i="80"/>
  <c r="H16" i="80"/>
  <c r="H12" i="80"/>
  <c r="H11" i="80"/>
  <c r="G13" i="80"/>
  <c r="G14" i="80"/>
  <c r="G15" i="80"/>
  <c r="G16" i="80"/>
  <c r="G17" i="80"/>
  <c r="G12" i="80"/>
  <c r="G11" i="80"/>
  <c r="I11" i="79"/>
  <c r="H11" i="79"/>
  <c r="E18" i="79"/>
  <c r="L16" i="81"/>
  <c r="M16" i="81"/>
  <c r="L17" i="81"/>
  <c r="M17" i="81"/>
  <c r="L18" i="81"/>
  <c r="M18" i="81"/>
  <c r="L19" i="81"/>
  <c r="M19" i="81"/>
  <c r="L20" i="81"/>
  <c r="M20" i="81"/>
  <c r="L21" i="81"/>
  <c r="M21" i="81"/>
  <c r="L22" i="81"/>
  <c r="M22" i="81"/>
  <c r="L23" i="81"/>
  <c r="M23" i="81"/>
  <c r="L24" i="81"/>
  <c r="M24" i="81"/>
  <c r="L25" i="81"/>
  <c r="M25" i="81"/>
  <c r="L15" i="81"/>
  <c r="N15" i="81"/>
  <c r="M15" i="81"/>
  <c r="E25" i="80"/>
  <c r="E18" i="80"/>
  <c r="I42" i="79"/>
  <c r="H42" i="79"/>
  <c r="G42" i="79"/>
  <c r="I41" i="79"/>
  <c r="H41" i="79"/>
  <c r="G41" i="79"/>
  <c r="I40" i="79"/>
  <c r="H40" i="79"/>
  <c r="G40" i="79"/>
  <c r="I39" i="79"/>
  <c r="H39" i="79"/>
  <c r="G39" i="79"/>
  <c r="I38" i="79"/>
  <c r="H38" i="79"/>
  <c r="G38" i="79"/>
  <c r="I37" i="79"/>
  <c r="H37" i="79"/>
  <c r="G37" i="79"/>
  <c r="I29" i="79"/>
  <c r="H29" i="79"/>
  <c r="G29" i="79"/>
  <c r="I28" i="79"/>
  <c r="H28" i="79"/>
  <c r="G28" i="79"/>
  <c r="I27" i="79"/>
  <c r="H27" i="79"/>
  <c r="G27" i="79"/>
  <c r="I26" i="79"/>
  <c r="H26" i="79"/>
  <c r="G26" i="79"/>
  <c r="G11" i="79"/>
  <c r="G27" i="81"/>
  <c r="F27" i="81"/>
  <c r="E43" i="79"/>
  <c r="E30" i="79" a="1"/>
  <c r="E30" i="79" s="1"/>
  <c r="C40" i="85"/>
  <c r="C76" i="85" l="1"/>
  <c r="C77" i="85" s="1"/>
  <c r="C65" i="85"/>
  <c r="C100" i="85"/>
  <c r="C102" i="85" s="1"/>
  <c r="C103" i="85"/>
  <c r="C66" i="85"/>
  <c r="C83" i="85"/>
  <c r="E60" i="81"/>
  <c r="E59" i="81"/>
  <c r="E41" i="81"/>
  <c r="E40" i="81"/>
  <c r="E39" i="81"/>
  <c r="E38" i="81"/>
  <c r="E37" i="81"/>
  <c r="E36" i="81"/>
  <c r="E35" i="81"/>
  <c r="E34" i="81"/>
  <c r="E33" i="81"/>
  <c r="E32" i="81"/>
  <c r="E31" i="81"/>
  <c r="E30" i="81"/>
  <c r="E26" i="81"/>
  <c r="E25" i="81"/>
  <c r="E24" i="81"/>
  <c r="E23" i="81"/>
  <c r="E22" i="81"/>
  <c r="E21" i="81"/>
  <c r="E20" i="81"/>
  <c r="E19" i="81"/>
  <c r="E18" i="81"/>
  <c r="E17" i="81"/>
  <c r="E16" i="81"/>
  <c r="E15" i="81"/>
  <c r="E50" i="81"/>
  <c r="E49" i="81"/>
  <c r="E69" i="81"/>
  <c r="E68" i="81"/>
  <c r="E67" i="81"/>
  <c r="E66" i="81"/>
  <c r="E25" i="85" l="1"/>
  <c r="E27" i="81"/>
  <c r="C1" i="81"/>
  <c r="C1" i="80"/>
  <c r="C1" i="79"/>
  <c r="C51" i="85" l="1"/>
  <c r="C3" i="7" l="1"/>
  <c r="C2" i="81"/>
  <c r="C3" i="81" l="1"/>
  <c r="C3" i="86"/>
  <c r="C2" i="79"/>
  <c r="C2" i="80"/>
  <c r="C3" i="79"/>
  <c r="C3" i="80"/>
  <c r="N14" i="7" l="1"/>
  <c r="D216" i="83" l="1" a="1"/>
  <c r="D216" i="83" s="1"/>
  <c r="I70" i="84"/>
  <c r="I71" i="84"/>
  <c r="I68" i="84"/>
  <c r="I50" i="84"/>
  <c r="I63" i="84"/>
  <c r="I51" i="84"/>
  <c r="I56" i="84"/>
  <c r="I67" i="84"/>
  <c r="I61" i="84"/>
  <c r="I60" i="84"/>
  <c r="I55" i="84"/>
  <c r="I54" i="84"/>
  <c r="I53" i="84"/>
  <c r="I69" i="84"/>
  <c r="I65" i="84"/>
  <c r="I62" i="84"/>
  <c r="I57" i="84"/>
  <c r="I49" i="84"/>
  <c r="I52" i="84"/>
  <c r="I48" i="84"/>
  <c r="I64" i="84"/>
  <c r="I58" i="84"/>
  <c r="I66" i="84"/>
  <c r="I59" i="84"/>
  <c r="I72" i="84"/>
  <c r="C43" i="85" l="1"/>
  <c r="C42" i="85"/>
  <c r="C41" i="85"/>
  <c r="C50" i="85"/>
  <c r="G60" i="84"/>
  <c r="G61" i="84"/>
  <c r="E53" i="84"/>
  <c r="E63" i="84"/>
  <c r="E49" i="84"/>
  <c r="C44" i="85"/>
  <c r="E57" i="84"/>
  <c r="C47" i="85"/>
  <c r="E66" i="84"/>
  <c r="C55" i="85" l="1"/>
  <c r="C81" i="85"/>
  <c r="E59" i="84"/>
  <c r="G66" i="84"/>
  <c r="E69" i="84"/>
  <c r="G64" i="84"/>
  <c r="G68" i="84"/>
  <c r="E52" i="84"/>
  <c r="E67" i="84"/>
  <c r="C46" i="85"/>
  <c r="G55" i="84"/>
  <c r="G58" i="84"/>
  <c r="E50" i="84"/>
  <c r="C49" i="85"/>
  <c r="E71" i="84"/>
  <c r="E62" i="84"/>
  <c r="E64" i="84"/>
  <c r="E68" i="84"/>
  <c r="C48" i="85"/>
  <c r="E65" i="84"/>
  <c r="G54" i="84"/>
  <c r="E55" i="84"/>
  <c r="E60" i="84"/>
  <c r="G53" i="84"/>
  <c r="E54" i="84"/>
  <c r="E72" i="84"/>
  <c r="G72" i="84"/>
  <c r="E61" i="84"/>
  <c r="G63" i="84"/>
  <c r="G59" i="84"/>
  <c r="G71" i="84"/>
  <c r="G49" i="84"/>
  <c r="E70" i="84"/>
  <c r="G52" i="84"/>
  <c r="G50" i="84"/>
  <c r="G70" i="84"/>
  <c r="E58" i="84"/>
  <c r="G69" i="84"/>
  <c r="G62" i="84"/>
  <c r="G56" i="84"/>
  <c r="G51" i="84"/>
  <c r="G67" i="84"/>
  <c r="G48" i="84"/>
  <c r="E56" i="84"/>
  <c r="C45" i="85"/>
  <c r="G65" i="84"/>
  <c r="G57" i="84"/>
  <c r="E48" i="84"/>
  <c r="E51" i="84"/>
  <c r="C38" i="85" l="1"/>
  <c r="C118" i="85"/>
  <c r="C107" i="85"/>
  <c r="C52" i="85"/>
  <c r="C53" i="85"/>
  <c r="C39" i="85"/>
  <c r="C61" i="85" l="1"/>
  <c r="C32" i="85"/>
  <c r="C33" i="85"/>
  <c r="E197" i="83"/>
  <c r="C108" i="85"/>
  <c r="E99" i="84"/>
  <c r="E95" i="84"/>
  <c r="E97" i="84"/>
  <c r="E88" i="84"/>
  <c r="E96" i="84"/>
  <c r="E107" i="84"/>
  <c r="E92" i="84"/>
  <c r="E98" i="84"/>
  <c r="E106" i="84"/>
  <c r="E86" i="84"/>
  <c r="E103" i="84"/>
  <c r="E87" i="84"/>
  <c r="E83" i="84"/>
  <c r="E85" i="84"/>
  <c r="E108" i="84"/>
  <c r="E84" i="84"/>
  <c r="E101" i="84"/>
  <c r="E90" i="84"/>
  <c r="E102" i="84"/>
  <c r="E93" i="84"/>
  <c r="E105" i="84"/>
  <c r="E89" i="84"/>
  <c r="E100" i="84"/>
  <c r="E91" i="84"/>
  <c r="E94" i="84"/>
  <c r="E104" i="84"/>
  <c r="C59" i="85" l="1"/>
  <c r="C58" i="85"/>
  <c r="C23" i="8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<sst xmlns="http://schemas.openxmlformats.org/spreadsheetml/2006/main" count="2536" uniqueCount="1259">
  <si>
    <t>Australian Distribution Co.</t>
  </si>
  <si>
    <t>EB</t>
  </si>
  <si>
    <t>Consolidated</t>
  </si>
  <si>
    <t>Public</t>
  </si>
  <si>
    <t>Reporting</t>
  </si>
  <si>
    <t>2020-21</t>
  </si>
  <si>
    <t>2024-25</t>
  </si>
  <si>
    <t>BUSINESS &amp; OTHER DETAILS</t>
  </si>
  <si>
    <t>Short name</t>
  </si>
  <si>
    <t>Source</t>
  </si>
  <si>
    <t>.</t>
  </si>
  <si>
    <t>Submission Date</t>
  </si>
  <si>
    <t>Confidential</t>
  </si>
  <si>
    <t>SUBMISSION PARTICULARS INPUT SHEET</t>
  </si>
  <si>
    <t>Business Name</t>
  </si>
  <si>
    <t>ACN/ABN</t>
  </si>
  <si>
    <t>Name</t>
  </si>
  <si>
    <t>Confidentiality Status</t>
  </si>
  <si>
    <t>Business &amp; other details</t>
  </si>
  <si>
    <t>Amended</t>
  </si>
  <si>
    <t>Closing value</t>
  </si>
  <si>
    <t xml:space="preserve">Disposals </t>
  </si>
  <si>
    <t>Inflation addition</t>
  </si>
  <si>
    <t>Opening value</t>
  </si>
  <si>
    <t>CONTENTS</t>
  </si>
  <si>
    <t>EXPENDITURE</t>
  </si>
  <si>
    <t>Maintenance</t>
  </si>
  <si>
    <t>Network overheads</t>
  </si>
  <si>
    <t>Corporate overheads</t>
  </si>
  <si>
    <t>UNITS</t>
  </si>
  <si>
    <t>Other expenditure</t>
  </si>
  <si>
    <t>Distribution revenue (excluding DFA revenues)</t>
  </si>
  <si>
    <t>Maintenance expenditure</t>
  </si>
  <si>
    <t>Operating expenditure excluding maintenance expenditure</t>
  </si>
  <si>
    <t>In-house labour expenditure</t>
  </si>
  <si>
    <t>Labour expenditure outsourced to related parties</t>
  </si>
  <si>
    <t>Labour expenditure outsourced to unrelated parties</t>
  </si>
  <si>
    <t>Non-labour expenditure</t>
  </si>
  <si>
    <t>TEMPLATE DATE</t>
  </si>
  <si>
    <t>$</t>
  </si>
  <si>
    <t>OPERATING EXPENDITURE</t>
  </si>
  <si>
    <t>OVERHEADS EXPENDITURE</t>
  </si>
  <si>
    <t xml:space="preserve">Non residential customers not on demand tariffs </t>
  </si>
  <si>
    <t xml:space="preserve">Non-residential low voltage demand tariff customers </t>
  </si>
  <si>
    <t xml:space="preserve">Non-residential high voltage demand tariff customers </t>
  </si>
  <si>
    <t xml:space="preserve">Residential customers </t>
  </si>
  <si>
    <t>Unmetered customers</t>
  </si>
  <si>
    <t>Other customers</t>
  </si>
  <si>
    <t xml:space="preserve">Gross capex </t>
  </si>
  <si>
    <t>Capex timing adjustment</t>
  </si>
  <si>
    <t>total expenditure</t>
  </si>
  <si>
    <t>total revenue</t>
  </si>
  <si>
    <t>Other revenue</t>
  </si>
  <si>
    <t>Jurisdictional scheme revenue</t>
  </si>
  <si>
    <t>Protected (SOCI)</t>
  </si>
  <si>
    <t>#25C6FF</t>
  </si>
  <si>
    <t>#FFCCCC</t>
  </si>
  <si>
    <t>12.5% Grey</t>
  </si>
  <si>
    <t>Amended Confidential</t>
  </si>
  <si>
    <t>#FFCCCC &amp; 
12.5% Grey</t>
  </si>
  <si>
    <t>REVENUE GROUPING BY CUSTOMER TYPE OR CLASS</t>
  </si>
  <si>
    <t>RELATED PARTY MARGINS</t>
  </si>
  <si>
    <t>Operating expenditure</t>
  </si>
  <si>
    <t>Total revenue</t>
  </si>
  <si>
    <t>Forecast straight line depreciation</t>
  </si>
  <si>
    <t>Capital contributions included in gross capex</t>
  </si>
  <si>
    <t>Actual tax depreciation</t>
  </si>
  <si>
    <t>Jurisdictional scheme payments</t>
  </si>
  <si>
    <t>TUOS expenditure</t>
  </si>
  <si>
    <t>Income statement</t>
  </si>
  <si>
    <t>TOTAL REVENUE</t>
  </si>
  <si>
    <t>Dual function asset revenue</t>
  </si>
  <si>
    <t>TUOS revenue</t>
  </si>
  <si>
    <t>Cross boundary revenue</t>
  </si>
  <si>
    <t>Other TUOS revenue</t>
  </si>
  <si>
    <t>Cross boundary expenditure</t>
  </si>
  <si>
    <t>Other TUOS expenditure</t>
  </si>
  <si>
    <t>Standard Control Services -
 Legacy Meters</t>
  </si>
  <si>
    <t>INDICATIVE TOTAL ASSET BASE ROLL FORWARD (WITHIN PERIOD) - LEGACY METERS</t>
  </si>
  <si>
    <t>INDICATIVE TOTAL TAX ASSET BASE ROLL FORWARD (WITHIN PERIOD) - LEGACY METERS</t>
  </si>
  <si>
    <t>Routine Maintenance</t>
  </si>
  <si>
    <t>Non-routine maintenance</t>
  </si>
  <si>
    <t>#</t>
  </si>
  <si>
    <t>≥0</t>
  </si>
  <si>
    <t>NULL</t>
  </si>
  <si>
    <t>Expenditure</t>
  </si>
  <si>
    <t>Text</t>
  </si>
  <si>
    <t>DNSP defined</t>
  </si>
  <si>
    <t>Free text - categories specified must align with the categories used in the PTRM applying for the relevant year.</t>
  </si>
  <si>
    <t>Direct expenditure</t>
  </si>
  <si>
    <t>Indirect expenditure</t>
  </si>
  <si>
    <t>Standard Control Services - Legacy Meters</t>
  </si>
  <si>
    <t>Units</t>
  </si>
  <si>
    <t>Standard Control Services -  Legacy Meters</t>
  </si>
  <si>
    <t>Direct Expenditure</t>
  </si>
  <si>
    <t>Indirect Expenditure</t>
  </si>
  <si>
    <t>Total Expenditure</t>
  </si>
  <si>
    <t>Direct</t>
  </si>
  <si>
    <t>Indirect</t>
  </si>
  <si>
    <t>AER CONDITIONAL FORMATTING</t>
  </si>
  <si>
    <t>CELLS FLAGED "Y" and greyed out will be greyed out in the worksheets.</t>
  </si>
  <si>
    <t>CONDITIONAL FORMATTING MAP</t>
  </si>
  <si>
    <t>=INDEX(dms_CF_3.6.1, MATCH(dms_TradingName,dms_CF_TradingName))="Y"</t>
  </si>
  <si>
    <t>=INDEX(dms_CF_3.6.5, MATCH(dms_TradingName,dms_CF_TradingName))="Y"</t>
  </si>
  <si>
    <t>=INDEX(dms_CF_3.6.6.1, MATCH(dms_TradingName,dms_CF_TradingName))="Y"</t>
  </si>
  <si>
    <t>=INDEX(dms_CF_3.6.6.2, MATCH(dms_TradingName,dms_CF_TradingName))="Y"</t>
  </si>
  <si>
    <t>=INDEX(dms_CF_3.6.6.3,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</si>
  <si>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</si>
  <si>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</si>
  <si>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</si>
  <si>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</si>
  <si>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</si>
  <si>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</si>
  <si>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</si>
  <si>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</si>
  <si>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</si>
  <si>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</si>
  <si>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=INDEX(dms_CF_4.4.1_Neg, MATCH(dms_TradingName,dms_CF_TradingName))="Y"</t>
  </si>
  <si>
    <t>=INDEX(dms_CF_F10, MATCH(dms_TradingName,dms_CF_TradingName))="Y"</t>
  </si>
  <si>
    <t>dms_CF_TradingName</t>
  </si>
  <si>
    <t>JurisdictionList</t>
  </si>
  <si>
    <t>Sector</t>
  </si>
  <si>
    <t>Segment</t>
  </si>
  <si>
    <t>dms_CF_3.6.1</t>
  </si>
  <si>
    <t>dms_CF_3.6.5</t>
  </si>
  <si>
    <t>dms_CF_3.6.6.1</t>
  </si>
  <si>
    <t>dms_CF_3.6.6.2</t>
  </si>
  <si>
    <t>dms_CF_3.6.6.3</t>
  </si>
  <si>
    <t>dms_CF_3.6.7.1</t>
  </si>
  <si>
    <t>dms_CF_3.6.7.2</t>
  </si>
  <si>
    <t>dms_CF_3.6.7.3</t>
  </si>
  <si>
    <t>dms_CF_3.6.7.4</t>
  </si>
  <si>
    <t>dms_CF_3.6.8</t>
  </si>
  <si>
    <t>dms_CF_4.1</t>
  </si>
  <si>
    <t>dms_CF_6.8 (set from dms_MAIFI_flag)</t>
  </si>
  <si>
    <t>dms_CF_7.12</t>
  </si>
  <si>
    <t>dms_CF_8.1_A  (and 8.4)</t>
  </si>
  <si>
    <t>dms_CF_8.1_B  (and 8.4)</t>
  </si>
  <si>
    <t>dms_CF_8.1_Neg  (and 8.4)</t>
  </si>
  <si>
    <t>dms_CF_4.4.1</t>
  </si>
  <si>
    <t>dms_CF_MAIFI_flag (set from dms_MAIFI_flag)</t>
  </si>
  <si>
    <t>9.5 TUOS (set from Jurisdiction)</t>
  </si>
  <si>
    <t>dms_CF_F10</t>
  </si>
  <si>
    <t>Amadeus</t>
  </si>
  <si>
    <t>NT</t>
  </si>
  <si>
    <t>Gas</t>
  </si>
  <si>
    <t>Transmission</t>
  </si>
  <si>
    <t>-</t>
  </si>
  <si>
    <t>APA GasNet</t>
  </si>
  <si>
    <t>Vic</t>
  </si>
  <si>
    <t>Ausgrid</t>
  </si>
  <si>
    <t>NSW</t>
  </si>
  <si>
    <t>Electricity</t>
  </si>
  <si>
    <t>Distribution</t>
  </si>
  <si>
    <t>Y</t>
  </si>
  <si>
    <t>N</t>
  </si>
  <si>
    <t>Ausgrid (Tx Assets)</t>
  </si>
  <si>
    <t>AusNet (D)</t>
  </si>
  <si>
    <t>AusNet (T)</t>
  </si>
  <si>
    <t>Australian Distribution Co. (Vic)</t>
  </si>
  <si>
    <t>CitiPower</t>
  </si>
  <si>
    <t>Directlink</t>
  </si>
  <si>
    <t>Qld</t>
  </si>
  <si>
    <t>ElectraNet</t>
  </si>
  <si>
    <t>SA</t>
  </si>
  <si>
    <t>Endeavour Energy</t>
  </si>
  <si>
    <t>Energex</t>
  </si>
  <si>
    <t>Ergon Energy</t>
  </si>
  <si>
    <t>Essential Energy</t>
  </si>
  <si>
    <t>Evoenergy Distribution</t>
  </si>
  <si>
    <t>ACT</t>
  </si>
  <si>
    <t>Evoenergy Distribution (Tx Assets)</t>
  </si>
  <si>
    <t>Jemena Electricity</t>
  </si>
  <si>
    <t>JGN</t>
  </si>
  <si>
    <t>Murraylink</t>
  </si>
  <si>
    <t>Power and Water</t>
  </si>
  <si>
    <t>Powercor Australia</t>
  </si>
  <si>
    <t>Powerlink</t>
  </si>
  <si>
    <t>Roma to Brisbane Pipeline</t>
  </si>
  <si>
    <t>SA Power Networks</t>
  </si>
  <si>
    <t>TasNetworks (D)</t>
  </si>
  <si>
    <t>Tas</t>
  </si>
  <si>
    <t>TasNetworks (T)</t>
  </si>
  <si>
    <t>TransGrid</t>
  </si>
  <si>
    <t>United Energy</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</si>
  <si>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</si>
  <si>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</si>
  <si>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</si>
  <si>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</si>
  <si>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</si>
  <si>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</si>
  <si>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</si>
  <si>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</si>
  <si>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</si>
  <si>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</si>
  <si>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</si>
  <si>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</si>
  <si>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</si>
  <si>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</si>
  <si>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</si>
  <si>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</si>
  <si>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</si>
  <si>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</si>
  <si>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HEADING ONE</t>
  </si>
  <si>
    <t>dms_1</t>
  </si>
  <si>
    <t>HEADING TWO</t>
  </si>
  <si>
    <t>dms_2</t>
  </si>
  <si>
    <t>HEADING THREE</t>
  </si>
  <si>
    <t>dms_3</t>
  </si>
  <si>
    <t>HEADING FOUR</t>
  </si>
  <si>
    <t>dms_4</t>
  </si>
  <si>
    <t>HEADING FIVE</t>
  </si>
  <si>
    <t>dms_5</t>
  </si>
  <si>
    <t>dms_NUM</t>
  </si>
  <si>
    <t>dms_NUM%</t>
  </si>
  <si>
    <t>dms_NUM3d</t>
  </si>
  <si>
    <t>Text description</t>
  </si>
  <si>
    <t>dms_Row_Locked</t>
  </si>
  <si>
    <t>dms_Row1</t>
  </si>
  <si>
    <t>dms_Row2</t>
  </si>
  <si>
    <t>Total</t>
  </si>
  <si>
    <t>dms_T1</t>
  </si>
  <si>
    <t>dms_T2</t>
  </si>
  <si>
    <t>EXPENSES</t>
  </si>
  <si>
    <t>dms_BH</t>
  </si>
  <si>
    <t>dms_BY1</t>
  </si>
  <si>
    <t>dms_BY2</t>
  </si>
  <si>
    <t>VOLUMES</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</si>
  <si>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</si>
  <si>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</si>
  <si>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</si>
  <si>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</si>
  <si>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</si>
  <si>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</si>
  <si>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</si>
  <si>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</si>
  <si>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</si>
  <si>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</si>
  <si>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</si>
  <si>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</si>
  <si>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</si>
  <si>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</si>
  <si>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</si>
  <si>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</si>
  <si>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</si>
  <si>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</si>
  <si>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</si>
  <si>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Tariff cap</t>
  </si>
  <si>
    <t>Final decision</t>
  </si>
  <si>
    <t>Weighted average price cap</t>
  </si>
  <si>
    <t>PTRM update 1</t>
  </si>
  <si>
    <t>PTRM update 2</t>
  </si>
  <si>
    <t>PTRM update 3</t>
  </si>
  <si>
    <t>PTRM update 4</t>
  </si>
  <si>
    <t>PTRM update 5</t>
  </si>
  <si>
    <t>PTRM update 6</t>
  </si>
  <si>
    <t>PTRM update 7</t>
  </si>
  <si>
    <t>Reallocated</t>
  </si>
  <si>
    <t>Recast</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</si>
  <si>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</si>
  <si>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</si>
  <si>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</si>
  <si>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</si>
  <si>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</si>
  <si>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</si>
  <si>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</si>
  <si>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</si>
  <si>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</si>
  <si>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</si>
  <si>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</si>
  <si>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</si>
  <si>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</si>
  <si>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</si>
  <si>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</si>
  <si>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</si>
  <si>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</si>
  <si>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</si>
  <si>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</si>
  <si>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</si>
  <si>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</si>
  <si>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</si>
  <si>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</si>
  <si>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</si>
  <si>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</si>
  <si>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</si>
  <si>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</si>
  <si>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</si>
  <si>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</si>
  <si>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</si>
  <si>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</si>
  <si>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</si>
  <si>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</si>
  <si>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</si>
  <si>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</si>
  <si>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</si>
  <si>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Other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</si>
  <si>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</si>
  <si>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</si>
  <si>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</si>
  <si>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</si>
  <si>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</si>
  <si>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</si>
  <si>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</si>
  <si>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</si>
  <si>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</si>
  <si>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</si>
  <si>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</si>
  <si>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</si>
  <si>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</si>
  <si>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</si>
  <si>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</si>
  <si>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</si>
  <si>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</si>
  <si>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</si>
  <si>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</si>
  <si>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</si>
  <si>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</si>
  <si>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</si>
  <si>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</si>
  <si>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</si>
  <si>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</si>
  <si>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</si>
  <si>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</si>
  <si>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</si>
  <si>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</si>
  <si>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</si>
  <si>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</si>
  <si>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</si>
  <si>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</si>
  <si>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</si>
  <si>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</si>
  <si>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</si>
  <si>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</si>
  <si>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</si>
  <si>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</si>
  <si>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</si>
  <si>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</si>
  <si>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</si>
  <si>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</si>
  <si>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</si>
  <si>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</si>
  <si>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</si>
  <si>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</si>
  <si>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</si>
  <si>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</si>
  <si>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</si>
  <si>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</si>
  <si>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</si>
  <si>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</si>
  <si>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</si>
  <si>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</si>
  <si>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</si>
  <si>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</si>
  <si>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</si>
  <si>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</si>
  <si>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</si>
  <si>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</si>
  <si>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</si>
  <si>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</si>
  <si>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</si>
  <si>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</si>
  <si>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</si>
  <si>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GAS ARR &amp; RESET</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</si>
  <si>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</si>
  <si>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</si>
  <si>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</si>
  <si>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</si>
  <si>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</si>
  <si>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</si>
  <si>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</si>
  <si>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</si>
  <si>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</si>
  <si>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</si>
  <si>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</si>
  <si>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</si>
  <si>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dms_S140201_UOM</t>
  </si>
  <si>
    <t>dms_E050201_UOM</t>
  </si>
  <si>
    <t>dms_E050202_UOM</t>
  </si>
  <si>
    <t>Circuit line length in km</t>
  </si>
  <si>
    <t>0's</t>
  </si>
  <si>
    <t>km</t>
  </si>
  <si>
    <t>Route line length within zone</t>
  </si>
  <si>
    <t>days</t>
  </si>
  <si>
    <t>number</t>
  </si>
  <si>
    <t>number per km</t>
  </si>
  <si>
    <t>per metre per connection</t>
  </si>
  <si>
    <t>metres per connection</t>
  </si>
  <si>
    <t>Number of maintenance spans</t>
  </si>
  <si>
    <t>per service per connection</t>
  </si>
  <si>
    <t>number per connection</t>
  </si>
  <si>
    <t>MVA added</t>
  </si>
  <si>
    <t>Total length of maintenance spans</t>
  </si>
  <si>
    <t>$0s</t>
  </si>
  <si>
    <t>Length of vegetation corridors</t>
  </si>
  <si>
    <t>Number</t>
  </si>
  <si>
    <t>total spend $0s</t>
  </si>
  <si>
    <t>Average number of trees per maintenance span</t>
  </si>
  <si>
    <t>net circuit km added</t>
  </si>
  <si>
    <t>years</t>
  </si>
  <si>
    <t>Average frequency of cutting cycle</t>
  </si>
  <si>
    <t>CA &amp; RESET RINS 
TNSP ONLY</t>
  </si>
  <si>
    <t>metres</t>
  </si>
  <si>
    <t>CA &amp; RESET RINS 
DNSP &amp; TNSP</t>
  </si>
  <si>
    <t>dms_020603_01_UOM</t>
  </si>
  <si>
    <t>(per cent)</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</si>
  <si>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</si>
  <si>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</si>
  <si>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</si>
  <si>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</si>
  <si>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</si>
  <si>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</si>
  <si>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</si>
  <si>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</si>
  <si>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t>
  </si>
  <si>
    <t>MWh/customer</t>
  </si>
  <si>
    <t>Number of spans</t>
  </si>
  <si>
    <t>interruptions/customer</t>
  </si>
  <si>
    <t>kVA / customer</t>
  </si>
  <si>
    <t>Years</t>
  </si>
  <si>
    <t>Trees</t>
  </si>
  <si>
    <t>Defects</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</si>
  <si>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</si>
  <si>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</si>
  <si>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</si>
  <si>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</si>
  <si>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</si>
  <si>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</si>
  <si>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</si>
  <si>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</si>
  <si>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</si>
  <si>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</si>
  <si>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dms_E020202_UOM</t>
  </si>
  <si>
    <t>Spare</t>
  </si>
  <si>
    <t>Length of mains replaced</t>
  </si>
  <si>
    <t>Number of services replaced</t>
  </si>
  <si>
    <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</si>
  <si>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</si>
  <si>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</si>
  <si>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</si>
  <si>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</si>
  <si>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</si>
  <si>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</si>
  <si>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</si>
  <si>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</si>
  <si>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</si>
  <si>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</si>
  <si>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</si>
  <si>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</si>
  <si>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</si>
  <si>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</si>
  <si>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</si>
  <si>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</si>
  <si>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</si>
  <si>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</si>
  <si>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</si>
  <si>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</si>
  <si>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</si>
  <si>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</si>
  <si>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</si>
  <si>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</si>
  <si>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</si>
  <si>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</si>
  <si>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</si>
  <si>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</si>
  <si>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</si>
  <si>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</si>
  <si>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</si>
  <si>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</si>
  <si>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</si>
  <si>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</si>
  <si>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</si>
  <si>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</si>
  <si>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</si>
  <si>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</si>
  <si>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</si>
  <si>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</si>
  <si>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</si>
  <si>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</si>
  <si>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</si>
  <si>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</si>
  <si>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</si>
  <si>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</si>
  <si>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</si>
  <si>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</si>
  <si>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</si>
  <si>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</si>
  <si>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</si>
  <si>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</si>
  <si>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</si>
  <si>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</si>
  <si>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</si>
  <si>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</si>
  <si>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</si>
  <si>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</si>
  <si>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</si>
  <si>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</si>
  <si>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</si>
  <si>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</si>
  <si>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</si>
  <si>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</si>
  <si>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</si>
  <si>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</si>
  <si>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</si>
  <si>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</si>
  <si>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</si>
  <si>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</si>
  <si>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</si>
  <si>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</si>
  <si>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</si>
  <si>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</si>
  <si>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</si>
  <si>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</si>
  <si>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</si>
  <si>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</si>
  <si>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</si>
  <si>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</si>
  <si>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PTRM input sheet</t>
  </si>
  <si>
    <t>DMS_50_01_01a</t>
  </si>
  <si>
    <t>DMS_50_01_01aa</t>
  </si>
  <si>
    <t>DMS_50_01_01b</t>
  </si>
  <si>
    <t>DMS_50_01_01bb</t>
  </si>
  <si>
    <t>DMS_50_01_01c</t>
  </si>
  <si>
    <t>DMS_50_01_01d</t>
  </si>
  <si>
    <t>DMS_50_01_01dd</t>
  </si>
  <si>
    <t>2050</t>
  </si>
  <si>
    <t>2049-50</t>
  </si>
  <si>
    <t>2049</t>
  </si>
  <si>
    <t>2048-49</t>
  </si>
  <si>
    <t>dms_y26</t>
  </si>
  <si>
    <t>2047-48</t>
  </si>
  <si>
    <t>dms_y25</t>
  </si>
  <si>
    <t>2046-47</t>
  </si>
  <si>
    <t>dms_y24</t>
  </si>
  <si>
    <t>2045-46</t>
  </si>
  <si>
    <t>dms_y23</t>
  </si>
  <si>
    <t>2044-45</t>
  </si>
  <si>
    <t>dms_y22</t>
  </si>
  <si>
    <t>2043-44</t>
  </si>
  <si>
    <t>dms_y21</t>
  </si>
  <si>
    <t>2042-43</t>
  </si>
  <si>
    <t>dms_y20</t>
  </si>
  <si>
    <t>2041-42</t>
  </si>
  <si>
    <t>dms_y19</t>
  </si>
  <si>
    <t>2040-41</t>
  </si>
  <si>
    <t>dms_y18</t>
  </si>
  <si>
    <t>2039-40</t>
  </si>
  <si>
    <t>dms_y17</t>
  </si>
  <si>
    <t>2038-39</t>
  </si>
  <si>
    <t>dms_y16</t>
  </si>
  <si>
    <t>2037-38</t>
  </si>
  <si>
    <t>dms_y15</t>
  </si>
  <si>
    <t>2036-37</t>
  </si>
  <si>
    <t>dms_y14</t>
  </si>
  <si>
    <t>2035-36</t>
  </si>
  <si>
    <t>dms_y13</t>
  </si>
  <si>
    <t>2034-35</t>
  </si>
  <si>
    <t>dms_y12</t>
  </si>
  <si>
    <t>2033-34</t>
  </si>
  <si>
    <t>dms_y11</t>
  </si>
  <si>
    <t>2032-33</t>
  </si>
  <si>
    <t>dms_y10</t>
  </si>
  <si>
    <t>2031-32</t>
  </si>
  <si>
    <t>dms_y9</t>
  </si>
  <si>
    <t>2030-31</t>
  </si>
  <si>
    <t>dms_y8</t>
  </si>
  <si>
    <t>2029-30</t>
  </si>
  <si>
    <t>dms_y7</t>
  </si>
  <si>
    <t>2028-29</t>
  </si>
  <si>
    <t>dms_y6</t>
  </si>
  <si>
    <t>2027-28</t>
  </si>
  <si>
    <t>dms_y5</t>
  </si>
  <si>
    <t>2026-27</t>
  </si>
  <si>
    <t>dms_y4</t>
  </si>
  <si>
    <t>2025-26</t>
  </si>
  <si>
    <t>dms_y3</t>
  </si>
  <si>
    <t>dms_y2</t>
  </si>
  <si>
    <t>2023-24</t>
  </si>
  <si>
    <t>dms_y1</t>
  </si>
  <si>
    <t>2022-23</t>
  </si>
  <si>
    <t>CRY - FRY</t>
  </si>
  <si>
    <t>2021-22</t>
  </si>
  <si>
    <t>2019-20</t>
  </si>
  <si>
    <t>2018-19</t>
  </si>
  <si>
    <t>2017-18</t>
  </si>
  <si>
    <t>2016-17</t>
  </si>
  <si>
    <t>2015-16</t>
  </si>
  <si>
    <t>2014-15</t>
  </si>
  <si>
    <t>2013-14</t>
  </si>
  <si>
    <t>2012-13</t>
  </si>
  <si>
    <t>FRCP_y25</t>
  </si>
  <si>
    <t>CRCP_y25</t>
  </si>
  <si>
    <t>PRCP_y25</t>
  </si>
  <si>
    <t>2011-12</t>
  </si>
  <si>
    <t>FRCP_y24</t>
  </si>
  <si>
    <t>CRCP_y24</t>
  </si>
  <si>
    <t>PRCP_y24</t>
  </si>
  <si>
    <t>2010-11</t>
  </si>
  <si>
    <t>FRCP_y23</t>
  </si>
  <si>
    <t>CRCP_y23</t>
  </si>
  <si>
    <t>PRCP_y23</t>
  </si>
  <si>
    <t>2009-10</t>
  </si>
  <si>
    <t>FRCP_y22</t>
  </si>
  <si>
    <t>CRCP_y22</t>
  </si>
  <si>
    <t>PRCP_y22</t>
  </si>
  <si>
    <t>2009</t>
  </si>
  <si>
    <t>2008-09</t>
  </si>
  <si>
    <t>FRCP_y21</t>
  </si>
  <si>
    <t>CRCP_y21</t>
  </si>
  <si>
    <t>PRCP_y21</t>
  </si>
  <si>
    <t>2008</t>
  </si>
  <si>
    <t>2007-08</t>
  </si>
  <si>
    <t>FRCP_y20</t>
  </si>
  <si>
    <t>CRCP_y20</t>
  </si>
  <si>
    <t>PRCP_y20</t>
  </si>
  <si>
    <t>2007</t>
  </si>
  <si>
    <t>2006-07</t>
  </si>
  <si>
    <t>FRCP_y19</t>
  </si>
  <si>
    <t>CRCP_y19</t>
  </si>
  <si>
    <t>PRCP_y19</t>
  </si>
  <si>
    <t>2006</t>
  </si>
  <si>
    <t>2005-06</t>
  </si>
  <si>
    <t>FRCP_y18</t>
  </si>
  <si>
    <t>CRCP_y18</t>
  </si>
  <si>
    <t>PRCP_y18</t>
  </si>
  <si>
    <t>2005</t>
  </si>
  <si>
    <t>2004-05</t>
  </si>
  <si>
    <t>FRCP_y17</t>
  </si>
  <si>
    <t>CRCP_y17</t>
  </si>
  <si>
    <t>PRCP_y17</t>
  </si>
  <si>
    <t>2004</t>
  </si>
  <si>
    <t>2003-04</t>
  </si>
  <si>
    <t>FRCP_y16</t>
  </si>
  <si>
    <t>CRCP_y16</t>
  </si>
  <si>
    <t>PRCP_y16</t>
  </si>
  <si>
    <t>2003</t>
  </si>
  <si>
    <t>2002-03</t>
  </si>
  <si>
    <t>FRCP_y15</t>
  </si>
  <si>
    <t>CRCP_y15</t>
  </si>
  <si>
    <t>PRCP_y15</t>
  </si>
  <si>
    <t>2002</t>
  </si>
  <si>
    <t>2001-02</t>
  </si>
  <si>
    <t>FRCP_y14</t>
  </si>
  <si>
    <t>CRCP_y14</t>
  </si>
  <si>
    <t>PRCP_y14</t>
  </si>
  <si>
    <t>2001</t>
  </si>
  <si>
    <t>2000-01</t>
  </si>
  <si>
    <t>FRCP_y13</t>
  </si>
  <si>
    <t>CRCP_y13</t>
  </si>
  <si>
    <t>PRCP_y13</t>
  </si>
  <si>
    <t>2000</t>
  </si>
  <si>
    <t>1999-00</t>
  </si>
  <si>
    <t>FRCP_y12</t>
  </si>
  <si>
    <t>CRCP_y12</t>
  </si>
  <si>
    <t>PRCP_y12</t>
  </si>
  <si>
    <t>1999</t>
  </si>
  <si>
    <t>1998-99</t>
  </si>
  <si>
    <t>FRCP_y11</t>
  </si>
  <si>
    <t>CRCP_y11</t>
  </si>
  <si>
    <t>PRCP_y11</t>
  </si>
  <si>
    <t>1998</t>
  </si>
  <si>
    <t>1997-98</t>
  </si>
  <si>
    <t>FRCP_y10</t>
  </si>
  <si>
    <t>CRCP_y10</t>
  </si>
  <si>
    <t>PRCP_y10</t>
  </si>
  <si>
    <t>1997</t>
  </si>
  <si>
    <t>1996-97</t>
  </si>
  <si>
    <t>FRCP_y9</t>
  </si>
  <si>
    <t>CRCP_y9</t>
  </si>
  <si>
    <t>PRCP_y9</t>
  </si>
  <si>
    <t>1996</t>
  </si>
  <si>
    <t>1995-96</t>
  </si>
  <si>
    <t>FRCP_y8</t>
  </si>
  <si>
    <t>CRCP_y8</t>
  </si>
  <si>
    <t>PRCP_y8</t>
  </si>
  <si>
    <t>1995</t>
  </si>
  <si>
    <t>1994-95</t>
  </si>
  <si>
    <t>FRCP_y7</t>
  </si>
  <si>
    <t>CRCP_y7</t>
  </si>
  <si>
    <t>PRCP_y7</t>
  </si>
  <si>
    <t>1994</t>
  </si>
  <si>
    <t>1993-94</t>
  </si>
  <si>
    <t>FRCP_y6</t>
  </si>
  <si>
    <t>CRCP_y6</t>
  </si>
  <si>
    <t>PRCP_y6</t>
  </si>
  <si>
    <t>1993</t>
  </si>
  <si>
    <t>1992-93</t>
  </si>
  <si>
    <t>FRCP_y5</t>
  </si>
  <si>
    <t>CRCP_y5</t>
  </si>
  <si>
    <t>PRCP_y5</t>
  </si>
  <si>
    <t>1992</t>
  </si>
  <si>
    <t>1991-92</t>
  </si>
  <si>
    <t>FRCP_y4</t>
  </si>
  <si>
    <t>CRCP_y4</t>
  </si>
  <si>
    <t>PRCP_y4</t>
  </si>
  <si>
    <t>1991</t>
  </si>
  <si>
    <t>1990-91</t>
  </si>
  <si>
    <t>FRCP_y3</t>
  </si>
  <si>
    <t>CRCP_y3</t>
  </si>
  <si>
    <t>PRCP_y3</t>
  </si>
  <si>
    <t>1990</t>
  </si>
  <si>
    <t>1989-90</t>
  </si>
  <si>
    <t>FRCP_y2</t>
  </si>
  <si>
    <t>CRCP_y2</t>
  </si>
  <si>
    <t>PRCP_y2</t>
  </si>
  <si>
    <t>1989</t>
  </si>
  <si>
    <t>1988-89</t>
  </si>
  <si>
    <t>CRCP_y1</t>
  </si>
  <si>
    <t>PRCP_y1</t>
  </si>
  <si>
    <t>1988</t>
  </si>
  <si>
    <t>1987-88</t>
  </si>
  <si>
    <t>FORTHCOMING</t>
  </si>
  <si>
    <t>CURRENT</t>
  </si>
  <si>
    <t>PREVIOUS</t>
  </si>
  <si>
    <t>Calendar</t>
  </si>
  <si>
    <t>Financial</t>
  </si>
  <si>
    <t>WEIGHTED AVERAGE COST OF CAPITAL</t>
  </si>
  <si>
    <t>Weighted Average Cost of Capital</t>
  </si>
  <si>
    <t>WACC</t>
  </si>
  <si>
    <t>ROLL FORWARD MODEL</t>
  </si>
  <si>
    <t>Roll Forward Model</t>
  </si>
  <si>
    <t>AER RESET DECISION OUTPUTS</t>
  </si>
  <si>
    <t>Reset Outputs</t>
  </si>
  <si>
    <t>Reset_outputs</t>
  </si>
  <si>
    <t>REGULATORY REPORTING STATEMENT</t>
  </si>
  <si>
    <t>Regulatory Reporting (Reset)</t>
  </si>
  <si>
    <t>Reset</t>
  </si>
  <si>
    <t>POST TAX REVENUE MODEL</t>
  </si>
  <si>
    <t>Post Tax Revenue Model</t>
  </si>
  <si>
    <t>PROFITABILITY</t>
  </si>
  <si>
    <t>Profitability</t>
  </si>
  <si>
    <t>PRICING PROPOSAL</t>
  </si>
  <si>
    <t>Pricing Proposal</t>
  </si>
  <si>
    <t>Pricing</t>
  </si>
  <si>
    <t>EFFICIENCY BENEFIT SHARING SCHEME</t>
  </si>
  <si>
    <t>Efficiency Benefit Sharing Scheme</t>
  </si>
  <si>
    <t>EBSS</t>
  </si>
  <si>
    <t>Economic Benchmarking</t>
  </si>
  <si>
    <t>CPI</t>
  </si>
  <si>
    <t>CAPITLAL EXPENDITURE SHARING SCHEMING</t>
  </si>
  <si>
    <t>Capitlal Expenditure</t>
  </si>
  <si>
    <t>CESS</t>
  </si>
  <si>
    <t>Category Analysis</t>
  </si>
  <si>
    <t>CA</t>
  </si>
  <si>
    <t>Annual Reporting</t>
  </si>
  <si>
    <t>ARR</t>
  </si>
  <si>
    <t>dms_Model_Span_List</t>
  </si>
  <si>
    <t>dms_Worksheet_List</t>
  </si>
  <si>
    <t>dms_Model_Name_Format1</t>
  </si>
  <si>
    <t xml:space="preserve">dms_Model_List </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</si>
  <si>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</si>
  <si>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YES</t>
  </si>
  <si>
    <t>Long rural</t>
  </si>
  <si>
    <t>Short rural</t>
  </si>
  <si>
    <t>Urban</t>
  </si>
  <si>
    <t>CBD</t>
  </si>
  <si>
    <t>NO</t>
  </si>
  <si>
    <t>MOUNT WAVERLEY</t>
  </si>
  <si>
    <t>PO Box 449</t>
  </si>
  <si>
    <t>43-45 Centreway</t>
  </si>
  <si>
    <t>June</t>
  </si>
  <si>
    <t>EDDVIC500</t>
  </si>
  <si>
    <t>SYDNEY</t>
  </si>
  <si>
    <t>MOONAH</t>
  </si>
  <si>
    <t>PO Box 606</t>
  </si>
  <si>
    <t>LENAH VALLEY</t>
  </si>
  <si>
    <t>1-7 Maria Street</t>
  </si>
  <si>
    <t>Low density rural</t>
  </si>
  <si>
    <t>High density rural</t>
  </si>
  <si>
    <t>High density commercial</t>
  </si>
  <si>
    <t>Critical Infrastructure</t>
  </si>
  <si>
    <t>EDDTAS100</t>
  </si>
  <si>
    <t>ADELAIDE</t>
  </si>
  <si>
    <t>GPO Box 77</t>
  </si>
  <si>
    <t>KESWICK</t>
  </si>
  <si>
    <t>1 Anzac Highway</t>
  </si>
  <si>
    <t>EDDSTH100</t>
  </si>
  <si>
    <t>x</t>
  </si>
  <si>
    <t>QLD</t>
  </si>
  <si>
    <t>MELBOURNE</t>
  </si>
  <si>
    <t>Locked bag 14090</t>
  </si>
  <si>
    <t>40 Market Street</t>
  </si>
  <si>
    <t>EDDVIC400</t>
  </si>
  <si>
    <t>DARWIN</t>
  </si>
  <si>
    <t>GPO Box 1921</t>
  </si>
  <si>
    <t>EDDNTY100</t>
  </si>
  <si>
    <t>Power and Water Corporation</t>
  </si>
  <si>
    <t>PO Box 16182</t>
  </si>
  <si>
    <t>567 Collins Street</t>
  </si>
  <si>
    <t>Level 16</t>
  </si>
  <si>
    <t>EDDVIC300</t>
  </si>
  <si>
    <t>CANBERRA</t>
  </si>
  <si>
    <t>GPO BOX 366</t>
  </si>
  <si>
    <t>40 Bunda Street</t>
  </si>
  <si>
    <t>EDDACT100</t>
  </si>
  <si>
    <t>PORT MACQUARIE</t>
  </si>
  <si>
    <t>PO Box 5730</t>
  </si>
  <si>
    <t>8 Buller Street</t>
  </si>
  <si>
    <t>EDDNSW300</t>
  </si>
  <si>
    <t>FORTITUDE VALLEY</t>
  </si>
  <si>
    <t>Po Box 264</t>
  </si>
  <si>
    <t>TOWNSVILLE</t>
  </si>
  <si>
    <t>22 Walker Street</t>
  </si>
  <si>
    <t>EDDQLD200</t>
  </si>
  <si>
    <t>NEWSTEAD</t>
  </si>
  <si>
    <t>26 Reddacliff Street</t>
  </si>
  <si>
    <t>EDDQLD100</t>
  </si>
  <si>
    <t>SEVEN HILLS</t>
  </si>
  <si>
    <t>PO Box 811</t>
  </si>
  <si>
    <t>HUNTINGWOOD</t>
  </si>
  <si>
    <t>51 Huntingwood Drive</t>
  </si>
  <si>
    <t>EDDNSW200</t>
  </si>
  <si>
    <t>Locked Bag 14090</t>
  </si>
  <si>
    <t>EDDVIC200</t>
  </si>
  <si>
    <t>PO Box 123</t>
  </si>
  <si>
    <t>123 Straight Street</t>
  </si>
  <si>
    <t>UID_123</t>
  </si>
  <si>
    <t>MELBOURNE CITY MAIL CENTRE</t>
  </si>
  <si>
    <t>Locked Bag 14051</t>
  </si>
  <si>
    <t>SOUTHBANK</t>
  </si>
  <si>
    <t>2 Southbank Boulevard</t>
  </si>
  <si>
    <t>Level 32</t>
  </si>
  <si>
    <t>EDDVIC100</t>
  </si>
  <si>
    <t>AusNet Electricity Services Pty Ltd</t>
  </si>
  <si>
    <t>GPO Box 4009</t>
  </si>
  <si>
    <t>570 George St</t>
  </si>
  <si>
    <t>78 508 211 731</t>
  </si>
  <si>
    <t>EDDNSW100</t>
  </si>
  <si>
    <t>dms_Public_Lighting_List</t>
  </si>
  <si>
    <t>dms_MAIFI_flag_List</t>
  </si>
  <si>
    <t>dms_FeederName_5</t>
  </si>
  <si>
    <t>dms_FeederName_4</t>
  </si>
  <si>
    <t>dms_FeederName_3</t>
  </si>
  <si>
    <t>dms_FeederName_2</t>
  </si>
  <si>
    <t>dms_FeederName_1</t>
  </si>
  <si>
    <t>dms_FeederType_5_flag</t>
  </si>
  <si>
    <t>dms_LongRural_flag</t>
  </si>
  <si>
    <t>dms_ShortRural_flag</t>
  </si>
  <si>
    <t>dms_Urban_flag</t>
  </si>
  <si>
    <t>dms_CBD_flag</t>
  </si>
  <si>
    <t>dms_PPostCode_List</t>
  </si>
  <si>
    <t>dms_PState_List</t>
  </si>
  <si>
    <t>dms_PSuburb_List</t>
  </si>
  <si>
    <t>dms_PAddr2_List</t>
  </si>
  <si>
    <t>dms_PAddr1_List</t>
  </si>
  <si>
    <t>dms_PostCode_List</t>
  </si>
  <si>
    <t>dms_State_List</t>
  </si>
  <si>
    <t>dms_Suburb_List</t>
  </si>
  <si>
    <t>dms_Addr2_List</t>
  </si>
  <si>
    <t>dms_Addr1_List</t>
  </si>
  <si>
    <t>dms_663_List</t>
  </si>
  <si>
    <t>dms_PRCPlength_List</t>
  </si>
  <si>
    <t>dms_FRCPlength_List</t>
  </si>
  <si>
    <t>dms_CRCPlength_List</t>
  </si>
  <si>
    <t>dms_RPTMonth_List</t>
  </si>
  <si>
    <t>dms_RPT_List</t>
  </si>
  <si>
    <t>dms_FormControl_List</t>
  </si>
  <si>
    <t>dms_Segment_List</t>
  </si>
  <si>
    <t>dms_Sector_List</t>
  </si>
  <si>
    <t>dms_JurisdictionList</t>
  </si>
  <si>
    <t>dms_UID_List</t>
  </si>
  <si>
    <t>dms_ABN_List</t>
  </si>
  <si>
    <t>dms_TradingNameFull_List</t>
  </si>
  <si>
    <t>dms_TradingName_List</t>
  </si>
  <si>
    <t>EXTRA</t>
  </si>
  <si>
    <t>long rural</t>
  </si>
  <si>
    <t>Feeder Names</t>
  </si>
  <si>
    <t>Feeder Types</t>
  </si>
  <si>
    <t>FOR ELECTRICITY BUSINESSES ONLY</t>
  </si>
  <si>
    <t>Template number</t>
  </si>
  <si>
    <t>AER LOOKUP TABLES</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</si>
  <si>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</si>
  <si>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</si>
  <si>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</si>
  <si>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</si>
  <si>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</si>
  <si>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</si>
  <si>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</si>
  <si>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</si>
  <si>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</si>
  <si>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</si>
  <si>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Unique ID</t>
  </si>
  <si>
    <t>Selected here</t>
  </si>
  <si>
    <t>Model / RIN</t>
  </si>
  <si>
    <t>dms_Model</t>
  </si>
  <si>
    <r>
      <t xml:space="preserve">Read from </t>
    </r>
    <r>
      <rPr>
        <i/>
        <sz val="11"/>
        <color theme="1"/>
        <rFont val="Calibri"/>
        <family val="2"/>
        <scheme val="minor"/>
      </rPr>
      <t>Business &amp; other details</t>
    </r>
  </si>
  <si>
    <t>dms_Source</t>
  </si>
  <si>
    <t>Data quality</t>
  </si>
  <si>
    <t>For DB purposes this is always Consoldiated</t>
  </si>
  <si>
    <t>Data status</t>
  </si>
  <si>
    <t>For DB purposes this is always Public</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</si>
  <si>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</si>
  <si>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</si>
  <si>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</si>
  <si>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</si>
  <si>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</si>
  <si>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</si>
  <si>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</si>
  <si>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</si>
  <si>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</si>
  <si>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</si>
  <si>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Always Consolidated</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</si>
  <si>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</si>
  <si>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</si>
  <si>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</si>
  <si>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</si>
  <si>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</si>
  <si>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</si>
  <si>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=IF(dms_MultiYear_Flag=1,LEFT(dms_Specified_FinalYear,2)&amp;RIGHT(dms_Specified_FinalYear,2),dms_RYE_result)</t>
  </si>
  <si>
    <t>Reporting Period Type</t>
  </si>
  <si>
    <t>dms_RPT</t>
  </si>
  <si>
    <t>=INDEX(dms_RPT_List,MATCH(dms_TradingName,dms_TradingName_List))</t>
  </si>
  <si>
    <t>EB/CA Unit of Measure for Monetary Values</t>
  </si>
  <si>
    <t>dms_dollar_nom_UOM</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</si>
  <si>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</si>
  <si>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</si>
  <si>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</si>
  <si>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</si>
  <si>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</si>
  <si>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</si>
  <si>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</si>
  <si>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</si>
  <si>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</si>
  <si>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</si>
  <si>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</si>
  <si>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</si>
  <si>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</si>
  <si>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</si>
  <si>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</si>
  <si>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</si>
  <si>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</si>
  <si>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=IF(dms_Model="RFM",dms_DollarReal_Prev, IF(dms_SingleYearModel="yes",CONCATENATE(dms_RPTMonth)&amp;" "&amp;VALUE((LEFT(dms_CRY_start_year,2)&amp;RIGHT(dms_CRY_start_year,2))),CONCATENATE(dms_RPTMonth)&amp;" "&amp;dms_DollarReal_year))</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</si>
  <si>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</si>
  <si>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</si>
  <si>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</si>
  <si>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</si>
  <si>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</si>
  <si>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</si>
  <si>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</si>
  <si>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</si>
  <si>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</si>
  <si>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</si>
  <si>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=FRCP_y1</t>
  </si>
  <si>
    <r>
      <rPr>
        <b/>
        <sz val="11"/>
        <color theme="1"/>
        <rFont val="Calibri"/>
        <family val="2"/>
        <scheme val="minor"/>
      </rPr>
      <t>FRCP_y1</t>
    </r>
    <r>
      <rPr>
        <sz val="11"/>
        <color theme="1"/>
        <rFont val="Calibri"/>
        <family val="2"/>
        <scheme val="minor"/>
      </rPr>
      <t xml:space="preserve"> from cover sheet</t>
    </r>
  </si>
  <si>
    <t>dms_CRY_start_year</t>
  </si>
  <si>
    <t>=IFERROR(CRY,CRCP_y4)</t>
  </si>
  <si>
    <t>dms_CRY_start_row</t>
  </si>
  <si>
    <t>=IFERROR(MATCH(dms_CRY_start_year,INDIRECT(dms_RPT),0),0)</t>
  </si>
  <si>
    <t>dms_FRCP_start_row</t>
  </si>
  <si>
    <t>=MATCH(dms_start_year,INDIRECT(dms_RPT),0)</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</si>
  <si>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</si>
  <si>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</si>
  <si>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t>=dms_FRCP_start_row-dms_CRCPlength_Num</t>
  </si>
  <si>
    <r>
      <t xml:space="preserve">Uses the value in </t>
    </r>
    <r>
      <rPr>
        <b/>
        <sz val="11"/>
        <color theme="1"/>
        <rFont val="Calibri"/>
        <family val="2"/>
        <scheme val="minor"/>
      </rPr>
      <t>dms_CRCPlength_Num</t>
    </r>
  </si>
  <si>
    <t>dms_PRCP_start_row</t>
  </si>
  <si>
    <t>=dms_FRCP_start_row-dms_CRCPlength_Num-dms_PRCPlength_Num</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</si>
  <si>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</si>
  <si>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</si>
  <si>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t>=dms_FRCP_start_row+(dms_FRCPlength_Num-1)</t>
  </si>
  <si>
    <r>
      <t xml:space="preserve">Uses the value in </t>
    </r>
    <r>
      <rPr>
        <b/>
        <sz val="11"/>
        <color theme="1"/>
        <rFont val="Calibri"/>
        <family val="2"/>
        <scheme val="minor"/>
      </rPr>
      <t>dms_FRCPlength_Num-1</t>
    </r>
  </si>
  <si>
    <t>FRCP_start_year</t>
  </si>
  <si>
    <t>=INDEX(INDIRECT(dms_RPT),dms_FRCP_start_row)</t>
  </si>
  <si>
    <t>Converts the FRCP start row to display the year</t>
  </si>
  <si>
    <t>CRCP_start_year</t>
  </si>
  <si>
    <t>=INDEX(INDIRECT(dms_RPT),dms_CRCP_start_row)</t>
  </si>
  <si>
    <t>Converts the CRCP start row to display the year</t>
  </si>
  <si>
    <t>PRCP_start_year</t>
  </si>
  <si>
    <t>=INDEX(INDIRECT(dms_RPT),dms_PRCP_start_row)</t>
  </si>
  <si>
    <t>Converts the PRCP start row to display the year</t>
  </si>
  <si>
    <t>FRCP_final_year</t>
  </si>
  <si>
    <t>=INDEX(INDIRECT(dms_RPT),dms_FRCP_start_row+dms_FRCPlength_Num-1)</t>
  </si>
  <si>
    <t>Finds the FRCP final year</t>
  </si>
  <si>
    <t>CRCP_final_year</t>
  </si>
  <si>
    <t>=INDEX(INDIRECT(dms_RPT),dms_CRCP_start_row+dms_CRCPlength_Num-1)</t>
  </si>
  <si>
    <t>Finds the CRCP final year</t>
  </si>
  <si>
    <t>PRCP_final_year</t>
  </si>
  <si>
    <t>=INDEX(INDIRECT(dms_RPT),dms_PRCP_start_row+dms_FRCPlength_Num-1)</t>
  </si>
  <si>
    <t>Finds the PRCP final year</t>
  </si>
  <si>
    <t>dms_Reset_final_year</t>
  </si>
  <si>
    <t>=INDEX(INDIRECT(dms_RPT),dms_RYE_start_row)</t>
  </si>
  <si>
    <t>For Resets and PTRM/RFMs (same as FRCP_final_year)</t>
  </si>
  <si>
    <t>dms_SpecifiedYear_final_year</t>
  </si>
  <si>
    <t>=FRY</t>
  </si>
  <si>
    <r>
      <rPr>
        <b/>
        <sz val="11"/>
        <color theme="1"/>
        <rFont val="Calibri"/>
        <family val="2"/>
        <scheme val="minor"/>
      </rPr>
      <t xml:space="preserve">FRY </t>
    </r>
    <r>
      <rPr>
        <sz val="11"/>
        <color theme="1"/>
        <rFont val="Calibri"/>
        <family val="2"/>
        <scheme val="minor"/>
      </rPr>
      <t>from cover sheet</t>
    </r>
  </si>
  <si>
    <t>dms_DollarReal_year</t>
  </si>
  <si>
    <t>=LEFT(CRCP_final_year,2)&amp;RIGHT(CRCP_final_year,2)</t>
  </si>
  <si>
    <r>
      <t xml:space="preserve">Uses the value in </t>
    </r>
    <r>
      <rPr>
        <b/>
        <sz val="11"/>
        <color theme="1"/>
        <rFont val="Calibri"/>
        <family val="2"/>
        <scheme val="minor"/>
      </rPr>
      <t>CRCP_final_year</t>
    </r>
  </si>
  <si>
    <t>dms_Previous_DollarReal_year</t>
  </si>
  <si>
    <t>=LEFT(PRCP_final_year,2)&amp;RIGHT(PRCP_final_year,2)</t>
  </si>
  <si>
    <r>
      <t>Uses the value in P</t>
    </r>
    <r>
      <rPr>
        <b/>
        <sz val="11"/>
        <color theme="1"/>
        <rFont val="Calibri"/>
        <family val="2"/>
        <scheme val="minor"/>
      </rPr>
      <t>RCP_final_year</t>
    </r>
  </si>
  <si>
    <t>dms_CRY_RYE</t>
  </si>
  <si>
    <t>=IFERROR(LEFT(CRY,2)&amp;RIGHT(CRY,2),0)</t>
  </si>
  <si>
    <t>For ABC single year RINS</t>
  </si>
  <si>
    <t>dms_Reset_RYE</t>
  </si>
  <si>
    <t>=IF(dms_Model_Span&gt;1,IF(dms_Model="RFM",(LEFT(dms_DollarReal_year,2)&amp;RIGHT(dms_DollarReal_year,2)),(LEFT(dms_Reset_final_year,2)&amp;RIGHT(dms_Reset_final_year,2))),0)</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</si>
  <si>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</si>
  <si>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</si>
  <si>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t>=IF(dms_MultiYear_ResponseFlag="Yes",(LEFT(dms_Specified_FinalYear,2)&amp;RIGHT(dms_Specified_FinalYear,2)),0)</t>
  </si>
  <si>
    <r>
      <t xml:space="preserve">If multi year ABC - uses </t>
    </r>
    <r>
      <rPr>
        <b/>
        <sz val="11"/>
        <color theme="1"/>
        <rFont val="Calibri"/>
        <family val="2"/>
        <scheme val="minor"/>
      </rPr>
      <t>dms_Specified_FinalYear</t>
    </r>
  </si>
  <si>
    <t>dms_Model_Span</t>
  </si>
  <si>
    <t>=INDEX(dms_Model_Span_List,MATCH(dms_Model,dms_Model_List))</t>
  </si>
  <si>
    <t>A result of 5 is used to signify that it is more than 1 year span</t>
  </si>
  <si>
    <t>dms_RYE_result</t>
  </si>
  <si>
    <t>=IF(dms_MultiYear_ResponseFlag="yes",dms_Specified_RYE,(IF(dms_Model_Span&gt;1,dms_Reset_RYE,dms_CRY_RYE)))</t>
  </si>
  <si>
    <r>
      <t xml:space="preserve">Nested IF - feeds into </t>
    </r>
    <r>
      <rPr>
        <b/>
        <sz val="11"/>
        <color theme="1"/>
        <rFont val="Calibri"/>
        <family val="2"/>
        <scheme val="minor"/>
      </rPr>
      <t>dms_RYE</t>
    </r>
  </si>
  <si>
    <t>dms_Reset_Span</t>
  </si>
  <si>
    <t>=IF(dms_Reset_RYE&gt;0,CONCATENATE(FRCP_y1," to ",FRCP_final_year),0)</t>
  </si>
  <si>
    <t>Reset span of years as text</t>
  </si>
  <si>
    <t>dms_SpecifiedYear_Span</t>
  </si>
  <si>
    <t>=IF(dms_Specified_RYE&gt;0,CONCATENATE(CRY," to ",dms_Specified_FinalYear),0)</t>
  </si>
  <si>
    <t>Multi year ABC span of years as text</t>
  </si>
  <si>
    <t>dms_Header_Span</t>
  </si>
  <si>
    <t>=IF(dms_MultiYear_Flag=1,dms_SpecifiedYear_Span,IF(dms_Model_Span&gt;1,dms_Reset_Span,CRY))</t>
  </si>
  <si>
    <r>
      <t xml:space="preserve">NESTED IF - for </t>
    </r>
    <r>
      <rPr>
        <b/>
        <sz val="11"/>
        <color theme="1"/>
        <rFont val="Calibri"/>
        <family val="2"/>
        <scheme val="minor"/>
      </rPr>
      <t>Sheet Headers</t>
    </r>
  </si>
  <si>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</si>
  <si>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</si>
  <si>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</si>
  <si>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</si>
  <si>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</si>
  <si>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</si>
  <si>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</si>
  <si>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</si>
  <si>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</si>
  <si>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</si>
  <si>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</si>
  <si>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</si>
  <si>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</si>
  <si>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</si>
  <si>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</si>
  <si>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</si>
  <si>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</si>
  <si>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</si>
  <si>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</si>
  <si>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</si>
  <si>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</si>
  <si>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</si>
  <si>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</si>
  <si>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</si>
  <si>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</si>
  <si>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</si>
  <si>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</si>
  <si>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</si>
  <si>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</si>
  <si>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</si>
  <si>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</si>
  <si>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</si>
  <si>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</si>
  <si>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</si>
  <si>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</si>
  <si>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</si>
  <si>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</si>
  <si>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</si>
  <si>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</si>
  <si>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</si>
  <si>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</si>
  <si>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</si>
  <si>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</si>
  <si>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</si>
  <si>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</si>
  <si>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</si>
  <si>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</si>
  <si>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</si>
  <si>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</si>
  <si>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</si>
  <si>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</si>
  <si>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</si>
  <si>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</si>
  <si>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</si>
  <si>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</si>
  <si>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</si>
  <si>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</si>
  <si>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</si>
  <si>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</si>
  <si>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</si>
  <si>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</si>
  <si>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</si>
  <si>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</si>
  <si>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</si>
  <si>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</si>
  <si>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</si>
  <si>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</si>
  <si>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</si>
  <si>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</si>
  <si>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</si>
  <si>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</si>
  <si>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</si>
  <si>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</si>
  <si>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</si>
  <si>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</si>
  <si>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</si>
  <si>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</si>
  <si>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</si>
  <si>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</si>
  <si>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</si>
  <si>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</si>
  <si>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</si>
  <si>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</si>
  <si>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</si>
  <si>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</si>
  <si>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</si>
  <si>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</si>
  <si>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</si>
  <si>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</si>
  <si>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</si>
  <si>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</si>
  <si>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</si>
  <si>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</si>
  <si>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</si>
  <si>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</si>
  <si>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Does the NSP report MAIFI or MAIFIe</t>
  </si>
  <si>
    <t>dms_MAIFI_Flag</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</si>
  <si>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</si>
  <si>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</si>
  <si>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</si>
  <si>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</si>
  <si>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</si>
  <si>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Must be present for ARRs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</si>
  <si>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</si>
  <si>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</si>
  <si>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</si>
  <si>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</si>
  <si>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</si>
  <si>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</si>
  <si>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</si>
  <si>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</si>
  <si>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</si>
  <si>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</si>
  <si>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</si>
  <si>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</si>
  <si>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</si>
  <si>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</si>
  <si>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</si>
  <si>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</si>
  <si>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</si>
  <si>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</si>
  <si>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</si>
  <si>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</si>
  <si>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</si>
  <si>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</si>
  <si>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</si>
  <si>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</si>
  <si>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</si>
  <si>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</si>
  <si>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</si>
  <si>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</si>
  <si>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</si>
  <si>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</si>
  <si>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</si>
  <si>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</si>
  <si>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</si>
  <si>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</si>
  <si>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</si>
  <si>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</si>
  <si>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</si>
  <si>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</si>
  <si>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</si>
  <si>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</si>
  <si>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</si>
  <si>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</si>
  <si>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</si>
  <si>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</si>
  <si>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</si>
  <si>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</si>
  <si>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</si>
  <si>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</si>
  <si>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</si>
  <si>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</si>
  <si>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</si>
  <si>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</si>
  <si>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</si>
  <si>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DC11 - SCS Legacy Meters | Revenue</t>
  </si>
  <si>
    <t>8.1.1.1LM - REVENUE</t>
  </si>
  <si>
    <t>8.1.1.2LM - EXPENDITURE</t>
  </si>
  <si>
    <t>3.1.2LM - REVENUE GROUPING BY CUSTOMER TYPE OR CLASS</t>
  </si>
  <si>
    <t>Disaggregated revenue</t>
  </si>
  <si>
    <t>DC11 - SCS Legacy Meters | Operating expenditure</t>
  </si>
  <si>
    <t>8.4.1LM - OPERATING &amp; MAINTENANCE EXPENDITURE - BY PURPOSE</t>
  </si>
  <si>
    <t>Related party margins</t>
  </si>
  <si>
    <t>2.10.1LM - NETWORK OVERHEADS EXPENDITURE</t>
  </si>
  <si>
    <t>2.10.2LM - CORPORATE OVERHEADS EXPENDITURE</t>
  </si>
  <si>
    <t>2.8.2LM - COST METRICS FOR ROUTINE AND NON-ROUTINE MAINTENANCE</t>
  </si>
  <si>
    <t>2.11.3LM - LABOUR / NON-LABOUR EXPENDITURE SPLIT - STANDARD CONTROL SERVICES</t>
  </si>
  <si>
    <t>8.4LM OPERATING EXPENDITURE</t>
  </si>
  <si>
    <t>8.1LM INCOME STATEMENT</t>
  </si>
  <si>
    <t>Reporting year</t>
  </si>
  <si>
    <t>8.1LM Income statement</t>
  </si>
  <si>
    <t>8.4LM Operating expenditure</t>
  </si>
  <si>
    <t>ASA805</t>
  </si>
  <si>
    <t>ASRE2405</t>
  </si>
  <si>
    <t>ASSURANCE REQUIREMENTS</t>
  </si>
  <si>
    <t>This worksheet provides a summary list of the relevant assurance standard for each table on each worksheet in this data submission workbook.</t>
  </si>
  <si>
    <t>Table</t>
  </si>
  <si>
    <t>Assurance standard</t>
  </si>
  <si>
    <t xml:space="preserve">Actual information </t>
  </si>
  <si>
    <t>Estimated information</t>
  </si>
  <si>
    <t>Assurance requirements by table</t>
  </si>
  <si>
    <t>transmission determination</t>
  </si>
  <si>
    <t>Annual Information Notice</t>
  </si>
  <si>
    <t>FORMER TABLES</t>
  </si>
  <si>
    <t>2.10.1LM - OVERHEADS EXPENDITURE</t>
  </si>
  <si>
    <t xml:space="preserve"> 8.4.2LM - OPERATING &amp; MAINTENANCE EXPENDITURE - BY PURPOSE - MARGINS ONLY</t>
  </si>
  <si>
    <t>Former table</t>
  </si>
  <si>
    <t>DNSP defined purpose</t>
  </si>
  <si>
    <t>Concepts</t>
  </si>
  <si>
    <t>SCS Legacy Meters</t>
  </si>
  <si>
    <t>Validation rules</t>
  </si>
  <si>
    <t># = Value must be numerical.</t>
  </si>
  <si>
    <t>≥0 = Value must be greater than or equal to zero, any negaitve value must be explained in the basis of preparation.</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</si>
  <si>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</si>
  <si>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r>
      <rPr>
        <strike/>
        <sz val="11"/>
        <rFont val="Calibri"/>
        <family val="2"/>
        <scheme val="minor"/>
      </rPr>
      <t>NULL</t>
    </r>
    <r>
      <rPr>
        <sz val="11"/>
        <rFont val="Calibri"/>
        <family val="2"/>
        <scheme val="minor"/>
      </rPr>
      <t xml:space="preserve"> if = Cannot leave this requirement blank / NULL when the conditions speficied in the 'if statement' apply, any NULL response must be explained in the basis of preparation. </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</si>
  <si>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</si>
  <si>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</si>
  <si>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</si>
  <si>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</si>
  <si>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scheme val="minor"/>
      </rPr>
      <t>Standard Control Services (SCS)</t>
    </r>
    <r>
      <rPr>
        <sz val="11"/>
        <color rgb="FF000000"/>
        <rFont val="Calibri"/>
        <family val="2"/>
        <scheme val="minor"/>
      </rPr>
      <t xml:space="preserve"> = SCS (excluding those provided using dual function assets) + SCS provided using dual function assets</t>
    </r>
  </si>
  <si>
    <r>
      <rPr>
        <b/>
        <sz val="11"/>
        <color rgb="FF000000"/>
        <rFont val="Calibri"/>
        <family val="2"/>
        <scheme val="minor"/>
      </rPr>
      <t>Alternative Control Services</t>
    </r>
    <r>
      <rPr>
        <sz val="11"/>
        <color rgb="FF000000"/>
        <rFont val="Calibri"/>
        <family val="2"/>
        <scheme val="minor"/>
      </rPr>
      <t xml:space="preserve"> = Public Lighting Services + Metering Services + Fee-based Services + Quoted Services</t>
    </r>
  </si>
  <si>
    <r>
      <rPr>
        <b/>
        <sz val="11"/>
        <color rgb="FF000000"/>
        <rFont val="Calibri"/>
        <family val="2"/>
        <scheme val="minor"/>
      </rPr>
      <t>Network Services (benchmarking)</t>
    </r>
    <r>
      <rPr>
        <sz val="11"/>
        <color rgb="FF000000"/>
        <rFont val="Calibri"/>
        <family val="2"/>
        <scheme val="minor"/>
      </rPr>
      <t xml:space="preserve"> &lt;=&gt; Standard Control Services + Alternative Control Services</t>
    </r>
  </si>
  <si>
    <r>
      <rPr>
        <b/>
        <sz val="11"/>
        <color rgb="FF000000"/>
        <rFont val="Calibri"/>
        <family val="2"/>
      </rPr>
      <t>Audited Statutory Accounts + Regulatory adjustments</t>
    </r>
    <r>
      <rPr>
        <sz val="11"/>
        <color rgb="FF000000"/>
        <rFont val="Calibri"/>
        <family val="2"/>
      </rPr>
      <t xml:space="preserve"> = Distribution Business</t>
    </r>
  </si>
  <si>
    <t>Where:</t>
  </si>
  <si>
    <r>
      <rPr>
        <b/>
        <sz val="11"/>
        <color rgb="FF000000"/>
        <rFont val="Calibri"/>
        <family val="2"/>
      </rPr>
      <t>Distribution Business</t>
    </r>
    <r>
      <rPr>
        <sz val="11"/>
        <color rgb="FF000000"/>
        <rFont val="Calibri"/>
        <family val="2"/>
      </rPr>
      <t xml:space="preserve"> = Direct Control Services + Other Distribution Services</t>
    </r>
  </si>
  <si>
    <r>
      <rPr>
        <b/>
        <sz val="11"/>
        <color rgb="FF000000"/>
        <rFont val="Calibri"/>
        <family val="2"/>
      </rPr>
      <t>Direct Control Services</t>
    </r>
    <r>
      <rPr>
        <sz val="11"/>
        <color rgb="FF000000"/>
        <rFont val="Calibri"/>
        <family val="2"/>
      </rPr>
      <t xml:space="preserve">  =  Standard Control Services + Alternative Control Services</t>
    </r>
  </si>
  <si>
    <r>
      <rPr>
        <b/>
        <sz val="11"/>
        <color rgb="FF000000"/>
        <rFont val="Calibri"/>
        <family val="2"/>
      </rPr>
      <t>Other Distribution Services</t>
    </r>
    <r>
      <rPr>
        <sz val="11"/>
        <color rgb="FF000000"/>
        <rFont val="Calibri"/>
        <family val="2"/>
      </rPr>
      <t xml:space="preserve">  =  Negotiated Services + Unregulated Services</t>
    </r>
  </si>
  <si>
    <r>
      <rPr>
        <b/>
        <sz val="11"/>
        <color rgb="FF000000"/>
        <rFont val="Calibri"/>
        <family val="2"/>
      </rPr>
      <t>Standard Control Services (SCS)</t>
    </r>
    <r>
      <rPr>
        <sz val="11"/>
        <color rgb="FF000000"/>
        <rFont val="Calibri"/>
        <family val="2"/>
      </rPr>
      <t xml:space="preserve"> = SCS excluding those provided using dual function assets + SCS provided using dual function assets</t>
    </r>
  </si>
  <si>
    <r>
      <rPr>
        <b/>
        <sz val="11"/>
        <color rgb="FF000000"/>
        <rFont val="Calibri"/>
        <family val="2"/>
      </rPr>
      <t>Alternative Control Services</t>
    </r>
    <r>
      <rPr>
        <sz val="11"/>
        <color rgb="FF000000"/>
        <rFont val="Calibri"/>
        <family val="2"/>
      </rPr>
      <t xml:space="preserve"> = Public Lighting Services + Metering Services + Fee-based Services + Quoted Services</t>
    </r>
  </si>
  <si>
    <r>
      <rPr>
        <b/>
        <sz val="11"/>
        <color rgb="FF000000"/>
        <rFont val="Calibri"/>
        <family val="2"/>
      </rPr>
      <t xml:space="preserve">Public Lighting Services </t>
    </r>
    <r>
      <rPr>
        <sz val="11"/>
        <color rgb="FF000000"/>
        <rFont val="Calibri"/>
        <family val="2"/>
      </rPr>
      <t>= Energy efficient + Non-energy efficient</t>
    </r>
  </si>
  <si>
    <r>
      <rPr>
        <b/>
        <sz val="11"/>
        <color rgb="FF000000"/>
        <rFont val="Calibri"/>
        <family val="2"/>
      </rPr>
      <t>Metering Services</t>
    </r>
    <r>
      <rPr>
        <sz val="11"/>
        <color rgb="FF000000"/>
        <rFont val="Calibri"/>
        <family val="2"/>
      </rPr>
      <t xml:space="preserve"> = Smart meters + Legacy meters</t>
    </r>
  </si>
  <si>
    <t>RIO</t>
  </si>
  <si>
    <t>Annual Information Order</t>
  </si>
  <si>
    <t>RIN</t>
  </si>
  <si>
    <t>Protected SOCI</t>
  </si>
  <si>
    <t>Sheet</t>
  </si>
  <si>
    <t>8.1.1.1LM - Revenue</t>
  </si>
  <si>
    <t>8.1.1.2LM - Expenditure</t>
  </si>
  <si>
    <t>3.1.2LM - Revenue Grouping by Customer Type or Class</t>
  </si>
  <si>
    <t>8.4.1LM - Operating &amp; Maintenance Expenditure - by Purpose</t>
  </si>
  <si>
    <t>2.8.2LM - Cost Metrics for Routine and Non-Routine Maintenance</t>
  </si>
  <si>
    <t>2.10.2LM - Corporate Overheads Expenditure</t>
  </si>
  <si>
    <t>Submission type</t>
  </si>
  <si>
    <t>Amended data:</t>
  </si>
  <si>
    <t>Amendment Reason</t>
  </si>
  <si>
    <t>Entity Details</t>
  </si>
  <si>
    <t>Reporting Year</t>
  </si>
  <si>
    <t>Submission Details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</si>
  <si>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</si>
  <si>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Instructions</t>
  </si>
  <si>
    <t>8.6 INDICATIVE ASSET BASE ROLL FORWARD</t>
  </si>
  <si>
    <t>DC08 - Asset base values | standard control</t>
  </si>
  <si>
    <t>Asset base roll forward</t>
  </si>
  <si>
    <t>8.6.1LM - ASSET BASE ROLL FORWARD - SCS</t>
  </si>
  <si>
    <t>8.6 LM Indicative Asset Base Roll Forward</t>
  </si>
  <si>
    <t>8.6.1LM - Asset Base Roll Forward - SCS</t>
  </si>
  <si>
    <t>8.6LM Indicative asset base roll forward</t>
  </si>
  <si>
    <t>no</t>
  </si>
  <si>
    <t>not a CA</t>
  </si>
  <si>
    <t>not a leap year</t>
  </si>
  <si>
    <t>May 2026</t>
  </si>
  <si>
    <t>dd/mm/yyyy</t>
  </si>
  <si>
    <r>
      <rPr>
        <strike/>
        <sz val="7"/>
        <color theme="1"/>
        <rFont val="Calibri"/>
        <family val="2"/>
        <scheme val="minor"/>
      </rPr>
      <t>NULL</t>
    </r>
    <r>
      <rPr>
        <sz val="7"/>
        <color theme="1"/>
        <rFont val="Calibri"/>
        <family val="2"/>
        <scheme val="minor"/>
      </rPr>
      <t xml:space="preserve"> if</t>
    </r>
  </si>
  <si>
    <t>2.10.1LM - Network Overheads Expenditure</t>
  </si>
  <si>
    <t>2.11.3LM - Labour / Non-Labour Expenditure Split - Standard Control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</si>
</sst>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164" formatCode="_(&quot;$&quot;* #,##0.00_);_(&quot;$&quot;* \(#,##0.00\);_(&quot;$&quot;* &quot;-&quot;??_);_(@_)"/>
    <numFmt numFmtId="165" formatCode="_(* #,##0.00_);_(* \(#,##0.00\);_(* &quot;-&quot;??_);_(@_)"/>
    <numFmt numFmtId="166" formatCode="_(* #,##0_);_(* \(#,##0\);_(* &quot;-&quot;_);_(@_)"/>
    <numFmt numFmtId="167" formatCode="##\ ###\ ###\ ###\ ##0"/>
    <numFmt numFmtId="168" formatCode="_-* #,##0_-;[Red]\(#,##0\)_-;_-* &quot;-&quot;??_-;_-@_-"/>
    <numFmt numFmtId="169" formatCode="_-* #,##0_-;\-* #,##0_-;_-* &quot;-&quot;??_-;_-@_-"/>
    <numFmt numFmtId="170" formatCode="_-* #,##0_-;[Red]\-* #,##0_-;_-* &quot;-&quot;_-;_-@_-"/>
    <numFmt numFmtId="171" formatCode="#,##0.000_ ;[Red]\-#,##0.000\ "/>
    <numFmt numFmtId="172" formatCode="#,##0.00000"/>
    <numFmt numFmtId="173" formatCode="#,##0.0000"/>
    <numFmt numFmtId="174" formatCode="0000"/>
    <numFmt numFmtId="175" formatCode="mmmm\ yyyy"/>
  </numFmts>
  <fonts count="152">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1"/>
      <name val="Calibri"/>
      <family val="2"/>
      <scheme val="minor"/>
    </font>
    <font>
      <b/>
      <sz val="11"/>
      <color rgb="FFFF0000"/>
      <name val="Arial"/>
      <family val="2"/>
    </font>
    <font>
      <sz val="11"/>
      <name val="Calibri"/>
      <family val="2"/>
      <scheme val="minor"/>
    </font>
    <font>
      <sz val="9"/>
      <name val="Arial"/>
      <family val="2"/>
    </font>
    <font>
      <sz val="10"/>
      <color rgb="FF000000"/>
      <name val="Arial"/>
      <family val="2"/>
    </font>
    <font>
      <b/>
      <sz val="16"/>
      <color theme="0"/>
      <name val="Arial"/>
      <family val="2"/>
    </font>
    <font>
      <b/>
      <sz val="12"/>
      <color theme="0"/>
      <name val="Arial"/>
      <family val="2"/>
    </font>
    <font>
      <sz val="11"/>
      <color rgb="FFFF0000"/>
      <name val="Arial"/>
      <family val="2"/>
    </font>
    <font>
      <b/>
      <sz val="1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theme="0"/>
      <name val="Arial"/>
      <family val="2"/>
    </font>
    <font>
      <sz val="12"/>
      <name val="Arial"/>
      <family val="2"/>
    </font>
    <font>
      <b/>
      <sz val="11"/>
      <color theme="0"/>
      <name val="Arial"/>
      <family val="2"/>
    </font>
    <font>
      <sz val="14"/>
      <color theme="1"/>
      <name val="Calibri"/>
      <family val="2"/>
      <scheme val="minor"/>
    </font>
    <font>
      <sz val="12"/>
      <color theme="0"/>
      <name val="Arial"/>
      <family val="2"/>
    </font>
    <font>
      <b/>
      <sz val="20"/>
      <color theme="0"/>
      <name val="Arial"/>
      <family val="2"/>
    </font>
    <font>
      <i/>
      <sz val="11"/>
      <color theme="1"/>
      <name val="Calibri"/>
      <family val="2"/>
      <scheme val="minor"/>
    </font>
    <font>
      <b/>
      <sz val="14"/>
      <color theme="0"/>
      <name val="Calibri"/>
      <family val="2"/>
      <scheme val="minor"/>
    </font>
    <font>
      <b/>
      <sz val="16"/>
      <color indexed="9"/>
      <name val="Arial"/>
      <family val="2"/>
    </font>
    <font>
      <b/>
      <sz val="12"/>
      <color theme="0"/>
      <name val="Calibri"/>
      <family val="2"/>
      <scheme val="minor"/>
    </font>
    <font>
      <b/>
      <sz val="16"/>
      <color rgb="FFFFFFFF"/>
      <name val="Arial"/>
      <family val="2"/>
    </font>
    <font>
      <sz val="11"/>
      <name val="Calibri"/>
      <family val="2"/>
    </font>
    <font>
      <sz val="11"/>
      <color indexed="18"/>
      <name val="Calibri"/>
      <family val="2"/>
      <scheme val="minor"/>
    </font>
    <font>
      <u/>
      <sz val="10"/>
      <color indexed="12"/>
      <name val="Arial"/>
      <family val="2"/>
    </font>
    <font>
      <sz val="12"/>
      <color indexed="18"/>
      <name val="Calibri"/>
      <family val="2"/>
      <scheme val="minor"/>
    </font>
    <font>
      <sz val="12"/>
      <color theme="0"/>
      <name val="Calibri"/>
      <family val="2"/>
      <scheme val="minor"/>
    </font>
    <font>
      <b/>
      <sz val="16"/>
      <color indexed="9"/>
      <name val="Calibri"/>
      <family val="2"/>
      <scheme val="minor"/>
    </font>
    <font>
      <b/>
      <sz val="14"/>
      <color theme="1"/>
      <name val="Calibri"/>
      <family val="2"/>
      <scheme val="minor"/>
    </font>
    <font>
      <b/>
      <sz val="11"/>
      <name val="Calibri"/>
      <family val="2"/>
    </font>
    <font>
      <u/>
      <sz val="11"/>
      <color theme="11"/>
      <name val="Calibri"/>
      <family val="2"/>
      <scheme val="minor"/>
    </font>
    <font>
      <b/>
      <sz val="10"/>
      <color indexed="8"/>
      <name val="Calibri"/>
      <family val="2"/>
    </font>
    <font>
      <sz val="12"/>
      <color theme="1"/>
      <name val="Calibri"/>
      <family val="2"/>
      <scheme val="minor"/>
    </font>
    <font>
      <b/>
      <sz val="28"/>
      <color theme="1"/>
      <name val="Calibri"/>
      <family val="2"/>
      <scheme val="minor"/>
    </font>
    <font>
      <sz val="20"/>
      <name val="Calibri"/>
      <family val="2"/>
    </font>
    <font>
      <b/>
      <sz val="14"/>
      <color theme="3" tint="0.59996337778862885"/>
      <name val="Calibri"/>
      <family val="2"/>
      <scheme val="minor"/>
    </font>
    <font>
      <sz val="9"/>
      <color theme="0" tint="-0.34998626667073579"/>
      <name val="Calibri"/>
      <family val="2"/>
      <scheme val="minor"/>
    </font>
    <font>
      <b/>
      <i/>
      <sz val="10"/>
      <color indexed="8"/>
      <name val="Calibri"/>
      <family val="2"/>
    </font>
    <font>
      <sz val="11"/>
      <color rgb="FF000000"/>
      <name val="Calibri"/>
      <family val="2"/>
    </font>
    <font>
      <sz val="10"/>
      <color theme="1"/>
      <name val="Verdana"/>
      <family val="2"/>
    </font>
    <font>
      <sz val="11"/>
      <color rgb="FF000000"/>
      <name val="Calibri"/>
      <family val="2"/>
    </font>
    <font>
      <sz val="8"/>
      <color theme="1"/>
      <name val="Calibri"/>
      <family val="2"/>
      <scheme val="minor"/>
    </font>
    <font>
      <sz val="10"/>
      <color theme="1"/>
      <name val="Calibri"/>
      <family val="2"/>
      <scheme val="minor"/>
    </font>
    <font>
      <b/>
      <sz val="10"/>
      <color theme="1"/>
      <name val="Calibri"/>
      <family val="2"/>
      <scheme val="minor"/>
    </font>
    <font>
      <b/>
      <sz val="11"/>
      <color theme="3" tint="0.39994506668294322"/>
      <name val="Calibri"/>
      <family val="2"/>
      <scheme val="minor"/>
    </font>
    <font>
      <b/>
      <sz val="36"/>
      <color theme="0"/>
      <name val="Calibri"/>
      <family val="2"/>
      <scheme val="minor"/>
    </font>
    <font>
      <b/>
      <sz val="11"/>
      <color theme="1" tint="0.34998626667073579"/>
      <name val="Calibri"/>
      <family val="2"/>
      <scheme val="minor"/>
    </font>
    <font>
      <sz val="11"/>
      <color theme="1" tint="0.34998626667073579"/>
      <name val="Calibri"/>
      <family val="2"/>
      <scheme val="minor"/>
    </font>
    <font>
      <sz val="10"/>
      <color theme="1" tint="0.34998626667073579"/>
      <name val="Arial"/>
      <family val="2"/>
    </font>
    <font>
      <b/>
      <sz val="10"/>
      <name val="Arial"/>
      <family val="2"/>
    </font>
    <font>
      <sz val="11"/>
      <name val="Arial"/>
      <family val="2"/>
    </font>
    <font>
      <sz val="10"/>
      <color theme="1"/>
      <name val="Arial"/>
      <family val="2"/>
    </font>
    <font>
      <b/>
      <sz val="10"/>
      <color indexed="8"/>
      <name val="Arial"/>
      <family val="2"/>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b/>
      <sz val="22"/>
      <color theme="1"/>
      <name val="Calibri"/>
      <family val="2"/>
      <scheme val="minor"/>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i/>
      <sz val="10"/>
      <name val="Arial"/>
      <family val="2"/>
    </font>
    <font>
      <sz val="10"/>
      <color theme="0" tint="-0.499984740745262"/>
      <name val="Arial"/>
      <family val="2"/>
    </font>
    <font>
      <b/>
      <i/>
      <sz val="12"/>
      <name val="Arial"/>
      <family val="2"/>
    </font>
    <font>
      <b/>
      <i/>
      <sz val="11"/>
      <color theme="1"/>
      <name val="Calibri"/>
      <family val="2"/>
      <scheme val="minor"/>
    </font>
    <font>
      <sz val="10"/>
      <color rgb="FF222222"/>
      <name val="Var(--code-font-family)"/>
    </font>
    <font>
      <b/>
      <sz val="11"/>
      <name val="Arial"/>
      <family val="2"/>
    </font>
    <font>
      <sz val="11"/>
      <color theme="8" tint="-0.249977111117893"/>
      <name val="Arial"/>
      <family val="2"/>
    </font>
    <font>
      <sz val="11"/>
      <color theme="4" tint="-0.249977111117893"/>
      <name val="Calibri"/>
      <family val="2"/>
      <scheme val="minor"/>
    </font>
    <font>
      <sz val="10"/>
      <color rgb="FF7030A0"/>
      <name val="Arial"/>
      <family val="2"/>
    </font>
    <font>
      <sz val="10"/>
      <color rgb="FFFF0000"/>
      <name val="Arial"/>
      <family val="2"/>
    </font>
    <font>
      <b/>
      <sz val="12"/>
      <color theme="1"/>
      <name val="Calibri"/>
      <family val="2"/>
      <scheme val="minor"/>
    </font>
    <font>
      <sz val="16"/>
      <color rgb="FFFF0000"/>
      <name val="Arial"/>
      <family val="2"/>
    </font>
    <font>
      <sz val="14"/>
      <color rgb="FFFF0000"/>
      <name val="Arial"/>
      <family val="2"/>
    </font>
    <font>
      <sz val="10"/>
      <color theme="5" tint="-0.249977111117893"/>
      <name val="Arial"/>
      <family val="2"/>
    </font>
    <font>
      <b/>
      <sz val="10"/>
      <color rgb="FFFF0000"/>
      <name val="Arial"/>
      <family val="2"/>
    </font>
    <font>
      <b/>
      <sz val="10"/>
      <color theme="1" tint="0.14999847407452621"/>
      <name val="Arial"/>
      <family val="2"/>
    </font>
    <font>
      <sz val="10"/>
      <color theme="4" tint="0.59999389629810485"/>
      <name val="Arial"/>
      <family val="2"/>
    </font>
    <font>
      <b/>
      <sz val="14"/>
      <color rgb="FFFF0000"/>
      <name val="Arial"/>
      <family val="2"/>
    </font>
    <font>
      <sz val="10"/>
      <color theme="4" tint="-0.499984740745262"/>
      <name val="Arial"/>
      <family val="2"/>
    </font>
    <font>
      <b/>
      <sz val="11"/>
      <color rgb="FF000000"/>
      <name val="Arial"/>
      <family val="2"/>
    </font>
    <font>
      <sz val="11"/>
      <color rgb="FF000000"/>
      <name val="Arial"/>
      <family val="2"/>
    </font>
    <font>
      <sz val="10"/>
      <color theme="1" tint="0.34998626667073579"/>
      <name val="Calibri"/>
      <family val="2"/>
      <scheme val="minor"/>
    </font>
    <font>
      <b/>
      <sz val="10"/>
      <color theme="1"/>
      <name val="Arial"/>
      <family val="2"/>
    </font>
    <font>
      <i/>
      <sz val="10"/>
      <color theme="4" tint="-0.249977111117893"/>
      <name val="Arial"/>
      <family val="2"/>
    </font>
    <font>
      <sz val="10"/>
      <color theme="4" tint="-0.249977111117893"/>
      <name val="Arial"/>
      <family val="2"/>
    </font>
    <font>
      <i/>
      <sz val="10"/>
      <color theme="0" tint="-0.499984740745262"/>
      <name val="Arial"/>
      <family val="2"/>
    </font>
    <font>
      <i/>
      <u/>
      <sz val="10"/>
      <color theme="0" tint="-0.499984740745262"/>
      <name val="Arial"/>
      <family val="2"/>
    </font>
    <font>
      <i/>
      <sz val="10"/>
      <color theme="4" tint="-0.499984740745262"/>
      <name val="Arial"/>
      <family val="2"/>
    </font>
    <font>
      <b/>
      <sz val="10"/>
      <color theme="0" tint="-0.499984740745262"/>
      <name val="Arial"/>
      <family val="2"/>
    </font>
    <font>
      <sz val="11"/>
      <color theme="5" tint="-0.249977111117893"/>
      <name val="Arial"/>
      <family val="2"/>
    </font>
    <font>
      <b/>
      <sz val="10"/>
      <color rgb="FF808080"/>
      <name val="Arial"/>
      <family val="2"/>
    </font>
    <font>
      <sz val="10"/>
      <color rgb="FF808080"/>
      <name val="Arial"/>
      <family val="2"/>
    </font>
    <font>
      <u/>
      <sz val="11"/>
      <color theme="10"/>
      <name val="Calibri"/>
      <family val="2"/>
      <scheme val="minor"/>
    </font>
    <font>
      <b/>
      <sz val="16"/>
      <name val="Calibri"/>
      <family val="2"/>
      <scheme val="minor"/>
    </font>
    <font>
      <b/>
      <sz val="11"/>
      <color theme="3" tint="0.59996337778862885"/>
      <name val="Calibri"/>
      <family val="2"/>
      <scheme val="minor"/>
    </font>
    <font>
      <u/>
      <sz val="12"/>
      <color theme="10"/>
      <name val="Calibri"/>
      <family val="2"/>
      <scheme val="minor"/>
    </font>
    <font>
      <sz val="8"/>
      <name val="Calibri"/>
      <family val="2"/>
      <scheme val="minor"/>
    </font>
    <font>
      <b/>
      <sz val="14"/>
      <color indexed="9"/>
      <name val="Calibri"/>
      <family val="2"/>
      <scheme val="minor"/>
    </font>
    <font>
      <b/>
      <sz val="16"/>
      <color theme="0"/>
      <name val="Calibri"/>
      <family val="2"/>
      <scheme val="minor"/>
    </font>
    <font>
      <b/>
      <sz val="10"/>
      <color theme="0"/>
      <name val="Calibri"/>
      <family val="2"/>
      <scheme val="minor"/>
    </font>
    <font>
      <sz val="14"/>
      <color theme="0"/>
      <name val="Calibri"/>
      <family val="2"/>
      <scheme val="minor"/>
    </font>
    <font>
      <b/>
      <sz val="12"/>
      <name val="Calibri"/>
      <family val="2"/>
      <scheme val="minor"/>
    </font>
    <font>
      <strike/>
      <sz val="11"/>
      <name val="Calibri"/>
      <family val="2"/>
      <scheme val="minor"/>
    </font>
    <font>
      <sz val="12"/>
      <name val="Calibri"/>
      <family val="2"/>
      <scheme val="minor"/>
    </font>
    <font>
      <b/>
      <sz val="11"/>
      <color rgb="FF000000"/>
      <name val="Calibri"/>
      <family val="2"/>
    </font>
    <font>
      <sz val="11"/>
      <color rgb="FF000000"/>
      <name val="Calibri"/>
      <family val="2"/>
      <scheme val="minor"/>
    </font>
    <font>
      <b/>
      <sz val="11"/>
      <color rgb="FF000000"/>
      <name val="Calibri"/>
      <family val="2"/>
      <scheme val="minor"/>
    </font>
    <font>
      <i/>
      <sz val="11"/>
      <color rgb="FF000000"/>
      <name val="Calibri"/>
      <family val="2"/>
    </font>
    <font>
      <i/>
      <sz val="11"/>
      <color rgb="FF000000"/>
      <name val="Calibri"/>
      <family val="2"/>
      <scheme val="minor"/>
    </font>
    <font>
      <b/>
      <sz val="10"/>
      <name val="Calibri"/>
      <family val="2"/>
    </font>
    <font>
      <sz val="10"/>
      <name val="Calibri"/>
      <family val="2"/>
      <scheme val="minor"/>
    </font>
    <font>
      <sz val="10"/>
      <name val="Calibri"/>
      <family val="2"/>
    </font>
    <font>
      <sz val="12"/>
      <color rgb="FFFF0000"/>
      <name val="Calibri"/>
      <family val="2"/>
      <scheme val="minor"/>
    </font>
    <font>
      <sz val="8"/>
      <color theme="1"/>
      <name val="Calibri"/>
      <family val="2"/>
    </font>
    <font>
      <strike/>
      <sz val="8"/>
      <color theme="1"/>
      <name val="Calibri"/>
      <family val="2"/>
      <scheme val="minor"/>
    </font>
    <font>
      <b/>
      <sz val="9"/>
      <color theme="0"/>
      <name val="Calibri"/>
      <family val="2"/>
      <scheme val="minor"/>
    </font>
    <font>
      <b/>
      <sz val="9"/>
      <name val="Calibri"/>
      <family val="2"/>
      <scheme val="minor"/>
    </font>
    <font>
      <sz val="10"/>
      <color theme="0"/>
      <name val="Calibri"/>
      <family val="2"/>
      <scheme val="minor"/>
    </font>
    <font>
      <i/>
      <sz val="10"/>
      <color theme="1"/>
      <name val="Calibri"/>
      <family val="2"/>
      <scheme val="minor"/>
    </font>
    <font>
      <b/>
      <sz val="10"/>
      <color theme="3" tint="0.59996337778862885"/>
      <name val="Calibri"/>
      <family val="2"/>
      <scheme val="minor"/>
    </font>
    <font>
      <b/>
      <sz val="16"/>
      <color rgb="FFFFFFFF"/>
      <name val="Calibri"/>
      <family val="2"/>
      <scheme val="minor"/>
    </font>
    <font>
      <b/>
      <sz val="14"/>
      <color rgb="FFFFFFFF"/>
      <name val="Calibri"/>
      <family val="2"/>
      <scheme val="minor"/>
    </font>
    <font>
      <sz val="10"/>
      <color theme="0" tint="-0.34998626667073579"/>
      <name val="Calibri"/>
      <family val="2"/>
      <scheme val="minor"/>
    </font>
    <font>
      <b/>
      <i/>
      <sz val="10"/>
      <color indexed="8"/>
      <name val="Calibri"/>
      <family val="2"/>
      <scheme val="minor"/>
    </font>
    <font>
      <b/>
      <sz val="10"/>
      <color indexed="8"/>
      <name val="Calibri"/>
      <family val="2"/>
      <scheme val="minor"/>
    </font>
    <font>
      <sz val="7"/>
      <color theme="1"/>
      <name val="Calibri"/>
      <family val="2"/>
      <scheme val="minor"/>
    </font>
    <font>
      <strike/>
      <sz val="7"/>
      <color theme="1"/>
      <name val="Calibri"/>
      <family val="2"/>
      <scheme val="minor"/>
    </font>
  </fonts>
  <fills count="11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1"/>
        <bgColor indexed="64"/>
      </patternFill>
    </fill>
    <fill>
      <patternFill patternType="solid">
        <fgColor rgb="FFFFFFCC"/>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CCC"/>
        <bgColor indexed="64"/>
      </patternFill>
    </fill>
    <fill>
      <patternFill patternType="gray125">
        <fgColor theme="3" tint="0.39991454817346722"/>
        <bgColor rgb="FFFFFFCC"/>
      </patternFill>
    </fill>
    <fill>
      <patternFill patternType="solid">
        <fgColor indexed="8"/>
        <bgColor indexed="64"/>
      </patternFill>
    </fill>
    <fill>
      <patternFill patternType="solid">
        <fgColor theme="9" tint="0.39997558519241921"/>
        <bgColor indexed="64"/>
      </patternFill>
    </fill>
    <fill>
      <patternFill patternType="solid">
        <fgColor rgb="FFDBD6BF"/>
        <bgColor indexed="64"/>
      </patternFill>
    </fill>
    <fill>
      <patternFill patternType="solid">
        <fgColor theme="0"/>
        <bgColor rgb="FF000000"/>
      </patternFill>
    </fill>
    <fill>
      <patternFill patternType="solid">
        <fgColor rgb="FFF2F2F2"/>
        <bgColor indexed="64"/>
      </patternFill>
    </fill>
    <fill>
      <patternFill patternType="solid">
        <fgColor rgb="FFFFFFE1"/>
        <bgColor rgb="FF000000"/>
      </patternFill>
    </fill>
    <fill>
      <patternFill patternType="solid">
        <fgColor rgb="FFFFFFE1"/>
        <bgColor indexed="64"/>
      </patternFill>
    </fill>
    <fill>
      <patternFill patternType="solid">
        <fgColor rgb="FF2E3F5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FFFFFF"/>
        <bgColor auto="1"/>
      </patternFill>
    </fill>
    <fill>
      <patternFill patternType="solid">
        <fgColor rgb="FFE2EEE9"/>
        <bgColor indexed="64"/>
      </patternFill>
    </fill>
    <fill>
      <patternFill patternType="solid">
        <fgColor theme="0" tint="-0.14999847407452621"/>
        <bgColor rgb="FF000000"/>
      </patternFill>
    </fill>
    <fill>
      <patternFill patternType="solid">
        <fgColor theme="0" tint="-4.9989318521683403E-2"/>
        <bgColor indexed="64"/>
      </patternFill>
    </fill>
    <fill>
      <patternFill patternType="solid">
        <fgColor theme="0" tint="-4.9989318521683403E-2"/>
        <bgColor rgb="FF000000"/>
      </patternFill>
    </fill>
    <fill>
      <patternFill patternType="solid">
        <fgColor theme="0" tint="-4.9989318521683403E-2"/>
        <bgColor rgb="FFFFFFCC"/>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5" tint="0.59999389629810485"/>
        <bgColor theme="4" tint="0.79998168889431442"/>
      </patternFill>
    </fill>
    <fill>
      <patternFill patternType="solid">
        <fgColor rgb="FFFFFF99"/>
        <bgColor indexed="64"/>
      </patternFill>
    </fill>
    <fill>
      <patternFill patternType="solid">
        <fgColor theme="4" tint="0.39997558519241921"/>
        <bgColor theme="4" tint="0.79998168889431442"/>
      </patternFill>
    </fill>
    <fill>
      <patternFill patternType="solid">
        <fgColor theme="6" tint="0.39997558519241921"/>
        <bgColor indexed="64"/>
      </patternFill>
    </fill>
    <fill>
      <patternFill patternType="solid">
        <fgColor theme="6" tint="0.39997558519241921"/>
        <bgColor theme="4" tint="0.79998168889431442"/>
      </patternFill>
    </fill>
    <fill>
      <patternFill patternType="solid">
        <fgColor theme="0" tint="-0.249977111117893"/>
        <bgColor theme="4" tint="0.79998168889431442"/>
      </patternFill>
    </fill>
    <fill>
      <patternFill patternType="solid">
        <fgColor theme="9" tint="0.39997558519241921"/>
        <bgColor theme="4" tint="0.79998168889431442"/>
      </patternFill>
    </fill>
    <fill>
      <patternFill patternType="solid">
        <fgColor rgb="FFBFBFBF"/>
        <bgColor rgb="FF000000"/>
      </patternFill>
    </fill>
    <fill>
      <patternFill patternType="solid">
        <fgColor rgb="FFD9D9D9"/>
        <bgColor rgb="FF000000"/>
      </patternFill>
    </fill>
    <fill>
      <patternFill patternType="solid">
        <fgColor rgb="FFEEECE1"/>
        <bgColor rgb="FF000000"/>
      </patternFill>
    </fill>
    <fill>
      <patternFill patternType="solid">
        <fgColor rgb="FFFFFFCC"/>
        <bgColor rgb="FF000000"/>
      </patternFill>
    </fill>
    <fill>
      <patternFill patternType="solid">
        <fgColor theme="0" tint="-0.14996795556505021"/>
        <bgColor indexed="64"/>
      </patternFill>
    </fill>
    <fill>
      <patternFill patternType="solid">
        <fgColor theme="4" tint="0.59999389629810485"/>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6" tint="0.59999389629810485"/>
        <bgColor indexed="64"/>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FFFF"/>
        <bgColor rgb="FF000000"/>
      </patternFill>
    </fill>
    <fill>
      <patternFill patternType="solid">
        <fgColor rgb="FFFABF8F"/>
        <bgColor rgb="FF000000"/>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0" tint="-0.14999847407452621"/>
        <bgColor theme="4" tint="0.79998168889431442"/>
      </patternFill>
    </fill>
    <fill>
      <patternFill patternType="solid">
        <fgColor theme="4"/>
        <bgColor theme="4"/>
      </patternFill>
    </fill>
    <fill>
      <patternFill patternType="solid">
        <fgColor theme="2" tint="-0.749992370372631"/>
        <bgColor indexed="64"/>
      </patternFill>
    </fill>
    <fill>
      <patternFill patternType="solid">
        <fgColor theme="8" tint="0.59999389629810485"/>
        <bgColor indexed="64"/>
      </patternFill>
    </fill>
    <fill>
      <patternFill patternType="solid">
        <fgColor theme="9" tint="0.39997558519241921"/>
        <bgColor rgb="FF000000"/>
      </patternFill>
    </fill>
    <fill>
      <patternFill patternType="solid">
        <fgColor rgb="FFB8CCE4"/>
        <bgColor rgb="FF000000"/>
      </patternFill>
    </fill>
    <fill>
      <patternFill patternType="solid">
        <fgColor theme="9" tint="0.79998168889431442"/>
        <bgColor indexed="64"/>
      </patternFill>
    </fill>
    <fill>
      <patternFill patternType="solid">
        <fgColor rgb="FF11473A"/>
        <bgColor indexed="64"/>
      </patternFill>
    </fill>
    <fill>
      <patternFill patternType="solid">
        <fgColor rgb="FF303F51"/>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FFFFCC"/>
        <bgColor rgb="FFF6F6F6"/>
      </patternFill>
    </fill>
    <fill>
      <patternFill patternType="solid">
        <fgColor rgb="FFFFFFA7"/>
        <bgColor rgb="FFF6F6F6"/>
      </patternFill>
    </fill>
    <fill>
      <patternFill patternType="solid">
        <fgColor theme="0" tint="-4.9989318521683403E-2"/>
        <bgColor rgb="FFF6F6F6"/>
      </patternFill>
    </fill>
  </fills>
  <borders count="27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left>
      <right/>
      <top style="thin">
        <color theme="0"/>
      </top>
      <bottom style="thin">
        <color indexed="64"/>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14996795556505021"/>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right/>
      <top style="thin">
        <color indexed="64"/>
      </top>
      <bottom/>
      <diagonal/>
    </border>
    <border>
      <left style="thin">
        <color theme="0" tint="-0.14996795556505021"/>
      </left>
      <right style="thin">
        <color theme="0" tint="-0.14996795556505021"/>
      </right>
      <top style="thin">
        <color theme="0" tint="-0.14996795556505021"/>
      </top>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theme="0" tint="-0.24994659260841701"/>
      </left>
      <right/>
      <top style="medium">
        <color indexed="64"/>
      </top>
      <bottom/>
      <diagonal/>
    </border>
    <border>
      <left style="medium">
        <color indexed="64"/>
      </left>
      <right/>
      <top style="medium">
        <color theme="0" tint="-0.14999847407452621"/>
      </top>
      <bottom/>
      <diagonal/>
    </border>
    <border>
      <left style="medium">
        <color indexed="64"/>
      </left>
      <right style="medium">
        <color indexed="64"/>
      </right>
      <top style="thin">
        <color theme="4" tint="0.39997558519241921"/>
      </top>
      <bottom/>
      <diagonal/>
    </border>
    <border>
      <left style="medium">
        <color indexed="64"/>
      </left>
      <right/>
      <top style="thin">
        <color theme="0"/>
      </top>
      <bottom/>
      <diagonal/>
    </border>
    <border>
      <left style="thin">
        <color theme="0" tint="-0.24994659260841701"/>
      </left>
      <right/>
      <top style="thin">
        <color theme="0"/>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style="medium">
        <color indexed="64"/>
      </right>
      <top style="thin">
        <color theme="0" tint="-0.24994659260841701"/>
      </top>
      <bottom/>
      <diagonal/>
    </border>
    <border>
      <left style="medium">
        <color indexed="64"/>
      </left>
      <right/>
      <top style="thin">
        <color theme="0" tint="-0.24994659260841701"/>
      </top>
      <bottom/>
      <diagonal/>
    </border>
    <border>
      <left style="medium">
        <color indexed="64"/>
      </left>
      <right/>
      <top style="thin">
        <color theme="0" tint="-0.34998626667073579"/>
      </top>
      <bottom/>
      <diagonal/>
    </border>
    <border>
      <left style="thin">
        <color theme="0" tint="-0.24994659260841701"/>
      </left>
      <right/>
      <top style="thin">
        <color theme="0" tint="-0.14999847407452621"/>
      </top>
      <bottom/>
      <diagonal/>
    </border>
    <border>
      <left style="medium">
        <color indexed="64"/>
      </left>
      <right/>
      <top style="thin">
        <color theme="0" tint="-0.14999847407452621"/>
      </top>
      <bottom/>
      <diagonal/>
    </border>
    <border>
      <left style="medium">
        <color indexed="64"/>
      </left>
      <right/>
      <top style="thin">
        <color theme="0" tint="-0.24994659260841701"/>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theme="0" tint="-0.24994659260841701"/>
      </right>
      <top/>
      <bottom style="thin">
        <color theme="0" tint="-0.24994659260841701"/>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thin">
        <color auto="1"/>
      </top>
      <bottom style="medium">
        <color indexed="64"/>
      </bottom>
      <diagonal/>
    </border>
    <border>
      <left style="medium">
        <color auto="1"/>
      </left>
      <right style="thin">
        <color theme="0" tint="-0.24994659260841701"/>
      </right>
      <top style="medium">
        <color auto="1"/>
      </top>
      <bottom style="thin">
        <color indexed="64"/>
      </bottom>
      <diagonal/>
    </border>
    <border>
      <left style="medium">
        <color auto="1"/>
      </left>
      <right/>
      <top style="medium">
        <color auto="1"/>
      </top>
      <bottom style="thin">
        <color theme="0" tint="-0.24994659260841701"/>
      </bottom>
      <diagonal/>
    </border>
    <border>
      <left style="medium">
        <color auto="1"/>
      </left>
      <right style="thin">
        <color auto="1"/>
      </right>
      <top/>
      <bottom style="thin">
        <color theme="0" tint="-0.24994659260841701"/>
      </bottom>
      <diagonal/>
    </border>
    <border>
      <left style="medium">
        <color auto="1"/>
      </left>
      <right style="medium">
        <color indexed="64"/>
      </right>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24994659260841701"/>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style="medium">
        <color indexed="64"/>
      </right>
      <top style="medium">
        <color indexed="64"/>
      </top>
      <bottom style="medium">
        <color indexed="64"/>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right style="medium">
        <color indexed="64"/>
      </right>
      <top style="medium">
        <color auto="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indexed="64"/>
      </bottom>
      <diagonal/>
    </border>
    <border>
      <left style="medium">
        <color indexed="64"/>
      </left>
      <right style="medium">
        <color indexed="64"/>
      </right>
      <top/>
      <bottom/>
      <diagonal/>
    </border>
    <border>
      <left/>
      <right style="medium">
        <color auto="1"/>
      </right>
      <top style="thin">
        <color theme="0" tint="-0.24994659260841701"/>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medium">
        <color indexed="64"/>
      </left>
      <right style="medium">
        <color auto="1"/>
      </right>
      <top/>
      <bottom style="thin">
        <color auto="1"/>
      </bottom>
      <diagonal/>
    </border>
    <border>
      <left/>
      <right style="medium">
        <color indexed="64"/>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indexed="64"/>
      </top>
      <bottom/>
      <diagonal/>
    </border>
    <border>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right style="medium">
        <color indexed="64"/>
      </right>
      <top/>
      <bottom style="thin">
        <color indexed="64"/>
      </bottom>
      <diagonal/>
    </border>
    <border>
      <left style="thin">
        <color theme="0" tint="-0.24994659260841701"/>
      </left>
      <right style="medium">
        <color indexed="64"/>
      </right>
      <top/>
      <bottom style="thin">
        <color theme="0" tint="-0.24994659260841701"/>
      </bottom>
      <diagonal/>
    </border>
    <border>
      <left style="medium">
        <color auto="1"/>
      </left>
      <right style="medium">
        <color indexed="64"/>
      </right>
      <top style="thin">
        <color auto="1"/>
      </top>
      <bottom style="thin">
        <color auto="1"/>
      </bottom>
      <diagonal/>
    </border>
    <border>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medium">
        <color indexed="64"/>
      </left>
      <right style="thin">
        <color indexed="64"/>
      </right>
      <top style="medium">
        <color indexed="64"/>
      </top>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indexed="64"/>
      </right>
      <top/>
      <bottom style="medium">
        <color auto="1"/>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theme="0" tint="-0.24994659260841701"/>
      </right>
      <top style="medium">
        <color indexed="64"/>
      </top>
      <bottom style="medium">
        <color indexed="64"/>
      </bottom>
      <diagonal/>
    </border>
    <border>
      <left/>
      <right/>
      <top style="thin">
        <color theme="0" tint="-0.24994659260841701"/>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top/>
      <bottom style="thin">
        <color theme="0" tint="-0.24994659260841701"/>
      </bottom>
      <diagonal/>
    </border>
    <border>
      <left/>
      <right/>
      <top style="medium">
        <color indexed="64"/>
      </top>
      <bottom style="thin">
        <color theme="0" tint="-0.24994659260841701"/>
      </bottom>
      <diagonal/>
    </border>
    <border>
      <left style="medium">
        <color indexed="64"/>
      </left>
      <right/>
      <top style="thin">
        <color theme="4" tint="0.39997558519241921"/>
      </top>
      <bottom/>
      <diagonal/>
    </border>
    <border>
      <left/>
      <right/>
      <top style="thin">
        <color theme="4" tint="0.39997558519241921"/>
      </top>
      <bottom/>
      <diagonal/>
    </border>
    <border>
      <left style="medium">
        <color indexed="64"/>
      </left>
      <right/>
      <top style="thin">
        <color theme="4"/>
      </top>
      <bottom/>
      <diagonal/>
    </border>
    <border>
      <left style="thin">
        <color theme="0" tint="-0.24994659260841701"/>
      </left>
      <right/>
      <top/>
      <bottom/>
      <diagonal/>
    </border>
    <border>
      <left style="thin">
        <color indexed="64"/>
      </left>
      <right/>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right style="thin">
        <color theme="0" tint="-0.24994659260841701"/>
      </right>
      <top style="thin">
        <color theme="0" tint="-0.24994659260841701"/>
      </top>
      <bottom style="medium">
        <color indexed="64"/>
      </bottom>
      <diagonal/>
    </border>
    <border>
      <left/>
      <right style="medium">
        <color auto="1"/>
      </right>
      <top style="thin">
        <color theme="0" tint="-0.24994659260841701"/>
      </top>
      <bottom style="medium">
        <color auto="1"/>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style="medium">
        <color indexed="64"/>
      </right>
      <top style="thin">
        <color indexed="64"/>
      </top>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style="medium">
        <color indexed="64"/>
      </left>
      <right/>
      <top style="thin">
        <color indexed="64"/>
      </top>
      <bottom style="thin">
        <color theme="0" tint="-0.24994659260841701"/>
      </bottom>
      <diagonal/>
    </border>
    <border>
      <left style="medium">
        <color indexed="64"/>
      </left>
      <right/>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style="medium">
        <color indexed="64"/>
      </left>
      <right/>
      <top style="thin">
        <color indexed="64"/>
      </top>
      <bottom/>
      <diagonal/>
    </border>
    <border>
      <left/>
      <right style="medium">
        <color indexed="64"/>
      </right>
      <top style="thin">
        <color theme="0" tint="-0.24994659260841701"/>
      </top>
      <bottom/>
      <diagonal/>
    </border>
    <border>
      <left style="medium">
        <color indexed="64"/>
      </left>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thin">
        <color theme="0" tint="-0.24994659260841701"/>
      </right>
      <top/>
      <bottom style="thin">
        <color indexed="64"/>
      </bottom>
      <diagonal/>
    </border>
    <border>
      <left style="thin">
        <color rgb="FFBFBFBF"/>
      </left>
      <right style="medium">
        <color indexed="64"/>
      </right>
      <top style="medium">
        <color indexed="64"/>
      </top>
      <bottom style="mediumDashed">
        <color indexed="64"/>
      </bottom>
      <diagonal/>
    </border>
    <border>
      <left style="medium">
        <color indexed="64"/>
      </left>
      <right style="thin">
        <color theme="0" tint="-0.24994659260841701"/>
      </right>
      <top style="thin">
        <color theme="0" tint="-0.24994659260841701"/>
      </top>
      <bottom style="thin">
        <color indexed="64"/>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medium">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indexed="64"/>
      </left>
      <right/>
      <top style="thin">
        <color indexed="64"/>
      </top>
      <bottom style="thin">
        <color indexed="64"/>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style="thin">
        <color indexed="23"/>
      </left>
      <right/>
      <top style="thin">
        <color theme="0" tint="-0.14993743705557422"/>
      </top>
      <bottom style="thin">
        <color indexed="64"/>
      </bottom>
      <diagonal/>
    </border>
    <border>
      <left/>
      <right/>
      <top style="thin">
        <color theme="0" tint="-0.14993743705557422"/>
      </top>
      <bottom style="thin">
        <color indexed="64"/>
      </bottom>
      <diagonal/>
    </border>
    <border>
      <left style="thin">
        <color indexed="23"/>
      </left>
      <right/>
      <top style="thin">
        <color indexed="64"/>
      </top>
      <bottom style="thin">
        <color theme="0" tint="-0.14993743705557422"/>
      </bottom>
      <diagonal/>
    </border>
    <border>
      <left/>
      <right/>
      <top style="thin">
        <color indexed="64"/>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s>
  <cellStyleXfs count="99">
    <xf numFmtId="0" fontId="0" fillId="0" borderId="0"/>
    <xf numFmtId="169" fontId="50" fillId="47" borderId="9" applyBorder="0">
      <alignment horizontal="right" vertical="center"/>
      <protection locked="0"/>
    </xf>
    <xf numFmtId="166" fontId="26" fillId="52" borderId="33">
      <alignment horizontal="centerContinuous" vertical="center" wrapText="1"/>
    </xf>
    <xf numFmtId="0" fontId="11" fillId="10" borderId="0">
      <alignment vertical="center"/>
    </xf>
    <xf numFmtId="0" fontId="53" fillId="48" borderId="0">
      <alignment vertical="center"/>
    </xf>
    <xf numFmtId="0" fontId="48" fillId="0" borderId="15" applyProtection="0"/>
    <xf numFmtId="0" fontId="54" fillId="0" borderId="0">
      <alignment vertical="center"/>
    </xf>
    <xf numFmtId="168" fontId="8" fillId="50" borderId="20" applyBorder="0">
      <alignment horizontal="right"/>
      <protection locked="0"/>
    </xf>
    <xf numFmtId="49" fontId="41" fillId="51" borderId="0">
      <alignment horizontal="left" vertical="center" wrapText="1"/>
      <protection locked="0"/>
    </xf>
    <xf numFmtId="0" fontId="15" fillId="0" borderId="0" applyNumberFormat="0" applyFill="0" applyBorder="0" applyAlignment="0" applyProtection="0"/>
    <xf numFmtId="0" fontId="16" fillId="0" borderId="21" applyNumberFormat="0" applyFill="0" applyAlignment="0" applyProtection="0"/>
    <xf numFmtId="0" fontId="17" fillId="0" borderId="22" applyNumberFormat="0" applyFill="0" applyAlignment="0" applyProtection="0"/>
    <xf numFmtId="0" fontId="18" fillId="0" borderId="23" applyNumberFormat="0" applyFill="0" applyAlignment="0" applyProtection="0"/>
    <xf numFmtId="0" fontId="18" fillId="0" borderId="0" applyNumberFormat="0" applyFill="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2" fillId="15" borderId="24" applyNumberFormat="0" applyAlignment="0" applyProtection="0"/>
    <xf numFmtId="0" fontId="23" fillId="16" borderId="25" applyNumberFormat="0" applyAlignment="0" applyProtection="0"/>
    <xf numFmtId="0" fontId="24" fillId="16" borderId="24" applyNumberFormat="0" applyAlignment="0" applyProtection="0"/>
    <xf numFmtId="0" fontId="25" fillId="0" borderId="26" applyNumberFormat="0" applyFill="0" applyAlignment="0" applyProtection="0"/>
    <xf numFmtId="0" fontId="26" fillId="17" borderId="27" applyNumberFormat="0" applyAlignment="0" applyProtection="0"/>
    <xf numFmtId="0" fontId="27" fillId="0" borderId="0" applyNumberFormat="0" applyFill="0" applyBorder="0" applyAlignment="0" applyProtection="0"/>
    <xf numFmtId="0" fontId="1" fillId="18" borderId="28" applyNumberFormat="0" applyFont="0" applyAlignment="0" applyProtection="0"/>
    <xf numFmtId="0" fontId="28" fillId="0" borderId="0" applyNumberFormat="0" applyFill="0" applyBorder="0" applyAlignment="0" applyProtection="0"/>
    <xf numFmtId="0" fontId="2" fillId="0" borderId="29" applyNumberFormat="0" applyFill="0" applyAlignment="0" applyProtection="0"/>
    <xf numFmtId="0" fontId="29"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29" fillId="42" borderId="0" applyNumberFormat="0" applyBorder="0" applyAlignment="0" applyProtection="0"/>
    <xf numFmtId="0" fontId="41" fillId="0" borderId="13">
      <alignment horizontal="left" vertical="center" wrapText="1" indent="1"/>
    </xf>
    <xf numFmtId="49" fontId="11" fillId="6" borderId="0">
      <alignment vertical="center"/>
    </xf>
    <xf numFmtId="0" fontId="40" fillId="11" borderId="0">
      <alignment horizontal="left" vertical="center"/>
      <protection locked="0"/>
    </xf>
    <xf numFmtId="170" fontId="8" fillId="55" borderId="11" applyNumberFormat="0" applyFont="0" applyBorder="0" applyAlignment="0" applyProtection="0">
      <alignment horizontal="right"/>
      <protection locked="0"/>
    </xf>
    <xf numFmtId="0" fontId="43" fillId="0" borderId="0" applyNumberFormat="0" applyFill="0" applyBorder="0" applyAlignment="0" applyProtection="0">
      <alignment vertical="top"/>
      <protection locked="0"/>
    </xf>
    <xf numFmtId="0" fontId="40" fillId="11" borderId="0" applyAlignment="0">
      <alignment horizontal="left" vertical="center"/>
    </xf>
    <xf numFmtId="49" fontId="6" fillId="49" borderId="0">
      <alignment horizontal="centerContinuous" vertical="center" wrapText="1"/>
    </xf>
    <xf numFmtId="0" fontId="11" fillId="6" borderId="0">
      <alignment vertical="center"/>
    </xf>
    <xf numFmtId="0" fontId="11" fillId="10" borderId="0">
      <alignment vertical="center"/>
    </xf>
    <xf numFmtId="0" fontId="39" fillId="6" borderId="0">
      <alignment vertical="center"/>
      <protection locked="0"/>
    </xf>
    <xf numFmtId="0" fontId="38" fillId="10" borderId="0">
      <alignment horizontal="left" vertical="center"/>
      <protection locked="0"/>
    </xf>
    <xf numFmtId="0" fontId="49" fillId="0" borderId="0" applyNumberFormat="0" applyFill="0" applyBorder="0" applyAlignment="0" applyProtection="0"/>
    <xf numFmtId="0" fontId="55" fillId="57" borderId="0">
      <alignment horizontal="right" indent="1" shrinkToFit="1"/>
    </xf>
    <xf numFmtId="0" fontId="52" fillId="0" borderId="0"/>
    <xf numFmtId="0" fontId="10" fillId="0" borderId="0"/>
    <xf numFmtId="0" fontId="57" fillId="0" borderId="0"/>
    <xf numFmtId="0" fontId="58" fillId="0" borderId="0"/>
    <xf numFmtId="164" fontId="1" fillId="0" borderId="0" applyFont="0" applyFill="0" applyBorder="0" applyAlignment="0" applyProtection="0"/>
    <xf numFmtId="0" fontId="1" fillId="0" borderId="0"/>
    <xf numFmtId="0" fontId="59" fillId="0" borderId="0"/>
    <xf numFmtId="164" fontId="1" fillId="0" borderId="0" applyFont="0" applyFill="0" applyBorder="0" applyAlignment="0" applyProtection="0"/>
    <xf numFmtId="0" fontId="57" fillId="0" borderId="0"/>
    <xf numFmtId="0" fontId="3" fillId="0" borderId="0"/>
    <xf numFmtId="165" fontId="3" fillId="0" borderId="0" applyFont="0" applyFill="0" applyBorder="0" applyAlignment="0" applyProtection="0"/>
    <xf numFmtId="0" fontId="10" fillId="0" borderId="0"/>
    <xf numFmtId="165" fontId="57" fillId="0" borderId="0" applyFont="0" applyFill="0" applyBorder="0" applyAlignment="0" applyProtection="0"/>
    <xf numFmtId="0" fontId="1" fillId="43" borderId="32" applyProtection="0"/>
    <xf numFmtId="0" fontId="63" fillId="44" borderId="12" applyProtection="0"/>
    <xf numFmtId="0" fontId="12" fillId="6" borderId="81">
      <alignment vertical="center"/>
    </xf>
    <xf numFmtId="0" fontId="12" fillId="11" borderId="81" applyBorder="0">
      <alignment vertical="center"/>
    </xf>
    <xf numFmtId="0" fontId="68" fillId="77" borderId="81" applyBorder="0" applyProtection="0">
      <alignment vertical="center"/>
    </xf>
    <xf numFmtId="0" fontId="14" fillId="78" borderId="82" applyBorder="0">
      <alignment vertical="center"/>
    </xf>
    <xf numFmtId="0" fontId="14" fillId="79" borderId="82" applyBorder="0">
      <alignment horizontal="left" vertical="center"/>
    </xf>
    <xf numFmtId="168" fontId="8" fillId="80" borderId="20" applyBorder="0">
      <alignment horizontal="right"/>
      <protection locked="0"/>
    </xf>
    <xf numFmtId="10" fontId="8" fillId="80" borderId="20" applyBorder="0">
      <alignment horizontal="right"/>
      <protection locked="0"/>
    </xf>
    <xf numFmtId="171" fontId="3" fillId="7" borderId="0">
      <protection locked="0"/>
    </xf>
    <xf numFmtId="0" fontId="3" fillId="0" borderId="13">
      <alignment horizontal="left" vertical="center" wrapText="1" indent="1"/>
    </xf>
    <xf numFmtId="49" fontId="3" fillId="7" borderId="12" applyAlignment="0">
      <alignment horizontal="left" vertical="center" wrapText="1"/>
      <protection locked="0"/>
    </xf>
    <xf numFmtId="49" fontId="3" fillId="71" borderId="12" applyAlignment="0" applyProtection="0">
      <alignment horizontal="left" vertical="center" wrapText="1"/>
      <protection locked="0"/>
    </xf>
    <xf numFmtId="169" fontId="71" fillId="81" borderId="9" applyBorder="0">
      <alignment horizontal="right" vertical="center"/>
    </xf>
    <xf numFmtId="169" fontId="71" fillId="60" borderId="83">
      <alignment horizontal="right" vertical="center"/>
    </xf>
    <xf numFmtId="0" fontId="48" fillId="8" borderId="84">
      <alignment horizontal="centerContinuous" vertical="center" wrapText="1"/>
    </xf>
    <xf numFmtId="0" fontId="48" fillId="8" borderId="86">
      <alignment horizontal="right" vertical="center" wrapText="1" indent="1"/>
    </xf>
    <xf numFmtId="0" fontId="48" fillId="82" borderId="86">
      <alignment horizontal="right" vertical="center" wrapText="1" indent="1"/>
    </xf>
    <xf numFmtId="49" fontId="48" fillId="73" borderId="87" applyBorder="0">
      <alignment horizontal="centerContinuous" vertical="center" wrapText="1"/>
    </xf>
    <xf numFmtId="0" fontId="48" fillId="83" borderId="4" applyBorder="0">
      <alignment horizontal="right" vertical="center" wrapText="1" indent="1"/>
    </xf>
    <xf numFmtId="0" fontId="48" fillId="84" borderId="4" applyBorder="0">
      <alignment horizontal="right" vertical="center" wrapText="1" indent="1"/>
    </xf>
    <xf numFmtId="0" fontId="117" fillId="0" borderId="0" applyNumberFormat="0" applyFill="0" applyBorder="0" applyAlignment="0" applyProtection="0"/>
    <xf numFmtId="0" fontId="38" fillId="10" borderId="0">
      <alignment horizontal="left" vertical="center"/>
      <protection locked="0"/>
    </xf>
  </cellStyleXfs>
  <cellXfs count="1279">
    <xf numFmtId="0" fontId="0" fillId="0" borderId="0" xfId="0"/>
    <xf numFmtId="0" fontId="0" fillId="0" borderId="0" xfId="0" quotePrefix="1"/>
    <xf numFmtId="0" fontId="11" fillId="10" borderId="0" xfId="3">
      <alignment vertical="center"/>
    </xf>
    <xf numFmtId="49" fontId="11" fillId="6" borderId="0" xfId="51">
      <alignment vertical="center"/>
    </xf>
    <xf numFmtId="0" fontId="11" fillId="3" borderId="0" xfId="3" applyFill="1">
      <alignment vertical="center"/>
    </xf>
    <xf numFmtId="0" fontId="0" fillId="3" borderId="0" xfId="0" applyFill="1"/>
    <xf numFmtId="0" fontId="31" fillId="3" borderId="0" xfId="3" applyFont="1" applyFill="1" applyAlignment="1">
      <alignment horizontal="justify" vertical="center" wrapText="1"/>
    </xf>
    <xf numFmtId="0" fontId="35" fillId="6" borderId="0" xfId="51" applyNumberFormat="1" applyFont="1">
      <alignment vertical="center"/>
    </xf>
    <xf numFmtId="49" fontId="35" fillId="6" borderId="0" xfId="51" applyFont="1">
      <alignment vertical="center"/>
    </xf>
    <xf numFmtId="0" fontId="35" fillId="6" borderId="0" xfId="51" applyNumberFormat="1" applyFont="1" applyAlignment="1">
      <alignment horizontal="left" vertical="center"/>
    </xf>
    <xf numFmtId="0" fontId="0" fillId="6" borderId="0" xfId="0" applyFill="1"/>
    <xf numFmtId="0" fontId="29" fillId="3" borderId="0" xfId="0" applyFont="1" applyFill="1" applyAlignment="1">
      <alignment horizontal="right" indent="1"/>
    </xf>
    <xf numFmtId="0" fontId="29" fillId="3" borderId="0" xfId="0" applyFont="1" applyFill="1"/>
    <xf numFmtId="0" fontId="11" fillId="6" borderId="0" xfId="57">
      <alignment vertical="center"/>
    </xf>
    <xf numFmtId="0" fontId="11" fillId="10" borderId="0" xfId="58">
      <alignment vertical="center"/>
    </xf>
    <xf numFmtId="0" fontId="2" fillId="0" borderId="0" xfId="0" applyFont="1"/>
    <xf numFmtId="0" fontId="46" fillId="45" borderId="0" xfId="0" applyFont="1" applyFill="1" applyAlignment="1">
      <alignment vertical="center"/>
    </xf>
    <xf numFmtId="0" fontId="46" fillId="45" borderId="0" xfId="0" applyFont="1" applyFill="1" applyAlignment="1">
      <alignment horizontal="left" vertical="center"/>
    </xf>
    <xf numFmtId="0" fontId="0" fillId="0" borderId="0" xfId="0" applyAlignment="1">
      <alignment vertical="center"/>
    </xf>
    <xf numFmtId="0" fontId="47" fillId="46" borderId="0" xfId="0" applyFont="1" applyFill="1" applyAlignment="1">
      <alignment vertical="center"/>
    </xf>
    <xf numFmtId="169" fontId="56" fillId="60" borderId="50" xfId="1" applyFont="1" applyFill="1" applyBorder="1">
      <alignment horizontal="right" vertical="center"/>
      <protection locked="0"/>
    </xf>
    <xf numFmtId="0" fontId="0" fillId="58" borderId="52" xfId="0" applyFill="1" applyBorder="1" applyAlignment="1">
      <alignment horizontal="center" vertical="center"/>
    </xf>
    <xf numFmtId="0" fontId="0" fillId="58" borderId="53" xfId="0" applyFill="1" applyBorder="1" applyAlignment="1">
      <alignment horizontal="center" vertical="center"/>
    </xf>
    <xf numFmtId="0" fontId="0" fillId="58" borderId="54" xfId="0" applyFill="1" applyBorder="1" applyAlignment="1">
      <alignment horizontal="center" vertical="center"/>
    </xf>
    <xf numFmtId="0" fontId="0" fillId="58" borderId="60" xfId="0" applyFill="1" applyBorder="1" applyAlignment="1">
      <alignment horizontal="center" vertical="center"/>
    </xf>
    <xf numFmtId="0" fontId="0" fillId="58" borderId="61" xfId="0" applyFill="1" applyBorder="1" applyAlignment="1">
      <alignment horizontal="center" vertical="center"/>
    </xf>
    <xf numFmtId="0" fontId="0" fillId="58" borderId="62" xfId="0" applyFill="1" applyBorder="1" applyAlignment="1">
      <alignment horizontal="center" vertical="center"/>
    </xf>
    <xf numFmtId="0" fontId="62" fillId="3" borderId="0" xfId="0" applyFont="1" applyFill="1" applyAlignment="1">
      <alignment horizontal="center"/>
    </xf>
    <xf numFmtId="0" fontId="64" fillId="63" borderId="0" xfId="0" applyFont="1" applyFill="1" applyAlignment="1">
      <alignment vertical="center"/>
    </xf>
    <xf numFmtId="0" fontId="0" fillId="63" borderId="0" xfId="0" applyFill="1"/>
    <xf numFmtId="0" fontId="65" fillId="64" borderId="4" xfId="0" applyFont="1" applyFill="1" applyBorder="1" applyAlignment="1">
      <alignment horizontal="center" vertical="top"/>
    </xf>
    <xf numFmtId="0" fontId="65" fillId="64" borderId="5" xfId="0" applyFont="1" applyFill="1" applyBorder="1" applyAlignment="1">
      <alignment horizontal="center" vertical="top"/>
    </xf>
    <xf numFmtId="0" fontId="66" fillId="64" borderId="5" xfId="0" quotePrefix="1" applyFont="1" applyFill="1" applyBorder="1" applyAlignment="1">
      <alignment horizontal="left" vertical="top"/>
    </xf>
    <xf numFmtId="0" fontId="66" fillId="64" borderId="5" xfId="0" applyFont="1" applyFill="1" applyBorder="1" applyAlignment="1">
      <alignment horizontal="left" vertical="top"/>
    </xf>
    <xf numFmtId="49" fontId="66" fillId="64" borderId="5" xfId="0" quotePrefix="1" applyNumberFormat="1" applyFont="1" applyFill="1" applyBorder="1" applyAlignment="1">
      <alignment horizontal="left" vertical="top"/>
    </xf>
    <xf numFmtId="0" fontId="66" fillId="64" borderId="6" xfId="0" applyFont="1" applyFill="1" applyBorder="1" applyAlignment="1">
      <alignment horizontal="left" vertical="top"/>
    </xf>
    <xf numFmtId="0" fontId="67" fillId="0" borderId="0" xfId="0" applyFont="1" applyAlignment="1">
      <alignment horizontal="left"/>
    </xf>
    <xf numFmtId="0" fontId="66" fillId="0" borderId="0" xfId="0" applyFont="1"/>
    <xf numFmtId="0" fontId="6" fillId="65" borderId="1" xfId="0" applyFont="1" applyFill="1" applyBorder="1" applyAlignment="1">
      <alignment horizontal="right" vertical="top" wrapText="1"/>
    </xf>
    <xf numFmtId="0" fontId="68" fillId="65" borderId="1" xfId="0" applyFont="1" applyFill="1" applyBorder="1" applyAlignment="1">
      <alignment horizontal="right" vertical="top" wrapText="1"/>
    </xf>
    <xf numFmtId="0" fontId="68" fillId="65" borderId="63" xfId="0" applyFont="1" applyFill="1" applyBorder="1" applyAlignment="1">
      <alignment horizontal="right" vertical="top" wrapText="1"/>
    </xf>
    <xf numFmtId="0" fontId="6" fillId="66" borderId="2" xfId="0" applyFont="1" applyFill="1" applyBorder="1" applyAlignment="1">
      <alignment horizontal="right" vertical="top" wrapText="1"/>
    </xf>
    <xf numFmtId="0" fontId="6" fillId="67" borderId="2" xfId="0" applyFont="1" applyFill="1" applyBorder="1" applyAlignment="1">
      <alignment horizontal="right" vertical="top" wrapText="1"/>
    </xf>
    <xf numFmtId="0" fontId="68" fillId="9" borderId="2" xfId="0" applyFont="1" applyFill="1" applyBorder="1" applyAlignment="1">
      <alignment horizontal="right" vertical="top" wrapText="1"/>
    </xf>
    <xf numFmtId="0" fontId="68" fillId="65" borderId="2" xfId="0" applyFont="1" applyFill="1" applyBorder="1" applyAlignment="1">
      <alignment horizontal="right" vertical="top" wrapText="1"/>
    </xf>
    <xf numFmtId="0" fontId="68" fillId="68" borderId="2" xfId="0" applyFont="1" applyFill="1" applyBorder="1" applyAlignment="1">
      <alignment horizontal="right" vertical="top" wrapText="1"/>
    </xf>
    <xf numFmtId="0" fontId="68" fillId="68" borderId="1" xfId="0" applyFont="1" applyFill="1" applyBorder="1" applyAlignment="1">
      <alignment horizontal="right" vertical="top" wrapText="1"/>
    </xf>
    <xf numFmtId="0" fontId="68" fillId="69" borderId="64" xfId="0" applyFont="1" applyFill="1" applyBorder="1" applyAlignment="1">
      <alignment horizontal="right" vertical="top" wrapText="1"/>
    </xf>
    <xf numFmtId="0" fontId="0" fillId="0" borderId="0" xfId="0" applyAlignment="1">
      <alignment horizontal="right" vertical="top" wrapText="1"/>
    </xf>
    <xf numFmtId="0" fontId="69" fillId="70" borderId="1" xfId="0" applyFont="1" applyFill="1" applyBorder="1" applyAlignment="1">
      <alignment vertical="top"/>
    </xf>
    <xf numFmtId="0" fontId="3" fillId="70" borderId="65" xfId="0" applyFont="1" applyFill="1" applyBorder="1" applyAlignment="1">
      <alignment vertical="top"/>
    </xf>
    <xf numFmtId="0" fontId="66" fillId="71" borderId="1" xfId="0" applyFont="1" applyFill="1" applyBorder="1" applyAlignment="1">
      <alignment horizontal="center"/>
    </xf>
    <xf numFmtId="0" fontId="66" fillId="71" borderId="65" xfId="0" applyFont="1" applyFill="1" applyBorder="1" applyAlignment="1">
      <alignment horizontal="center"/>
    </xf>
    <xf numFmtId="0" fontId="66" fillId="71" borderId="66" xfId="0" applyFont="1" applyFill="1" applyBorder="1" applyAlignment="1">
      <alignment horizontal="center"/>
    </xf>
    <xf numFmtId="0" fontId="66" fillId="71" borderId="2" xfId="0" applyFont="1" applyFill="1" applyBorder="1" applyAlignment="1">
      <alignment horizontal="center"/>
    </xf>
    <xf numFmtId="0" fontId="66" fillId="71" borderId="67" xfId="0" applyFont="1" applyFill="1" applyBorder="1" applyAlignment="1">
      <alignment horizontal="center"/>
    </xf>
    <xf numFmtId="0" fontId="69" fillId="69" borderId="68" xfId="0" applyFont="1" applyFill="1" applyBorder="1" applyAlignment="1">
      <alignment vertical="top"/>
    </xf>
    <xf numFmtId="0" fontId="3" fillId="70" borderId="69" xfId="0" applyFont="1" applyFill="1" applyBorder="1" applyAlignment="1">
      <alignment vertical="top"/>
    </xf>
    <xf numFmtId="0" fontId="66" fillId="71" borderId="68" xfId="0" applyFont="1" applyFill="1" applyBorder="1" applyAlignment="1">
      <alignment horizontal="center"/>
    </xf>
    <xf numFmtId="0" fontId="66" fillId="71" borderId="69" xfId="0" applyFont="1" applyFill="1" applyBorder="1" applyAlignment="1">
      <alignment horizontal="center"/>
    </xf>
    <xf numFmtId="0" fontId="66" fillId="71" borderId="70" xfId="0" applyFont="1" applyFill="1" applyBorder="1" applyAlignment="1">
      <alignment horizontal="center"/>
    </xf>
    <xf numFmtId="0" fontId="66" fillId="71" borderId="71" xfId="0" applyFont="1" applyFill="1" applyBorder="1" applyAlignment="1">
      <alignment horizontal="center"/>
    </xf>
    <xf numFmtId="0" fontId="66" fillId="71" borderId="72" xfId="0" applyFont="1" applyFill="1" applyBorder="1" applyAlignment="1">
      <alignment horizontal="center"/>
    </xf>
    <xf numFmtId="0" fontId="5" fillId="8" borderId="73" xfId="0" applyFont="1" applyFill="1" applyBorder="1" applyAlignment="1">
      <alignment vertical="top"/>
    </xf>
    <xf numFmtId="0" fontId="3" fillId="72" borderId="70" xfId="0" applyFont="1" applyFill="1" applyBorder="1" applyAlignment="1">
      <alignment vertical="top"/>
    </xf>
    <xf numFmtId="0" fontId="66" fillId="71" borderId="73" xfId="0" applyFont="1" applyFill="1" applyBorder="1" applyAlignment="1">
      <alignment horizontal="center"/>
    </xf>
    <xf numFmtId="0" fontId="5" fillId="8" borderId="74" xfId="0" applyFont="1" applyFill="1" applyBorder="1" applyAlignment="1">
      <alignment vertical="top"/>
    </xf>
    <xf numFmtId="0" fontId="70" fillId="72" borderId="70" xfId="0" applyFont="1" applyFill="1" applyBorder="1" applyAlignment="1">
      <alignment vertical="top"/>
    </xf>
    <xf numFmtId="0" fontId="5" fillId="73" borderId="74" xfId="0" applyFont="1" applyFill="1" applyBorder="1" applyAlignment="1">
      <alignment vertical="top"/>
    </xf>
    <xf numFmtId="0" fontId="3" fillId="74" borderId="70" xfId="0" applyFont="1" applyFill="1" applyBorder="1" applyAlignment="1">
      <alignment vertical="top"/>
    </xf>
    <xf numFmtId="0" fontId="5" fillId="2" borderId="74" xfId="0" applyFont="1" applyFill="1" applyBorder="1" applyAlignment="1">
      <alignment vertical="top"/>
    </xf>
    <xf numFmtId="0" fontId="70" fillId="75" borderId="70" xfId="0" applyFont="1" applyFill="1" applyBorder="1" applyAlignment="1">
      <alignment vertical="top"/>
    </xf>
    <xf numFmtId="0" fontId="5" fillId="2" borderId="73" xfId="0" applyFont="1" applyFill="1" applyBorder="1" applyAlignment="1">
      <alignment vertical="top"/>
    </xf>
    <xf numFmtId="0" fontId="5" fillId="73" borderId="73" xfId="0" applyFont="1" applyFill="1" applyBorder="1" applyAlignment="1">
      <alignment vertical="top"/>
    </xf>
    <xf numFmtId="0" fontId="3" fillId="73" borderId="70" xfId="0" applyFont="1" applyFill="1" applyBorder="1" applyAlignment="1">
      <alignment vertical="top"/>
    </xf>
    <xf numFmtId="0" fontId="3" fillId="8" borderId="70" xfId="0" applyFont="1" applyFill="1" applyBorder="1" applyAlignment="1">
      <alignment vertical="top"/>
    </xf>
    <xf numFmtId="0" fontId="69" fillId="46" borderId="74" xfId="0" applyFont="1" applyFill="1" applyBorder="1" applyAlignment="1">
      <alignment vertical="top"/>
    </xf>
    <xf numFmtId="0" fontId="3" fillId="76" borderId="75" xfId="0" applyFont="1" applyFill="1" applyBorder="1" applyAlignment="1">
      <alignment vertical="top"/>
    </xf>
    <xf numFmtId="0" fontId="69" fillId="69" borderId="74" xfId="0" applyFont="1" applyFill="1" applyBorder="1" applyAlignment="1">
      <alignment vertical="top"/>
    </xf>
    <xf numFmtId="0" fontId="3" fillId="70" borderId="75" xfId="0" applyFont="1" applyFill="1" applyBorder="1" applyAlignment="1">
      <alignment vertical="top"/>
    </xf>
    <xf numFmtId="0" fontId="66" fillId="71" borderId="76" xfId="0" applyFont="1" applyFill="1" applyBorder="1" applyAlignment="1">
      <alignment horizontal="center"/>
    </xf>
    <xf numFmtId="0" fontId="66" fillId="71" borderId="75" xfId="0" applyFont="1" applyFill="1" applyBorder="1" applyAlignment="1">
      <alignment horizontal="center"/>
    </xf>
    <xf numFmtId="0" fontId="5" fillId="8" borderId="76" xfId="0" applyFont="1" applyFill="1" applyBorder="1" applyAlignment="1">
      <alignment vertical="top"/>
    </xf>
    <xf numFmtId="0" fontId="3" fillId="8" borderId="75" xfId="0" applyFont="1" applyFill="1" applyBorder="1" applyAlignment="1">
      <alignment vertical="top"/>
    </xf>
    <xf numFmtId="0" fontId="3" fillId="72" borderId="75" xfId="0" applyFont="1" applyFill="1" applyBorder="1" applyAlignment="1">
      <alignment vertical="top"/>
    </xf>
    <xf numFmtId="0" fontId="5" fillId="8" borderId="77" xfId="0" applyFont="1" applyFill="1" applyBorder="1" applyAlignment="1">
      <alignment vertical="top"/>
    </xf>
    <xf numFmtId="0" fontId="3" fillId="8" borderId="78" xfId="0" applyFont="1" applyFill="1" applyBorder="1" applyAlignment="1">
      <alignment vertical="top"/>
    </xf>
    <xf numFmtId="0" fontId="66" fillId="71" borderId="77" xfId="0" applyFont="1" applyFill="1" applyBorder="1" applyAlignment="1">
      <alignment horizontal="center"/>
    </xf>
    <xf numFmtId="0" fontId="66" fillId="71" borderId="78" xfId="0" applyFont="1" applyFill="1" applyBorder="1" applyAlignment="1">
      <alignment horizontal="center"/>
    </xf>
    <xf numFmtId="0" fontId="66" fillId="71" borderId="79" xfId="0" applyFont="1" applyFill="1" applyBorder="1" applyAlignment="1">
      <alignment horizontal="center"/>
    </xf>
    <xf numFmtId="0" fontId="66" fillId="71" borderId="80" xfId="0" applyFont="1" applyFill="1" applyBorder="1" applyAlignment="1">
      <alignment horizontal="center"/>
    </xf>
    <xf numFmtId="0" fontId="1" fillId="43" borderId="32" xfId="76"/>
    <xf numFmtId="0" fontId="63" fillId="44" borderId="12" xfId="77"/>
    <xf numFmtId="0" fontId="68" fillId="0" borderId="0" xfId="0" applyFont="1"/>
    <xf numFmtId="0" fontId="3" fillId="0" borderId="0" xfId="0" quotePrefix="1" applyFont="1"/>
    <xf numFmtId="0" fontId="3" fillId="0" borderId="0" xfId="0" applyFont="1"/>
    <xf numFmtId="0" fontId="1" fillId="0" borderId="0" xfId="0" quotePrefix="1" applyFont="1"/>
    <xf numFmtId="0" fontId="5" fillId="3" borderId="0" xfId="0" applyFont="1" applyFill="1"/>
    <xf numFmtId="0" fontId="12" fillId="6" borderId="81" xfId="78">
      <alignment vertical="center"/>
    </xf>
    <xf numFmtId="0" fontId="12" fillId="11" borderId="0" xfId="79" applyBorder="1">
      <alignment vertical="center"/>
    </xf>
    <xf numFmtId="0" fontId="68" fillId="77" borderId="0" xfId="80" applyBorder="1">
      <alignment vertical="center"/>
    </xf>
    <xf numFmtId="0" fontId="14" fillId="78" borderId="0" xfId="81" applyBorder="1">
      <alignment vertical="center"/>
    </xf>
    <xf numFmtId="0" fontId="14" fillId="79" borderId="0" xfId="82" applyBorder="1">
      <alignment horizontal="left" vertical="center"/>
    </xf>
    <xf numFmtId="168" fontId="8" fillId="80" borderId="0" xfId="83" applyBorder="1">
      <alignment horizontal="right"/>
      <protection locked="0"/>
    </xf>
    <xf numFmtId="10" fontId="8" fillId="80" borderId="0" xfId="84" applyBorder="1">
      <alignment horizontal="right"/>
      <protection locked="0"/>
    </xf>
    <xf numFmtId="171" fontId="3" fillId="7" borderId="0" xfId="85">
      <protection locked="0"/>
    </xf>
    <xf numFmtId="0" fontId="3" fillId="0" borderId="13" xfId="86">
      <alignment horizontal="left" vertical="center" wrapText="1" indent="1"/>
    </xf>
    <xf numFmtId="49" fontId="3" fillId="7" borderId="12" xfId="87" applyAlignment="1">
      <protection locked="0"/>
    </xf>
    <xf numFmtId="49" fontId="3" fillId="71" borderId="12" xfId="88" applyAlignment="1" applyProtection="1"/>
    <xf numFmtId="169" fontId="71" fillId="81" borderId="9" xfId="89">
      <alignment horizontal="right" vertical="center"/>
    </xf>
    <xf numFmtId="169" fontId="71" fillId="60" borderId="83" xfId="90">
      <alignment horizontal="right" vertical="center"/>
    </xf>
    <xf numFmtId="0" fontId="48" fillId="8" borderId="85" xfId="91" applyBorder="1" applyAlignment="1">
      <alignment horizontal="center" vertical="center" wrapText="1"/>
    </xf>
    <xf numFmtId="0" fontId="48" fillId="8" borderId="86" xfId="92">
      <alignment horizontal="right" vertical="center" wrapText="1" indent="1"/>
    </xf>
    <xf numFmtId="0" fontId="48" fillId="82" borderId="86" xfId="93">
      <alignment horizontal="right" vertical="center" wrapText="1" indent="1"/>
    </xf>
    <xf numFmtId="49" fontId="48" fillId="73" borderId="88" xfId="94" applyBorder="1" applyAlignment="1">
      <alignment horizontal="center" vertical="center" wrapText="1"/>
    </xf>
    <xf numFmtId="0" fontId="48" fillId="83" borderId="86" xfId="95" applyBorder="1">
      <alignment horizontal="right" vertical="center" wrapText="1" indent="1"/>
    </xf>
    <xf numFmtId="0" fontId="48" fillId="84" borderId="86" xfId="96" applyBorder="1">
      <alignment horizontal="right" vertical="center" wrapText="1" indent="1"/>
    </xf>
    <xf numFmtId="0" fontId="0" fillId="0" borderId="0" xfId="0" quotePrefix="1" applyAlignment="1">
      <alignment horizontal="center" vertical="top"/>
    </xf>
    <xf numFmtId="0" fontId="72" fillId="85" borderId="0" xfId="0" applyFont="1" applyFill="1" applyAlignment="1">
      <alignment horizontal="left"/>
    </xf>
    <xf numFmtId="0" fontId="32" fillId="63" borderId="64"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5" fillId="82" borderId="89" xfId="0" quotePrefix="1" applyFont="1" applyFill="1" applyBorder="1"/>
    <xf numFmtId="0" fontId="5" fillId="82" borderId="89" xfId="0" applyFont="1" applyFill="1" applyBorder="1"/>
    <xf numFmtId="0" fontId="5" fillId="82" borderId="90" xfId="0" applyFont="1" applyFill="1" applyBorder="1"/>
    <xf numFmtId="0" fontId="0" fillId="0" borderId="0" xfId="0" applyAlignment="1">
      <alignment horizontal="left"/>
    </xf>
    <xf numFmtId="0" fontId="5" fillId="82" borderId="91" xfId="0" applyFont="1" applyFill="1" applyBorder="1"/>
    <xf numFmtId="0" fontId="5" fillId="82" borderId="11" xfId="0" applyFont="1" applyFill="1" applyBorder="1"/>
    <xf numFmtId="0" fontId="5" fillId="0" borderId="92" xfId="0" applyFont="1" applyBorder="1"/>
    <xf numFmtId="0" fontId="5" fillId="0" borderId="80" xfId="0" applyFont="1" applyBorder="1"/>
    <xf numFmtId="49" fontId="5" fillId="3" borderId="0" xfId="0" applyNumberFormat="1" applyFont="1" applyFill="1"/>
    <xf numFmtId="0" fontId="5" fillId="2" borderId="93" xfId="0" applyFont="1" applyFill="1" applyBorder="1" applyAlignment="1">
      <alignment horizontal="left" vertical="top" wrapText="1"/>
    </xf>
    <xf numFmtId="0" fontId="5" fillId="82" borderId="94" xfId="0" applyFont="1" applyFill="1" applyBorder="1"/>
    <xf numFmtId="0" fontId="5" fillId="82" borderId="95" xfId="0" applyFont="1" applyFill="1" applyBorder="1"/>
    <xf numFmtId="0" fontId="5" fillId="82" borderId="96" xfId="0" applyFont="1" applyFill="1" applyBorder="1"/>
    <xf numFmtId="0" fontId="5" fillId="82" borderId="97" xfId="0" applyFont="1" applyFill="1" applyBorder="1"/>
    <xf numFmtId="1" fontId="5" fillId="3" borderId="0" xfId="0" applyNumberFormat="1" applyFont="1" applyFill="1"/>
    <xf numFmtId="0" fontId="5" fillId="82" borderId="80" xfId="0" applyFont="1" applyFill="1" applyBorder="1"/>
    <xf numFmtId="0" fontId="74" fillId="0" borderId="0" xfId="0" applyFont="1"/>
    <xf numFmtId="1" fontId="75" fillId="3" borderId="0" xfId="0" applyNumberFormat="1" applyFont="1" applyFill="1"/>
    <xf numFmtId="0" fontId="2" fillId="2" borderId="64" xfId="0" applyFont="1" applyFill="1" applyBorder="1" applyAlignment="1">
      <alignment horizontal="left" vertical="top" wrapText="1"/>
    </xf>
    <xf numFmtId="0" fontId="4" fillId="2" borderId="64" xfId="0" applyFont="1" applyFill="1" applyBorder="1" applyAlignment="1">
      <alignment horizontal="left" vertical="top" wrapText="1"/>
    </xf>
    <xf numFmtId="0" fontId="4" fillId="5" borderId="64" xfId="0" applyFont="1" applyFill="1" applyBorder="1" applyAlignment="1">
      <alignment horizontal="left" vertical="center" wrapText="1"/>
    </xf>
    <xf numFmtId="0" fontId="4" fillId="5" borderId="64" xfId="0" applyFont="1" applyFill="1" applyBorder="1" applyAlignment="1">
      <alignment horizontal="center" vertical="center" wrapText="1"/>
    </xf>
    <xf numFmtId="0" fontId="68" fillId="5" borderId="64" xfId="0" applyFont="1" applyFill="1" applyBorder="1" applyAlignment="1">
      <alignment horizontal="center" vertical="center" wrapText="1"/>
    </xf>
    <xf numFmtId="0" fontId="68" fillId="2" borderId="81" xfId="0" applyFont="1" applyFill="1" applyBorder="1" applyAlignment="1">
      <alignment horizontal="centerContinuous" vertical="center" wrapText="1"/>
    </xf>
    <xf numFmtId="0" fontId="68" fillId="2" borderId="98" xfId="0" applyFont="1" applyFill="1" applyBorder="1" applyAlignment="1">
      <alignment horizontal="centerContinuous" vertical="center" wrapText="1"/>
    </xf>
    <xf numFmtId="0" fontId="0" fillId="87" borderId="85" xfId="0" applyFill="1" applyBorder="1"/>
    <xf numFmtId="0" fontId="0" fillId="87" borderId="99" xfId="0" applyFill="1" applyBorder="1" applyProtection="1">
      <protection locked="0"/>
    </xf>
    <xf numFmtId="49" fontId="0" fillId="87" borderId="99" xfId="0" applyNumberFormat="1" applyFill="1" applyBorder="1"/>
    <xf numFmtId="0" fontId="0" fillId="87" borderId="99" xfId="0" applyFill="1" applyBorder="1" applyAlignment="1">
      <alignment vertical="center"/>
    </xf>
    <xf numFmtId="49" fontId="0" fillId="87" borderId="100" xfId="0" applyNumberFormat="1" applyFill="1" applyBorder="1"/>
    <xf numFmtId="0" fontId="3" fillId="59" borderId="85" xfId="0" applyFont="1" applyFill="1" applyBorder="1" applyAlignment="1">
      <alignment horizontal="left"/>
    </xf>
    <xf numFmtId="0" fontId="8" fillId="5" borderId="99" xfId="0" applyFont="1" applyFill="1" applyBorder="1"/>
    <xf numFmtId="0" fontId="0" fillId="5" borderId="101" xfId="0" applyFill="1" applyBorder="1" applyAlignment="1">
      <alignment horizontal="left" vertical="center"/>
    </xf>
    <xf numFmtId="0" fontId="0" fillId="0" borderId="102" xfId="0" applyBorder="1" applyAlignment="1">
      <alignment horizontal="left" vertical="center"/>
    </xf>
    <xf numFmtId="0" fontId="8" fillId="82" borderId="99" xfId="0" applyFont="1" applyFill="1" applyBorder="1"/>
    <xf numFmtId="0" fontId="0" fillId="87" borderId="103" xfId="0" applyFill="1" applyBorder="1"/>
    <xf numFmtId="0" fontId="0" fillId="87" borderId="12" xfId="0" applyFill="1" applyBorder="1" applyProtection="1">
      <protection locked="0"/>
    </xf>
    <xf numFmtId="0" fontId="0" fillId="87" borderId="12" xfId="0" applyFill="1" applyBorder="1"/>
    <xf numFmtId="0" fontId="0" fillId="87" borderId="16" xfId="0" applyFill="1" applyBorder="1"/>
    <xf numFmtId="0" fontId="3" fillId="59" borderId="103" xfId="0" applyFont="1" applyFill="1" applyBorder="1" applyAlignment="1">
      <alignment horizontal="left"/>
    </xf>
    <xf numFmtId="0" fontId="8" fillId="5" borderId="12" xfId="0" applyFont="1" applyFill="1" applyBorder="1"/>
    <xf numFmtId="0" fontId="0" fillId="5" borderId="104" xfId="0" applyFill="1" applyBorder="1" applyAlignment="1">
      <alignment horizontal="left" vertical="center"/>
    </xf>
    <xf numFmtId="0" fontId="0" fillId="0" borderId="106" xfId="0" applyBorder="1" applyAlignment="1">
      <alignment horizontal="left" vertical="center"/>
    </xf>
    <xf numFmtId="0" fontId="8" fillId="82" borderId="12" xfId="0" applyFont="1" applyFill="1" applyBorder="1"/>
    <xf numFmtId="0" fontId="0" fillId="87" borderId="12" xfId="0" applyFill="1" applyBorder="1" applyAlignment="1">
      <alignment vertical="center"/>
    </xf>
    <xf numFmtId="0" fontId="0" fillId="87" borderId="16" xfId="0" applyFill="1" applyBorder="1" applyAlignment="1">
      <alignment vertical="center"/>
    </xf>
    <xf numFmtId="0" fontId="0" fillId="5" borderId="107" xfId="0" applyFill="1" applyBorder="1"/>
    <xf numFmtId="0" fontId="0" fillId="0" borderId="109" xfId="0" applyBorder="1"/>
    <xf numFmtId="0" fontId="0" fillId="5" borderId="110" xfId="0" applyFill="1" applyBorder="1"/>
    <xf numFmtId="0" fontId="0" fillId="0" borderId="112" xfId="0" applyBorder="1"/>
    <xf numFmtId="0" fontId="0" fillId="0" borderId="103" xfId="0" applyBorder="1"/>
    <xf numFmtId="0" fontId="0" fillId="0" borderId="12" xfId="0" applyBorder="1"/>
    <xf numFmtId="0" fontId="0" fillId="5" borderId="110" xfId="0" applyFill="1" applyBorder="1" applyAlignment="1">
      <alignment horizontal="left" vertical="center"/>
    </xf>
    <xf numFmtId="1" fontId="5" fillId="3" borderId="12" xfId="0" applyNumberFormat="1" applyFont="1" applyFill="1" applyBorder="1"/>
    <xf numFmtId="0" fontId="0" fillId="5" borderId="104" xfId="0" applyFill="1" applyBorder="1"/>
    <xf numFmtId="0" fontId="0" fillId="0" borderId="16" xfId="0" applyBorder="1"/>
    <xf numFmtId="0" fontId="0" fillId="5" borderId="113" xfId="0" applyFill="1" applyBorder="1" applyAlignment="1">
      <alignment horizontal="left" vertical="center"/>
    </xf>
    <xf numFmtId="0" fontId="0" fillId="3" borderId="108" xfId="0" applyFill="1" applyBorder="1" applyAlignment="1">
      <alignment vertical="center"/>
    </xf>
    <xf numFmtId="0" fontId="0" fillId="0" borderId="114" xfId="0" applyBorder="1" applyAlignment="1">
      <alignment horizontal="left" vertical="center"/>
    </xf>
    <xf numFmtId="0" fontId="5" fillId="3" borderId="12" xfId="0" applyFont="1" applyFill="1" applyBorder="1"/>
    <xf numFmtId="0" fontId="0" fillId="5" borderId="115" xfId="0" applyFill="1" applyBorder="1" applyAlignment="1">
      <alignment horizontal="left" vertical="center"/>
    </xf>
    <xf numFmtId="0" fontId="0" fillId="3" borderId="116" xfId="0" applyFill="1" applyBorder="1" applyAlignment="1">
      <alignment vertical="center"/>
    </xf>
    <xf numFmtId="0" fontId="0" fillId="6" borderId="8" xfId="0" applyFill="1" applyBorder="1"/>
    <xf numFmtId="0" fontId="0" fillId="5" borderId="115" xfId="0" applyFill="1" applyBorder="1"/>
    <xf numFmtId="0" fontId="0" fillId="3" borderId="102" xfId="0" applyFill="1" applyBorder="1" applyAlignment="1">
      <alignment horizontal="left" vertical="center"/>
    </xf>
    <xf numFmtId="0" fontId="0" fillId="3" borderId="109" xfId="0" applyFill="1" applyBorder="1" applyAlignment="1">
      <alignment horizontal="left" vertical="center"/>
    </xf>
    <xf numFmtId="0" fontId="0" fillId="3" borderId="105" xfId="0" applyFill="1" applyBorder="1" applyAlignment="1">
      <alignment vertical="center"/>
    </xf>
    <xf numFmtId="0" fontId="0" fillId="0" borderId="117" xfId="0" applyBorder="1"/>
    <xf numFmtId="0" fontId="0" fillId="3" borderId="106" xfId="0" applyFill="1" applyBorder="1" applyAlignment="1">
      <alignment horizontal="left" vertical="center"/>
    </xf>
    <xf numFmtId="0" fontId="0" fillId="3" borderId="114" xfId="0" applyFill="1" applyBorder="1" applyAlignment="1">
      <alignment horizontal="left" vertical="center"/>
    </xf>
    <xf numFmtId="0" fontId="0" fillId="0" borderId="12" xfId="0" applyBorder="1" applyAlignment="1">
      <alignment vertical="center"/>
    </xf>
    <xf numFmtId="0" fontId="0" fillId="3" borderId="105" xfId="0" applyFill="1" applyBorder="1" applyAlignment="1">
      <alignment vertical="top"/>
    </xf>
    <xf numFmtId="0" fontId="0" fillId="3" borderId="117" xfId="0" applyFill="1" applyBorder="1" applyAlignment="1">
      <alignment horizontal="left" vertical="center"/>
    </xf>
    <xf numFmtId="0" fontId="0" fillId="3" borderId="110" xfId="0" applyFill="1" applyBorder="1" applyAlignment="1">
      <alignment horizontal="left" vertical="center"/>
    </xf>
    <xf numFmtId="0" fontId="0" fillId="0" borderId="118" xfId="0" applyBorder="1"/>
    <xf numFmtId="0" fontId="0" fillId="0" borderId="119" xfId="0" applyBorder="1"/>
    <xf numFmtId="0" fontId="0" fillId="0" borderId="78" xfId="0" applyBorder="1"/>
    <xf numFmtId="0" fontId="0" fillId="0" borderId="119" xfId="0" applyBorder="1" applyAlignment="1">
      <alignment vertical="center"/>
    </xf>
    <xf numFmtId="0" fontId="0" fillId="3" borderId="120" xfId="0" applyFill="1" applyBorder="1" applyAlignment="1">
      <alignment horizontal="left" vertical="center"/>
    </xf>
    <xf numFmtId="0" fontId="0" fillId="3" borderId="108" xfId="0" applyFill="1" applyBorder="1" applyAlignment="1">
      <alignment vertical="top"/>
    </xf>
    <xf numFmtId="0" fontId="0" fillId="3" borderId="90" xfId="0" applyFill="1" applyBorder="1" applyAlignment="1">
      <alignment vertical="center"/>
    </xf>
    <xf numFmtId="0" fontId="0" fillId="3" borderId="11" xfId="0" applyFill="1" applyBorder="1" applyAlignment="1">
      <alignment vertical="center"/>
    </xf>
    <xf numFmtId="0" fontId="0" fillId="3" borderId="80" xfId="0" applyFill="1" applyBorder="1" applyAlignment="1">
      <alignment vertical="center"/>
    </xf>
    <xf numFmtId="0" fontId="0" fillId="6" borderId="6" xfId="0" applyFill="1" applyBorder="1"/>
    <xf numFmtId="49" fontId="0" fillId="87" borderId="101" xfId="0" applyNumberFormat="1" applyFill="1" applyBorder="1"/>
    <xf numFmtId="0" fontId="0" fillId="87" borderId="110" xfId="0" applyFill="1" applyBorder="1"/>
    <xf numFmtId="0" fontId="0" fillId="87" borderId="110" xfId="0" applyFill="1" applyBorder="1" applyAlignment="1">
      <alignment vertical="center"/>
    </xf>
    <xf numFmtId="0" fontId="0" fillId="0" borderId="110" xfId="0" applyBorder="1" applyAlignment="1">
      <alignment vertical="center"/>
    </xf>
    <xf numFmtId="0" fontId="0" fillId="87" borderId="119" xfId="0" applyFill="1" applyBorder="1"/>
    <xf numFmtId="0" fontId="0" fillId="0" borderId="120" xfId="0" applyBorder="1" applyAlignment="1">
      <alignment vertical="center"/>
    </xf>
    <xf numFmtId="0" fontId="77" fillId="85" borderId="0" xfId="0" applyFont="1" applyFill="1" applyAlignment="1">
      <alignment horizontal="left"/>
    </xf>
    <xf numFmtId="0" fontId="0" fillId="85" borderId="0" xfId="0" applyFill="1"/>
    <xf numFmtId="0" fontId="0" fillId="0" borderId="5" xfId="0" applyBorder="1" applyAlignment="1">
      <alignment vertical="center"/>
    </xf>
    <xf numFmtId="0" fontId="2" fillId="69" borderId="0" xfId="0" applyFont="1" applyFill="1"/>
    <xf numFmtId="0" fontId="0" fillId="69" borderId="0" xfId="0" applyFill="1"/>
    <xf numFmtId="0" fontId="68" fillId="73" borderId="121" xfId="0" applyFont="1" applyFill="1" applyBorder="1" applyAlignment="1">
      <alignment vertical="center" wrapText="1"/>
    </xf>
    <xf numFmtId="0" fontId="68" fillId="86" borderId="122" xfId="0" applyFont="1" applyFill="1" applyBorder="1" applyAlignment="1">
      <alignment vertical="center" wrapText="1"/>
    </xf>
    <xf numFmtId="0" fontId="68" fillId="86" borderId="122" xfId="0" applyFont="1" applyFill="1" applyBorder="1" applyAlignment="1">
      <alignment horizontal="left" vertical="center" wrapText="1"/>
    </xf>
    <xf numFmtId="0" fontId="68" fillId="73" borderId="122" xfId="0" applyFont="1" applyFill="1" applyBorder="1" applyAlignment="1">
      <alignment vertical="center" wrapText="1"/>
    </xf>
    <xf numFmtId="0" fontId="68" fillId="73" borderId="123"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78" fillId="87" borderId="85" xfId="0" applyFont="1" applyFill="1" applyBorder="1" applyAlignment="1">
      <alignment wrapText="1"/>
    </xf>
    <xf numFmtId="0" fontId="3" fillId="87" borderId="99" xfId="0" applyFont="1" applyFill="1" applyBorder="1" applyAlignment="1">
      <alignment wrapText="1"/>
    </xf>
    <xf numFmtId="0" fontId="9" fillId="87" borderId="99" xfId="0" applyFont="1" applyFill="1" applyBorder="1" applyAlignment="1">
      <alignment vertical="center"/>
    </xf>
    <xf numFmtId="0" fontId="10" fillId="87" borderId="99" xfId="0" applyFont="1" applyFill="1" applyBorder="1" applyAlignment="1">
      <alignment vertical="center" wrapText="1"/>
    </xf>
    <xf numFmtId="0" fontId="10" fillId="87" borderId="101" xfId="0" applyFont="1" applyFill="1" applyBorder="1" applyAlignment="1">
      <alignment vertical="center" wrapText="1"/>
    </xf>
    <xf numFmtId="0" fontId="9" fillId="87" borderId="85" xfId="0" applyFont="1" applyFill="1" applyBorder="1" applyAlignment="1">
      <alignment vertical="center"/>
    </xf>
    <xf numFmtId="0" fontId="9" fillId="87" borderId="101" xfId="0" applyFont="1" applyFill="1" applyBorder="1" applyAlignment="1">
      <alignment vertical="center"/>
    </xf>
    <xf numFmtId="0" fontId="78" fillId="87" borderId="103" xfId="0" applyFont="1" applyFill="1" applyBorder="1" applyAlignment="1">
      <alignment wrapText="1"/>
    </xf>
    <xf numFmtId="0" fontId="3" fillId="87" borderId="12" xfId="0" applyFont="1" applyFill="1" applyBorder="1" applyAlignment="1">
      <alignment wrapText="1"/>
    </xf>
    <xf numFmtId="0" fontId="9" fillId="87" borderId="12" xfId="0" applyFont="1" applyFill="1" applyBorder="1" applyAlignment="1">
      <alignment vertical="center"/>
    </xf>
    <xf numFmtId="0" fontId="10" fillId="87" borderId="12" xfId="0" applyFont="1" applyFill="1" applyBorder="1" applyAlignment="1">
      <alignment vertical="center" wrapText="1"/>
    </xf>
    <xf numFmtId="0" fontId="10" fillId="87" borderId="110" xfId="0" applyFont="1" applyFill="1" applyBorder="1" applyAlignment="1">
      <alignment vertical="center" wrapText="1"/>
    </xf>
    <xf numFmtId="0" fontId="9" fillId="87" borderId="103" xfId="0" applyFont="1" applyFill="1" applyBorder="1" applyAlignment="1">
      <alignment vertical="center"/>
    </xf>
    <xf numFmtId="0" fontId="9" fillId="87" borderId="110" xfId="0" applyFont="1" applyFill="1" applyBorder="1" applyAlignment="1">
      <alignment vertical="center"/>
    </xf>
    <xf numFmtId="0" fontId="9" fillId="0" borderId="110" xfId="0" applyFont="1" applyBorder="1" applyAlignment="1">
      <alignment vertical="center"/>
    </xf>
    <xf numFmtId="0" fontId="9" fillId="0" borderId="12" xfId="0" applyFont="1" applyBorder="1" applyAlignment="1">
      <alignment vertical="center"/>
    </xf>
    <xf numFmtId="0" fontId="3" fillId="0" borderId="12" xfId="0" applyFont="1" applyBorder="1"/>
    <xf numFmtId="0" fontId="3" fillId="0" borderId="110" xfId="0" applyFont="1" applyBorder="1"/>
    <xf numFmtId="0" fontId="9" fillId="0" borderId="103" xfId="0" applyFont="1" applyBorder="1" applyAlignment="1">
      <alignment vertical="center"/>
    </xf>
    <xf numFmtId="0" fontId="3" fillId="0" borderId="12" xfId="0" applyFont="1" applyBorder="1" applyAlignment="1">
      <alignment vertical="center"/>
    </xf>
    <xf numFmtId="0" fontId="3" fillId="0" borderId="103" xfId="0" applyFont="1" applyBorder="1" applyAlignment="1">
      <alignment vertical="center"/>
    </xf>
    <xf numFmtId="0" fontId="3" fillId="0" borderId="118" xfId="0" applyFont="1" applyBorder="1" applyAlignment="1">
      <alignment vertical="center"/>
    </xf>
    <xf numFmtId="0" fontId="3" fillId="87" borderId="119" xfId="0" applyFont="1" applyFill="1" applyBorder="1" applyAlignment="1">
      <alignment wrapText="1"/>
    </xf>
    <xf numFmtId="0" fontId="3" fillId="0" borderId="119" xfId="0" applyFont="1" applyBorder="1" applyAlignment="1">
      <alignment vertical="center"/>
    </xf>
    <xf numFmtId="0" fontId="3" fillId="0" borderId="119" xfId="0" applyFont="1" applyBorder="1"/>
    <xf numFmtId="0" fontId="3" fillId="0" borderId="120" xfId="0" applyFont="1" applyBorder="1"/>
    <xf numFmtId="0" fontId="9" fillId="0" borderId="118" xfId="0" applyFont="1" applyBorder="1" applyAlignment="1">
      <alignment vertical="center"/>
    </xf>
    <xf numFmtId="0" fontId="9" fillId="0" borderId="120" xfId="0" applyFont="1" applyBorder="1" applyAlignment="1">
      <alignment vertical="center"/>
    </xf>
    <xf numFmtId="0" fontId="9" fillId="0" borderId="119" xfId="0" applyFont="1" applyBorder="1" applyAlignment="1">
      <alignment vertical="center"/>
    </xf>
    <xf numFmtId="0" fontId="1" fillId="0" borderId="0" xfId="0" applyFont="1" applyAlignment="1">
      <alignment horizontal="left" indent="2"/>
    </xf>
    <xf numFmtId="0" fontId="79" fillId="0" borderId="0" xfId="0" applyFont="1" applyAlignment="1">
      <alignment horizontal="right"/>
    </xf>
    <xf numFmtId="0" fontId="68" fillId="86" borderId="93" xfId="0" applyFont="1" applyFill="1" applyBorder="1" applyAlignment="1">
      <alignment vertical="center" wrapText="1"/>
    </xf>
    <xf numFmtId="0" fontId="69" fillId="87" borderId="90" xfId="0" applyFont="1" applyFill="1" applyBorder="1" applyAlignment="1">
      <alignment horizontal="center" vertical="top" wrapText="1"/>
    </xf>
    <xf numFmtId="0" fontId="69" fillId="87" borderId="11" xfId="0" applyFont="1" applyFill="1" applyBorder="1" applyAlignment="1">
      <alignment horizontal="center" vertical="top" wrapText="1"/>
    </xf>
    <xf numFmtId="0" fontId="5" fillId="87" borderId="80" xfId="0" applyFont="1" applyFill="1" applyBorder="1" applyAlignment="1">
      <alignment horizontal="center" vertical="center"/>
    </xf>
    <xf numFmtId="0" fontId="68" fillId="73" borderId="124" xfId="0" applyFont="1" applyFill="1" applyBorder="1" applyAlignment="1">
      <alignment vertical="center" wrapText="1"/>
    </xf>
    <xf numFmtId="0" fontId="9" fillId="87" borderId="94" xfId="0" applyFont="1" applyFill="1" applyBorder="1" applyAlignment="1">
      <alignment horizontal="center" vertical="center"/>
    </xf>
    <xf numFmtId="0" fontId="9" fillId="87" borderId="11" xfId="0" applyFont="1" applyFill="1" applyBorder="1" applyAlignment="1">
      <alignment horizontal="center" vertical="center"/>
    </xf>
    <xf numFmtId="0" fontId="9" fillId="87" borderId="80" xfId="0" applyFont="1" applyFill="1" applyBorder="1" applyAlignment="1">
      <alignment horizontal="center" vertical="center"/>
    </xf>
    <xf numFmtId="0" fontId="30" fillId="88" borderId="126" xfId="0" applyFont="1" applyFill="1" applyBorder="1" applyAlignment="1">
      <alignment horizontal="center" vertical="center" wrapText="1"/>
    </xf>
    <xf numFmtId="0" fontId="30" fillId="88" borderId="127" xfId="0" applyFont="1" applyFill="1" applyBorder="1" applyAlignment="1">
      <alignment horizontal="center" vertical="center" wrapText="1"/>
    </xf>
    <xf numFmtId="0" fontId="30" fillId="88" borderId="128" xfId="0" applyFont="1" applyFill="1" applyBorder="1" applyAlignment="1">
      <alignment horizontal="center" vertical="center" wrapText="1"/>
    </xf>
    <xf numFmtId="0" fontId="0" fillId="82" borderId="7" xfId="0" applyFill="1" applyBorder="1" applyAlignment="1">
      <alignment horizontal="center"/>
    </xf>
    <xf numFmtId="0" fontId="0" fillId="82" borderId="0" xfId="0" applyFill="1" applyAlignment="1">
      <alignment horizontal="center"/>
    </xf>
    <xf numFmtId="0" fontId="0" fillId="82" borderId="10" xfId="0" applyFill="1" applyBorder="1" applyAlignment="1">
      <alignment horizontal="center" vertical="center" wrapText="1"/>
    </xf>
    <xf numFmtId="0" fontId="0" fillId="82" borderId="130" xfId="0" applyFill="1" applyBorder="1" applyAlignment="1">
      <alignment horizontal="center" vertical="center" wrapText="1"/>
    </xf>
    <xf numFmtId="0" fontId="0" fillId="82" borderId="103" xfId="0" applyFill="1" applyBorder="1" applyAlignment="1">
      <alignment horizontal="center" vertical="center" wrapText="1"/>
    </xf>
    <xf numFmtId="0" fontId="0" fillId="82" borderId="12" xfId="0" applyFill="1" applyBorder="1" applyAlignment="1">
      <alignment horizontal="center" vertical="center" wrapText="1"/>
    </xf>
    <xf numFmtId="0" fontId="0" fillId="0" borderId="131" xfId="0" applyBorder="1"/>
    <xf numFmtId="0" fontId="0" fillId="0" borderId="103" xfId="0" applyBorder="1" applyAlignment="1">
      <alignment vertical="center"/>
    </xf>
    <xf numFmtId="0" fontId="0" fillId="82" borderId="119" xfId="0" applyFill="1" applyBorder="1" applyAlignment="1">
      <alignment horizontal="center" vertical="center" wrapText="1"/>
    </xf>
    <xf numFmtId="0" fontId="0" fillId="0" borderId="132" xfId="0" applyBorder="1"/>
    <xf numFmtId="0" fontId="74" fillId="0" borderId="133" xfId="0" applyFont="1" applyBorder="1"/>
    <xf numFmtId="0" fontId="0" fillId="0" borderId="134" xfId="0" applyBorder="1"/>
    <xf numFmtId="0" fontId="26" fillId="89" borderId="0" xfId="0" applyFont="1" applyFill="1" applyAlignment="1">
      <alignment horizontal="centerContinuous"/>
    </xf>
    <xf numFmtId="0" fontId="30" fillId="88" borderId="135" xfId="0" applyFont="1" applyFill="1" applyBorder="1" applyAlignment="1">
      <alignment horizontal="center" vertical="center" wrapText="1"/>
    </xf>
    <xf numFmtId="0" fontId="30" fillId="88" borderId="136" xfId="0" applyFont="1" applyFill="1" applyBorder="1" applyAlignment="1">
      <alignment horizontal="center" vertical="center" wrapText="1"/>
    </xf>
    <xf numFmtId="0" fontId="30" fillId="88" borderId="137" xfId="0" applyFont="1" applyFill="1" applyBorder="1" applyAlignment="1">
      <alignment horizontal="center" vertical="center" wrapText="1"/>
    </xf>
    <xf numFmtId="0" fontId="0" fillId="82" borderId="139" xfId="0" applyFill="1" applyBorder="1" applyAlignment="1">
      <alignment horizontal="center"/>
    </xf>
    <xf numFmtId="0" fontId="0" fillId="0" borderId="10" xfId="0" applyBorder="1"/>
    <xf numFmtId="0" fontId="0" fillId="82" borderId="140" xfId="0" applyFill="1" applyBorder="1" applyAlignment="1">
      <alignment horizontal="center" vertical="center" wrapText="1"/>
    </xf>
    <xf numFmtId="0" fontId="0" fillId="82" borderId="141" xfId="0" applyFill="1" applyBorder="1" applyAlignment="1">
      <alignment horizontal="center"/>
    </xf>
    <xf numFmtId="0" fontId="0" fillId="82" borderId="142" xfId="0" applyFill="1" applyBorder="1" applyAlignment="1">
      <alignment horizontal="center" vertical="center" wrapText="1"/>
    </xf>
    <xf numFmtId="0" fontId="0" fillId="0" borderId="142" xfId="0" applyBorder="1"/>
    <xf numFmtId="0" fontId="0" fillId="82" borderId="144" xfId="0" applyFill="1" applyBorder="1" applyAlignment="1">
      <alignment horizontal="center"/>
    </xf>
    <xf numFmtId="0" fontId="0" fillId="0" borderId="145" xfId="0" applyBorder="1"/>
    <xf numFmtId="0" fontId="0" fillId="0" borderId="146" xfId="0" applyBorder="1"/>
    <xf numFmtId="0" fontId="0" fillId="0" borderId="147" xfId="0" applyBorder="1"/>
    <xf numFmtId="0" fontId="30" fillId="88" borderId="93" xfId="0" applyFont="1" applyFill="1" applyBorder="1" applyAlignment="1">
      <alignment horizontal="center" vertical="center" wrapText="1"/>
    </xf>
    <xf numFmtId="0" fontId="0" fillId="82" borderId="11" xfId="0" applyFill="1" applyBorder="1" applyAlignment="1">
      <alignment horizontal="center"/>
    </xf>
    <xf numFmtId="0" fontId="0" fillId="82" borderId="80" xfId="0" applyFill="1" applyBorder="1" applyAlignment="1">
      <alignment horizontal="center"/>
    </xf>
    <xf numFmtId="0" fontId="30" fillId="90" borderId="148" xfId="0" applyFont="1" applyFill="1" applyBorder="1" applyAlignment="1">
      <alignment vertical="center" wrapText="1"/>
    </xf>
    <xf numFmtId="0" fontId="30" fillId="90" borderId="149" xfId="0" applyFont="1" applyFill="1" applyBorder="1" applyAlignment="1">
      <alignment vertical="center" wrapText="1"/>
    </xf>
    <xf numFmtId="0" fontId="30" fillId="90" borderId="150" xfId="0" applyFont="1" applyFill="1" applyBorder="1" applyAlignment="1">
      <alignment vertical="center" wrapText="1"/>
    </xf>
    <xf numFmtId="0" fontId="0" fillId="91" borderId="85" xfId="0" applyFill="1" applyBorder="1" applyAlignment="1">
      <alignment horizontal="center" vertical="center" wrapText="1"/>
    </xf>
    <xf numFmtId="0" fontId="0" fillId="91" borderId="99" xfId="0" applyFill="1" applyBorder="1" applyAlignment="1">
      <alignment horizontal="center" vertical="center" wrapText="1"/>
    </xf>
    <xf numFmtId="0" fontId="0" fillId="0" borderId="99" xfId="0" applyBorder="1"/>
    <xf numFmtId="0" fontId="0" fillId="0" borderId="101" xfId="0" applyBorder="1"/>
    <xf numFmtId="0" fontId="0" fillId="91" borderId="103" xfId="0" applyFill="1" applyBorder="1" applyAlignment="1">
      <alignment horizontal="center" vertical="center" wrapText="1"/>
    </xf>
    <xf numFmtId="0" fontId="0" fillId="91" borderId="12" xfId="0" applyFill="1" applyBorder="1" applyAlignment="1">
      <alignment horizontal="center" vertical="center" wrapText="1"/>
    </xf>
    <xf numFmtId="0" fontId="0" fillId="0" borderId="110" xfId="0" applyBorder="1"/>
    <xf numFmtId="0" fontId="0" fillId="91" borderId="118" xfId="0" applyFill="1" applyBorder="1" applyAlignment="1">
      <alignment horizontal="center" vertical="center" wrapText="1"/>
    </xf>
    <xf numFmtId="0" fontId="0" fillId="0" borderId="120" xfId="0" applyBorder="1"/>
    <xf numFmtId="0" fontId="68" fillId="92" borderId="151" xfId="0" applyFont="1" applyFill="1" applyBorder="1" applyAlignment="1">
      <alignment horizontal="center" vertical="center" wrapText="1"/>
    </xf>
    <xf numFmtId="0" fontId="68" fillId="92" borderId="152" xfId="0" applyFont="1" applyFill="1" applyBorder="1" applyAlignment="1">
      <alignment horizontal="center" vertical="center" wrapText="1"/>
    </xf>
    <xf numFmtId="0" fontId="68" fillId="92" borderId="153" xfId="0" applyFont="1" applyFill="1" applyBorder="1" applyAlignment="1">
      <alignment horizontal="center" vertical="center" wrapText="1"/>
    </xf>
    <xf numFmtId="0" fontId="0" fillId="93" borderId="4" xfId="0" applyFill="1" applyBorder="1"/>
    <xf numFmtId="0" fontId="0" fillId="93" borderId="5" xfId="0" applyFill="1" applyBorder="1"/>
    <xf numFmtId="0" fontId="0" fillId="93" borderId="6" xfId="0" applyFill="1" applyBorder="1"/>
    <xf numFmtId="0" fontId="0" fillId="0" borderId="7" xfId="0" applyBorder="1" applyAlignment="1">
      <alignment vertical="center"/>
    </xf>
    <xf numFmtId="0" fontId="0" fillId="0" borderId="8" xfId="0" applyBorder="1"/>
    <xf numFmtId="0" fontId="68" fillId="92" borderId="154" xfId="0" applyFont="1" applyFill="1" applyBorder="1" applyAlignment="1">
      <alignment horizontal="center" vertical="center" wrapText="1"/>
    </xf>
    <xf numFmtId="0" fontId="68" fillId="92" borderId="155" xfId="0" applyFont="1" applyFill="1" applyBorder="1" applyAlignment="1">
      <alignment horizontal="center" vertical="center" wrapText="1"/>
    </xf>
    <xf numFmtId="0" fontId="2" fillId="92" borderId="156" xfId="0" applyFont="1" applyFill="1" applyBorder="1" applyAlignment="1">
      <alignment vertical="center"/>
    </xf>
    <xf numFmtId="0" fontId="0" fillId="93" borderId="85" xfId="0" applyFill="1" applyBorder="1" applyAlignment="1">
      <alignment horizontal="left" vertical="center" wrapText="1"/>
    </xf>
    <xf numFmtId="0" fontId="0" fillId="93" borderId="99" xfId="0" applyFill="1" applyBorder="1" applyAlignment="1">
      <alignment horizontal="left"/>
    </xf>
    <xf numFmtId="0" fontId="0" fillId="93" borderId="101" xfId="0" applyFill="1" applyBorder="1" applyAlignment="1">
      <alignment horizontal="left"/>
    </xf>
    <xf numFmtId="0" fontId="0" fillId="93" borderId="103" xfId="0" applyFill="1" applyBorder="1" applyAlignment="1">
      <alignment horizontal="left" vertical="center" wrapText="1"/>
    </xf>
    <xf numFmtId="0" fontId="0" fillId="93" borderId="12" xfId="0" applyFill="1" applyBorder="1" applyAlignment="1">
      <alignment horizontal="left" vertical="top"/>
    </xf>
    <xf numFmtId="0" fontId="0" fillId="0" borderId="110" xfId="0" applyBorder="1" applyAlignment="1">
      <alignment horizontal="left"/>
    </xf>
    <xf numFmtId="0" fontId="0" fillId="93" borderId="118" xfId="0" applyFill="1" applyBorder="1" applyAlignment="1">
      <alignment horizontal="left" vertical="center" wrapText="1"/>
    </xf>
    <xf numFmtId="0" fontId="0" fillId="0" borderId="119" xfId="0" applyBorder="1" applyAlignment="1">
      <alignment horizontal="left" vertical="top"/>
    </xf>
    <xf numFmtId="0" fontId="0" fillId="0" borderId="120" xfId="0" applyBorder="1" applyAlignment="1">
      <alignment horizontal="left"/>
    </xf>
    <xf numFmtId="0" fontId="68" fillId="93" borderId="81" xfId="0" applyFont="1" applyFill="1" applyBorder="1" applyAlignment="1">
      <alignment vertical="center"/>
    </xf>
    <xf numFmtId="0" fontId="68" fillId="93" borderId="9" xfId="0" applyFont="1" applyFill="1" applyBorder="1" applyAlignment="1">
      <alignment vertical="center"/>
    </xf>
    <xf numFmtId="0" fontId="68" fillId="93" borderId="98" xfId="0" applyFont="1" applyFill="1" applyBorder="1" applyAlignment="1">
      <alignment vertical="center"/>
    </xf>
    <xf numFmtId="0" fontId="68" fillId="0" borderId="0" xfId="0" applyFont="1" applyAlignment="1">
      <alignment vertical="center"/>
    </xf>
    <xf numFmtId="0" fontId="3" fillId="0" borderId="0" xfId="0" applyFont="1" applyAlignment="1">
      <alignment horizontal="left" indent="3"/>
    </xf>
    <xf numFmtId="0" fontId="81" fillId="0" borderId="151" xfId="0" applyFont="1" applyBorder="1" applyAlignment="1">
      <alignment horizontal="center" vertical="center" wrapText="1"/>
    </xf>
    <xf numFmtId="0" fontId="81" fillId="0" borderId="152" xfId="0" applyFont="1" applyBorder="1" applyAlignment="1">
      <alignment horizontal="center" vertical="center" wrapText="1"/>
    </xf>
    <xf numFmtId="0" fontId="81" fillId="0" borderId="153" xfId="0" applyFont="1" applyBorder="1" applyAlignment="1">
      <alignment horizontal="center" vertical="center" wrapText="1"/>
    </xf>
    <xf numFmtId="0" fontId="82" fillId="0" borderId="0" xfId="0" applyFont="1" applyAlignment="1">
      <alignment vertical="center"/>
    </xf>
    <xf numFmtId="3" fontId="68" fillId="5" borderId="157" xfId="0" applyNumberFormat="1" applyFont="1" applyFill="1" applyBorder="1" applyAlignment="1">
      <alignment horizontal="left" vertical="center" wrapText="1"/>
    </xf>
    <xf numFmtId="3" fontId="68" fillId="5" borderId="158" xfId="0" applyNumberFormat="1" applyFont="1" applyFill="1" applyBorder="1" applyAlignment="1" applyProtection="1">
      <alignment horizontal="left" vertical="center" wrapText="1"/>
      <protection locked="0"/>
    </xf>
    <xf numFmtId="172" fontId="68" fillId="5" borderId="158" xfId="0" applyNumberFormat="1" applyFont="1" applyFill="1" applyBorder="1" applyAlignment="1" applyProtection="1">
      <alignment horizontal="left" vertical="center" wrapText="1"/>
      <protection locked="0"/>
    </xf>
    <xf numFmtId="172" fontId="68" fillId="5" borderId="159" xfId="0" applyNumberFormat="1" applyFont="1" applyFill="1" applyBorder="1" applyAlignment="1" applyProtection="1">
      <alignment horizontal="left" vertical="center" wrapText="1"/>
      <protection locked="0"/>
    </xf>
    <xf numFmtId="0" fontId="81" fillId="0" borderId="1" xfId="0" applyFont="1" applyBorder="1" applyAlignment="1">
      <alignment horizontal="center" vertical="center" wrapText="1"/>
    </xf>
    <xf numFmtId="0" fontId="81" fillId="0" borderId="2" xfId="0" applyFont="1" applyBorder="1" applyAlignment="1">
      <alignment horizontal="center" vertical="center" wrapText="1"/>
    </xf>
    <xf numFmtId="0" fontId="81" fillId="0" borderId="3" xfId="0" applyFont="1" applyBorder="1" applyAlignment="1">
      <alignment horizontal="center" vertical="center" wrapText="1"/>
    </xf>
    <xf numFmtId="0" fontId="6" fillId="73" borderId="160" xfId="0" applyFont="1" applyFill="1" applyBorder="1" applyAlignment="1">
      <alignment horizontal="center" vertical="center" wrapText="1"/>
    </xf>
    <xf numFmtId="0" fontId="68" fillId="73" borderId="161" xfId="0" applyFont="1" applyFill="1" applyBorder="1" applyAlignment="1">
      <alignment horizontal="center" vertical="center" wrapText="1"/>
    </xf>
    <xf numFmtId="14" fontId="0" fillId="73" borderId="93" xfId="0" applyNumberFormat="1" applyFill="1" applyBorder="1" applyAlignment="1">
      <alignment horizontal="left" vertical="center"/>
    </xf>
    <xf numFmtId="0" fontId="81" fillId="0" borderId="81" xfId="0" applyFont="1" applyBorder="1" applyAlignment="1">
      <alignment horizontal="center" vertical="center"/>
    </xf>
    <xf numFmtId="0" fontId="81" fillId="0" borderId="9" xfId="0" applyFont="1" applyBorder="1" applyAlignment="1">
      <alignment horizontal="center" vertical="center"/>
    </xf>
    <xf numFmtId="0" fontId="81" fillId="0" borderId="98" xfId="0" applyFont="1" applyBorder="1" applyAlignment="1">
      <alignment horizontal="center" vertical="center"/>
    </xf>
    <xf numFmtId="14" fontId="68" fillId="73" borderId="93" xfId="0" applyNumberFormat="1" applyFont="1" applyFill="1" applyBorder="1" applyAlignment="1">
      <alignment horizontal="left" vertical="center"/>
    </xf>
    <xf numFmtId="14" fontId="68" fillId="73" borderId="93" xfId="0" applyNumberFormat="1" applyFont="1" applyFill="1" applyBorder="1" applyAlignment="1">
      <alignment vertical="center"/>
    </xf>
    <xf numFmtId="0" fontId="68" fillId="86" borderId="0" xfId="0" applyFont="1" applyFill="1" applyAlignment="1">
      <alignment horizontal="right" vertical="center" wrapText="1"/>
    </xf>
    <xf numFmtId="0" fontId="83" fillId="0" borderId="81" xfId="0" applyFont="1" applyBorder="1" applyAlignment="1">
      <alignment horizontal="right" vertical="center"/>
    </xf>
    <xf numFmtId="0" fontId="68" fillId="87" borderId="160" xfId="0" applyFont="1" applyFill="1" applyBorder="1" applyAlignment="1">
      <alignment horizontal="center" vertical="center" wrapText="1"/>
    </xf>
    <xf numFmtId="0" fontId="68" fillId="73" borderId="162" xfId="0" applyFont="1" applyFill="1" applyBorder="1" applyAlignment="1">
      <alignment horizontal="center" vertical="center" wrapText="1"/>
    </xf>
    <xf numFmtId="0" fontId="84" fillId="94" borderId="0" xfId="0" applyFont="1" applyFill="1" applyAlignment="1">
      <alignment vertical="center"/>
    </xf>
    <xf numFmtId="0" fontId="2" fillId="94" borderId="0" xfId="0" applyFont="1" applyFill="1" applyAlignment="1">
      <alignment vertical="center"/>
    </xf>
    <xf numFmtId="0" fontId="85" fillId="0" borderId="0" xfId="0" applyFont="1"/>
    <xf numFmtId="0" fontId="83" fillId="0" borderId="93" xfId="0" applyFont="1" applyBorder="1" applyAlignment="1">
      <alignment horizontal="right"/>
    </xf>
    <xf numFmtId="173" fontId="68" fillId="73" borderId="163" xfId="0" applyNumberFormat="1" applyFont="1" applyFill="1" applyBorder="1" applyAlignment="1">
      <alignment horizontal="center" vertical="center" wrapText="1"/>
    </xf>
    <xf numFmtId="173" fontId="68" fillId="73" borderId="14" xfId="0" applyNumberFormat="1" applyFont="1" applyFill="1" applyBorder="1" applyAlignment="1">
      <alignment horizontal="center" vertical="center" wrapText="1"/>
    </xf>
    <xf numFmtId="173" fontId="68" fillId="87" borderId="14" xfId="0" applyNumberFormat="1" applyFont="1" applyFill="1" applyBorder="1" applyAlignment="1">
      <alignment horizontal="left" vertical="center" wrapText="1"/>
    </xf>
    <xf numFmtId="173" fontId="68" fillId="87" borderId="14" xfId="0" applyNumberFormat="1" applyFont="1" applyFill="1" applyBorder="1" applyAlignment="1">
      <alignment horizontal="center" vertical="center" wrapText="1"/>
    </xf>
    <xf numFmtId="0" fontId="3" fillId="0" borderId="0" xfId="0" applyFont="1" applyAlignment="1">
      <alignment horizontal="right" vertical="center"/>
    </xf>
    <xf numFmtId="0" fontId="3" fillId="95" borderId="0" xfId="0" applyFont="1" applyFill="1" applyAlignment="1">
      <alignment vertical="top"/>
    </xf>
    <xf numFmtId="0" fontId="0" fillId="0" borderId="8" xfId="0" applyBorder="1" applyAlignment="1">
      <alignment vertical="center"/>
    </xf>
    <xf numFmtId="173" fontId="68" fillId="87" borderId="164" xfId="0" applyNumberFormat="1" applyFont="1" applyFill="1" applyBorder="1" applyAlignment="1">
      <alignment horizontal="center" vertical="center" wrapText="1"/>
    </xf>
    <xf numFmtId="173" fontId="68" fillId="87" borderId="152" xfId="0" applyNumberFormat="1" applyFont="1" applyFill="1" applyBorder="1" applyAlignment="1">
      <alignment horizontal="center" vertical="center" wrapText="1"/>
    </xf>
    <xf numFmtId="173" fontId="68" fillId="87" borderId="152" xfId="0" applyNumberFormat="1" applyFont="1" applyFill="1" applyBorder="1" applyAlignment="1">
      <alignment horizontal="left" vertical="center" wrapText="1"/>
    </xf>
    <xf numFmtId="173" fontId="68" fillId="87" borderId="153" xfId="0" applyNumberFormat="1" applyFont="1" applyFill="1" applyBorder="1" applyAlignment="1">
      <alignment horizontal="center" vertical="center" wrapText="1"/>
    </xf>
    <xf numFmtId="0" fontId="3" fillId="95" borderId="0" xfId="0" applyFont="1" applyFill="1"/>
    <xf numFmtId="0" fontId="83" fillId="0" borderId="14" xfId="0" applyFont="1" applyBorder="1" applyAlignment="1">
      <alignment horizontal="right"/>
    </xf>
    <xf numFmtId="173" fontId="86" fillId="3" borderId="14" xfId="0" applyNumberFormat="1" applyFont="1" applyFill="1" applyBorder="1"/>
    <xf numFmtId="0" fontId="0" fillId="0" borderId="14" xfId="0" applyBorder="1"/>
    <xf numFmtId="0" fontId="0" fillId="0" borderId="0" xfId="0" applyAlignment="1">
      <alignment horizontal="right" indent="1"/>
    </xf>
    <xf numFmtId="0" fontId="87" fillId="0" borderId="0" xfId="0" applyFont="1" applyAlignment="1">
      <alignment vertical="center"/>
    </xf>
    <xf numFmtId="0" fontId="84" fillId="87" borderId="0" xfId="0" applyFont="1" applyFill="1"/>
    <xf numFmtId="0" fontId="87" fillId="87"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88" fillId="87" borderId="0" xfId="0" applyFont="1" applyFill="1" applyAlignment="1">
      <alignment vertical="top"/>
    </xf>
    <xf numFmtId="0" fontId="5" fillId="3" borderId="0" xfId="0" applyFont="1" applyFill="1" applyAlignment="1">
      <alignment horizontal="center"/>
    </xf>
    <xf numFmtId="0" fontId="84" fillId="0" borderId="0" xfId="0" applyFont="1"/>
    <xf numFmtId="0" fontId="5" fillId="3" borderId="0" xfId="0" applyFont="1" applyFill="1" applyAlignment="1">
      <alignment horizontal="left"/>
    </xf>
    <xf numFmtId="173" fontId="89" fillId="0" borderId="0" xfId="0" quotePrefix="1" applyNumberFormat="1" applyFont="1" applyAlignment="1">
      <alignment vertical="center"/>
    </xf>
    <xf numFmtId="49" fontId="0" fillId="5" borderId="120" xfId="0" applyNumberFormat="1" applyFill="1" applyBorder="1" applyAlignment="1">
      <alignment horizontal="center"/>
    </xf>
    <xf numFmtId="49" fontId="3" fillId="59" borderId="118" xfId="0" applyNumberFormat="1" applyFont="1" applyFill="1" applyBorder="1" applyAlignment="1">
      <alignment horizontal="center"/>
    </xf>
    <xf numFmtId="49" fontId="0" fillId="5" borderId="110" xfId="0" applyNumberFormat="1" applyFill="1" applyBorder="1" applyAlignment="1">
      <alignment horizontal="center"/>
    </xf>
    <xf numFmtId="49" fontId="3" fillId="59" borderId="103" xfId="0" applyNumberFormat="1" applyFont="1" applyFill="1" applyBorder="1" applyAlignment="1">
      <alignment horizontal="center"/>
    </xf>
    <xf numFmtId="0" fontId="0" fillId="0" borderId="0" xfId="0" quotePrefix="1" applyAlignment="1">
      <alignment horizontal="left"/>
    </xf>
    <xf numFmtId="0" fontId="0" fillId="87" borderId="120" xfId="0" quotePrefix="1" applyFill="1" applyBorder="1" applyAlignment="1">
      <alignment horizontal="left"/>
    </xf>
    <xf numFmtId="0" fontId="0" fillId="0" borderId="118" xfId="0" applyBorder="1" applyAlignment="1">
      <alignment horizontal="right"/>
    </xf>
    <xf numFmtId="0" fontId="0" fillId="87" borderId="110" xfId="0" quotePrefix="1" applyFill="1" applyBorder="1" applyAlignment="1">
      <alignment horizontal="left"/>
    </xf>
    <xf numFmtId="0" fontId="0" fillId="0" borderId="103" xfId="0" applyBorder="1" applyAlignment="1">
      <alignment horizontal="right"/>
    </xf>
    <xf numFmtId="49" fontId="0" fillId="5" borderId="106" xfId="0" applyNumberFormat="1" applyFill="1" applyBorder="1" applyAlignment="1">
      <alignment horizontal="center"/>
    </xf>
    <xf numFmtId="49" fontId="3" fillId="59" borderId="11" xfId="0" applyNumberFormat="1" applyFont="1" applyFill="1" applyBorder="1" applyAlignment="1">
      <alignment horizontal="center"/>
    </xf>
    <xf numFmtId="0" fontId="2" fillId="0" borderId="101" xfId="0" applyFont="1" applyBorder="1"/>
    <xf numFmtId="0" fontId="0" fillId="0" borderId="85" xfId="0" applyBorder="1"/>
    <xf numFmtId="0" fontId="5" fillId="3" borderId="0" xfId="0" quotePrefix="1" applyFont="1" applyFill="1" applyAlignment="1">
      <alignment horizontal="left"/>
    </xf>
    <xf numFmtId="0" fontId="0" fillId="8" borderId="80" xfId="0" quotePrefix="1" applyFill="1" applyBorder="1" applyAlignment="1">
      <alignment horizontal="left"/>
    </xf>
    <xf numFmtId="0" fontId="0" fillId="0" borderId="79" xfId="0" applyBorder="1" applyAlignment="1">
      <alignment horizontal="right"/>
    </xf>
    <xf numFmtId="0" fontId="0" fillId="0" borderId="77" xfId="0" applyBorder="1" applyAlignment="1">
      <alignment horizontal="right"/>
    </xf>
    <xf numFmtId="0" fontId="0" fillId="8" borderId="11" xfId="0" quotePrefix="1" applyFill="1" applyBorder="1" applyAlignment="1">
      <alignment horizontal="left"/>
    </xf>
    <xf numFmtId="0" fontId="0" fillId="0" borderId="165" xfId="0" applyBorder="1" applyAlignment="1">
      <alignment horizontal="right"/>
    </xf>
    <xf numFmtId="0" fontId="0" fillId="0" borderId="166" xfId="0" applyBorder="1" applyAlignment="1">
      <alignment horizontal="right"/>
    </xf>
    <xf numFmtId="0" fontId="0" fillId="0" borderId="167" xfId="0" applyBorder="1" applyAlignment="1">
      <alignment horizontal="right"/>
    </xf>
    <xf numFmtId="0" fontId="0" fillId="8" borderId="11" xfId="0" applyFill="1" applyBorder="1" applyAlignment="1">
      <alignment horizontal="left"/>
    </xf>
    <xf numFmtId="0" fontId="0" fillId="8" borderId="94" xfId="0" applyFill="1" applyBorder="1" applyAlignment="1">
      <alignment horizontal="left"/>
    </xf>
    <xf numFmtId="0" fontId="7" fillId="96" borderId="9" xfId="0" applyFont="1" applyFill="1" applyBorder="1" applyAlignment="1">
      <alignment horizontal="center"/>
    </xf>
    <xf numFmtId="0" fontId="0" fillId="0" borderId="168" xfId="0" applyBorder="1" applyAlignment="1">
      <alignment horizontal="right"/>
    </xf>
    <xf numFmtId="49" fontId="0" fillId="5" borderId="102" xfId="0" applyNumberFormat="1" applyFill="1" applyBorder="1" applyAlignment="1">
      <alignment horizontal="center"/>
    </xf>
    <xf numFmtId="49" fontId="3" fillId="59" borderId="94" xfId="0" applyNumberFormat="1" applyFont="1" applyFill="1" applyBorder="1" applyAlignment="1">
      <alignment horizontal="center"/>
    </xf>
    <xf numFmtId="0" fontId="2" fillId="0" borderId="0" xfId="0" quotePrefix="1" applyFont="1"/>
    <xf numFmtId="0" fontId="2" fillId="0" borderId="0" xfId="0" quotePrefix="1" applyFont="1" applyAlignment="1">
      <alignment horizontal="left"/>
    </xf>
    <xf numFmtId="0" fontId="68" fillId="0" borderId="0" xfId="0" applyFont="1" applyAlignment="1">
      <alignment horizontal="center"/>
    </xf>
    <xf numFmtId="1" fontId="4" fillId="3" borderId="0" xfId="0" applyNumberFormat="1" applyFont="1" applyFill="1" applyAlignment="1">
      <alignment horizontal="center"/>
    </xf>
    <xf numFmtId="0" fontId="5" fillId="97" borderId="73" xfId="0" applyFont="1" applyFill="1" applyBorder="1" applyAlignment="1">
      <alignment vertical="center"/>
    </xf>
    <xf numFmtId="49" fontId="70" fillId="97" borderId="169" xfId="0" applyNumberFormat="1" applyFont="1" applyFill="1" applyBorder="1"/>
    <xf numFmtId="49" fontId="5" fillId="97" borderId="169" xfId="0" applyNumberFormat="1" applyFont="1" applyFill="1" applyBorder="1"/>
    <xf numFmtId="49" fontId="5" fillId="97" borderId="170" xfId="0" applyNumberFormat="1" applyFont="1" applyFill="1" applyBorder="1"/>
    <xf numFmtId="0" fontId="0" fillId="97" borderId="73" xfId="0" applyFill="1" applyBorder="1"/>
    <xf numFmtId="0" fontId="5" fillId="97" borderId="1" xfId="0" applyFont="1" applyFill="1" applyBorder="1" applyAlignment="1">
      <alignment vertical="center"/>
    </xf>
    <xf numFmtId="49" fontId="70" fillId="97" borderId="1" xfId="0" applyNumberFormat="1" applyFont="1" applyFill="1" applyBorder="1"/>
    <xf numFmtId="49" fontId="5" fillId="97" borderId="1" xfId="0" applyNumberFormat="1" applyFont="1" applyFill="1" applyBorder="1"/>
    <xf numFmtId="49" fontId="5" fillId="97" borderId="2" xfId="0" applyNumberFormat="1" applyFont="1" applyFill="1" applyBorder="1"/>
    <xf numFmtId="1" fontId="5" fillId="3" borderId="0" xfId="0" applyNumberFormat="1" applyFont="1" applyFill="1" applyAlignment="1">
      <alignment vertical="center"/>
    </xf>
    <xf numFmtId="0" fontId="5" fillId="3" borderId="0" xfId="0" applyFont="1" applyFill="1" applyAlignment="1">
      <alignment vertical="center"/>
    </xf>
    <xf numFmtId="49" fontId="90" fillId="97" borderId="170" xfId="0" applyNumberFormat="1" applyFont="1" applyFill="1" applyBorder="1" applyAlignment="1">
      <alignment vertical="center" wrapText="1"/>
    </xf>
    <xf numFmtId="49" fontId="90" fillId="97" borderId="2" xfId="0" applyNumberFormat="1" applyFont="1" applyFill="1" applyBorder="1" applyAlignment="1">
      <alignment vertical="center" wrapText="1"/>
    </xf>
    <xf numFmtId="0" fontId="90" fillId="97" borderId="170" xfId="0" applyFont="1" applyFill="1" applyBorder="1" applyAlignment="1">
      <alignment vertical="center" wrapText="1"/>
    </xf>
    <xf numFmtId="0" fontId="91" fillId="98" borderId="73" xfId="0" applyFont="1" applyFill="1" applyBorder="1" applyAlignment="1">
      <alignment vertical="top"/>
    </xf>
    <xf numFmtId="0" fontId="3" fillId="98" borderId="73" xfId="0" applyFont="1" applyFill="1" applyBorder="1" applyAlignment="1">
      <alignment horizontal="center"/>
    </xf>
    <xf numFmtId="0" fontId="92" fillId="98" borderId="73" xfId="0" applyFont="1" applyFill="1" applyBorder="1" applyAlignment="1">
      <alignment horizontal="center" vertical="center"/>
    </xf>
    <xf numFmtId="0" fontId="92" fillId="98" borderId="70" xfId="0" applyFont="1" applyFill="1" applyBorder="1"/>
    <xf numFmtId="0" fontId="92" fillId="98" borderId="73" xfId="0" applyFont="1" applyFill="1" applyBorder="1"/>
    <xf numFmtId="174" fontId="3" fillId="98" borderId="70" xfId="0" applyNumberFormat="1" applyFont="1" applyFill="1" applyBorder="1" applyAlignment="1">
      <alignment horizontal="center" vertical="center"/>
    </xf>
    <xf numFmtId="0" fontId="3" fillId="98" borderId="70" xfId="0" applyFont="1" applyFill="1" applyBorder="1" applyAlignment="1">
      <alignment vertical="center"/>
    </xf>
    <xf numFmtId="0" fontId="3" fillId="98" borderId="73" xfId="0" applyFont="1" applyFill="1" applyBorder="1" applyAlignment="1">
      <alignment vertical="center"/>
    </xf>
    <xf numFmtId="0" fontId="3" fillId="98" borderId="71" xfId="0" applyFont="1" applyFill="1" applyBorder="1" applyAlignment="1">
      <alignment horizontal="center" vertical="top"/>
    </xf>
    <xf numFmtId="1" fontId="3" fillId="98" borderId="71" xfId="0" applyNumberFormat="1" applyFont="1" applyFill="1" applyBorder="1" applyAlignment="1">
      <alignment horizontal="center" vertical="top"/>
    </xf>
    <xf numFmtId="1" fontId="3" fillId="98" borderId="70" xfId="0" applyNumberFormat="1" applyFont="1" applyFill="1" applyBorder="1" applyAlignment="1">
      <alignment horizontal="center" vertical="top"/>
    </xf>
    <xf numFmtId="0" fontId="3" fillId="98" borderId="73" xfId="0" applyFont="1" applyFill="1" applyBorder="1" applyAlignment="1">
      <alignment horizontal="center" vertical="top"/>
    </xf>
    <xf numFmtId="0" fontId="70" fillId="98" borderId="70" xfId="0" applyFont="1" applyFill="1" applyBorder="1" applyAlignment="1">
      <alignment vertical="top"/>
    </xf>
    <xf numFmtId="0" fontId="70" fillId="98" borderId="70" xfId="0" applyFont="1" applyFill="1" applyBorder="1" applyAlignment="1">
      <alignment horizontal="center" vertical="top"/>
    </xf>
    <xf numFmtId="0" fontId="3" fillId="98" borderId="70" xfId="0" applyFont="1" applyFill="1" applyBorder="1" applyAlignment="1">
      <alignment vertical="top"/>
    </xf>
    <xf numFmtId="0" fontId="3" fillId="98" borderId="73" xfId="0" applyFont="1" applyFill="1" applyBorder="1" applyAlignment="1">
      <alignment horizontal="left" vertical="top"/>
    </xf>
    <xf numFmtId="167" fontId="3" fillId="98" borderId="0" xfId="0" applyNumberFormat="1" applyFont="1" applyFill="1" applyAlignment="1">
      <alignment horizontal="right" vertical="top" indent="1"/>
    </xf>
    <xf numFmtId="167" fontId="3" fillId="98" borderId="45" xfId="0" applyNumberFormat="1" applyFont="1" applyFill="1" applyBorder="1" applyAlignment="1">
      <alignment horizontal="right" vertical="top" indent="1"/>
    </xf>
    <xf numFmtId="0" fontId="5" fillId="98" borderId="74" xfId="0" applyFont="1" applyFill="1" applyBorder="1" applyAlignment="1">
      <alignment vertical="top"/>
    </xf>
    <xf numFmtId="0" fontId="5" fillId="98" borderId="46" xfId="0" applyFont="1" applyFill="1" applyBorder="1" applyAlignment="1">
      <alignment vertical="top"/>
    </xf>
    <xf numFmtId="0" fontId="91" fillId="98" borderId="171" xfId="0" applyFont="1" applyFill="1" applyBorder="1" applyAlignment="1">
      <alignment vertical="top"/>
    </xf>
    <xf numFmtId="1" fontId="5" fillId="98" borderId="71" xfId="0" applyNumberFormat="1" applyFont="1" applyFill="1" applyBorder="1" applyAlignment="1">
      <alignment horizontal="center" vertical="top"/>
    </xf>
    <xf numFmtId="1" fontId="5" fillId="98" borderId="70" xfId="0" applyNumberFormat="1" applyFont="1" applyFill="1" applyBorder="1" applyAlignment="1">
      <alignment horizontal="center" vertical="top"/>
    </xf>
    <xf numFmtId="0" fontId="92" fillId="97" borderId="70" xfId="0" applyFont="1" applyFill="1" applyBorder="1"/>
    <xf numFmtId="0" fontId="92" fillId="97" borderId="73" xfId="0" applyFont="1" applyFill="1" applyBorder="1"/>
    <xf numFmtId="174" fontId="3" fillId="98" borderId="70" xfId="0" applyNumberFormat="1" applyFont="1" applyFill="1" applyBorder="1" applyAlignment="1">
      <alignment horizontal="center"/>
    </xf>
    <xf numFmtId="0" fontId="92" fillId="98" borderId="70" xfId="0" applyFont="1" applyFill="1" applyBorder="1" applyAlignment="1">
      <alignment horizontal="left" vertical="center"/>
    </xf>
    <xf numFmtId="0" fontId="92" fillId="98" borderId="70" xfId="0" applyFont="1" applyFill="1" applyBorder="1" applyAlignment="1">
      <alignment vertical="center"/>
    </xf>
    <xf numFmtId="0" fontId="92" fillId="98" borderId="73" xfId="0" applyFont="1" applyFill="1" applyBorder="1" applyAlignment="1">
      <alignment horizontal="left" vertical="center"/>
    </xf>
    <xf numFmtId="0" fontId="3" fillId="98" borderId="70" xfId="0" applyFont="1" applyFill="1" applyBorder="1" applyAlignment="1">
      <alignment horizontal="center" vertical="top"/>
    </xf>
    <xf numFmtId="0" fontId="91" fillId="99" borderId="171" xfId="0" applyFont="1" applyFill="1" applyBorder="1" applyAlignment="1">
      <alignment vertical="top"/>
    </xf>
    <xf numFmtId="0" fontId="70" fillId="99" borderId="70" xfId="0" applyFont="1" applyFill="1" applyBorder="1" applyAlignment="1">
      <alignment vertical="top"/>
    </xf>
    <xf numFmtId="167" fontId="3" fillId="5" borderId="0" xfId="0" applyNumberFormat="1" applyFont="1" applyFill="1" applyAlignment="1">
      <alignment horizontal="right" vertical="top" indent="1"/>
    </xf>
    <xf numFmtId="167" fontId="3" fillId="5" borderId="45" xfId="0" applyNumberFormat="1" applyFont="1" applyFill="1" applyBorder="1" applyAlignment="1">
      <alignment horizontal="right" vertical="top" indent="1"/>
    </xf>
    <xf numFmtId="0" fontId="5" fillId="5" borderId="74" xfId="0" applyFont="1" applyFill="1" applyBorder="1" applyAlignment="1">
      <alignment vertical="top"/>
    </xf>
    <xf numFmtId="0" fontId="5" fillId="5" borderId="46" xfId="0" applyFont="1" applyFill="1" applyBorder="1" applyAlignment="1">
      <alignment vertical="top"/>
    </xf>
    <xf numFmtId="174" fontId="3" fillId="99" borderId="70" xfId="0" applyNumberFormat="1" applyFont="1" applyFill="1" applyBorder="1" applyAlignment="1">
      <alignment horizontal="center" vertical="center"/>
    </xf>
    <xf numFmtId="0" fontId="3" fillId="99" borderId="70" xfId="0" applyFont="1" applyFill="1" applyBorder="1" applyAlignment="1">
      <alignment vertical="center"/>
    </xf>
    <xf numFmtId="0" fontId="3" fillId="99" borderId="73" xfId="0" applyFont="1" applyFill="1" applyBorder="1" applyAlignment="1">
      <alignment vertical="center"/>
    </xf>
    <xf numFmtId="0" fontId="3" fillId="99" borderId="71" xfId="0" applyFont="1" applyFill="1" applyBorder="1" applyAlignment="1">
      <alignment horizontal="center" vertical="top"/>
    </xf>
    <xf numFmtId="1" fontId="3" fillId="99" borderId="71" xfId="0" applyNumberFormat="1" applyFont="1" applyFill="1" applyBorder="1" applyAlignment="1">
      <alignment horizontal="center" vertical="top"/>
    </xf>
    <xf numFmtId="1" fontId="3" fillId="99" borderId="70" xfId="0" applyNumberFormat="1" applyFont="1" applyFill="1" applyBorder="1" applyAlignment="1">
      <alignment horizontal="center" vertical="top"/>
    </xf>
    <xf numFmtId="0" fontId="3" fillId="99" borderId="73" xfId="0" applyFont="1" applyFill="1" applyBorder="1" applyAlignment="1">
      <alignment horizontal="center" vertical="top"/>
    </xf>
    <xf numFmtId="0" fontId="70" fillId="99" borderId="70" xfId="0" applyFont="1" applyFill="1" applyBorder="1" applyAlignment="1">
      <alignment horizontal="center" vertical="top"/>
    </xf>
    <xf numFmtId="0" fontId="3" fillId="99" borderId="70" xfId="0" applyFont="1" applyFill="1" applyBorder="1" applyAlignment="1">
      <alignment vertical="top"/>
    </xf>
    <xf numFmtId="0" fontId="3" fillId="99" borderId="73" xfId="0" applyFont="1" applyFill="1" applyBorder="1" applyAlignment="1">
      <alignment horizontal="left" vertical="top"/>
    </xf>
    <xf numFmtId="0" fontId="3" fillId="98" borderId="73" xfId="0" applyFont="1" applyFill="1" applyBorder="1"/>
    <xf numFmtId="167" fontId="93" fillId="98" borderId="45" xfId="0" applyNumberFormat="1" applyFont="1" applyFill="1" applyBorder="1" applyAlignment="1">
      <alignment horizontal="right" vertical="top" indent="1"/>
    </xf>
    <xf numFmtId="0" fontId="30" fillId="100" borderId="7" xfId="0" applyFont="1" applyFill="1" applyBorder="1" applyAlignment="1">
      <alignment vertical="center" wrapText="1"/>
    </xf>
    <xf numFmtId="0" fontId="68" fillId="93" borderId="7" xfId="0" applyFont="1" applyFill="1" applyBorder="1" applyAlignment="1">
      <alignment horizontal="center" vertical="center" wrapText="1"/>
    </xf>
    <xf numFmtId="0" fontId="68" fillId="64" borderId="173" xfId="0" applyFont="1" applyFill="1" applyBorder="1" applyAlignment="1">
      <alignment vertical="center" wrapText="1"/>
    </xf>
    <xf numFmtId="0" fontId="68" fillId="64" borderId="0" xfId="0" applyFont="1" applyFill="1" applyAlignment="1">
      <alignment vertical="center" wrapText="1"/>
    </xf>
    <xf numFmtId="0" fontId="68" fillId="64" borderId="7" xfId="0" applyFont="1" applyFill="1" applyBorder="1" applyAlignment="1">
      <alignment vertical="center" wrapText="1"/>
    </xf>
    <xf numFmtId="0" fontId="68" fillId="82" borderId="0" xfId="0" applyFont="1" applyFill="1" applyAlignment="1">
      <alignment vertical="center" wrapText="1"/>
    </xf>
    <xf numFmtId="0" fontId="68" fillId="73" borderId="172" xfId="0" applyFont="1" applyFill="1" applyBorder="1" applyAlignment="1">
      <alignment vertical="center" wrapText="1"/>
    </xf>
    <xf numFmtId="0" fontId="68" fillId="87" borderId="172" xfId="0" applyFont="1" applyFill="1" applyBorder="1" applyAlignment="1">
      <alignment vertical="center" wrapText="1"/>
    </xf>
    <xf numFmtId="0" fontId="68" fillId="87" borderId="173" xfId="0" applyFont="1" applyFill="1" applyBorder="1" applyAlignment="1">
      <alignment vertical="center" wrapText="1"/>
    </xf>
    <xf numFmtId="0" fontId="68" fillId="65" borderId="7" xfId="0" applyFont="1" applyFill="1" applyBorder="1" applyAlignment="1">
      <alignment horizontal="center" vertical="center" wrapText="1"/>
    </xf>
    <xf numFmtId="1" fontId="30" fillId="101" borderId="173" xfId="0" applyNumberFormat="1" applyFont="1" applyFill="1" applyBorder="1" applyAlignment="1">
      <alignment horizontal="center" vertical="center" wrapText="1"/>
    </xf>
    <xf numFmtId="0" fontId="30" fillId="101" borderId="173" xfId="0" applyFont="1" applyFill="1" applyBorder="1" applyAlignment="1">
      <alignment horizontal="center" vertical="center" wrapText="1"/>
    </xf>
    <xf numFmtId="0" fontId="68" fillId="94" borderId="173" xfId="0" applyFont="1" applyFill="1" applyBorder="1" applyAlignment="1">
      <alignment horizontal="center" vertical="center" wrapText="1"/>
    </xf>
    <xf numFmtId="0" fontId="68" fillId="94" borderId="7" xfId="0" applyFont="1" applyFill="1" applyBorder="1" applyAlignment="1">
      <alignment horizontal="left" vertical="center" wrapText="1"/>
    </xf>
    <xf numFmtId="49" fontId="90" fillId="4" borderId="0" xfId="0" applyNumberFormat="1" applyFont="1" applyFill="1" applyAlignment="1">
      <alignment vertical="center" wrapText="1"/>
    </xf>
    <xf numFmtId="49" fontId="90" fillId="4" borderId="173" xfId="0" applyNumberFormat="1" applyFont="1" applyFill="1" applyBorder="1" applyAlignment="1">
      <alignment vertical="center" wrapText="1"/>
    </xf>
    <xf numFmtId="0" fontId="90" fillId="4" borderId="173" xfId="0" applyFont="1" applyFill="1" applyBorder="1" applyAlignment="1">
      <alignment vertical="center" wrapText="1"/>
    </xf>
    <xf numFmtId="0" fontId="90" fillId="4" borderId="0" xfId="0" applyFont="1" applyFill="1" applyAlignment="1">
      <alignment vertical="center" wrapText="1"/>
    </xf>
    <xf numFmtId="0" fontId="0" fillId="5" borderId="0" xfId="0" applyFill="1"/>
    <xf numFmtId="0" fontId="2" fillId="82" borderId="6" xfId="0" applyFont="1" applyFill="1" applyBorder="1" applyAlignment="1">
      <alignment horizontal="center"/>
    </xf>
    <xf numFmtId="0" fontId="2" fillId="82" borderId="5" xfId="0" applyFont="1" applyFill="1" applyBorder="1"/>
    <xf numFmtId="0" fontId="0" fillId="2" borderId="6" xfId="0" applyFill="1" applyBorder="1"/>
    <xf numFmtId="0" fontId="0" fillId="2" borderId="5" xfId="0" applyFill="1" applyBorder="1"/>
    <xf numFmtId="0" fontId="0" fillId="2" borderId="4" xfId="0" applyFill="1" applyBorder="1"/>
    <xf numFmtId="0" fontId="2" fillId="82" borderId="8" xfId="0" applyFont="1" applyFill="1" applyBorder="1" applyAlignment="1">
      <alignment horizontal="center"/>
    </xf>
    <xf numFmtId="0" fontId="68" fillId="82" borderId="0" xfId="0" applyFont="1" applyFill="1" applyAlignment="1">
      <alignment horizontal="center"/>
    </xf>
    <xf numFmtId="0" fontId="0" fillId="2" borderId="8" xfId="0" applyFill="1" applyBorder="1"/>
    <xf numFmtId="0" fontId="0" fillId="2" borderId="0" xfId="0" applyFill="1"/>
    <xf numFmtId="0" fontId="0" fillId="2" borderId="7" xfId="0" applyFill="1" applyBorder="1"/>
    <xf numFmtId="0" fontId="2" fillId="82" borderId="3" xfId="0" applyFont="1" applyFill="1" applyBorder="1" applyAlignment="1">
      <alignment horizontal="center"/>
    </xf>
    <xf numFmtId="0" fontId="0" fillId="0" borderId="3" xfId="0" applyBorder="1"/>
    <xf numFmtId="0" fontId="0" fillId="2" borderId="3" xfId="0" applyFill="1" applyBorder="1"/>
    <xf numFmtId="0" fontId="0" fillId="2" borderId="2" xfId="0" applyFill="1" applyBorder="1"/>
    <xf numFmtId="0" fontId="0" fillId="2" borderId="1" xfId="0" applyFill="1" applyBorder="1"/>
    <xf numFmtId="0" fontId="0" fillId="0" borderId="5" xfId="0" applyBorder="1"/>
    <xf numFmtId="0" fontId="0" fillId="0" borderId="9" xfId="0" applyBorder="1"/>
    <xf numFmtId="0" fontId="0" fillId="60" borderId="98" xfId="0" applyFill="1" applyBorder="1" applyAlignment="1">
      <alignment horizontal="left"/>
    </xf>
    <xf numFmtId="0" fontId="0" fillId="60" borderId="81" xfId="0" applyFill="1" applyBorder="1"/>
    <xf numFmtId="0" fontId="0" fillId="0" borderId="2" xfId="0" applyBorder="1"/>
    <xf numFmtId="0" fontId="96" fillId="64" borderId="0" xfId="0" applyFont="1" applyFill="1"/>
    <xf numFmtId="0" fontId="97" fillId="64" borderId="0" xfId="0" applyFont="1" applyFill="1" applyAlignment="1">
      <alignment horizontal="center"/>
    </xf>
    <xf numFmtId="0" fontId="98" fillId="64" borderId="0" xfId="0" quotePrefix="1" applyFont="1" applyFill="1"/>
    <xf numFmtId="0" fontId="5" fillId="64" borderId="0" xfId="0" applyFont="1" applyFill="1"/>
    <xf numFmtId="0" fontId="5" fillId="3" borderId="0" xfId="0" applyFont="1" applyFill="1" applyProtection="1">
      <protection locked="0"/>
    </xf>
    <xf numFmtId="0" fontId="99" fillId="0" borderId="1" xfId="0" applyFont="1" applyBorder="1" applyAlignment="1">
      <alignment horizontal="left"/>
    </xf>
    <xf numFmtId="0" fontId="5" fillId="3" borderId="2" xfId="0" applyFont="1" applyFill="1" applyBorder="1"/>
    <xf numFmtId="0" fontId="99" fillId="3" borderId="7" xfId="0" applyFont="1" applyFill="1" applyBorder="1"/>
    <xf numFmtId="0" fontId="5" fillId="3" borderId="8" xfId="0" applyFont="1" applyFill="1" applyBorder="1"/>
    <xf numFmtId="0" fontId="99" fillId="0" borderId="4" xfId="0" applyFont="1" applyBorder="1"/>
    <xf numFmtId="0" fontId="5" fillId="3" borderId="5" xfId="0" applyFont="1" applyFill="1" applyBorder="1"/>
    <xf numFmtId="0" fontId="5" fillId="3" borderId="6" xfId="0" applyFont="1" applyFill="1" applyBorder="1"/>
    <xf numFmtId="0" fontId="0" fillId="0" borderId="114" xfId="0" applyBorder="1"/>
    <xf numFmtId="0" fontId="3" fillId="82" borderId="7" xfId="0" applyFont="1" applyFill="1" applyBorder="1" applyAlignment="1" applyProtection="1">
      <alignment horizontal="left" indent="2"/>
      <protection locked="0"/>
    </xf>
    <xf numFmtId="0" fontId="68" fillId="2" borderId="0" xfId="0" applyFont="1" applyFill="1" applyAlignment="1" applyProtection="1">
      <alignment horizontal="left"/>
      <protection locked="0"/>
    </xf>
    <xf numFmtId="0" fontId="86" fillId="2" borderId="0" xfId="0" applyFont="1" applyFill="1" applyAlignment="1" applyProtection="1">
      <alignment horizontal="left"/>
      <protection locked="0"/>
    </xf>
    <xf numFmtId="0" fontId="86" fillId="82" borderId="0" xfId="0" applyFont="1" applyFill="1" applyAlignment="1" applyProtection="1">
      <alignment horizontal="left"/>
      <protection locked="0"/>
    </xf>
    <xf numFmtId="0" fontId="5" fillId="82" borderId="0" xfId="0" applyFont="1" applyFill="1" applyAlignment="1" applyProtection="1">
      <alignment horizontal="left"/>
      <protection locked="0"/>
    </xf>
    <xf numFmtId="0" fontId="5" fillId="82" borderId="8" xfId="0" applyFont="1" applyFill="1" applyBorder="1" applyAlignment="1" applyProtection="1">
      <alignment horizontal="left"/>
      <protection locked="0"/>
    </xf>
    <xf numFmtId="0" fontId="0" fillId="0" borderId="0" xfId="0" applyAlignment="1">
      <alignment horizontal="right"/>
    </xf>
    <xf numFmtId="0" fontId="3" fillId="82" borderId="175" xfId="0" applyFont="1" applyFill="1" applyBorder="1" applyAlignment="1" applyProtection="1">
      <alignment horizontal="left" indent="2"/>
      <protection locked="0"/>
    </xf>
    <xf numFmtId="0" fontId="68" fillId="71" borderId="176" xfId="0" applyFont="1" applyFill="1" applyBorder="1" applyAlignment="1" applyProtection="1">
      <alignment horizontal="left"/>
      <protection locked="0"/>
    </xf>
    <xf numFmtId="0" fontId="86" fillId="82" borderId="176" xfId="0" applyFont="1" applyFill="1" applyBorder="1" applyAlignment="1" applyProtection="1">
      <alignment horizontal="left"/>
      <protection locked="0"/>
    </xf>
    <xf numFmtId="0" fontId="100" fillId="82" borderId="176" xfId="0" applyFont="1" applyFill="1" applyBorder="1" applyAlignment="1" applyProtection="1">
      <alignment horizontal="left" vertical="top"/>
      <protection locked="0"/>
    </xf>
    <xf numFmtId="0" fontId="5" fillId="82" borderId="176" xfId="0" applyFont="1" applyFill="1" applyBorder="1" applyAlignment="1" applyProtection="1">
      <alignment horizontal="left"/>
      <protection locked="0"/>
    </xf>
    <xf numFmtId="0" fontId="5" fillId="82" borderId="177" xfId="0" applyFont="1" applyFill="1" applyBorder="1" applyAlignment="1" applyProtection="1">
      <alignment horizontal="left"/>
      <protection locked="0"/>
    </xf>
    <xf numFmtId="0" fontId="68" fillId="7" borderId="0" xfId="0" applyFont="1" applyFill="1" applyAlignment="1" applyProtection="1">
      <alignment horizontal="left"/>
      <protection locked="0"/>
    </xf>
    <xf numFmtId="0" fontId="99" fillId="82" borderId="0" xfId="0" applyFont="1" applyFill="1" applyAlignment="1" applyProtection="1">
      <alignment horizontal="left" vertical="top"/>
      <protection locked="0"/>
    </xf>
    <xf numFmtId="0" fontId="4" fillId="82" borderId="0" xfId="0" applyFont="1" applyFill="1" applyAlignment="1" applyProtection="1">
      <alignment horizontal="left" wrapText="1"/>
      <protection locked="0"/>
    </xf>
    <xf numFmtId="0" fontId="4" fillId="82" borderId="8" xfId="0" applyFont="1" applyFill="1" applyBorder="1" applyAlignment="1" applyProtection="1">
      <alignment horizontal="left" wrapText="1"/>
      <protection locked="0"/>
    </xf>
    <xf numFmtId="0" fontId="3" fillId="82" borderId="7" xfId="0" applyFont="1" applyFill="1" applyBorder="1" applyAlignment="1" applyProtection="1">
      <alignment horizontal="left" vertical="center" indent="2"/>
      <protection locked="0"/>
    </xf>
    <xf numFmtId="0" fontId="86" fillId="82" borderId="0" xfId="0" applyFont="1" applyFill="1" applyAlignment="1" applyProtection="1">
      <alignment horizontal="left" vertical="center"/>
      <protection locked="0"/>
    </xf>
    <xf numFmtId="0" fontId="3" fillId="82" borderId="4" xfId="0" applyFont="1" applyFill="1" applyBorder="1" applyAlignment="1" applyProtection="1">
      <alignment horizontal="left" vertical="top" indent="2"/>
      <protection locked="0"/>
    </xf>
    <xf numFmtId="14" fontId="3" fillId="7" borderId="5" xfId="0" quotePrefix="1" applyNumberFormat="1" applyFont="1" applyFill="1" applyBorder="1" applyAlignment="1" applyProtection="1">
      <alignment horizontal="left" vertical="top"/>
      <protection locked="0"/>
    </xf>
    <xf numFmtId="0" fontId="101" fillId="82" borderId="5" xfId="0" applyFont="1" applyFill="1" applyBorder="1" applyAlignment="1" applyProtection="1">
      <alignment horizontal="left"/>
      <protection locked="0"/>
    </xf>
    <xf numFmtId="0" fontId="100" fillId="82" borderId="5" xfId="0" applyFont="1" applyFill="1" applyBorder="1" applyAlignment="1" applyProtection="1">
      <alignment horizontal="left" vertical="top"/>
      <protection locked="0"/>
    </xf>
    <xf numFmtId="0" fontId="86" fillId="82" borderId="5" xfId="0" applyFont="1" applyFill="1" applyBorder="1" applyAlignment="1" applyProtection="1">
      <alignment horizontal="left" vertical="top"/>
      <protection locked="0"/>
    </xf>
    <xf numFmtId="0" fontId="86" fillId="82" borderId="6" xfId="0" applyFont="1" applyFill="1" applyBorder="1" applyAlignment="1" applyProtection="1">
      <alignment horizontal="left" vertical="top"/>
      <protection locked="0"/>
    </xf>
    <xf numFmtId="0" fontId="3" fillId="82" borderId="151" xfId="0" applyFont="1" applyFill="1" applyBorder="1" applyAlignment="1">
      <alignment horizontal="left" indent="2"/>
    </xf>
    <xf numFmtId="0" fontId="3" fillId="7" borderId="152" xfId="0" applyFont="1" applyFill="1" applyBorder="1" applyAlignment="1" applyProtection="1">
      <alignment horizontal="center"/>
      <protection locked="0"/>
    </xf>
    <xf numFmtId="0" fontId="5" fillId="82" borderId="152" xfId="0" applyFont="1" applyFill="1" applyBorder="1"/>
    <xf numFmtId="0" fontId="5" fillId="82" borderId="153" xfId="0" applyFont="1" applyFill="1" applyBorder="1"/>
    <xf numFmtId="0" fontId="3" fillId="82" borderId="30" xfId="0" applyFont="1" applyFill="1" applyBorder="1" applyAlignment="1">
      <alignment horizontal="left" vertical="top" indent="2"/>
    </xf>
    <xf numFmtId="0" fontId="3" fillId="82" borderId="10" xfId="0" applyFont="1" applyFill="1" applyBorder="1" applyAlignment="1">
      <alignment horizontal="center" vertical="top"/>
    </xf>
    <xf numFmtId="0" fontId="86" fillId="82" borderId="10" xfId="0" quotePrefix="1" applyFont="1" applyFill="1" applyBorder="1" applyAlignment="1">
      <alignment vertical="top"/>
    </xf>
    <xf numFmtId="0" fontId="86" fillId="82" borderId="17" xfId="0" quotePrefix="1" applyFont="1" applyFill="1" applyBorder="1" applyAlignment="1">
      <alignment vertical="top"/>
    </xf>
    <xf numFmtId="0" fontId="86" fillId="82" borderId="167" xfId="0" applyFont="1" applyFill="1" applyBorder="1" applyAlignment="1">
      <alignment vertical="top"/>
    </xf>
    <xf numFmtId="0" fontId="0" fillId="82" borderId="167" xfId="0" applyFill="1" applyBorder="1"/>
    <xf numFmtId="0" fontId="0" fillId="82" borderId="117" xfId="0" applyFill="1" applyBorder="1"/>
    <xf numFmtId="0" fontId="3" fillId="82" borderId="181" xfId="0" applyFont="1" applyFill="1" applyBorder="1" applyAlignment="1">
      <alignment horizontal="left" vertical="top" indent="2"/>
    </xf>
    <xf numFmtId="0" fontId="68" fillId="82" borderId="12" xfId="0" applyFont="1" applyFill="1" applyBorder="1" applyAlignment="1">
      <alignment horizontal="center" vertical="top"/>
    </xf>
    <xf numFmtId="0" fontId="86" fillId="82" borderId="12" xfId="0" quotePrefix="1" applyFont="1" applyFill="1" applyBorder="1" applyAlignment="1">
      <alignment vertical="top"/>
    </xf>
    <xf numFmtId="0" fontId="86" fillId="82" borderId="16" xfId="0" quotePrefix="1" applyFont="1" applyFill="1" applyBorder="1" applyAlignment="1">
      <alignment vertical="top"/>
    </xf>
    <xf numFmtId="0" fontId="86" fillId="82" borderId="165" xfId="0" applyFont="1" applyFill="1" applyBorder="1" applyAlignment="1">
      <alignment vertical="top"/>
    </xf>
    <xf numFmtId="0" fontId="0" fillId="82" borderId="165" xfId="0" applyFill="1" applyBorder="1"/>
    <xf numFmtId="0" fontId="0" fillId="82" borderId="106" xfId="0" applyFill="1" applyBorder="1"/>
    <xf numFmtId="0" fontId="3" fillId="82" borderId="12" xfId="0" applyFont="1" applyFill="1" applyBorder="1" applyAlignment="1">
      <alignment horizontal="center" vertical="top"/>
    </xf>
    <xf numFmtId="0" fontId="3" fillId="82" borderId="12" xfId="0" quotePrefix="1" applyFont="1" applyFill="1" applyBorder="1" applyAlignment="1">
      <alignment horizontal="center" vertical="center"/>
    </xf>
    <xf numFmtId="0" fontId="94" fillId="82" borderId="16" xfId="0" quotePrefix="1" applyFont="1" applyFill="1" applyBorder="1" applyAlignment="1">
      <alignment horizontal="left" vertical="top"/>
    </xf>
    <xf numFmtId="0" fontId="13" fillId="82" borderId="165" xfId="0" applyFont="1" applyFill="1" applyBorder="1" applyAlignment="1">
      <alignment vertical="top"/>
    </xf>
    <xf numFmtId="0" fontId="102" fillId="82" borderId="165" xfId="0" applyFont="1" applyFill="1" applyBorder="1" applyAlignment="1">
      <alignment horizontal="centerContinuous" vertical="top"/>
    </xf>
    <xf numFmtId="0" fontId="102" fillId="82" borderId="106" xfId="0" applyFont="1" applyFill="1" applyBorder="1" applyAlignment="1">
      <alignment horizontal="centerContinuous" vertical="top"/>
    </xf>
    <xf numFmtId="0" fontId="86" fillId="82" borderId="12" xfId="0" applyFont="1" applyFill="1" applyBorder="1" applyAlignment="1">
      <alignment vertical="top"/>
    </xf>
    <xf numFmtId="0" fontId="103" fillId="82" borderId="16" xfId="0" applyFont="1" applyFill="1" applyBorder="1" applyAlignment="1">
      <alignment horizontal="left" vertical="top" indent="3"/>
    </xf>
    <xf numFmtId="0" fontId="3" fillId="82" borderId="183" xfId="0" applyFont="1" applyFill="1" applyBorder="1" applyAlignment="1">
      <alignment horizontal="left" vertical="top" indent="2"/>
    </xf>
    <xf numFmtId="0" fontId="3" fillId="82" borderId="119" xfId="0" applyFont="1" applyFill="1" applyBorder="1" applyAlignment="1">
      <alignment horizontal="center" vertical="top"/>
    </xf>
    <xf numFmtId="0" fontId="86" fillId="82" borderId="119" xfId="0" quotePrefix="1" applyFont="1" applyFill="1" applyBorder="1" applyAlignment="1">
      <alignment vertical="top"/>
    </xf>
    <xf numFmtId="0" fontId="86" fillId="82" borderId="78" xfId="0" quotePrefix="1" applyFont="1" applyFill="1" applyBorder="1" applyAlignment="1">
      <alignment vertical="top"/>
    </xf>
    <xf numFmtId="0" fontId="86" fillId="82" borderId="79" xfId="0" applyFont="1" applyFill="1" applyBorder="1" applyAlignment="1">
      <alignment vertical="top"/>
    </xf>
    <xf numFmtId="0" fontId="0" fillId="82" borderId="79" xfId="0" applyFill="1" applyBorder="1"/>
    <xf numFmtId="0" fontId="0" fillId="82" borderId="184" xfId="0" applyFill="1" applyBorder="1"/>
    <xf numFmtId="0" fontId="104" fillId="77" borderId="185" xfId="0" applyFont="1" applyFill="1" applyBorder="1"/>
    <xf numFmtId="0" fontId="105" fillId="77" borderId="122" xfId="0" applyFont="1" applyFill="1" applyBorder="1"/>
    <xf numFmtId="0" fontId="105" fillId="77" borderId="124" xfId="0" applyFont="1" applyFill="1" applyBorder="1"/>
    <xf numFmtId="0" fontId="78" fillId="77" borderId="124" xfId="0" applyFont="1" applyFill="1" applyBorder="1"/>
    <xf numFmtId="0" fontId="78" fillId="77" borderId="150" xfId="0" applyFont="1" applyFill="1" applyBorder="1"/>
    <xf numFmtId="0" fontId="3" fillId="82" borderId="84" xfId="0" applyFont="1" applyFill="1" applyBorder="1" applyAlignment="1" applyProtection="1">
      <alignment horizontal="left" vertical="center"/>
      <protection locked="0"/>
    </xf>
    <xf numFmtId="0" fontId="3" fillId="82" borderId="10" xfId="0" quotePrefix="1" applyFont="1" applyFill="1" applyBorder="1" applyAlignment="1">
      <alignment horizontal="center" vertical="center"/>
    </xf>
    <xf numFmtId="0" fontId="0" fillId="82" borderId="10" xfId="0" applyFill="1" applyBorder="1" applyAlignment="1">
      <alignment vertical="center"/>
    </xf>
    <xf numFmtId="0" fontId="0" fillId="82" borderId="99" xfId="0" applyFill="1" applyBorder="1" applyAlignment="1">
      <alignment vertical="center"/>
    </xf>
    <xf numFmtId="0" fontId="0" fillId="82" borderId="101" xfId="0" applyFill="1" applyBorder="1" applyAlignment="1">
      <alignment vertical="center"/>
    </xf>
    <xf numFmtId="0" fontId="3" fillId="82" borderId="103" xfId="0" applyFont="1" applyFill="1" applyBorder="1" applyAlignment="1">
      <alignment horizontal="left" vertical="center"/>
    </xf>
    <xf numFmtId="0" fontId="86" fillId="82" borderId="12" xfId="0" applyFont="1" applyFill="1" applyBorder="1" applyAlignment="1">
      <alignment vertical="center"/>
    </xf>
    <xf numFmtId="0" fontId="86" fillId="82" borderId="12" xfId="0" quotePrefix="1" applyFont="1" applyFill="1" applyBorder="1" applyAlignment="1">
      <alignment vertical="center"/>
    </xf>
    <xf numFmtId="0" fontId="0" fillId="82" borderId="12" xfId="0" applyFill="1" applyBorder="1" applyAlignment="1">
      <alignment vertical="center"/>
    </xf>
    <xf numFmtId="0" fontId="0" fillId="82" borderId="110" xfId="0" applyFill="1" applyBorder="1" applyAlignment="1">
      <alignment vertical="center"/>
    </xf>
    <xf numFmtId="0" fontId="3" fillId="82" borderId="103" xfId="0" applyFont="1" applyFill="1" applyBorder="1" applyAlignment="1">
      <alignment horizontal="left" vertical="top" indent="1"/>
    </xf>
    <xf numFmtId="0" fontId="0" fillId="82" borderId="12" xfId="0" applyFill="1" applyBorder="1"/>
    <xf numFmtId="0" fontId="0" fillId="82" borderId="110" xfId="0" applyFill="1" applyBorder="1"/>
    <xf numFmtId="0" fontId="3" fillId="82" borderId="12" xfId="0" quotePrefix="1" applyFont="1" applyFill="1" applyBorder="1" applyAlignment="1">
      <alignment horizontal="center" vertical="top"/>
    </xf>
    <xf numFmtId="0" fontId="3" fillId="82" borderId="118" xfId="0" applyFont="1" applyFill="1" applyBorder="1" applyAlignment="1">
      <alignment horizontal="left" vertical="top" indent="1"/>
    </xf>
    <xf numFmtId="0" fontId="3" fillId="82" borderId="119" xfId="0" quotePrefix="1" applyFont="1" applyFill="1" applyBorder="1" applyAlignment="1">
      <alignment horizontal="center" vertical="top"/>
    </xf>
    <xf numFmtId="0" fontId="86" fillId="82" borderId="119" xfId="0" applyFont="1" applyFill="1" applyBorder="1" applyAlignment="1">
      <alignment vertical="top"/>
    </xf>
    <xf numFmtId="0" fontId="0" fillId="82" borderId="119" xfId="0" applyFill="1" applyBorder="1"/>
    <xf numFmtId="0" fontId="0" fillId="82" borderId="120" xfId="0" applyFill="1" applyBorder="1"/>
    <xf numFmtId="0" fontId="104" fillId="77" borderId="186" xfId="0" applyFont="1" applyFill="1" applyBorder="1"/>
    <xf numFmtId="0" fontId="105" fillId="77" borderId="187" xfId="0" applyFont="1" applyFill="1" applyBorder="1"/>
    <xf numFmtId="0" fontId="78" fillId="77" borderId="187" xfId="0" applyFont="1" applyFill="1" applyBorder="1"/>
    <xf numFmtId="0" fontId="78" fillId="77" borderId="188" xfId="0" applyFont="1" applyFill="1" applyBorder="1"/>
    <xf numFmtId="0" fontId="3" fillId="82" borderId="103" xfId="0" applyFont="1" applyFill="1" applyBorder="1" applyAlignment="1">
      <alignment horizontal="left" vertical="center" indent="2"/>
    </xf>
    <xf numFmtId="0" fontId="3" fillId="82" borderId="12" xfId="0" applyFont="1" applyFill="1" applyBorder="1" applyAlignment="1">
      <alignment horizontal="center" vertical="center"/>
    </xf>
    <xf numFmtId="0" fontId="86" fillId="82" borderId="16" xfId="0" quotePrefix="1" applyFont="1" applyFill="1" applyBorder="1" applyAlignment="1">
      <alignment vertical="center"/>
    </xf>
    <xf numFmtId="0" fontId="86" fillId="82" borderId="165" xfId="0" applyFont="1" applyFill="1" applyBorder="1" applyAlignment="1">
      <alignment vertical="center"/>
    </xf>
    <xf numFmtId="0" fontId="0" fillId="82" borderId="165" xfId="0" applyFill="1" applyBorder="1" applyAlignment="1">
      <alignment vertical="center"/>
    </xf>
    <xf numFmtId="0" fontId="0" fillId="82" borderId="106" xfId="0" applyFill="1" applyBorder="1" applyAlignment="1">
      <alignment vertical="center"/>
    </xf>
    <xf numFmtId="0" fontId="104" fillId="77" borderId="190" xfId="0" applyFont="1" applyFill="1" applyBorder="1"/>
    <xf numFmtId="0" fontId="105" fillId="77" borderId="191" xfId="0" applyFont="1" applyFill="1" applyBorder="1"/>
    <xf numFmtId="0" fontId="0" fillId="66" borderId="1" xfId="0" applyFill="1" applyBorder="1" applyAlignment="1">
      <alignment horizontal="left" indent="1"/>
    </xf>
    <xf numFmtId="0" fontId="27" fillId="8" borderId="1" xfId="0" applyFont="1" applyFill="1" applyBorder="1" applyAlignment="1">
      <alignment horizontal="center"/>
    </xf>
    <xf numFmtId="0" fontId="106" fillId="8" borderId="1" xfId="0" quotePrefix="1" applyFont="1" applyFill="1" applyBorder="1" applyAlignment="1">
      <alignment horizontal="left"/>
    </xf>
    <xf numFmtId="0" fontId="0" fillId="66" borderId="82" xfId="0" applyFill="1" applyBorder="1" applyAlignment="1">
      <alignment horizontal="left"/>
    </xf>
    <xf numFmtId="0" fontId="0" fillId="66" borderId="192" xfId="0" applyFill="1" applyBorder="1"/>
    <xf numFmtId="0" fontId="0" fillId="66" borderId="193" xfId="0" applyFill="1" applyBorder="1"/>
    <xf numFmtId="0" fontId="0" fillId="66" borderId="7" xfId="0" applyFill="1" applyBorder="1" applyAlignment="1">
      <alignment horizontal="left" indent="1"/>
    </xf>
    <xf numFmtId="0" fontId="27" fillId="8" borderId="7" xfId="0" applyFont="1" applyFill="1" applyBorder="1" applyAlignment="1">
      <alignment horizontal="center"/>
    </xf>
    <xf numFmtId="0" fontId="106" fillId="8" borderId="7" xfId="0" quotePrefix="1" applyFont="1" applyFill="1" applyBorder="1" applyAlignment="1">
      <alignment horizontal="left"/>
    </xf>
    <xf numFmtId="0" fontId="0" fillId="66" borderId="7" xfId="0" applyFill="1" applyBorder="1" applyAlignment="1">
      <alignment horizontal="left"/>
    </xf>
    <xf numFmtId="0" fontId="0" fillId="66" borderId="0" xfId="0" applyFill="1"/>
    <xf numFmtId="0" fontId="0" fillId="66" borderId="8" xfId="0" applyFill="1" applyBorder="1"/>
    <xf numFmtId="0" fontId="0" fillId="66" borderId="194" xfId="0" applyFill="1" applyBorder="1" applyAlignment="1">
      <alignment horizontal="left" indent="1"/>
    </xf>
    <xf numFmtId="0" fontId="0" fillId="8" borderId="194" xfId="0" quotePrefix="1" applyFill="1" applyBorder="1" applyAlignment="1">
      <alignment horizontal="center"/>
    </xf>
    <xf numFmtId="0" fontId="106" fillId="8" borderId="194" xfId="0" quotePrefix="1" applyFont="1" applyFill="1" applyBorder="1" applyAlignment="1">
      <alignment horizontal="left"/>
    </xf>
    <xf numFmtId="0" fontId="0" fillId="66" borderId="195" xfId="0" applyFill="1" applyBorder="1" applyAlignment="1">
      <alignment horizontal="left"/>
    </xf>
    <xf numFmtId="0" fontId="0" fillId="66" borderId="167" xfId="0" applyFill="1" applyBorder="1"/>
    <xf numFmtId="0" fontId="0" fillId="66" borderId="117" xfId="0" applyFill="1" applyBorder="1"/>
    <xf numFmtId="0" fontId="0" fillId="66" borderId="166" xfId="0" applyFill="1" applyBorder="1" applyAlignment="1">
      <alignment horizontal="left" indent="1"/>
    </xf>
    <xf numFmtId="0" fontId="0" fillId="8" borderId="166" xfId="0" applyFill="1" applyBorder="1" applyAlignment="1">
      <alignment horizontal="center"/>
    </xf>
    <xf numFmtId="0" fontId="106" fillId="8" borderId="166" xfId="0" quotePrefix="1" applyFont="1" applyFill="1" applyBorder="1" applyAlignment="1">
      <alignment horizontal="left"/>
    </xf>
    <xf numFmtId="0" fontId="0" fillId="66" borderId="166" xfId="0" applyFill="1" applyBorder="1" applyAlignment="1">
      <alignment horizontal="left"/>
    </xf>
    <xf numFmtId="0" fontId="0" fillId="66" borderId="165" xfId="0" applyFill="1" applyBorder="1"/>
    <xf numFmtId="0" fontId="0" fillId="66" borderId="106" xfId="0" applyFill="1" applyBorder="1"/>
    <xf numFmtId="0" fontId="0" fillId="66" borderId="73" xfId="0" applyFill="1" applyBorder="1" applyAlignment="1">
      <alignment horizontal="left" indent="1"/>
    </xf>
    <xf numFmtId="0" fontId="0" fillId="8" borderId="73" xfId="0" applyFill="1" applyBorder="1" applyAlignment="1">
      <alignment horizontal="center"/>
    </xf>
    <xf numFmtId="0" fontId="106" fillId="8" borderId="73" xfId="0" quotePrefix="1" applyFont="1" applyFill="1" applyBorder="1" applyAlignment="1">
      <alignment horizontal="left"/>
    </xf>
    <xf numFmtId="0" fontId="0" fillId="66" borderId="196" xfId="0" applyFill="1" applyBorder="1" applyAlignment="1">
      <alignment horizontal="left"/>
    </xf>
    <xf numFmtId="0" fontId="0" fillId="66" borderId="197" xfId="0" applyFill="1" applyBorder="1"/>
    <xf numFmtId="0" fontId="0" fillId="66" borderId="109" xfId="0" applyFill="1" applyBorder="1"/>
    <xf numFmtId="0" fontId="0" fillId="8" borderId="194" xfId="0" applyFill="1" applyBorder="1" applyAlignment="1">
      <alignment horizontal="center"/>
    </xf>
    <xf numFmtId="0" fontId="0" fillId="66" borderId="196" xfId="0" applyFill="1" applyBorder="1" applyAlignment="1">
      <alignment horizontal="left" indent="1"/>
    </xf>
    <xf numFmtId="0" fontId="0" fillId="8" borderId="196" xfId="0" applyFill="1" applyBorder="1" applyAlignment="1">
      <alignment horizontal="center"/>
    </xf>
    <xf numFmtId="0" fontId="106" fillId="8" borderId="196" xfId="0" quotePrefix="1" applyFont="1" applyFill="1" applyBorder="1" applyAlignment="1">
      <alignment horizontal="left"/>
    </xf>
    <xf numFmtId="0" fontId="27" fillId="8" borderId="196" xfId="0" applyFont="1" applyFill="1" applyBorder="1" applyAlignment="1">
      <alignment horizontal="center"/>
    </xf>
    <xf numFmtId="0" fontId="0" fillId="8" borderId="7" xfId="0" applyFill="1" applyBorder="1" applyAlignment="1">
      <alignment horizontal="center"/>
    </xf>
    <xf numFmtId="0" fontId="0" fillId="66" borderId="198" xfId="0" applyFill="1" applyBorder="1" applyAlignment="1">
      <alignment horizontal="left"/>
    </xf>
    <xf numFmtId="0" fontId="0" fillId="66" borderId="71" xfId="0" applyFill="1" applyBorder="1"/>
    <xf numFmtId="0" fontId="0" fillId="66" borderId="199" xfId="0" applyFill="1" applyBorder="1"/>
    <xf numFmtId="0" fontId="0" fillId="66" borderId="200" xfId="0" applyFill="1" applyBorder="1" applyAlignment="1">
      <alignment horizontal="left" indent="1"/>
    </xf>
    <xf numFmtId="0" fontId="0" fillId="8" borderId="200" xfId="0" applyFill="1" applyBorder="1" applyAlignment="1">
      <alignment horizontal="center"/>
    </xf>
    <xf numFmtId="0" fontId="106" fillId="8" borderId="200" xfId="0" quotePrefix="1" applyFont="1" applyFill="1" applyBorder="1" applyAlignment="1">
      <alignment horizontal="left"/>
    </xf>
    <xf numFmtId="0" fontId="0" fillId="66" borderId="195" xfId="0" applyFill="1" applyBorder="1" applyAlignment="1">
      <alignment horizontal="left" indent="1"/>
    </xf>
    <xf numFmtId="0" fontId="0" fillId="8" borderId="195" xfId="0" applyFill="1" applyBorder="1" applyAlignment="1">
      <alignment horizontal="center"/>
    </xf>
    <xf numFmtId="0" fontId="106" fillId="8" borderId="195" xfId="0" quotePrefix="1" applyFont="1" applyFill="1" applyBorder="1" applyAlignment="1">
      <alignment horizontal="left"/>
    </xf>
    <xf numFmtId="0" fontId="0" fillId="66" borderId="165" xfId="0" quotePrefix="1" applyFill="1" applyBorder="1"/>
    <xf numFmtId="0" fontId="0" fillId="66" borderId="77" xfId="0" applyFill="1" applyBorder="1" applyAlignment="1">
      <alignment horizontal="left" indent="1"/>
    </xf>
    <xf numFmtId="0" fontId="0" fillId="8" borderId="77" xfId="0" applyFill="1" applyBorder="1" applyAlignment="1">
      <alignment horizontal="center"/>
    </xf>
    <xf numFmtId="0" fontId="106" fillId="8" borderId="77" xfId="0" quotePrefix="1" applyFont="1" applyFill="1" applyBorder="1" applyAlignment="1">
      <alignment horizontal="left"/>
    </xf>
    <xf numFmtId="0" fontId="0" fillId="66" borderId="77" xfId="0" applyFill="1" applyBorder="1" applyAlignment="1">
      <alignment horizontal="left"/>
    </xf>
    <xf numFmtId="0" fontId="0" fillId="66" borderId="79" xfId="0" applyFill="1" applyBorder="1"/>
    <xf numFmtId="0" fontId="0" fillId="66" borderId="184" xfId="0" applyFill="1" applyBorder="1"/>
    <xf numFmtId="0" fontId="68" fillId="102" borderId="84" xfId="0" applyFont="1" applyFill="1" applyBorder="1" applyAlignment="1">
      <alignment horizontal="left"/>
    </xf>
    <xf numFmtId="0" fontId="97" fillId="102" borderId="12" xfId="0" quotePrefix="1" applyFont="1" applyFill="1" applyBorder="1" applyAlignment="1">
      <alignment horizontal="center" vertical="center"/>
    </xf>
    <xf numFmtId="0" fontId="86" fillId="102" borderId="201" xfId="0" quotePrefix="1" applyFont="1" applyFill="1" applyBorder="1" applyAlignment="1">
      <alignment vertical="top"/>
    </xf>
    <xf numFmtId="0" fontId="86" fillId="102" borderId="202" xfId="0" quotePrefix="1" applyFont="1" applyFill="1" applyBorder="1" applyAlignment="1">
      <alignment vertical="top"/>
    </xf>
    <xf numFmtId="0" fontId="86" fillId="102" borderId="203" xfId="0" applyFont="1" applyFill="1" applyBorder="1" applyAlignment="1">
      <alignment vertical="top"/>
    </xf>
    <xf numFmtId="0" fontId="0" fillId="102" borderId="203" xfId="0" applyFill="1" applyBorder="1"/>
    <xf numFmtId="0" fontId="0" fillId="102" borderId="204" xfId="0" applyFill="1" applyBorder="1"/>
    <xf numFmtId="0" fontId="3" fillId="102" borderId="84" xfId="0" applyFont="1" applyFill="1" applyBorder="1" applyAlignment="1">
      <alignment horizontal="left" vertical="top" indent="4"/>
    </xf>
    <xf numFmtId="0" fontId="3" fillId="102" borderId="12" xfId="0" applyFont="1" applyFill="1" applyBorder="1" applyAlignment="1">
      <alignment horizontal="center" vertical="top"/>
    </xf>
    <xf numFmtId="0" fontId="86" fillId="102" borderId="10" xfId="0" quotePrefix="1" applyFont="1" applyFill="1" applyBorder="1" applyAlignment="1">
      <alignment vertical="center"/>
    </xf>
    <xf numFmtId="0" fontId="103" fillId="102" borderId="17" xfId="0" applyFont="1" applyFill="1" applyBorder="1" applyAlignment="1">
      <alignment horizontal="left" vertical="center"/>
    </xf>
    <xf numFmtId="0" fontId="86" fillId="102" borderId="167" xfId="0" applyFont="1" applyFill="1" applyBorder="1" applyAlignment="1">
      <alignment vertical="center"/>
    </xf>
    <xf numFmtId="0" fontId="0" fillId="102" borderId="167" xfId="0" applyFill="1" applyBorder="1" applyAlignment="1">
      <alignment vertical="center"/>
    </xf>
    <xf numFmtId="0" fontId="0" fillId="102" borderId="117" xfId="0" applyFill="1" applyBorder="1" applyAlignment="1">
      <alignment vertical="center"/>
    </xf>
    <xf numFmtId="0" fontId="3" fillId="102" borderId="167" xfId="0" applyFont="1" applyFill="1" applyBorder="1" applyAlignment="1">
      <alignment horizontal="center" vertical="center" wrapText="1"/>
    </xf>
    <xf numFmtId="0" fontId="103" fillId="102" borderId="16" xfId="0" applyFont="1" applyFill="1" applyBorder="1" applyAlignment="1">
      <alignment horizontal="left" vertical="center"/>
    </xf>
    <xf numFmtId="0" fontId="86" fillId="102" borderId="165" xfId="0" applyFont="1" applyFill="1" applyBorder="1" applyAlignment="1">
      <alignment vertical="center"/>
    </xf>
    <xf numFmtId="0" fontId="0" fillId="102" borderId="165" xfId="0" applyFill="1" applyBorder="1" applyAlignment="1">
      <alignment vertical="center"/>
    </xf>
    <xf numFmtId="0" fontId="0" fillId="102" borderId="106" xfId="0" applyFill="1" applyBorder="1" applyAlignment="1">
      <alignment vertical="center"/>
    </xf>
    <xf numFmtId="0" fontId="3" fillId="102" borderId="205" xfId="0" applyFont="1" applyFill="1" applyBorder="1" applyAlignment="1">
      <alignment horizontal="left" vertical="top" indent="4"/>
    </xf>
    <xf numFmtId="0" fontId="3" fillId="102" borderId="10" xfId="0" applyFont="1" applyFill="1" applyBorder="1" applyAlignment="1">
      <alignment horizontal="center" vertical="top"/>
    </xf>
    <xf numFmtId="0" fontId="86" fillId="102" borderId="0" xfId="0" quotePrefix="1" applyFont="1" applyFill="1" applyAlignment="1">
      <alignment vertical="top"/>
    </xf>
    <xf numFmtId="0" fontId="86" fillId="102" borderId="0" xfId="0" applyFont="1" applyFill="1" applyAlignment="1">
      <alignment vertical="top"/>
    </xf>
    <xf numFmtId="0" fontId="0" fillId="102" borderId="0" xfId="0" applyFill="1"/>
    <xf numFmtId="0" fontId="0" fillId="102" borderId="8" xfId="0" applyFill="1" applyBorder="1"/>
    <xf numFmtId="0" fontId="78" fillId="77" borderId="191" xfId="0" applyFont="1" applyFill="1" applyBorder="1"/>
    <xf numFmtId="0" fontId="78" fillId="77" borderId="206" xfId="0" applyFont="1" applyFill="1" applyBorder="1"/>
    <xf numFmtId="0" fontId="68" fillId="102" borderId="84" xfId="0" applyFont="1" applyFill="1" applyBorder="1" applyAlignment="1">
      <alignment horizontal="left" vertical="top"/>
    </xf>
    <xf numFmtId="0" fontId="3" fillId="102" borderId="0" xfId="0" applyFont="1" applyFill="1" applyAlignment="1">
      <alignment horizontal="center"/>
    </xf>
    <xf numFmtId="0" fontId="86" fillId="102" borderId="10" xfId="0" quotePrefix="1" applyFont="1" applyFill="1" applyBorder="1" applyAlignment="1">
      <alignment vertical="top"/>
    </xf>
    <xf numFmtId="0" fontId="86" fillId="102" borderId="17" xfId="0" quotePrefix="1" applyFont="1" applyFill="1" applyBorder="1" applyAlignment="1">
      <alignment vertical="top"/>
    </xf>
    <xf numFmtId="0" fontId="86" fillId="102" borderId="167" xfId="0" applyFont="1" applyFill="1" applyBorder="1" applyAlignment="1">
      <alignment vertical="top"/>
    </xf>
    <xf numFmtId="0" fontId="0" fillId="102" borderId="167" xfId="0" applyFill="1" applyBorder="1"/>
    <xf numFmtId="0" fontId="0" fillId="102" borderId="117" xfId="0" applyFill="1" applyBorder="1"/>
    <xf numFmtId="0" fontId="107" fillId="102" borderId="10" xfId="0" quotePrefix="1" applyFont="1" applyFill="1" applyBorder="1" applyAlignment="1">
      <alignment horizontal="center"/>
    </xf>
    <xf numFmtId="0" fontId="86" fillId="102" borderId="172" xfId="0" quotePrefix="1" applyFont="1" applyFill="1" applyBorder="1" applyAlignment="1">
      <alignment vertical="top"/>
    </xf>
    <xf numFmtId="0" fontId="5" fillId="102" borderId="0" xfId="0" applyFont="1" applyFill="1"/>
    <xf numFmtId="0" fontId="5" fillId="102" borderId="8" xfId="0" applyFont="1" applyFill="1" applyBorder="1"/>
    <xf numFmtId="0" fontId="86" fillId="102" borderId="10" xfId="0" quotePrefix="1" applyFont="1" applyFill="1" applyBorder="1" applyAlignment="1">
      <alignment horizontal="left" vertical="top"/>
    </xf>
    <xf numFmtId="0" fontId="86" fillId="102" borderId="17" xfId="0" quotePrefix="1" applyFont="1" applyFill="1" applyBorder="1" applyAlignment="1">
      <alignment horizontal="left" vertical="top"/>
    </xf>
    <xf numFmtId="0" fontId="86" fillId="102" borderId="117" xfId="0" applyFont="1" applyFill="1" applyBorder="1" applyAlignment="1">
      <alignment vertical="top"/>
    </xf>
    <xf numFmtId="0" fontId="3" fillId="102" borderId="207" xfId="0" applyFont="1" applyFill="1" applyBorder="1" applyAlignment="1">
      <alignment horizontal="left" vertical="top" indent="4"/>
    </xf>
    <xf numFmtId="0" fontId="68" fillId="102" borderId="18" xfId="0" applyFont="1" applyFill="1" applyBorder="1" applyAlignment="1">
      <alignment horizontal="center" vertical="top"/>
    </xf>
    <xf numFmtId="0" fontId="86" fillId="102" borderId="18" xfId="0" quotePrefix="1" applyFont="1" applyFill="1" applyBorder="1" applyAlignment="1">
      <alignment vertical="top"/>
    </xf>
    <xf numFmtId="0" fontId="86" fillId="102" borderId="19" xfId="0" quotePrefix="1" applyFont="1" applyFill="1" applyBorder="1" applyAlignment="1">
      <alignment vertical="top"/>
    </xf>
    <xf numFmtId="0" fontId="86" fillId="102" borderId="197" xfId="0" applyFont="1" applyFill="1" applyBorder="1" applyAlignment="1">
      <alignment vertical="top"/>
    </xf>
    <xf numFmtId="0" fontId="86" fillId="102" borderId="109" xfId="0" applyFont="1" applyFill="1" applyBorder="1" applyAlignment="1">
      <alignment vertical="top"/>
    </xf>
    <xf numFmtId="0" fontId="68" fillId="102" borderId="208" xfId="0" applyFont="1" applyFill="1" applyBorder="1" applyAlignment="1">
      <alignment horizontal="left" vertical="top"/>
    </xf>
    <xf numFmtId="0" fontId="86" fillId="102" borderId="10" xfId="0" quotePrefix="1" applyFont="1" applyFill="1" applyBorder="1" applyAlignment="1">
      <alignment horizontal="center" vertical="top"/>
    </xf>
    <xf numFmtId="0" fontId="86" fillId="102" borderId="12" xfId="0" quotePrefix="1" applyFont="1" applyFill="1" applyBorder="1" applyAlignment="1">
      <alignment horizontal="center" vertical="top"/>
    </xf>
    <xf numFmtId="0" fontId="86" fillId="102" borderId="12" xfId="0" quotePrefix="1" applyFont="1" applyFill="1" applyBorder="1" applyAlignment="1">
      <alignment vertical="top"/>
    </xf>
    <xf numFmtId="0" fontId="86" fillId="102" borderId="16" xfId="0" quotePrefix="1" applyFont="1" applyFill="1" applyBorder="1" applyAlignment="1">
      <alignment vertical="top"/>
    </xf>
    <xf numFmtId="0" fontId="86" fillId="102" borderId="165" xfId="0" applyFont="1" applyFill="1" applyBorder="1" applyAlignment="1">
      <alignment vertical="top"/>
    </xf>
    <xf numFmtId="0" fontId="0" fillId="102" borderId="165" xfId="0" applyFill="1" applyBorder="1"/>
    <xf numFmtId="0" fontId="0" fillId="102" borderId="106" xfId="0" applyFill="1" applyBorder="1"/>
    <xf numFmtId="0" fontId="3" fillId="102" borderId="7" xfId="0" applyFont="1" applyFill="1" applyBorder="1" applyAlignment="1">
      <alignment horizontal="left" vertical="top" indent="4"/>
    </xf>
    <xf numFmtId="0" fontId="3" fillId="102" borderId="16" xfId="0" quotePrefix="1" applyFont="1" applyFill="1" applyBorder="1" applyAlignment="1">
      <alignment horizontal="center" vertical="top"/>
    </xf>
    <xf numFmtId="0" fontId="70" fillId="102" borderId="200" xfId="0" applyFont="1" applyFill="1" applyBorder="1" applyAlignment="1">
      <alignment horizontal="left" indent="4"/>
    </xf>
    <xf numFmtId="0" fontId="3" fillId="102" borderId="209" xfId="0" quotePrefix="1" applyFont="1" applyFill="1" applyBorder="1" applyAlignment="1">
      <alignment horizontal="center" vertical="top"/>
    </xf>
    <xf numFmtId="0" fontId="5" fillId="102" borderId="15" xfId="0" applyFont="1" applyFill="1" applyBorder="1"/>
    <xf numFmtId="0" fontId="5" fillId="102" borderId="114" xfId="0" applyFont="1" applyFill="1" applyBorder="1"/>
    <xf numFmtId="0" fontId="3" fillId="102" borderId="10" xfId="0" quotePrefix="1" applyFont="1" applyFill="1" applyBorder="1" applyAlignment="1">
      <alignment horizontal="center" vertical="top"/>
    </xf>
    <xf numFmtId="0" fontId="3" fillId="102" borderId="18" xfId="0" applyFont="1" applyFill="1" applyBorder="1" applyAlignment="1">
      <alignment horizontal="center" vertical="top"/>
    </xf>
    <xf numFmtId="0" fontId="86" fillId="102" borderId="18" xfId="0" quotePrefix="1" applyFont="1" applyFill="1" applyBorder="1" applyAlignment="1">
      <alignment horizontal="left" vertical="top"/>
    </xf>
    <xf numFmtId="0" fontId="86" fillId="102" borderId="19" xfId="0" quotePrefix="1" applyFont="1" applyFill="1" applyBorder="1" applyAlignment="1">
      <alignment horizontal="left" vertical="top"/>
    </xf>
    <xf numFmtId="0" fontId="3" fillId="82" borderId="103" xfId="0" applyFont="1" applyFill="1" applyBorder="1" applyAlignment="1">
      <alignment vertical="center"/>
    </xf>
    <xf numFmtId="0" fontId="108" fillId="82" borderId="208" xfId="0" applyFont="1" applyFill="1" applyBorder="1" applyAlignment="1">
      <alignment horizontal="left" vertical="top" indent="1"/>
    </xf>
    <xf numFmtId="0" fontId="3" fillId="82" borderId="0" xfId="0" applyFont="1" applyFill="1" applyAlignment="1">
      <alignment horizontal="center" vertical="top" wrapText="1"/>
    </xf>
    <xf numFmtId="0" fontId="86" fillId="82" borderId="201" xfId="0" quotePrefix="1" applyFont="1" applyFill="1" applyBorder="1" applyAlignment="1">
      <alignment horizontal="left" vertical="top" indent="1"/>
    </xf>
    <xf numFmtId="0" fontId="86" fillId="82" borderId="0" xfId="0" applyFont="1" applyFill="1" applyAlignment="1">
      <alignment vertical="top"/>
    </xf>
    <xf numFmtId="0" fontId="86" fillId="82" borderId="8" xfId="0" applyFont="1" applyFill="1" applyBorder="1" applyAlignment="1">
      <alignment vertical="top"/>
    </xf>
    <xf numFmtId="0" fontId="86" fillId="82" borderId="201" xfId="0" quotePrefix="1" applyFont="1" applyFill="1" applyBorder="1" applyAlignment="1">
      <alignment horizontal="left" vertical="top"/>
    </xf>
    <xf numFmtId="0" fontId="108" fillId="82" borderId="208" xfId="0" applyFont="1" applyFill="1" applyBorder="1" applyAlignment="1">
      <alignment horizontal="left" vertical="top" indent="2"/>
    </xf>
    <xf numFmtId="0" fontId="86" fillId="82" borderId="172" xfId="0" quotePrefix="1" applyFont="1" applyFill="1" applyBorder="1" applyAlignment="1">
      <alignment horizontal="left" vertical="top"/>
    </xf>
    <xf numFmtId="0" fontId="68" fillId="82" borderId="10" xfId="0" quotePrefix="1" applyFont="1" applyFill="1" applyBorder="1" applyAlignment="1">
      <alignment horizontal="center" wrapText="1"/>
    </xf>
    <xf numFmtId="0" fontId="109" fillId="82" borderId="208" xfId="0" applyFont="1" applyFill="1" applyBorder="1" applyAlignment="1">
      <alignment horizontal="left" vertical="top" indent="2"/>
    </xf>
    <xf numFmtId="0" fontId="109" fillId="82" borderId="205" xfId="0" applyFont="1" applyFill="1" applyBorder="1" applyAlignment="1">
      <alignment horizontal="left" vertical="top" indent="2"/>
    </xf>
    <xf numFmtId="0" fontId="68" fillId="82" borderId="209" xfId="0" quotePrefix="1" applyFont="1" applyFill="1" applyBorder="1" applyAlignment="1">
      <alignment horizontal="center" wrapText="1"/>
    </xf>
    <xf numFmtId="0" fontId="86" fillId="82" borderId="209" xfId="0" quotePrefix="1" applyFont="1" applyFill="1" applyBorder="1" applyAlignment="1">
      <alignment horizontal="left" vertical="top" indent="1"/>
    </xf>
    <xf numFmtId="0" fontId="86" fillId="82" borderId="210" xfId="0" quotePrefix="1" applyFont="1" applyFill="1" applyBorder="1" applyAlignment="1">
      <alignment horizontal="left" vertical="top"/>
    </xf>
    <xf numFmtId="0" fontId="86" fillId="82" borderId="15" xfId="0" applyFont="1" applyFill="1" applyBorder="1" applyAlignment="1">
      <alignment vertical="top"/>
    </xf>
    <xf numFmtId="0" fontId="86" fillId="82" borderId="114" xfId="0" applyFont="1" applyFill="1" applyBorder="1" applyAlignment="1">
      <alignment vertical="top"/>
    </xf>
    <xf numFmtId="0" fontId="109" fillId="82" borderId="208" xfId="0" applyFont="1" applyFill="1" applyBorder="1" applyAlignment="1">
      <alignment horizontal="left" vertical="top" indent="1"/>
    </xf>
    <xf numFmtId="0" fontId="3" fillId="82" borderId="201" xfId="0" applyFont="1" applyFill="1" applyBorder="1" applyAlignment="1">
      <alignment horizontal="center" vertical="top"/>
    </xf>
    <xf numFmtId="0" fontId="86" fillId="82" borderId="201" xfId="0" quotePrefix="1" applyFont="1" applyFill="1" applyBorder="1" applyAlignment="1">
      <alignment vertical="top"/>
    </xf>
    <xf numFmtId="0" fontId="5" fillId="82" borderId="0" xfId="0" applyFont="1" applyFill="1" applyAlignment="1">
      <alignment vertical="top"/>
    </xf>
    <xf numFmtId="0" fontId="5" fillId="82" borderId="8" xfId="0" applyFont="1" applyFill="1" applyBorder="1" applyAlignment="1">
      <alignment vertical="top"/>
    </xf>
    <xf numFmtId="0" fontId="110" fillId="82" borderId="201" xfId="0" applyFont="1" applyFill="1" applyBorder="1" applyAlignment="1">
      <alignment horizontal="center" vertical="top" wrapText="1"/>
    </xf>
    <xf numFmtId="0" fontId="110" fillId="82" borderId="201" xfId="0" quotePrefix="1" applyFont="1" applyFill="1" applyBorder="1" applyAlignment="1">
      <alignment horizontal="left" vertical="top" indent="1"/>
    </xf>
    <xf numFmtId="0" fontId="112" fillId="82" borderId="172" xfId="0" quotePrefix="1" applyFont="1" applyFill="1" applyBorder="1" applyAlignment="1">
      <alignment horizontal="left" vertical="top" indent="2"/>
    </xf>
    <xf numFmtId="0" fontId="75" fillId="82" borderId="0" xfId="0" applyFont="1" applyFill="1" applyAlignment="1">
      <alignment vertical="top"/>
    </xf>
    <xf numFmtId="0" fontId="110" fillId="82" borderId="172" xfId="0" quotePrefix="1" applyFont="1" applyFill="1" applyBorder="1" applyAlignment="1">
      <alignment horizontal="left" vertical="top"/>
    </xf>
    <xf numFmtId="0" fontId="109" fillId="82" borderId="208" xfId="0" applyFont="1" applyFill="1" applyBorder="1" applyAlignment="1">
      <alignment horizontal="left" vertical="top" indent="4"/>
    </xf>
    <xf numFmtId="14" fontId="3" fillId="82" borderId="201" xfId="0" quotePrefix="1" applyNumberFormat="1" applyFont="1" applyFill="1" applyBorder="1" applyAlignment="1">
      <alignment horizontal="center" vertical="top" wrapText="1"/>
    </xf>
    <xf numFmtId="0" fontId="86" fillId="82" borderId="172" xfId="0" quotePrefix="1" applyFont="1" applyFill="1" applyBorder="1" applyAlignment="1">
      <alignment horizontal="center" vertical="center"/>
    </xf>
    <xf numFmtId="0" fontId="86" fillId="82" borderId="172" xfId="0" quotePrefix="1" applyFont="1" applyFill="1" applyBorder="1" applyAlignment="1">
      <alignment vertical="top"/>
    </xf>
    <xf numFmtId="0" fontId="109" fillId="82" borderId="211" xfId="0" applyFont="1" applyFill="1" applyBorder="1" applyAlignment="1">
      <alignment horizontal="left" vertical="top" indent="2"/>
    </xf>
    <xf numFmtId="0" fontId="90" fillId="82" borderId="212" xfId="0" quotePrefix="1" applyFont="1" applyFill="1" applyBorder="1" applyAlignment="1">
      <alignment horizontal="center" vertical="top"/>
    </xf>
    <xf numFmtId="0" fontId="86" fillId="82" borderId="212" xfId="0" quotePrefix="1" applyFont="1" applyFill="1" applyBorder="1" applyAlignment="1">
      <alignment vertical="top"/>
    </xf>
    <xf numFmtId="0" fontId="86" fillId="82" borderId="213" xfId="0" quotePrefix="1" applyFont="1" applyFill="1" applyBorder="1" applyAlignment="1">
      <alignment horizontal="left" vertical="top"/>
    </xf>
    <xf numFmtId="0" fontId="5" fillId="82" borderId="214" xfId="0" applyFont="1" applyFill="1" applyBorder="1" applyAlignment="1">
      <alignment vertical="top"/>
    </xf>
    <xf numFmtId="0" fontId="5" fillId="82" borderId="215" xfId="0" applyFont="1" applyFill="1" applyBorder="1" applyAlignment="1">
      <alignment vertical="top"/>
    </xf>
    <xf numFmtId="0" fontId="108" fillId="82" borderId="208" xfId="0" applyFont="1" applyFill="1" applyBorder="1" applyAlignment="1">
      <alignment horizontal="left"/>
    </xf>
    <xf numFmtId="0" fontId="85" fillId="82" borderId="201" xfId="0" quotePrefix="1" applyFont="1" applyFill="1" applyBorder="1" applyAlignment="1">
      <alignment horizontal="left"/>
    </xf>
    <xf numFmtId="0" fontId="86" fillId="82" borderId="201" xfId="0" quotePrefix="1" applyFont="1" applyFill="1" applyBorder="1"/>
    <xf numFmtId="0" fontId="86" fillId="82" borderId="172" xfId="0" quotePrefix="1" applyFont="1" applyFill="1" applyBorder="1" applyAlignment="1">
      <alignment horizontal="left"/>
    </xf>
    <xf numFmtId="0" fontId="5" fillId="82" borderId="0" xfId="0" applyFont="1" applyFill="1"/>
    <xf numFmtId="0" fontId="5" fillId="82" borderId="8" xfId="0" applyFont="1" applyFill="1" applyBorder="1"/>
    <xf numFmtId="0" fontId="90" fillId="82" borderId="201" xfId="0" quotePrefix="1" applyFont="1" applyFill="1" applyBorder="1" applyAlignment="1">
      <alignment horizontal="center" vertical="top"/>
    </xf>
    <xf numFmtId="0" fontId="3" fillId="82" borderId="209" xfId="0" quotePrefix="1" applyFont="1" applyFill="1" applyBorder="1" applyAlignment="1">
      <alignment horizontal="center" vertical="top"/>
    </xf>
    <xf numFmtId="0" fontId="86" fillId="82" borderId="209" xfId="0" quotePrefix="1" applyFont="1" applyFill="1" applyBorder="1" applyAlignment="1">
      <alignment vertical="top"/>
    </xf>
    <xf numFmtId="0" fontId="86" fillId="82" borderId="19" xfId="0" quotePrefix="1" applyFont="1" applyFill="1" applyBorder="1" applyAlignment="1">
      <alignment horizontal="left" vertical="top"/>
    </xf>
    <xf numFmtId="0" fontId="5" fillId="82" borderId="15" xfId="0" applyFont="1" applyFill="1" applyBorder="1" applyAlignment="1">
      <alignment vertical="top"/>
    </xf>
    <xf numFmtId="0" fontId="5" fillId="82" borderId="114" xfId="0" applyFont="1" applyFill="1" applyBorder="1" applyAlignment="1">
      <alignment vertical="top"/>
    </xf>
    <xf numFmtId="0" fontId="3" fillId="82" borderId="201" xfId="0" quotePrefix="1" applyFont="1" applyFill="1" applyBorder="1" applyAlignment="1">
      <alignment horizontal="center" vertical="top"/>
    </xf>
    <xf numFmtId="0" fontId="110" fillId="82" borderId="201" xfId="0" quotePrefix="1" applyFont="1" applyFill="1" applyBorder="1" applyAlignment="1">
      <alignment horizontal="left" vertical="top" indent="3"/>
    </xf>
    <xf numFmtId="0" fontId="86" fillId="82" borderId="209" xfId="0" quotePrefix="1" applyFont="1" applyFill="1" applyBorder="1" applyAlignment="1">
      <alignment horizontal="left" vertical="top"/>
    </xf>
    <xf numFmtId="0" fontId="109" fillId="82" borderId="7" xfId="0" applyFont="1" applyFill="1" applyBorder="1" applyAlignment="1">
      <alignment horizontal="left" vertical="top" indent="2"/>
    </xf>
    <xf numFmtId="0" fontId="3" fillId="82" borderId="0" xfId="0" quotePrefix="1" applyFont="1" applyFill="1" applyAlignment="1">
      <alignment horizontal="center" vertical="top"/>
    </xf>
    <xf numFmtId="0" fontId="86" fillId="82" borderId="0" xfId="0" quotePrefix="1" applyFont="1" applyFill="1" applyAlignment="1">
      <alignment vertical="top"/>
    </xf>
    <xf numFmtId="0" fontId="86" fillId="82" borderId="0" xfId="0" quotePrefix="1" applyFont="1" applyFill="1" applyAlignment="1">
      <alignment horizontal="left" vertical="top"/>
    </xf>
    <xf numFmtId="0" fontId="108" fillId="82" borderId="216" xfId="0" applyFont="1" applyFill="1" applyBorder="1" applyAlignment="1">
      <alignment horizontal="left" vertical="top" indent="1"/>
    </xf>
    <xf numFmtId="0" fontId="5" fillId="82" borderId="217" xfId="0" applyFont="1" applyFill="1" applyBorder="1" applyAlignment="1">
      <alignment vertical="top"/>
    </xf>
    <xf numFmtId="0" fontId="5" fillId="82" borderId="218" xfId="0" applyFont="1" applyFill="1" applyBorder="1" applyAlignment="1">
      <alignment vertical="top"/>
    </xf>
    <xf numFmtId="0" fontId="86" fillId="82" borderId="172" xfId="0" quotePrefix="1" applyFont="1" applyFill="1" applyBorder="1" applyAlignment="1">
      <alignment horizontal="center" vertical="top"/>
    </xf>
    <xf numFmtId="0" fontId="103" fillId="82" borderId="172" xfId="0" applyFont="1" applyFill="1" applyBorder="1" applyAlignment="1">
      <alignment horizontal="left" vertical="top" indent="3"/>
    </xf>
    <xf numFmtId="0" fontId="109" fillId="82" borderId="219" xfId="0" applyFont="1" applyFill="1" applyBorder="1" applyAlignment="1">
      <alignment horizontal="left" vertical="top" indent="2"/>
    </xf>
    <xf numFmtId="0" fontId="86" fillId="82" borderId="220" xfId="0" quotePrefix="1" applyFont="1" applyFill="1" applyBorder="1" applyAlignment="1">
      <alignment horizontal="center" vertical="top"/>
    </xf>
    <xf numFmtId="0" fontId="86" fillId="82" borderId="221" xfId="0" quotePrefix="1" applyFont="1" applyFill="1" applyBorder="1" applyAlignment="1">
      <alignment vertical="top"/>
    </xf>
    <xf numFmtId="0" fontId="86" fillId="82" borderId="220" xfId="0" quotePrefix="1" applyFont="1" applyFill="1" applyBorder="1" applyAlignment="1">
      <alignment horizontal="left" vertical="top"/>
    </xf>
    <xf numFmtId="0" fontId="86" fillId="82" borderId="5" xfId="0" quotePrefix="1" applyFont="1" applyFill="1" applyBorder="1" applyAlignment="1">
      <alignment horizontal="left" vertical="top" indent="1"/>
    </xf>
    <xf numFmtId="0" fontId="5" fillId="82" borderId="5" xfId="0" applyFont="1" applyFill="1" applyBorder="1" applyAlignment="1">
      <alignment vertical="top"/>
    </xf>
    <xf numFmtId="0" fontId="5" fillId="82" borderId="6" xfId="0" applyFont="1" applyFill="1" applyBorder="1" applyAlignment="1">
      <alignment vertical="top"/>
    </xf>
    <xf numFmtId="0" fontId="68" fillId="82" borderId="201" xfId="0" quotePrefix="1" applyFont="1" applyFill="1" applyBorder="1" applyAlignment="1">
      <alignment horizontal="center" vertical="top"/>
    </xf>
    <xf numFmtId="0" fontId="86" fillId="82" borderId="0" xfId="0" quotePrefix="1" applyFont="1" applyFill="1" applyAlignment="1">
      <alignment horizontal="left" vertical="top" indent="1"/>
    </xf>
    <xf numFmtId="0" fontId="113" fillId="82" borderId="172" xfId="0" quotePrefix="1" applyFont="1" applyFill="1" applyBorder="1" applyAlignment="1">
      <alignment vertical="top"/>
    </xf>
    <xf numFmtId="0" fontId="109" fillId="6" borderId="7" xfId="0" applyFont="1" applyFill="1" applyBorder="1" applyAlignment="1">
      <alignment horizontal="left" vertical="top" indent="2"/>
    </xf>
    <xf numFmtId="0" fontId="3" fillId="6" borderId="0" xfId="0" quotePrefix="1" applyFont="1" applyFill="1" applyAlignment="1">
      <alignment horizontal="center" vertical="top"/>
    </xf>
    <xf numFmtId="0" fontId="86" fillId="6" borderId="0" xfId="0" quotePrefix="1" applyFont="1" applyFill="1" applyAlignment="1">
      <alignment vertical="top"/>
    </xf>
    <xf numFmtId="0" fontId="113" fillId="6" borderId="0" xfId="0" quotePrefix="1" applyFont="1" applyFill="1" applyAlignment="1">
      <alignment vertical="top"/>
    </xf>
    <xf numFmtId="0" fontId="5" fillId="6" borderId="0" xfId="0" applyFont="1" applyFill="1" applyAlignment="1">
      <alignment vertical="top"/>
    </xf>
    <xf numFmtId="0" fontId="5" fillId="6" borderId="8" xfId="0" applyFont="1" applyFill="1" applyBorder="1" applyAlignment="1">
      <alignment vertical="top"/>
    </xf>
    <xf numFmtId="0" fontId="3" fillId="82" borderId="222" xfId="0" applyFont="1" applyFill="1" applyBorder="1" applyAlignment="1">
      <alignment vertical="top"/>
    </xf>
    <xf numFmtId="0" fontId="3" fillId="82" borderId="223" xfId="0" applyFont="1" applyFill="1" applyBorder="1" applyAlignment="1">
      <alignment horizontal="center" vertical="top"/>
    </xf>
    <xf numFmtId="0" fontId="86" fillId="82" borderId="223" xfId="0" quotePrefix="1" applyFont="1" applyFill="1" applyBorder="1" applyAlignment="1">
      <alignment horizontal="left" vertical="top"/>
    </xf>
    <xf numFmtId="0" fontId="5" fillId="82" borderId="224" xfId="0" applyFont="1" applyFill="1" applyBorder="1" applyAlignment="1">
      <alignment vertical="top"/>
    </xf>
    <xf numFmtId="0" fontId="5" fillId="82" borderId="225" xfId="0" applyFont="1" applyFill="1" applyBorder="1" applyAlignment="1">
      <alignment vertical="top"/>
    </xf>
    <xf numFmtId="0" fontId="5" fillId="82" borderId="226" xfId="0" applyFont="1" applyFill="1" applyBorder="1" applyAlignment="1">
      <alignment vertical="top"/>
    </xf>
    <xf numFmtId="0" fontId="3" fillId="82" borderId="227" xfId="0" applyFont="1" applyFill="1" applyBorder="1" applyAlignment="1">
      <alignment vertical="top"/>
    </xf>
    <xf numFmtId="0" fontId="3" fillId="82" borderId="228" xfId="0" quotePrefix="1" applyFont="1" applyFill="1" applyBorder="1" applyAlignment="1">
      <alignment horizontal="center" vertical="top"/>
    </xf>
    <xf numFmtId="0" fontId="86" fillId="82" borderId="228" xfId="0" quotePrefix="1" applyFont="1" applyFill="1" applyBorder="1" applyAlignment="1">
      <alignment horizontal="left" vertical="top"/>
    </xf>
    <xf numFmtId="0" fontId="86" fillId="82" borderId="229" xfId="0" quotePrefix="1" applyFont="1" applyFill="1" applyBorder="1" applyAlignment="1">
      <alignment vertical="top"/>
    </xf>
    <xf numFmtId="0" fontId="5" fillId="82" borderId="176" xfId="0" applyFont="1" applyFill="1" applyBorder="1" applyAlignment="1">
      <alignment vertical="top"/>
    </xf>
    <xf numFmtId="0" fontId="5" fillId="82" borderId="177" xfId="0" applyFont="1" applyFill="1" applyBorder="1" applyAlignment="1">
      <alignment vertical="top"/>
    </xf>
    <xf numFmtId="0" fontId="3" fillId="82" borderId="84" xfId="0" applyFont="1" applyFill="1" applyBorder="1" applyAlignment="1">
      <alignment horizontal="left" vertical="top" indent="2"/>
    </xf>
    <xf numFmtId="0" fontId="86" fillId="82" borderId="10" xfId="0" applyFont="1" applyFill="1" applyBorder="1" applyAlignment="1">
      <alignment vertical="top"/>
    </xf>
    <xf numFmtId="0" fontId="86" fillId="82" borderId="115" xfId="0" applyFont="1" applyFill="1" applyBorder="1" applyAlignment="1">
      <alignment vertical="top"/>
    </xf>
    <xf numFmtId="0" fontId="3" fillId="82" borderId="103" xfId="0" applyFont="1" applyFill="1" applyBorder="1" applyAlignment="1">
      <alignment horizontal="left" vertical="top" indent="2"/>
    </xf>
    <xf numFmtId="0" fontId="86" fillId="82" borderId="110" xfId="0" applyFont="1" applyFill="1" applyBorder="1" applyAlignment="1">
      <alignment vertical="top"/>
    </xf>
    <xf numFmtId="0" fontId="3" fillId="82" borderId="230" xfId="0" applyFont="1" applyFill="1" applyBorder="1" applyAlignment="1">
      <alignment horizontal="left" vertical="top" indent="2"/>
    </xf>
    <xf numFmtId="0" fontId="3" fillId="82" borderId="231" xfId="0" applyFont="1" applyFill="1" applyBorder="1" applyAlignment="1">
      <alignment horizontal="center" vertical="top"/>
    </xf>
    <xf numFmtId="0" fontId="86" fillId="82" borderId="231" xfId="0" quotePrefix="1" applyFont="1" applyFill="1" applyBorder="1" applyAlignment="1">
      <alignment vertical="top"/>
    </xf>
    <xf numFmtId="0" fontId="86" fillId="82" borderId="231" xfId="0" applyFont="1" applyFill="1" applyBorder="1" applyAlignment="1">
      <alignment vertical="top"/>
    </xf>
    <xf numFmtId="0" fontId="86" fillId="82" borderId="232" xfId="0" applyFont="1" applyFill="1" applyBorder="1" applyAlignment="1">
      <alignment vertical="top"/>
    </xf>
    <xf numFmtId="0" fontId="3" fillId="82" borderId="219" xfId="0" applyFont="1" applyFill="1" applyBorder="1" applyAlignment="1">
      <alignment horizontal="left" vertical="top" indent="2"/>
    </xf>
    <xf numFmtId="0" fontId="3" fillId="82" borderId="221" xfId="0" applyFont="1" applyFill="1" applyBorder="1" applyAlignment="1">
      <alignment horizontal="center" vertical="top"/>
    </xf>
    <xf numFmtId="0" fontId="86" fillId="82" borderId="221" xfId="0" applyFont="1" applyFill="1" applyBorder="1" applyAlignment="1">
      <alignment vertical="top"/>
    </xf>
    <xf numFmtId="0" fontId="86" fillId="82" borderId="233" xfId="0" applyFont="1" applyFill="1" applyBorder="1" applyAlignment="1">
      <alignment vertical="top"/>
    </xf>
    <xf numFmtId="0" fontId="104" fillId="103" borderId="190" xfId="0" applyFont="1" applyFill="1" applyBorder="1"/>
    <xf numFmtId="0" fontId="105" fillId="103" borderId="191" xfId="0" applyFont="1" applyFill="1" applyBorder="1"/>
    <xf numFmtId="0" fontId="78" fillId="103" borderId="191" xfId="0" applyFont="1" applyFill="1" applyBorder="1"/>
    <xf numFmtId="0" fontId="78" fillId="103" borderId="206" xfId="0" applyFont="1" applyFill="1" applyBorder="1"/>
    <xf numFmtId="0" fontId="3" fillId="82" borderId="151" xfId="0" applyFont="1" applyFill="1" applyBorder="1" applyAlignment="1">
      <alignment vertical="top"/>
    </xf>
    <xf numFmtId="0" fontId="70" fillId="82" borderId="152" xfId="0" quotePrefix="1" applyFont="1" applyFill="1" applyBorder="1" applyAlignment="1">
      <alignment horizontal="center" vertical="center"/>
    </xf>
    <xf numFmtId="0" fontId="86" fillId="82" borderId="152" xfId="0" quotePrefix="1" applyFont="1" applyFill="1" applyBorder="1" applyAlignment="1">
      <alignment vertical="top"/>
    </xf>
    <xf numFmtId="0" fontId="13" fillId="82" borderId="234" xfId="0" quotePrefix="1" applyFont="1" applyFill="1" applyBorder="1" applyAlignment="1">
      <alignment vertical="top"/>
    </xf>
    <xf numFmtId="0" fontId="114" fillId="82" borderId="9" xfId="0" applyFont="1" applyFill="1" applyBorder="1" applyAlignment="1">
      <alignment vertical="top"/>
    </xf>
    <xf numFmtId="0" fontId="114" fillId="82" borderId="98" xfId="0" applyFont="1" applyFill="1" applyBorder="1" applyAlignment="1">
      <alignment vertical="top"/>
    </xf>
    <xf numFmtId="0" fontId="3" fillId="82" borderId="103" xfId="0" applyFont="1" applyFill="1" applyBorder="1" applyAlignment="1">
      <alignment vertical="top"/>
    </xf>
    <xf numFmtId="0" fontId="70" fillId="82" borderId="12" xfId="0" quotePrefix="1" applyFont="1" applyFill="1" applyBorder="1" applyAlignment="1">
      <alignment horizontal="center" vertical="center"/>
    </xf>
    <xf numFmtId="0" fontId="114" fillId="82" borderId="16" xfId="0" quotePrefix="1" applyFont="1" applyFill="1" applyBorder="1" applyAlignment="1">
      <alignment vertical="top"/>
    </xf>
    <xf numFmtId="0" fontId="114" fillId="82" borderId="165" xfId="0" applyFont="1" applyFill="1" applyBorder="1" applyAlignment="1">
      <alignment vertical="top"/>
    </xf>
    <xf numFmtId="0" fontId="114" fillId="82" borderId="106" xfId="0" applyFont="1" applyFill="1" applyBorder="1" applyAlignment="1">
      <alignment vertical="top"/>
    </xf>
    <xf numFmtId="0" fontId="104" fillId="103" borderId="121" xfId="0" applyFont="1" applyFill="1" applyBorder="1"/>
    <xf numFmtId="0" fontId="105" fillId="103" borderId="122" xfId="0" applyFont="1" applyFill="1" applyBorder="1"/>
    <xf numFmtId="0" fontId="78" fillId="103" borderId="122" xfId="0" applyFont="1" applyFill="1" applyBorder="1"/>
    <xf numFmtId="0" fontId="105" fillId="103" borderId="123" xfId="0" applyFont="1" applyFill="1" applyBorder="1"/>
    <xf numFmtId="0" fontId="3" fillId="104" borderId="235" xfId="0" applyFont="1" applyFill="1" applyBorder="1" applyAlignment="1">
      <alignment vertical="top"/>
    </xf>
    <xf numFmtId="0" fontId="115" fillId="104" borderId="236" xfId="0" quotePrefix="1" applyFont="1" applyFill="1" applyBorder="1" applyAlignment="1">
      <alignment vertical="top"/>
    </xf>
    <xf numFmtId="0" fontId="116" fillId="104" borderId="236" xfId="0" quotePrefix="1" applyFont="1" applyFill="1" applyBorder="1" applyAlignment="1">
      <alignment vertical="top"/>
    </xf>
    <xf numFmtId="0" fontId="116" fillId="104" borderId="236" xfId="0" applyFont="1" applyFill="1" applyBorder="1" applyAlignment="1">
      <alignment vertical="top"/>
    </xf>
    <xf numFmtId="0" fontId="116" fillId="104" borderId="237" xfId="0" applyFont="1" applyFill="1" applyBorder="1" applyAlignment="1">
      <alignment vertical="top"/>
    </xf>
    <xf numFmtId="0" fontId="3" fillId="104" borderId="238" xfId="0" applyFont="1" applyFill="1" applyBorder="1" applyAlignment="1">
      <alignment horizontal="left" vertical="top" indent="2"/>
    </xf>
    <xf numFmtId="0" fontId="68" fillId="104" borderId="239" xfId="0" applyFont="1" applyFill="1" applyBorder="1" applyAlignment="1">
      <alignment horizontal="center" vertical="top"/>
    </xf>
    <xf numFmtId="0" fontId="68" fillId="104" borderId="239" xfId="0" quotePrefix="1" applyFont="1" applyFill="1" applyBorder="1" applyAlignment="1">
      <alignment vertical="top"/>
    </xf>
    <xf numFmtId="0" fontId="3" fillId="104" borderId="239" xfId="0" quotePrefix="1" applyFont="1" applyFill="1" applyBorder="1" applyAlignment="1">
      <alignment vertical="top"/>
    </xf>
    <xf numFmtId="0" fontId="3" fillId="104" borderId="239" xfId="0" applyFont="1" applyFill="1" applyBorder="1" applyAlignment="1">
      <alignment vertical="top"/>
    </xf>
    <xf numFmtId="0" fontId="3" fillId="104" borderId="240" xfId="0" applyFont="1" applyFill="1" applyBorder="1" applyAlignment="1">
      <alignment vertical="top"/>
    </xf>
    <xf numFmtId="0" fontId="3" fillId="104" borderId="239" xfId="0" applyFont="1" applyFill="1" applyBorder="1" applyAlignment="1">
      <alignment horizontal="center" vertical="top"/>
    </xf>
    <xf numFmtId="0" fontId="115" fillId="104" borderId="239" xfId="0" quotePrefix="1" applyFont="1" applyFill="1" applyBorder="1" applyAlignment="1">
      <alignment vertical="top"/>
    </xf>
    <xf numFmtId="0" fontId="116" fillId="104" borderId="239" xfId="0" quotePrefix="1" applyFont="1" applyFill="1" applyBorder="1" applyAlignment="1">
      <alignment vertical="top"/>
    </xf>
    <xf numFmtId="0" fontId="116" fillId="104" borderId="239" xfId="0" applyFont="1" applyFill="1" applyBorder="1" applyAlignment="1">
      <alignment vertical="top"/>
    </xf>
    <xf numFmtId="0" fontId="116" fillId="104" borderId="240" xfId="0" applyFont="1" applyFill="1" applyBorder="1" applyAlignment="1">
      <alignment vertical="top"/>
    </xf>
    <xf numFmtId="0" fontId="3" fillId="104" borderId="241" xfId="0" applyFont="1" applyFill="1" applyBorder="1" applyAlignment="1">
      <alignment horizontal="left" vertical="top" indent="2"/>
    </xf>
    <xf numFmtId="0" fontId="3" fillId="104" borderId="242" xfId="0" applyFont="1" applyFill="1" applyBorder="1" applyAlignment="1">
      <alignment horizontal="center" vertical="top"/>
    </xf>
    <xf numFmtId="0" fontId="115" fillId="104" borderId="242" xfId="0" quotePrefix="1" applyFont="1" applyFill="1" applyBorder="1" applyAlignment="1">
      <alignment vertical="top"/>
    </xf>
    <xf numFmtId="0" fontId="116" fillId="104" borderId="242" xfId="0" quotePrefix="1" applyFont="1" applyFill="1" applyBorder="1" applyAlignment="1">
      <alignment vertical="top"/>
    </xf>
    <xf numFmtId="0" fontId="116" fillId="104" borderId="242" xfId="0" applyFont="1" applyFill="1" applyBorder="1" applyAlignment="1">
      <alignment vertical="top"/>
    </xf>
    <xf numFmtId="0" fontId="116" fillId="104" borderId="243" xfId="0" applyFont="1" applyFill="1" applyBorder="1" applyAlignment="1">
      <alignment vertical="top"/>
    </xf>
    <xf numFmtId="0" fontId="3" fillId="104" borderId="244" xfId="0" applyFont="1" applyFill="1" applyBorder="1" applyAlignment="1">
      <alignment horizontal="left" vertical="top" indent="2"/>
    </xf>
    <xf numFmtId="0" fontId="3" fillId="104" borderId="245" xfId="0" applyFont="1" applyFill="1" applyBorder="1" applyAlignment="1">
      <alignment horizontal="center" vertical="top"/>
    </xf>
    <xf numFmtId="0" fontId="115" fillId="104" borderId="245" xfId="0" quotePrefix="1" applyFont="1" applyFill="1" applyBorder="1" applyAlignment="1">
      <alignment vertical="top"/>
    </xf>
    <xf numFmtId="0" fontId="116" fillId="104" borderId="245" xfId="0" quotePrefix="1" applyFont="1" applyFill="1" applyBorder="1" applyAlignment="1">
      <alignment vertical="top"/>
    </xf>
    <xf numFmtId="0" fontId="116" fillId="104" borderId="245" xfId="0" applyFont="1" applyFill="1" applyBorder="1" applyAlignment="1">
      <alignment vertical="top"/>
    </xf>
    <xf numFmtId="0" fontId="116" fillId="104" borderId="246" xfId="0" applyFont="1" applyFill="1" applyBorder="1" applyAlignment="1">
      <alignment vertical="top"/>
    </xf>
    <xf numFmtId="0" fontId="0" fillId="3" borderId="0" xfId="0" applyFill="1" applyAlignment="1">
      <alignment vertical="center"/>
    </xf>
    <xf numFmtId="0" fontId="0" fillId="105" borderId="0" xfId="4" applyFont="1" applyFill="1">
      <alignment vertical="center"/>
    </xf>
    <xf numFmtId="0" fontId="54" fillId="6" borderId="0" xfId="6" applyFill="1">
      <alignment vertical="center"/>
    </xf>
    <xf numFmtId="0" fontId="118" fillId="3" borderId="0" xfId="0" applyFont="1" applyFill="1" applyAlignment="1">
      <alignment vertical="center"/>
    </xf>
    <xf numFmtId="0" fontId="39" fillId="106" borderId="0" xfId="0" applyFont="1" applyFill="1" applyAlignment="1">
      <alignment horizontal="right" vertical="center" indent="2"/>
    </xf>
    <xf numFmtId="175" fontId="120" fillId="60" borderId="0" xfId="97" quotePrefix="1" applyNumberFormat="1" applyFont="1" applyFill="1" applyAlignment="1">
      <alignment horizontal="left" vertical="center"/>
    </xf>
    <xf numFmtId="0" fontId="45" fillId="106" borderId="0" xfId="97" quotePrefix="1" applyFont="1" applyFill="1" applyBorder="1" applyAlignment="1" applyProtection="1">
      <alignment vertical="center"/>
    </xf>
    <xf numFmtId="0" fontId="42" fillId="60" borderId="0" xfId="0" applyFont="1" applyFill="1" applyAlignment="1">
      <alignment vertical="center"/>
    </xf>
    <xf numFmtId="0" fontId="95" fillId="60" borderId="0" xfId="0" applyFont="1" applyFill="1" applyAlignment="1">
      <alignment horizontal="right" vertical="center" indent="2"/>
    </xf>
    <xf numFmtId="175" fontId="51" fillId="60" borderId="0" xfId="0" quotePrefix="1" applyNumberFormat="1" applyFont="1" applyFill="1" applyAlignment="1">
      <alignment horizontal="left" vertical="center"/>
    </xf>
    <xf numFmtId="0" fontId="46" fillId="45" borderId="2" xfId="0" applyFont="1" applyFill="1" applyBorder="1" applyAlignment="1">
      <alignment vertical="center"/>
    </xf>
    <xf numFmtId="0" fontId="122" fillId="45" borderId="2" xfId="0" applyFont="1" applyFill="1" applyBorder="1" applyAlignment="1">
      <alignment vertical="center"/>
    </xf>
    <xf numFmtId="0" fontId="122" fillId="45" borderId="0" xfId="0" applyFont="1" applyFill="1" applyAlignment="1">
      <alignment horizontal="left" vertical="center"/>
    </xf>
    <xf numFmtId="0" fontId="122" fillId="45" borderId="0" xfId="0" applyFont="1" applyFill="1" applyAlignment="1">
      <alignment vertical="center"/>
    </xf>
    <xf numFmtId="0" fontId="123" fillId="45" borderId="0" xfId="0" applyFont="1" applyFill="1" applyAlignment="1">
      <alignment vertical="center"/>
    </xf>
    <xf numFmtId="0" fontId="2" fillId="3" borderId="0" xfId="0" applyFont="1" applyFill="1" applyAlignment="1">
      <alignment vertical="center"/>
    </xf>
    <xf numFmtId="0" fontId="51" fillId="3" borderId="0" xfId="0" applyFont="1" applyFill="1"/>
    <xf numFmtId="0" fontId="55" fillId="3" borderId="0" xfId="62" applyFill="1">
      <alignment horizontal="right" indent="1" shrinkToFit="1"/>
    </xf>
    <xf numFmtId="0" fontId="54" fillId="3" borderId="0" xfId="6" applyFill="1">
      <alignment vertical="center"/>
    </xf>
    <xf numFmtId="0" fontId="119" fillId="3" borderId="0" xfId="6" quotePrefix="1" applyFont="1" applyFill="1">
      <alignment vertical="center"/>
    </xf>
    <xf numFmtId="0" fontId="14" fillId="3" borderId="0" xfId="5" quotePrefix="1" applyFont="1" applyFill="1" applyBorder="1"/>
    <xf numFmtId="0" fontId="122" fillId="10" borderId="0" xfId="98" applyFont="1">
      <alignment horizontal="left" vertical="center"/>
      <protection locked="0"/>
    </xf>
    <xf numFmtId="0" fontId="0" fillId="3" borderId="0" xfId="0" applyFill="1" applyAlignment="1">
      <alignment horizontal="center"/>
    </xf>
    <xf numFmtId="0" fontId="33" fillId="3" borderId="0" xfId="0" applyFont="1" applyFill="1" applyAlignment="1">
      <alignment vertical="center"/>
    </xf>
    <xf numFmtId="0" fontId="42" fillId="3" borderId="1" xfId="0" applyFont="1" applyFill="1" applyBorder="1"/>
    <xf numFmtId="0" fontId="42" fillId="3" borderId="2" xfId="0" applyFont="1" applyFill="1" applyBorder="1"/>
    <xf numFmtId="0" fontId="42" fillId="3" borderId="3" xfId="0" applyFont="1" applyFill="1" applyBorder="1"/>
    <xf numFmtId="0" fontId="42" fillId="3" borderId="4" xfId="0" applyFont="1" applyFill="1" applyBorder="1" applyAlignment="1">
      <alignment vertical="center"/>
    </xf>
    <xf numFmtId="0" fontId="42" fillId="3" borderId="5" xfId="0" applyFont="1" applyFill="1" applyBorder="1" applyAlignment="1">
      <alignment vertical="center"/>
    </xf>
    <xf numFmtId="0" fontId="42" fillId="3" borderId="6" xfId="0" applyFont="1" applyFill="1" applyBorder="1" applyAlignment="1">
      <alignment vertical="center"/>
    </xf>
    <xf numFmtId="0" fontId="42" fillId="3" borderId="7" xfId="0" applyFont="1" applyFill="1" applyBorder="1"/>
    <xf numFmtId="0" fontId="44" fillId="3" borderId="7" xfId="0" applyFont="1" applyFill="1" applyBorder="1" applyAlignment="1">
      <alignment vertical="center"/>
    </xf>
    <xf numFmtId="0" fontId="42" fillId="3" borderId="8" xfId="0" applyFont="1" applyFill="1" applyBorder="1"/>
    <xf numFmtId="0" fontId="44" fillId="3" borderId="8" xfId="0" applyFont="1" applyFill="1" applyBorder="1" applyAlignment="1">
      <alignment vertical="center"/>
    </xf>
    <xf numFmtId="0" fontId="42" fillId="3" borderId="7" xfId="0" applyFont="1" applyFill="1" applyBorder="1" applyAlignment="1">
      <alignment vertical="center"/>
    </xf>
    <xf numFmtId="0" fontId="2" fillId="60" borderId="0" xfId="0" applyFont="1" applyFill="1" applyAlignment="1">
      <alignment horizontal="right" vertical="center"/>
    </xf>
    <xf numFmtId="0" fontId="42" fillId="3" borderId="8" xfId="0" applyFont="1" applyFill="1" applyBorder="1" applyAlignment="1">
      <alignment vertical="center"/>
    </xf>
    <xf numFmtId="0" fontId="45" fillId="106" borderId="0" xfId="0" applyFont="1" applyFill="1" applyAlignment="1">
      <alignment horizontal="right" vertical="center" indent="2"/>
    </xf>
    <xf numFmtId="0" fontId="105" fillId="0" borderId="0" xfId="65" applyFont="1"/>
    <xf numFmtId="0" fontId="105" fillId="3" borderId="0" xfId="65" applyFont="1" applyFill="1"/>
    <xf numFmtId="0" fontId="57" fillId="3" borderId="0" xfId="65" applyFill="1"/>
    <xf numFmtId="0" fontId="57" fillId="3" borderId="0" xfId="65" applyFill="1" applyAlignment="1">
      <alignment vertical="center" wrapText="1"/>
    </xf>
    <xf numFmtId="0" fontId="125" fillId="3" borderId="0" xfId="65" applyFont="1" applyFill="1" applyAlignment="1">
      <alignment horizontal="left" vertical="center"/>
    </xf>
    <xf numFmtId="0" fontId="57" fillId="3" borderId="0" xfId="65" applyFill="1" applyAlignment="1">
      <alignment horizontal="left" vertical="center" wrapText="1"/>
    </xf>
    <xf numFmtId="0" fontId="105" fillId="3" borderId="0" xfId="65" applyFont="1" applyFill="1" applyAlignment="1">
      <alignment vertical="center"/>
    </xf>
    <xf numFmtId="0" fontId="57" fillId="109" borderId="0" xfId="65" applyFill="1" applyAlignment="1">
      <alignment vertical="center"/>
    </xf>
    <xf numFmtId="0" fontId="128" fillId="3" borderId="0" xfId="65" applyFont="1" applyFill="1" applyAlignment="1">
      <alignment horizontal="left" vertical="center"/>
    </xf>
    <xf numFmtId="0" fontId="57" fillId="3" borderId="0" xfId="65" applyFill="1" applyAlignment="1">
      <alignment horizontal="left" vertical="center" indent="5"/>
    </xf>
    <xf numFmtId="0" fontId="57" fillId="3" borderId="0" xfId="65" quotePrefix="1" applyFill="1" applyAlignment="1">
      <alignment horizontal="left" vertical="center" wrapText="1" indent="2"/>
    </xf>
    <xf numFmtId="0" fontId="130" fillId="3" borderId="0" xfId="65" applyFont="1" applyFill="1"/>
    <xf numFmtId="0" fontId="105" fillId="3" borderId="0" xfId="65" applyFont="1" applyFill="1" applyAlignment="1">
      <alignment horizontal="left" vertical="center"/>
    </xf>
    <xf numFmtId="0" fontId="132" fillId="109" borderId="0" xfId="65" applyFont="1" applyFill="1" applyAlignment="1">
      <alignment horizontal="left" wrapText="1"/>
    </xf>
    <xf numFmtId="0" fontId="105" fillId="109" borderId="0" xfId="65" applyFont="1" applyFill="1" applyAlignment="1">
      <alignment horizontal="left" indent="2"/>
    </xf>
    <xf numFmtId="0" fontId="132" fillId="109" borderId="0" xfId="65" applyFont="1" applyFill="1" applyAlignment="1">
      <alignment wrapText="1"/>
    </xf>
    <xf numFmtId="0" fontId="105" fillId="109" borderId="0" xfId="65" applyFont="1" applyFill="1" applyAlignment="1">
      <alignment horizontal="left" indent="4"/>
    </xf>
    <xf numFmtId="0" fontId="57" fillId="109" borderId="0" xfId="65" applyFill="1" applyAlignment="1">
      <alignment horizontal="left" vertical="center" indent="6"/>
    </xf>
    <xf numFmtId="0" fontId="105" fillId="109" borderId="0" xfId="65" applyFont="1" applyFill="1" applyAlignment="1">
      <alignment horizontal="left" indent="6"/>
    </xf>
    <xf numFmtId="0" fontId="132" fillId="109" borderId="0" xfId="65" applyFont="1" applyFill="1" applyAlignment="1">
      <alignment horizontal="left" vertical="center" wrapText="1" indent="6"/>
    </xf>
    <xf numFmtId="0" fontId="132" fillId="3" borderId="0" xfId="65" applyFont="1" applyFill="1" applyAlignment="1">
      <alignment vertical="center" wrapText="1"/>
    </xf>
    <xf numFmtId="0" fontId="57" fillId="109" borderId="0" xfId="65" applyFill="1" applyAlignment="1">
      <alignment horizontal="left" vertical="center" wrapText="1" indent="8"/>
    </xf>
    <xf numFmtId="0" fontId="57" fillId="109" borderId="0" xfId="65" applyFill="1" applyAlignment="1">
      <alignment horizontal="left" vertical="center" indent="8"/>
    </xf>
    <xf numFmtId="0" fontId="133" fillId="109" borderId="0" xfId="65" applyFont="1" applyFill="1" applyAlignment="1">
      <alignment horizontal="left"/>
    </xf>
    <xf numFmtId="0" fontId="57" fillId="109" borderId="0" xfId="65" applyFill="1" applyAlignment="1">
      <alignment horizontal="left" vertical="center" indent="10"/>
    </xf>
    <xf numFmtId="0" fontId="61" fillId="3" borderId="0" xfId="0" applyFont="1" applyFill="1"/>
    <xf numFmtId="49" fontId="5" fillId="97" borderId="67" xfId="0" applyNumberFormat="1" applyFont="1" applyFill="1" applyBorder="1"/>
    <xf numFmtId="0" fontId="8" fillId="58" borderId="0" xfId="79" applyFont="1" applyFill="1" applyBorder="1" applyAlignment="1">
      <alignment horizontal="left" vertical="center" indent="1"/>
    </xf>
    <xf numFmtId="0" fontId="26" fillId="110" borderId="0" xfId="0" applyFont="1" applyFill="1" applyAlignment="1">
      <alignment horizontal="left" vertical="center" indent="1"/>
    </xf>
    <xf numFmtId="0" fontId="26" fillId="110" borderId="0" xfId="0" applyFont="1" applyFill="1" applyAlignment="1">
      <alignment vertical="center" wrapText="1"/>
    </xf>
    <xf numFmtId="0" fontId="124" fillId="107" borderId="252" xfId="0" applyFont="1" applyFill="1" applyBorder="1" applyAlignment="1">
      <alignment horizontal="center" vertical="center" wrapText="1"/>
    </xf>
    <xf numFmtId="0" fontId="124" fillId="107" borderId="253" xfId="0" applyFont="1" applyFill="1" applyBorder="1" applyAlignment="1">
      <alignment horizontal="center" vertical="center" wrapText="1"/>
    </xf>
    <xf numFmtId="0" fontId="2" fillId="97" borderId="254" xfId="0" applyFont="1" applyFill="1" applyBorder="1" applyAlignment="1">
      <alignment horizontal="left" vertical="center" indent="1"/>
    </xf>
    <xf numFmtId="0" fontId="124" fillId="97" borderId="255" xfId="0" applyFont="1" applyFill="1" applyBorder="1" applyAlignment="1">
      <alignment horizontal="center" vertical="center"/>
    </xf>
    <xf numFmtId="0" fontId="0" fillId="111" borderId="53" xfId="0" applyFill="1" applyBorder="1" applyAlignment="1">
      <alignment horizontal="center" vertical="center"/>
    </xf>
    <xf numFmtId="0" fontId="0" fillId="112" borderId="256" xfId="0" applyFill="1" applyBorder="1" applyAlignment="1">
      <alignment horizontal="center" vertical="center"/>
    </xf>
    <xf numFmtId="0" fontId="2" fillId="97" borderId="248" xfId="0" applyFont="1" applyFill="1" applyBorder="1" applyAlignment="1">
      <alignment horizontal="left" vertical="center" indent="1"/>
    </xf>
    <xf numFmtId="0" fontId="124" fillId="97" borderId="249" xfId="0" applyFont="1" applyFill="1" applyBorder="1" applyAlignment="1">
      <alignment horizontal="center" vertical="center"/>
    </xf>
    <xf numFmtId="0" fontId="124" fillId="97" borderId="249" xfId="0" applyFont="1" applyFill="1" applyBorder="1" applyAlignment="1">
      <alignment horizontal="center" vertical="center" wrapText="1"/>
    </xf>
    <xf numFmtId="0" fontId="124" fillId="97" borderId="250" xfId="0" applyFont="1" applyFill="1" applyBorder="1" applyAlignment="1">
      <alignment horizontal="center" vertical="center" wrapText="1"/>
    </xf>
    <xf numFmtId="0" fontId="0" fillId="111" borderId="252" xfId="0" applyFill="1" applyBorder="1" applyAlignment="1">
      <alignment horizontal="center" vertical="center"/>
    </xf>
    <xf numFmtId="0" fontId="0" fillId="112" borderId="253" xfId="0" applyFill="1" applyBorder="1" applyAlignment="1">
      <alignment horizontal="center" vertical="center"/>
    </xf>
    <xf numFmtId="0" fontId="0" fillId="3" borderId="258" xfId="0" applyFill="1" applyBorder="1" applyAlignment="1">
      <alignment horizontal="left" vertical="center" indent="1"/>
    </xf>
    <xf numFmtId="0" fontId="0" fillId="3" borderId="259" xfId="0" applyFill="1" applyBorder="1" applyAlignment="1">
      <alignment vertical="center"/>
    </xf>
    <xf numFmtId="0" fontId="0" fillId="3" borderId="260" xfId="0" applyFill="1" applyBorder="1" applyAlignment="1">
      <alignment horizontal="left" vertical="center" indent="1"/>
    </xf>
    <xf numFmtId="0" fontId="0" fillId="3" borderId="261" xfId="0" applyFill="1" applyBorder="1" applyAlignment="1">
      <alignment vertical="center"/>
    </xf>
    <xf numFmtId="0" fontId="0" fillId="3" borderId="262" xfId="0" applyFill="1" applyBorder="1" applyAlignment="1">
      <alignment horizontal="left" vertical="center" indent="1"/>
    </xf>
    <xf numFmtId="0" fontId="0" fillId="3" borderId="263" xfId="0" applyFill="1" applyBorder="1" applyAlignment="1">
      <alignment vertical="center"/>
    </xf>
    <xf numFmtId="0" fontId="2" fillId="97" borderId="264" xfId="0" applyFont="1" applyFill="1" applyBorder="1" applyAlignment="1">
      <alignment horizontal="left" vertical="center" indent="1"/>
    </xf>
    <xf numFmtId="0" fontId="124" fillId="97" borderId="265" xfId="0" applyFont="1" applyFill="1" applyBorder="1" applyAlignment="1">
      <alignment horizontal="center" vertical="center"/>
    </xf>
    <xf numFmtId="0" fontId="0" fillId="3" borderId="258" xfId="0" applyFill="1" applyBorder="1" applyAlignment="1">
      <alignment vertical="center"/>
    </xf>
    <xf numFmtId="49" fontId="123" fillId="6" borderId="0" xfId="51" applyFont="1">
      <alignment vertical="center"/>
    </xf>
    <xf numFmtId="0" fontId="123" fillId="6" borderId="0" xfId="51" applyNumberFormat="1" applyFont="1">
      <alignment vertical="center"/>
    </xf>
    <xf numFmtId="0" fontId="123" fillId="6" borderId="0" xfId="51" applyNumberFormat="1" applyFont="1" applyAlignment="1">
      <alignment horizontal="left" vertical="center"/>
    </xf>
    <xf numFmtId="0" fontId="8" fillId="58" borderId="0" xfId="79" applyFont="1" applyFill="1" applyBorder="1">
      <alignment vertical="center"/>
    </xf>
    <xf numFmtId="0" fontId="0" fillId="3" borderId="0" xfId="0" applyFill="1" applyAlignment="1">
      <alignment vertical="top"/>
    </xf>
    <xf numFmtId="0" fontId="45" fillId="3" borderId="0" xfId="0" applyFont="1" applyFill="1" applyAlignment="1">
      <alignment vertical="top"/>
    </xf>
    <xf numFmtId="0" fontId="0" fillId="107" borderId="0" xfId="0" applyFill="1"/>
    <xf numFmtId="0" fontId="37" fillId="107" borderId="0" xfId="0" applyFont="1" applyFill="1"/>
    <xf numFmtId="0" fontId="37" fillId="107" borderId="0" xfId="0" applyFont="1" applyFill="1" applyAlignment="1">
      <alignment horizontal="right" vertical="center"/>
    </xf>
    <xf numFmtId="0" fontId="0" fillId="107" borderId="0" xfId="0" applyFill="1" applyAlignment="1">
      <alignment vertical="center"/>
    </xf>
    <xf numFmtId="0" fontId="26" fillId="107" borderId="0" xfId="0" applyFont="1" applyFill="1" applyAlignment="1">
      <alignment horizontal="right" vertical="center"/>
    </xf>
    <xf numFmtId="0" fontId="26" fillId="107" borderId="0" xfId="0" applyFont="1" applyFill="1" applyAlignment="1">
      <alignment vertical="center"/>
    </xf>
    <xf numFmtId="0" fontId="33" fillId="107" borderId="0" xfId="0" applyFont="1" applyFill="1" applyAlignment="1">
      <alignment vertical="center"/>
    </xf>
    <xf numFmtId="0" fontId="33" fillId="107" borderId="0" xfId="0" applyFont="1" applyFill="1" applyAlignment="1">
      <alignment horizontal="center"/>
    </xf>
    <xf numFmtId="49" fontId="37" fillId="107" borderId="0" xfId="51" applyFont="1" applyFill="1">
      <alignment vertical="center"/>
    </xf>
    <xf numFmtId="0" fontId="45" fillId="107" borderId="0" xfId="0" applyFont="1" applyFill="1" applyAlignment="1">
      <alignment vertical="top"/>
    </xf>
    <xf numFmtId="0" fontId="39" fillId="107" borderId="0" xfId="0" applyFont="1" applyFill="1" applyAlignment="1">
      <alignment horizontal="right" vertical="top"/>
    </xf>
    <xf numFmtId="0" fontId="0" fillId="107" borderId="0" xfId="0" applyFill="1" applyAlignment="1">
      <alignment vertical="top"/>
    </xf>
    <xf numFmtId="0" fontId="37" fillId="107" borderId="0" xfId="0" applyFont="1" applyFill="1" applyAlignment="1">
      <alignment vertical="top" wrapText="1"/>
    </xf>
    <xf numFmtId="0" fontId="29" fillId="107" borderId="0" xfId="0" applyFont="1" applyFill="1" applyAlignment="1">
      <alignment horizontal="right" vertical="center"/>
    </xf>
    <xf numFmtId="0" fontId="0" fillId="107" borderId="0" xfId="0" applyFill="1" applyAlignment="1">
      <alignment horizontal="right" vertical="center"/>
    </xf>
    <xf numFmtId="0" fontId="26" fillId="107" borderId="0" xfId="0" applyFont="1" applyFill="1" applyAlignment="1">
      <alignment horizontal="right" vertical="center" wrapText="1"/>
    </xf>
    <xf numFmtId="0" fontId="34" fillId="107" borderId="0" xfId="0" applyFont="1" applyFill="1" applyAlignment="1">
      <alignment vertical="top"/>
    </xf>
    <xf numFmtId="0" fontId="5" fillId="107" borderId="0" xfId="0" applyFont="1" applyFill="1" applyAlignment="1">
      <alignment vertical="top"/>
    </xf>
    <xf numFmtId="0" fontId="0" fillId="58" borderId="248" xfId="0" applyFill="1" applyBorder="1" applyAlignment="1">
      <alignment horizontal="center" vertical="center"/>
    </xf>
    <xf numFmtId="0" fontId="0" fillId="58" borderId="249" xfId="0" applyFill="1" applyBorder="1" applyAlignment="1">
      <alignment horizontal="center" vertical="center"/>
    </xf>
    <xf numFmtId="0" fontId="0" fillId="58" borderId="250" xfId="0" applyFill="1" applyBorder="1" applyAlignment="1">
      <alignment horizontal="center" vertical="center"/>
    </xf>
    <xf numFmtId="0" fontId="0" fillId="58" borderId="257" xfId="0" applyFill="1" applyBorder="1" applyAlignment="1">
      <alignment horizontal="center" vertical="center"/>
    </xf>
    <xf numFmtId="0" fontId="0" fillId="58" borderId="256" xfId="0" applyFill="1" applyBorder="1" applyAlignment="1">
      <alignment horizontal="center" vertical="center"/>
    </xf>
    <xf numFmtId="0" fontId="0" fillId="58" borderId="251" xfId="0" applyFill="1" applyBorder="1" applyAlignment="1">
      <alignment horizontal="center" vertical="center"/>
    </xf>
    <xf numFmtId="0" fontId="0" fillId="58" borderId="252" xfId="0" applyFill="1" applyBorder="1" applyAlignment="1">
      <alignment horizontal="center" vertical="center"/>
    </xf>
    <xf numFmtId="0" fontId="0" fillId="58" borderId="253" xfId="0" applyFill="1" applyBorder="1" applyAlignment="1">
      <alignment horizontal="center" vertical="center"/>
    </xf>
    <xf numFmtId="0" fontId="138" fillId="3" borderId="37" xfId="0" applyFont="1" applyFill="1" applyBorder="1" applyAlignment="1">
      <alignment horizontal="center" vertical="center"/>
    </xf>
    <xf numFmtId="0" fontId="138" fillId="3" borderId="34" xfId="0" applyFont="1" applyFill="1" applyBorder="1" applyAlignment="1">
      <alignment horizontal="center" vertical="center"/>
    </xf>
    <xf numFmtId="0" fontId="139" fillId="3" borderId="38" xfId="0" applyFont="1" applyFill="1" applyBorder="1" applyAlignment="1">
      <alignment horizontal="center" vertical="center" wrapText="1"/>
    </xf>
    <xf numFmtId="0" fontId="135" fillId="53" borderId="32" xfId="0" applyFont="1" applyFill="1" applyBorder="1" applyAlignment="1">
      <alignment horizontal="left" vertical="center" indent="1"/>
    </xf>
    <xf numFmtId="0" fontId="135" fillId="43" borderId="32" xfId="0" applyFont="1" applyFill="1" applyBorder="1" applyAlignment="1">
      <alignment horizontal="left" vertical="center" indent="1"/>
    </xf>
    <xf numFmtId="0" fontId="135" fillId="44" borderId="32" xfId="0" applyFont="1" applyFill="1" applyBorder="1" applyAlignment="1">
      <alignment horizontal="left" vertical="center" indent="1"/>
    </xf>
    <xf numFmtId="0" fontId="135" fillId="56" borderId="32" xfId="0" applyFont="1" applyFill="1" applyBorder="1" applyAlignment="1">
      <alignment horizontal="left" vertical="center" indent="1"/>
    </xf>
    <xf numFmtId="0" fontId="135" fillId="56" borderId="32" xfId="0" applyFont="1" applyFill="1" applyBorder="1" applyAlignment="1">
      <alignment horizontal="left" vertical="center" wrapText="1" indent="1"/>
    </xf>
    <xf numFmtId="0" fontId="140" fillId="53" borderId="32" xfId="0" applyFont="1" applyFill="1" applyBorder="1" applyAlignment="1">
      <alignment vertical="center"/>
    </xf>
    <xf numFmtId="0" fontId="141" fillId="43" borderId="32" xfId="0" applyFont="1" applyFill="1" applyBorder="1" applyAlignment="1">
      <alignment vertical="center"/>
    </xf>
    <xf numFmtId="0" fontId="141" fillId="54" borderId="32" xfId="0" applyFont="1" applyFill="1" applyBorder="1" applyAlignment="1">
      <alignment vertical="center"/>
    </xf>
    <xf numFmtId="0" fontId="141" fillId="55" borderId="32" xfId="0" applyFont="1" applyFill="1" applyBorder="1" applyAlignment="1">
      <alignment vertical="center"/>
    </xf>
    <xf numFmtId="0" fontId="14" fillId="43" borderId="32" xfId="0" applyFont="1" applyFill="1" applyBorder="1" applyAlignment="1">
      <alignment vertical="center"/>
    </xf>
    <xf numFmtId="0" fontId="14" fillId="54" borderId="32" xfId="0" applyFont="1" applyFill="1" applyBorder="1" applyAlignment="1">
      <alignment vertical="center"/>
    </xf>
    <xf numFmtId="0" fontId="14" fillId="55" borderId="32" xfId="0" applyFont="1" applyFill="1" applyBorder="1" applyAlignment="1">
      <alignment vertical="center"/>
    </xf>
    <xf numFmtId="0" fontId="62" fillId="46" borderId="0" xfId="0" applyFont="1" applyFill="1" applyAlignment="1">
      <alignment vertical="center"/>
    </xf>
    <xf numFmtId="0" fontId="61" fillId="105" borderId="0" xfId="4" applyFont="1" applyFill="1">
      <alignment vertical="center"/>
    </xf>
    <xf numFmtId="0" fontId="124" fillId="6" borderId="0" xfId="78" applyFont="1" applyBorder="1">
      <alignment vertical="center"/>
    </xf>
    <xf numFmtId="0" fontId="134" fillId="3" borderId="0" xfId="5" applyFont="1" applyFill="1" applyBorder="1"/>
    <xf numFmtId="166" fontId="124" fillId="52" borderId="31" xfId="2" applyFont="1" applyBorder="1">
      <alignment horizontal="centerContinuous" vertical="center" wrapText="1"/>
    </xf>
    <xf numFmtId="169" fontId="50" fillId="60" borderId="50" xfId="1" applyFill="1" applyBorder="1">
      <alignment horizontal="right" vertical="center"/>
      <protection locked="0"/>
    </xf>
    <xf numFmtId="0" fontId="144" fillId="6" borderId="0" xfId="6" applyFont="1" applyFill="1">
      <alignment vertical="center"/>
    </xf>
    <xf numFmtId="0" fontId="61" fillId="6" borderId="0" xfId="0" applyFont="1" applyFill="1"/>
    <xf numFmtId="0" fontId="144" fillId="3" borderId="0" xfId="6" quotePrefix="1" applyFont="1" applyFill="1">
      <alignment vertical="center"/>
    </xf>
    <xf numFmtId="0" fontId="144" fillId="3" borderId="0" xfId="6" applyFont="1" applyFill="1">
      <alignment vertical="center"/>
    </xf>
    <xf numFmtId="0" fontId="61" fillId="0" borderId="266" xfId="0" applyFont="1" applyBorder="1" applyAlignment="1">
      <alignment vertical="center"/>
    </xf>
    <xf numFmtId="0" fontId="61" fillId="0" borderId="267" xfId="0" applyFont="1" applyBorder="1" applyAlignment="1">
      <alignment horizontal="center" vertical="center"/>
    </xf>
    <xf numFmtId="168" fontId="135" fillId="115" borderId="268" xfId="7" applyFont="1" applyFill="1" applyBorder="1" applyAlignment="1">
      <alignment horizontal="right" vertical="center"/>
      <protection locked="0"/>
    </xf>
    <xf numFmtId="0" fontId="143" fillId="0" borderId="269" xfId="0" applyFont="1" applyBorder="1" applyAlignment="1">
      <alignment horizontal="left" vertical="center"/>
    </xf>
    <xf numFmtId="0" fontId="61" fillId="0" borderId="53" xfId="0" applyFont="1" applyBorder="1" applyAlignment="1">
      <alignment horizontal="center" vertical="center"/>
    </xf>
    <xf numFmtId="168" fontId="135" fillId="114" borderId="270" xfId="7" applyFont="1" applyFill="1" applyBorder="1" applyAlignment="1">
      <alignment horizontal="right" vertical="center"/>
      <protection locked="0"/>
    </xf>
    <xf numFmtId="0" fontId="61" fillId="3" borderId="269" xfId="0" applyFont="1" applyFill="1" applyBorder="1" applyAlignment="1">
      <alignment vertical="center"/>
    </xf>
    <xf numFmtId="0" fontId="61" fillId="3" borderId="53" xfId="0" applyFont="1" applyFill="1" applyBorder="1" applyAlignment="1">
      <alignment horizontal="center" vertical="center"/>
    </xf>
    <xf numFmtId="0" fontId="61" fillId="3" borderId="271" xfId="0" applyFont="1" applyFill="1" applyBorder="1" applyAlignment="1">
      <alignment vertical="center"/>
    </xf>
    <xf numFmtId="0" fontId="61" fillId="3" borderId="272" xfId="0" applyFont="1" applyFill="1" applyBorder="1" applyAlignment="1">
      <alignment horizontal="center" vertical="center"/>
    </xf>
    <xf numFmtId="168" fontId="135" fillId="114" borderId="273" xfId="7" applyFont="1" applyFill="1" applyBorder="1" applyAlignment="1">
      <alignment horizontal="right" vertical="center"/>
      <protection locked="0"/>
    </xf>
    <xf numFmtId="0" fontId="37" fillId="10" borderId="0" xfId="58" applyFont="1">
      <alignment vertical="center"/>
    </xf>
    <xf numFmtId="0" fontId="14" fillId="53" borderId="32" xfId="0" applyFont="1" applyFill="1" applyBorder="1" applyAlignment="1">
      <alignment vertical="center"/>
    </xf>
    <xf numFmtId="0" fontId="46" fillId="6" borderId="0" xfId="0" applyFont="1" applyFill="1" applyAlignment="1">
      <alignment horizontal="left" vertical="center" wrapText="1"/>
    </xf>
    <xf numFmtId="0" fontId="145" fillId="11" borderId="0" xfId="52" applyFont="1">
      <alignment horizontal="left" vertical="center"/>
      <protection locked="0"/>
    </xf>
    <xf numFmtId="0" fontId="0" fillId="3" borderId="0" xfId="0" applyFill="1" applyAlignment="1">
      <alignment horizontal="right" indent="1"/>
    </xf>
    <xf numFmtId="0" fontId="0" fillId="58" borderId="48" xfId="0" applyFill="1" applyBorder="1" applyAlignment="1">
      <alignment horizontal="center" vertical="center"/>
    </xf>
    <xf numFmtId="0" fontId="0" fillId="58" borderId="32" xfId="0" applyFill="1" applyBorder="1" applyAlignment="1">
      <alignment horizontal="center" vertical="center"/>
    </xf>
    <xf numFmtId="0" fontId="0" fillId="0" borderId="49"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58" borderId="37" xfId="0" applyFill="1" applyBorder="1" applyAlignment="1">
      <alignment horizontal="center" vertical="center"/>
    </xf>
    <xf numFmtId="0" fontId="0" fillId="58" borderId="34" xfId="0" applyFill="1" applyBorder="1" applyAlignment="1">
      <alignment horizontal="center" vertical="center"/>
    </xf>
    <xf numFmtId="0" fontId="0" fillId="0" borderId="38" xfId="0" applyBorder="1" applyAlignment="1">
      <alignment horizontal="center" vertical="center"/>
    </xf>
    <xf numFmtId="0" fontId="142" fillId="3" borderId="0" xfId="0" applyFont="1" applyFill="1" applyAlignment="1">
      <alignment horizontal="right" indent="1"/>
    </xf>
    <xf numFmtId="0" fontId="14" fillId="3" borderId="0" xfId="5" applyFont="1" applyFill="1" applyBorder="1"/>
    <xf numFmtId="0" fontId="147" fillId="3" borderId="0" xfId="62" applyFont="1" applyFill="1">
      <alignment horizontal="right" indent="1" shrinkToFit="1"/>
    </xf>
    <xf numFmtId="0" fontId="61" fillId="0" borderId="0" xfId="0" applyFont="1"/>
    <xf numFmtId="0" fontId="0" fillId="3" borderId="32" xfId="0" applyFill="1" applyBorder="1" applyAlignment="1">
      <alignment horizontal="center" vertical="center"/>
    </xf>
    <xf numFmtId="0" fontId="123" fillId="6" borderId="0" xfId="57" applyFont="1">
      <alignment vertical="center"/>
    </xf>
    <xf numFmtId="0" fontId="123" fillId="10" borderId="0" xfId="58" applyFont="1">
      <alignment vertical="center"/>
    </xf>
    <xf numFmtId="0" fontId="0" fillId="3" borderId="38" xfId="0" applyFill="1" applyBorder="1" applyAlignment="1">
      <alignment horizontal="center" vertical="center"/>
    </xf>
    <xf numFmtId="0" fontId="0" fillId="3" borderId="32" xfId="0" applyFill="1" applyBorder="1"/>
    <xf numFmtId="0" fontId="0" fillId="58" borderId="49" xfId="0" applyFill="1" applyBorder="1" applyAlignment="1">
      <alignment horizontal="center" vertical="center"/>
    </xf>
    <xf numFmtId="0" fontId="0" fillId="58" borderId="58" xfId="0" applyFill="1" applyBorder="1" applyAlignment="1">
      <alignment horizontal="center" vertical="center"/>
    </xf>
    <xf numFmtId="0" fontId="0" fillId="58" borderId="51" xfId="0" applyFill="1" applyBorder="1" applyAlignment="1">
      <alignment horizontal="center" vertical="center"/>
    </xf>
    <xf numFmtId="0" fontId="0" fillId="3" borderId="51" xfId="0" applyFill="1" applyBorder="1"/>
    <xf numFmtId="0" fontId="0" fillId="58" borderId="59" xfId="0" applyFill="1" applyBorder="1" applyAlignment="1">
      <alignment horizontal="center" vertical="center"/>
    </xf>
    <xf numFmtId="0" fontId="0" fillId="58" borderId="55" xfId="0" applyFill="1" applyBorder="1" applyAlignment="1">
      <alignment horizontal="center" vertical="center"/>
    </xf>
    <xf numFmtId="0" fontId="0" fillId="58" borderId="56" xfId="0" applyFill="1" applyBorder="1" applyAlignment="1">
      <alignment horizontal="center" vertical="center"/>
    </xf>
    <xf numFmtId="0" fontId="0" fillId="3" borderId="56" xfId="0" applyFill="1" applyBorder="1"/>
    <xf numFmtId="0" fontId="0" fillId="58" borderId="57" xfId="0" applyFill="1" applyBorder="1" applyAlignment="1">
      <alignment horizontal="center" vertical="center"/>
    </xf>
    <xf numFmtId="169" fontId="148" fillId="60" borderId="50" xfId="1" applyFont="1" applyFill="1" applyBorder="1" applyProtection="1">
      <alignment horizontal="right" vertical="center"/>
    </xf>
    <xf numFmtId="169" fontId="149" fillId="60" borderId="50" xfId="1" applyFont="1" applyFill="1" applyBorder="1" applyProtection="1">
      <alignment horizontal="right" vertical="center"/>
    </xf>
    <xf numFmtId="0" fontId="14" fillId="3" borderId="0" xfId="78" applyFont="1" applyFill="1" applyBorder="1">
      <alignment vertical="center"/>
    </xf>
    <xf numFmtId="0" fontId="62" fillId="3" borderId="0" xfId="0" applyFont="1" applyFill="1"/>
    <xf numFmtId="0" fontId="124" fillId="6" borderId="0" xfId="6" applyFont="1" applyFill="1">
      <alignment vertical="center"/>
    </xf>
    <xf numFmtId="0" fontId="142" fillId="6" borderId="0" xfId="0" applyFont="1" applyFill="1"/>
    <xf numFmtId="166" fontId="124" fillId="52" borderId="266" xfId="2" applyFont="1" applyBorder="1">
      <alignment horizontal="centerContinuous" vertical="center" wrapText="1"/>
    </xf>
    <xf numFmtId="166" fontId="124" fillId="52" borderId="267" xfId="2" applyFont="1" applyBorder="1">
      <alignment horizontal="centerContinuous" vertical="center" wrapText="1"/>
    </xf>
    <xf numFmtId="166" fontId="124" fillId="52" borderId="268" xfId="2" applyFont="1" applyBorder="1">
      <alignment horizontal="centerContinuous" vertical="center" wrapText="1"/>
    </xf>
    <xf numFmtId="0" fontId="61" fillId="0" borderId="53" xfId="0" applyFont="1" applyBorder="1" applyAlignment="1">
      <alignment horizontal="center"/>
    </xf>
    <xf numFmtId="168" fontId="135" fillId="61" borderId="53" xfId="7" applyFont="1" applyFill="1" applyBorder="1">
      <alignment horizontal="right"/>
      <protection locked="0"/>
    </xf>
    <xf numFmtId="168" fontId="135" fillId="114" borderId="53" xfId="7" applyFont="1" applyFill="1" applyBorder="1">
      <alignment horizontal="right"/>
      <protection locked="0"/>
    </xf>
    <xf numFmtId="49" fontId="135" fillId="114" borderId="266" xfId="8" applyFont="1" applyFill="1" applyBorder="1" applyAlignment="1">
      <protection locked="0"/>
    </xf>
    <xf numFmtId="0" fontId="61" fillId="0" borderId="267" xfId="0" applyFont="1" applyBorder="1" applyAlignment="1">
      <alignment horizontal="center"/>
    </xf>
    <xf numFmtId="168" fontId="135" fillId="61" borderId="267" xfId="7" applyFont="1" applyFill="1" applyBorder="1">
      <alignment horizontal="right"/>
      <protection locked="0"/>
    </xf>
    <xf numFmtId="168" fontId="135" fillId="114" borderId="267" xfId="7" applyFont="1" applyFill="1" applyBorder="1">
      <alignment horizontal="right"/>
      <protection locked="0"/>
    </xf>
    <xf numFmtId="168" fontId="135" fillId="114" borderId="268" xfId="7" applyFont="1" applyFill="1" applyBorder="1">
      <alignment horizontal="right"/>
      <protection locked="0"/>
    </xf>
    <xf numFmtId="49" fontId="135" fillId="114" borderId="269" xfId="8" applyFont="1" applyFill="1" applyBorder="1">
      <alignment horizontal="left" vertical="center" wrapText="1"/>
      <protection locked="0"/>
    </xf>
    <xf numFmtId="168" fontId="135" fillId="114" borderId="270" xfId="7" applyFont="1" applyFill="1" applyBorder="1">
      <alignment horizontal="right"/>
      <protection locked="0"/>
    </xf>
    <xf numFmtId="49" fontId="135" fillId="114" borderId="271" xfId="8" applyFont="1" applyFill="1" applyBorder="1">
      <alignment horizontal="left" vertical="center" wrapText="1"/>
      <protection locked="0"/>
    </xf>
    <xf numFmtId="0" fontId="61" fillId="0" borderId="272" xfId="0" applyFont="1" applyBorder="1" applyAlignment="1">
      <alignment horizontal="center"/>
    </xf>
    <xf numFmtId="168" fontId="135" fillId="61" borderId="272" xfId="7" applyFont="1" applyFill="1" applyBorder="1">
      <alignment horizontal="right"/>
      <protection locked="0"/>
    </xf>
    <xf numFmtId="168" fontId="135" fillId="114" borderId="272" xfId="7" applyFont="1" applyFill="1" applyBorder="1">
      <alignment horizontal="right"/>
      <protection locked="0"/>
    </xf>
    <xf numFmtId="168" fontId="135" fillId="114" borderId="273" xfId="7" applyFont="1" applyFill="1" applyBorder="1">
      <alignment horizontal="right"/>
      <protection locked="0"/>
    </xf>
    <xf numFmtId="0" fontId="135" fillId="3" borderId="53" xfId="50" applyFont="1" applyFill="1" applyBorder="1" applyAlignment="1">
      <alignment horizontal="center" vertical="center" wrapText="1"/>
    </xf>
    <xf numFmtId="168" fontId="61" fillId="62" borderId="53" xfId="7" applyFont="1" applyFill="1" applyBorder="1">
      <alignment horizontal="right"/>
      <protection locked="0"/>
    </xf>
    <xf numFmtId="168" fontId="61" fillId="114" borderId="53" xfId="7" applyFont="1" applyFill="1" applyBorder="1">
      <alignment horizontal="right"/>
      <protection locked="0"/>
    </xf>
    <xf numFmtId="0" fontId="61" fillId="3" borderId="266" xfId="0" applyFont="1" applyFill="1" applyBorder="1" applyAlignment="1">
      <alignment vertical="center"/>
    </xf>
    <xf numFmtId="0" fontId="135" fillId="3" borderId="267" xfId="0" applyFont="1" applyFill="1" applyBorder="1" applyAlignment="1">
      <alignment horizontal="center" vertical="center" wrapText="1"/>
    </xf>
    <xf numFmtId="0" fontId="135" fillId="3" borderId="272" xfId="0" applyFont="1" applyFill="1" applyBorder="1" applyAlignment="1">
      <alignment horizontal="center" vertical="center" wrapText="1"/>
    </xf>
    <xf numFmtId="0" fontId="135" fillId="3" borderId="266" xfId="50" applyFont="1" applyFill="1" applyBorder="1" applyAlignment="1">
      <alignment horizontal="left" vertical="center"/>
    </xf>
    <xf numFmtId="0" fontId="135" fillId="3" borderId="267" xfId="50" applyFont="1" applyFill="1" applyBorder="1" applyAlignment="1">
      <alignment horizontal="center" vertical="center" wrapText="1"/>
    </xf>
    <xf numFmtId="0" fontId="135" fillId="3" borderId="269" xfId="50" applyFont="1" applyFill="1" applyBorder="1" applyAlignment="1">
      <alignment horizontal="left" vertical="center"/>
    </xf>
    <xf numFmtId="168" fontId="61" fillId="114" borderId="270" xfId="7" applyFont="1" applyFill="1" applyBorder="1">
      <alignment horizontal="right"/>
      <protection locked="0"/>
    </xf>
    <xf numFmtId="0" fontId="135" fillId="3" borderId="271" xfId="50" applyFont="1" applyFill="1" applyBorder="1" applyAlignment="1">
      <alignment horizontal="left" vertical="center"/>
    </xf>
    <xf numFmtId="0" fontId="135" fillId="3" borderId="272" xfId="50" applyFont="1" applyFill="1" applyBorder="1" applyAlignment="1">
      <alignment horizontal="center" vertical="center" wrapText="1"/>
    </xf>
    <xf numFmtId="0" fontId="135" fillId="3" borderId="266" xfId="50" applyFont="1" applyFill="1" applyBorder="1" applyAlignment="1">
      <alignment vertical="center" wrapText="1"/>
    </xf>
    <xf numFmtId="0" fontId="135" fillId="3" borderId="271" xfId="50" applyFont="1" applyFill="1" applyBorder="1" applyAlignment="1">
      <alignment vertical="center" wrapText="1"/>
    </xf>
    <xf numFmtId="168" fontId="135" fillId="61" borderId="267" xfId="7" applyFont="1" applyFill="1" applyBorder="1" applyAlignment="1">
      <alignment horizontal="right" vertical="center"/>
      <protection locked="0"/>
    </xf>
    <xf numFmtId="168" fontId="135" fillId="114" borderId="267" xfId="7" applyFont="1" applyFill="1" applyBorder="1" applyAlignment="1">
      <alignment horizontal="right" vertical="center"/>
      <protection locked="0"/>
    </xf>
    <xf numFmtId="168" fontId="135" fillId="114" borderId="268" xfId="7" applyFont="1" applyFill="1" applyBorder="1" applyAlignment="1">
      <alignment horizontal="right" vertical="center"/>
      <protection locked="0"/>
    </xf>
    <xf numFmtId="168" fontId="135" fillId="61" borderId="53" xfId="7" applyFont="1" applyFill="1" applyBorder="1" applyAlignment="1">
      <alignment horizontal="right" vertical="center"/>
      <protection locked="0"/>
    </xf>
    <xf numFmtId="168" fontId="135" fillId="114" borderId="53" xfId="7" applyFont="1" applyFill="1" applyBorder="1" applyAlignment="1">
      <alignment horizontal="right" vertical="center"/>
      <protection locked="0"/>
    </xf>
    <xf numFmtId="0" fontId="61" fillId="0" borderId="272" xfId="0" applyFont="1" applyBorder="1" applyAlignment="1">
      <alignment horizontal="center" vertical="center"/>
    </xf>
    <xf numFmtId="168" fontId="135" fillId="61" borderId="272" xfId="7" applyFont="1" applyFill="1" applyBorder="1" applyAlignment="1">
      <alignment horizontal="right" vertical="center"/>
      <protection locked="0"/>
    </xf>
    <xf numFmtId="168" fontId="135" fillId="114" borderId="272" xfId="7" applyFont="1" applyFill="1" applyBorder="1" applyAlignment="1">
      <alignment horizontal="right" vertical="center"/>
      <protection locked="0"/>
    </xf>
    <xf numFmtId="0" fontId="135" fillId="116" borderId="266" xfId="8" applyNumberFormat="1" applyFont="1" applyFill="1" applyBorder="1" applyAlignment="1">
      <alignment vertical="center"/>
      <protection locked="0"/>
    </xf>
    <xf numFmtId="0" fontId="135" fillId="116" borderId="269" xfId="8" applyNumberFormat="1" applyFont="1" applyFill="1" applyBorder="1" applyAlignment="1">
      <alignment vertical="center"/>
      <protection locked="0"/>
    </xf>
    <xf numFmtId="0" fontId="135" fillId="116" borderId="271" xfId="8" applyNumberFormat="1" applyFont="1" applyFill="1" applyBorder="1" applyAlignment="1">
      <alignment vertical="center"/>
      <protection locked="0"/>
    </xf>
    <xf numFmtId="49" fontId="14" fillId="3" borderId="274" xfId="56" applyFont="1" applyFill="1" applyBorder="1">
      <alignment horizontal="centerContinuous" vertical="center" wrapText="1"/>
    </xf>
    <xf numFmtId="49" fontId="14" fillId="3" borderId="275" xfId="56" applyFont="1" applyFill="1" applyBorder="1">
      <alignment horizontal="centerContinuous" vertical="center" wrapText="1"/>
    </xf>
    <xf numFmtId="49" fontId="14" fillId="3" borderId="276" xfId="56" applyFont="1" applyFill="1" applyBorder="1">
      <alignment horizontal="centerContinuous" vertical="center" wrapText="1"/>
    </xf>
    <xf numFmtId="0" fontId="14" fillId="2" borderId="0" xfId="78" applyFont="1" applyFill="1" applyBorder="1">
      <alignment vertical="center"/>
    </xf>
    <xf numFmtId="0" fontId="14" fillId="2" borderId="0" xfId="6" applyFont="1" applyFill="1">
      <alignment vertical="center"/>
    </xf>
    <xf numFmtId="0" fontId="135" fillId="2" borderId="0" xfId="0" applyFont="1" applyFill="1"/>
    <xf numFmtId="49" fontId="14" fillId="3" borderId="271" xfId="56" applyFont="1" applyFill="1" applyBorder="1">
      <alignment horizontal="centerContinuous" vertical="center" wrapText="1"/>
    </xf>
    <xf numFmtId="49" fontId="14" fillId="3" borderId="272" xfId="56" applyFont="1" applyFill="1" applyBorder="1">
      <alignment horizontal="centerContinuous" vertical="center" wrapText="1"/>
    </xf>
    <xf numFmtId="49" fontId="14" fillId="3" borderId="273" xfId="56" applyFont="1" applyFill="1" applyBorder="1">
      <alignment horizontal="centerContinuous" vertical="center" wrapText="1"/>
    </xf>
    <xf numFmtId="166" fontId="14" fillId="3" borderId="0" xfId="2" applyFont="1" applyFill="1" applyBorder="1" applyAlignment="1">
      <alignment horizontal="left" vertical="center" wrapText="1"/>
    </xf>
    <xf numFmtId="0" fontId="146" fillId="11" borderId="0" xfId="55" applyFont="1" applyAlignment="1">
      <alignment horizontal="left" vertical="center"/>
    </xf>
    <xf numFmtId="175" fontId="117" fillId="60" borderId="0" xfId="97" quotePrefix="1" applyNumberFormat="1" applyFill="1" applyAlignment="1">
      <alignment horizontal="left" vertical="center"/>
    </xf>
    <xf numFmtId="0" fontId="135" fillId="3" borderId="266" xfId="50" applyFont="1" applyFill="1" applyBorder="1">
      <alignment horizontal="left" vertical="center" wrapText="1" indent="1"/>
    </xf>
    <xf numFmtId="0" fontId="135" fillId="3" borderId="269" xfId="50" applyFont="1" applyFill="1" applyBorder="1" applyAlignment="1">
      <alignment horizontal="left" vertical="center" wrapText="1" indent="3"/>
    </xf>
    <xf numFmtId="0" fontId="135" fillId="3" borderId="271" xfId="50" applyFont="1" applyFill="1" applyBorder="1">
      <alignment horizontal="left" vertical="center" wrapText="1" indent="1"/>
    </xf>
    <xf numFmtId="168" fontId="135" fillId="59" borderId="273" xfId="7" applyFont="1" applyFill="1" applyBorder="1">
      <alignment horizontal="right"/>
      <protection locked="0"/>
    </xf>
    <xf numFmtId="0" fontId="150" fillId="0" borderId="41" xfId="0" applyFont="1" applyBorder="1" applyAlignment="1">
      <alignment horizontal="center" vertical="center"/>
    </xf>
    <xf numFmtId="0" fontId="150" fillId="3" borderId="35" xfId="0" applyFont="1" applyFill="1" applyBorder="1" applyAlignment="1">
      <alignment horizontal="center" vertical="center"/>
    </xf>
    <xf numFmtId="0" fontId="151" fillId="3" borderId="35" xfId="0" applyFont="1" applyFill="1" applyBorder="1" applyAlignment="1">
      <alignment horizontal="center" vertical="center"/>
    </xf>
    <xf numFmtId="0" fontId="150" fillId="3" borderId="36" xfId="0" applyFont="1" applyFill="1" applyBorder="1" applyAlignment="1">
      <alignment horizontal="center" vertical="center"/>
    </xf>
    <xf numFmtId="0" fontId="60" fillId="0" borderId="248" xfId="0" applyFont="1" applyBorder="1" applyAlignment="1">
      <alignment horizontal="center" vertical="center"/>
    </xf>
    <xf numFmtId="0" fontId="60" fillId="3" borderId="249" xfId="0" applyFont="1" applyFill="1" applyBorder="1" applyAlignment="1">
      <alignment horizontal="center" vertical="center"/>
    </xf>
    <xf numFmtId="0" fontId="139" fillId="3" borderId="250" xfId="0" applyFont="1" applyFill="1" applyBorder="1" applyAlignment="1">
      <alignment horizontal="center" vertical="center"/>
    </xf>
    <xf numFmtId="0" fontId="61" fillId="3" borderId="266" xfId="0" applyFont="1" applyFill="1" applyBorder="1"/>
    <xf numFmtId="0" fontId="61" fillId="0" borderId="269" xfId="0" applyFont="1" applyBorder="1"/>
    <xf numFmtId="168" fontId="135" fillId="115" borderId="270" xfId="7" applyFont="1" applyFill="1" applyBorder="1">
      <alignment horizontal="right"/>
      <protection locked="0"/>
    </xf>
    <xf numFmtId="0" fontId="143" fillId="0" borderId="269" xfId="0" applyFont="1" applyBorder="1" applyAlignment="1">
      <alignment horizontal="left" indent="2"/>
    </xf>
    <xf numFmtId="0" fontId="61" fillId="0" borderId="271" xfId="0" applyFont="1" applyBorder="1"/>
    <xf numFmtId="0" fontId="136" fillId="3" borderId="53" xfId="50" applyFont="1" applyFill="1" applyBorder="1" applyAlignment="1">
      <alignment horizontal="center" vertical="center" wrapText="1"/>
    </xf>
    <xf numFmtId="0" fontId="136" fillId="3" borderId="266" xfId="50" applyFont="1" applyFill="1" applyBorder="1">
      <alignment horizontal="left" vertical="center" wrapText="1" indent="1"/>
    </xf>
    <xf numFmtId="0" fontId="136" fillId="3" borderId="267" xfId="50" applyFont="1" applyFill="1" applyBorder="1" applyAlignment="1">
      <alignment horizontal="center" vertical="center" wrapText="1"/>
    </xf>
    <xf numFmtId="0" fontId="136" fillId="3" borderId="269" xfId="50" applyFont="1" applyFill="1" applyBorder="1">
      <alignment horizontal="left" vertical="center" wrapText="1" indent="1"/>
    </xf>
    <xf numFmtId="0" fontId="136" fillId="3" borderId="271" xfId="50" applyFont="1" applyFill="1" applyBorder="1">
      <alignment horizontal="left" vertical="center" wrapText="1" indent="1"/>
    </xf>
    <xf numFmtId="0" fontId="136" fillId="3" borderId="272" xfId="50" applyFont="1" applyFill="1" applyBorder="1" applyAlignment="1">
      <alignment horizontal="center" vertical="center" wrapText="1"/>
    </xf>
    <xf numFmtId="0" fontId="125" fillId="107" borderId="247" xfId="65" applyFont="1" applyFill="1" applyBorder="1" applyAlignment="1">
      <alignment horizontal="left" vertical="center"/>
    </xf>
    <xf numFmtId="0" fontId="125" fillId="107" borderId="163" xfId="65" applyFont="1" applyFill="1" applyBorder="1" applyAlignment="1">
      <alignment horizontal="left" vertical="center"/>
    </xf>
    <xf numFmtId="0" fontId="126" fillId="108" borderId="0" xfId="65" applyFont="1" applyFill="1" applyAlignment="1">
      <alignment horizontal="left" vertical="center"/>
    </xf>
    <xf numFmtId="0" fontId="57" fillId="109" borderId="0" xfId="65" applyFill="1" applyAlignment="1">
      <alignment vertical="center" wrapText="1"/>
    </xf>
    <xf numFmtId="0" fontId="57" fillId="109" borderId="0" xfId="65" applyFill="1" applyAlignment="1">
      <alignment horizontal="left" vertical="center" wrapText="1" indent="4"/>
    </xf>
    <xf numFmtId="0" fontId="57" fillId="109" borderId="0" xfId="65" applyFill="1" applyAlignment="1">
      <alignment horizontal="left" vertical="center" wrapText="1" indent="8"/>
    </xf>
    <xf numFmtId="0" fontId="130" fillId="109" borderId="0" xfId="65" applyFont="1" applyFill="1" applyAlignment="1">
      <alignment vertical="center" wrapText="1"/>
    </xf>
    <xf numFmtId="0" fontId="8" fillId="58" borderId="0" xfId="79" applyFont="1" applyFill="1" applyBorder="1" applyAlignment="1">
      <alignment vertical="center" wrapText="1"/>
    </xf>
    <xf numFmtId="0" fontId="37" fillId="113" borderId="0" xfId="0" applyFont="1" applyFill="1" applyAlignment="1">
      <alignment horizontal="left" vertical="center" indent="4"/>
    </xf>
    <xf numFmtId="0" fontId="26" fillId="110" borderId="0" xfId="0" applyFont="1" applyFill="1" applyAlignment="1">
      <alignment horizontal="left" vertical="center" indent="4"/>
    </xf>
    <xf numFmtId="0" fontId="126" fillId="7" borderId="0" xfId="0" applyFont="1" applyFill="1" applyAlignment="1" applyProtection="1">
      <alignment horizontal="center" vertical="center"/>
      <protection locked="0"/>
    </xf>
    <xf numFmtId="0" fontId="0" fillId="7" borderId="0" xfId="0" applyFill="1" applyAlignment="1" applyProtection="1">
      <alignment horizontal="left" vertical="top" wrapText="1"/>
      <protection locked="0"/>
    </xf>
    <xf numFmtId="0" fontId="33" fillId="7" borderId="0" xfId="0" applyFont="1" applyFill="1" applyAlignment="1" applyProtection="1">
      <alignment vertical="center"/>
      <protection locked="0"/>
    </xf>
    <xf numFmtId="167" fontId="33" fillId="2" borderId="0" xfId="0" applyNumberFormat="1" applyFont="1" applyFill="1" applyAlignment="1">
      <alignment horizontal="left" vertical="center" wrapText="1"/>
    </xf>
    <xf numFmtId="0" fontId="2" fillId="2" borderId="0" xfId="0" applyFont="1" applyFill="1" applyAlignment="1">
      <alignment horizontal="left" vertical="top" indent="1"/>
    </xf>
    <xf numFmtId="14" fontId="2" fillId="7" borderId="0" xfId="0" quotePrefix="1" applyNumberFormat="1" applyFont="1" applyFill="1" applyAlignment="1" applyProtection="1">
      <alignment horizontal="left" vertical="top" indent="1"/>
      <protection locked="0"/>
    </xf>
    <xf numFmtId="14" fontId="2" fillId="7" borderId="0" xfId="0" applyNumberFormat="1" applyFont="1" applyFill="1" applyAlignment="1" applyProtection="1">
      <alignment horizontal="left" vertical="top" indent="1"/>
      <protection locked="0"/>
    </xf>
    <xf numFmtId="0" fontId="2" fillId="7" borderId="0" xfId="0" applyFont="1" applyFill="1" applyAlignment="1" applyProtection="1">
      <alignment horizontal="left" vertical="top" indent="1"/>
      <protection locked="0"/>
    </xf>
    <xf numFmtId="0" fontId="124" fillId="107" borderId="248" xfId="0" applyFont="1" applyFill="1" applyBorder="1" applyAlignment="1">
      <alignment horizontal="center" vertical="center" wrapText="1"/>
    </xf>
    <xf numFmtId="0" fontId="124" fillId="107" borderId="251" xfId="0" applyFont="1" applyFill="1" applyBorder="1" applyAlignment="1">
      <alignment horizontal="center" vertical="center" wrapText="1"/>
    </xf>
    <xf numFmtId="0" fontId="124" fillId="107" borderId="249" xfId="0" applyFont="1" applyFill="1" applyBorder="1" applyAlignment="1">
      <alignment horizontal="center" vertical="center" wrapText="1"/>
    </xf>
    <xf numFmtId="0" fontId="124" fillId="107" borderId="252" xfId="0" applyFont="1" applyFill="1" applyBorder="1" applyAlignment="1">
      <alignment horizontal="center" vertical="center" wrapText="1"/>
    </xf>
    <xf numFmtId="0" fontId="124" fillId="107" borderId="250" xfId="0" applyFont="1" applyFill="1" applyBorder="1" applyAlignment="1">
      <alignment horizontal="center" vertical="center" wrapText="1"/>
    </xf>
    <xf numFmtId="0" fontId="60" fillId="5" borderId="58" xfId="0" applyFont="1" applyFill="1" applyBorder="1" applyAlignment="1">
      <alignment horizontal="center" vertical="center" wrapText="1"/>
    </xf>
    <xf numFmtId="0" fontId="60" fillId="5" borderId="51" xfId="0" applyFont="1" applyFill="1" applyBorder="1" applyAlignment="1">
      <alignment horizontal="center" vertical="center" wrapText="1"/>
    </xf>
    <xf numFmtId="0" fontId="60" fillId="5" borderId="59" xfId="0" applyFont="1" applyFill="1" applyBorder="1" applyAlignment="1">
      <alignment horizontal="center" vertical="center" wrapText="1"/>
    </xf>
    <xf numFmtId="0" fontId="150" fillId="3" borderId="45" xfId="0" applyFont="1" applyFill="1" applyBorder="1" applyAlignment="1">
      <alignment horizontal="center" vertical="center"/>
    </xf>
    <xf numFmtId="0" fontId="150" fillId="3" borderId="46" xfId="0" applyFont="1" applyFill="1" applyBorder="1" applyAlignment="1">
      <alignment horizontal="center" vertical="center"/>
    </xf>
    <xf numFmtId="0" fontId="150" fillId="3" borderId="47" xfId="0" applyFont="1" applyFill="1" applyBorder="1" applyAlignment="1">
      <alignment horizontal="center" vertical="center"/>
    </xf>
    <xf numFmtId="0" fontId="60" fillId="3" borderId="45" xfId="0" applyFont="1" applyFill="1" applyBorder="1" applyAlignment="1">
      <alignment horizontal="center" vertical="top" wrapText="1"/>
    </xf>
    <xf numFmtId="0" fontId="60" fillId="3" borderId="46" xfId="0" applyFont="1" applyFill="1" applyBorder="1" applyAlignment="1">
      <alignment horizontal="center" vertical="top" wrapText="1"/>
    </xf>
    <xf numFmtId="0" fontId="60" fillId="3" borderId="47" xfId="0" applyFont="1" applyFill="1" applyBorder="1" applyAlignment="1">
      <alignment horizontal="center" vertical="top" wrapText="1"/>
    </xf>
    <xf numFmtId="0" fontId="60" fillId="3" borderId="39" xfId="0" applyFont="1" applyFill="1" applyBorder="1" applyAlignment="1">
      <alignment horizontal="center" vertical="top" wrapText="1"/>
    </xf>
    <xf numFmtId="0" fontId="60" fillId="3" borderId="0" xfId="0" applyFont="1" applyFill="1" applyAlignment="1">
      <alignment horizontal="center" vertical="top" wrapText="1"/>
    </xf>
    <xf numFmtId="0" fontId="60" fillId="3" borderId="40" xfId="0" applyFont="1" applyFill="1" applyBorder="1" applyAlignment="1">
      <alignment horizontal="center" vertical="top" wrapText="1"/>
    </xf>
    <xf numFmtId="0" fontId="60" fillId="3" borderId="42" xfId="0" applyFont="1" applyFill="1" applyBorder="1" applyAlignment="1">
      <alignment horizontal="center" vertical="top" wrapText="1"/>
    </xf>
    <xf numFmtId="0" fontId="60" fillId="3" borderId="43" xfId="0" applyFont="1" applyFill="1" applyBorder="1" applyAlignment="1">
      <alignment horizontal="center" vertical="top" wrapText="1"/>
    </xf>
    <xf numFmtId="0" fontId="60" fillId="3" borderId="44" xfId="0" applyFont="1" applyFill="1" applyBorder="1" applyAlignment="1">
      <alignment horizontal="center" vertical="top" wrapText="1"/>
    </xf>
    <xf numFmtId="0" fontId="60" fillId="3" borderId="45" xfId="0" applyFont="1" applyFill="1" applyBorder="1" applyAlignment="1">
      <alignment horizontal="left" vertical="top" wrapText="1"/>
    </xf>
    <xf numFmtId="0" fontId="60" fillId="3" borderId="46" xfId="0" applyFont="1" applyFill="1" applyBorder="1" applyAlignment="1">
      <alignment horizontal="left" vertical="top" wrapText="1"/>
    </xf>
    <xf numFmtId="0" fontId="60" fillId="3" borderId="47" xfId="0" applyFont="1" applyFill="1" applyBorder="1" applyAlignment="1">
      <alignment horizontal="left" vertical="top" wrapText="1"/>
    </xf>
    <xf numFmtId="0" fontId="60" fillId="3" borderId="39" xfId="0" applyFont="1" applyFill="1" applyBorder="1" applyAlignment="1">
      <alignment horizontal="left" vertical="top" wrapText="1"/>
    </xf>
    <xf numFmtId="0" fontId="60" fillId="3" borderId="0" xfId="0" applyFont="1" applyFill="1" applyAlignment="1">
      <alignment horizontal="left" vertical="top" wrapText="1"/>
    </xf>
    <xf numFmtId="0" fontId="60" fillId="3" borderId="40" xfId="0" applyFont="1" applyFill="1" applyBorder="1" applyAlignment="1">
      <alignment horizontal="left" vertical="top" wrapText="1"/>
    </xf>
    <xf numFmtId="0" fontId="60" fillId="3" borderId="42" xfId="0" applyFont="1" applyFill="1" applyBorder="1" applyAlignment="1">
      <alignment horizontal="left" vertical="top" wrapText="1"/>
    </xf>
    <xf numFmtId="0" fontId="60" fillId="3" borderId="43" xfId="0" applyFont="1" applyFill="1" applyBorder="1" applyAlignment="1">
      <alignment horizontal="left" vertical="top" wrapText="1"/>
    </xf>
    <xf numFmtId="0" fontId="60" fillId="3" borderId="44" xfId="0" applyFont="1" applyFill="1" applyBorder="1" applyAlignment="1">
      <alignment horizontal="left" vertical="top" wrapText="1"/>
    </xf>
    <xf numFmtId="0" fontId="60" fillId="5" borderId="257" xfId="0" applyFont="1" applyFill="1" applyBorder="1" applyAlignment="1">
      <alignment horizontal="center" vertical="center" wrapText="1"/>
    </xf>
    <xf numFmtId="0" fontId="60" fillId="5" borderId="53" xfId="0" applyFont="1" applyFill="1" applyBorder="1" applyAlignment="1">
      <alignment horizontal="center" vertical="center" wrapText="1"/>
    </xf>
    <xf numFmtId="0" fontId="60" fillId="5" borderId="256" xfId="0" applyFont="1" applyFill="1" applyBorder="1" applyAlignment="1">
      <alignment horizontal="center" vertical="center" wrapText="1"/>
    </xf>
    <xf numFmtId="0" fontId="121" fillId="5" borderId="42" xfId="0" applyFont="1" applyFill="1" applyBorder="1" applyAlignment="1">
      <alignment horizontal="center" vertical="center" wrapText="1"/>
    </xf>
    <xf numFmtId="0" fontId="121" fillId="5" borderId="43" xfId="0" applyFont="1" applyFill="1" applyBorder="1" applyAlignment="1">
      <alignment horizontal="center" vertical="center" wrapText="1"/>
    </xf>
    <xf numFmtId="0" fontId="121" fillId="5" borderId="44" xfId="0" applyFont="1" applyFill="1" applyBorder="1" applyAlignment="1">
      <alignment horizontal="center" vertical="center" wrapText="1"/>
    </xf>
    <xf numFmtId="0" fontId="60" fillId="5" borderId="39" xfId="0" applyFont="1" applyFill="1" applyBorder="1" applyAlignment="1">
      <alignment horizontal="center" vertical="center" wrapText="1"/>
    </xf>
    <xf numFmtId="0" fontId="60" fillId="5" borderId="0" xfId="0" applyFont="1" applyFill="1" applyAlignment="1">
      <alignment horizontal="center" vertical="center" wrapText="1"/>
    </xf>
    <xf numFmtId="0" fontId="60" fillId="5" borderId="40" xfId="0" applyFont="1" applyFill="1" applyBorder="1" applyAlignment="1">
      <alignment horizontal="center" vertical="center" wrapText="1"/>
    </xf>
    <xf numFmtId="0" fontId="124" fillId="6" borderId="0" xfId="0" applyFont="1" applyFill="1" applyAlignment="1">
      <alignment horizontal="left" vertical="center"/>
    </xf>
    <xf numFmtId="0" fontId="0" fillId="0" borderId="0" xfId="0"/>
    <xf numFmtId="0" fontId="2" fillId="64" borderId="7" xfId="0" applyFont="1" applyFill="1" applyBorder="1" applyAlignment="1">
      <alignment horizontal="center" vertical="top"/>
    </xf>
    <xf numFmtId="0" fontId="2" fillId="64" borderId="0" xfId="0" applyFont="1" applyFill="1" applyAlignment="1">
      <alignment horizontal="center" vertical="top"/>
    </xf>
    <xf numFmtId="0" fontId="68" fillId="86" borderId="0" xfId="0" applyFont="1" applyFill="1" applyAlignment="1">
      <alignment horizontal="right" vertical="center" wrapText="1"/>
    </xf>
    <xf numFmtId="0" fontId="73" fillId="88" borderId="133" xfId="0" applyFont="1" applyFill="1" applyBorder="1" applyAlignment="1">
      <alignment horizontal="right" vertical="center" wrapText="1"/>
    </xf>
    <xf numFmtId="0" fontId="73" fillId="88" borderId="138" xfId="0" applyFont="1" applyFill="1" applyBorder="1" applyAlignment="1">
      <alignment horizontal="right" vertical="center" wrapText="1"/>
    </xf>
    <xf numFmtId="0" fontId="73" fillId="88" borderId="143" xfId="0" applyFont="1" applyFill="1" applyBorder="1" applyAlignment="1">
      <alignment horizontal="right" vertical="center" wrapText="1"/>
    </xf>
    <xf numFmtId="0" fontId="73" fillId="88" borderId="8" xfId="0" applyFont="1" applyFill="1" applyBorder="1" applyAlignment="1">
      <alignment horizontal="right" vertical="center" wrapText="1"/>
    </xf>
    <xf numFmtId="0" fontId="73" fillId="90" borderId="8" xfId="0" applyFont="1" applyFill="1" applyBorder="1" applyAlignment="1">
      <alignment horizontal="right" vertical="center" wrapText="1"/>
    </xf>
    <xf numFmtId="0" fontId="73" fillId="90" borderId="0" xfId="0" applyFont="1" applyFill="1" applyAlignment="1">
      <alignment horizontal="right" vertical="center" wrapText="1"/>
    </xf>
    <xf numFmtId="0" fontId="73" fillId="92" borderId="0" xfId="0" applyFont="1" applyFill="1" applyAlignment="1">
      <alignment horizontal="right" vertical="center"/>
    </xf>
    <xf numFmtId="0" fontId="73" fillId="92" borderId="8" xfId="0" applyFont="1" applyFill="1" applyBorder="1" applyAlignment="1">
      <alignment horizontal="right" vertical="center"/>
    </xf>
    <xf numFmtId="0" fontId="73" fillId="88" borderId="125" xfId="0" applyFont="1" applyFill="1" applyBorder="1" applyAlignment="1">
      <alignment horizontal="right" vertical="center" wrapText="1"/>
    </xf>
    <xf numFmtId="0" fontId="73" fillId="88" borderId="129" xfId="0" applyFont="1" applyFill="1" applyBorder="1" applyAlignment="1">
      <alignment horizontal="right" vertical="center" wrapText="1"/>
    </xf>
    <xf numFmtId="0" fontId="73" fillId="63" borderId="0" xfId="0" applyFont="1" applyFill="1" applyAlignment="1">
      <alignment horizontal="right" vertical="center" wrapText="1"/>
    </xf>
    <xf numFmtId="0" fontId="76" fillId="86" borderId="0" xfId="0" applyFont="1" applyFill="1" applyAlignment="1">
      <alignment horizontal="right" vertical="center" wrapText="1"/>
    </xf>
    <xf numFmtId="0" fontId="0" fillId="3" borderId="64" xfId="0" applyFill="1" applyBorder="1" applyAlignment="1">
      <alignment vertical="center"/>
    </xf>
    <xf numFmtId="0" fontId="0" fillId="3" borderId="105" xfId="0" applyFill="1" applyBorder="1" applyAlignment="1">
      <alignment vertical="center"/>
    </xf>
    <xf numFmtId="0" fontId="0" fillId="3" borderId="108" xfId="0" applyFill="1" applyBorder="1" applyAlignment="1">
      <alignment vertical="center"/>
    </xf>
    <xf numFmtId="0" fontId="0" fillId="3" borderId="111" xfId="0" applyFill="1" applyBorder="1" applyAlignment="1">
      <alignment vertical="center"/>
    </xf>
    <xf numFmtId="0" fontId="76" fillId="86" borderId="8" xfId="0" applyFont="1" applyFill="1" applyBorder="1" applyAlignment="1">
      <alignment horizontal="right" vertical="center" wrapText="1"/>
    </xf>
    <xf numFmtId="0" fontId="30" fillId="100" borderId="64" xfId="0" applyFont="1" applyFill="1" applyBorder="1" applyAlignment="1">
      <alignment horizontal="center" vertical="center" wrapText="1"/>
    </xf>
    <xf numFmtId="0" fontId="30" fillId="100" borderId="105" xfId="0" applyFont="1" applyFill="1" applyBorder="1" applyAlignment="1">
      <alignment horizontal="center" vertical="center" wrapText="1"/>
    </xf>
    <xf numFmtId="0" fontId="30" fillId="100" borderId="174" xfId="0" applyFont="1" applyFill="1" applyBorder="1" applyAlignment="1">
      <alignment horizontal="center" vertical="center" wrapText="1"/>
    </xf>
    <xf numFmtId="0" fontId="3" fillId="0" borderId="172" xfId="0" applyFont="1" applyBorder="1"/>
    <xf numFmtId="0" fontId="3" fillId="0" borderId="0" xfId="0" applyFont="1"/>
    <xf numFmtId="0" fontId="95" fillId="2" borderId="2" xfId="0" applyFont="1" applyFill="1" applyBorder="1" applyAlignment="1">
      <alignment horizontal="center"/>
    </xf>
    <xf numFmtId="0" fontId="5" fillId="97" borderId="1" xfId="0" applyFont="1" applyFill="1" applyBorder="1" applyAlignment="1">
      <alignment horizontal="left" vertical="top" wrapText="1"/>
    </xf>
    <xf numFmtId="0" fontId="5" fillId="97" borderId="2" xfId="0" applyFont="1" applyFill="1" applyBorder="1" applyAlignment="1">
      <alignment horizontal="left" vertical="top" wrapText="1"/>
    </xf>
    <xf numFmtId="0" fontId="68" fillId="82" borderId="2" xfId="0" applyFont="1" applyFill="1" applyBorder="1" applyAlignment="1">
      <alignment horizontal="center"/>
    </xf>
    <xf numFmtId="0" fontId="68" fillId="93" borderId="64" xfId="0" applyFont="1" applyFill="1" applyBorder="1" applyAlignment="1">
      <alignment horizontal="center"/>
    </xf>
    <xf numFmtId="0" fontId="68" fillId="93" borderId="105" xfId="0" applyFont="1" applyFill="1" applyBorder="1" applyAlignment="1">
      <alignment horizontal="center"/>
    </xf>
    <xf numFmtId="0" fontId="68" fillId="93" borderId="174" xfId="0" applyFont="1" applyFill="1" applyBorder="1" applyAlignment="1">
      <alignment horizontal="center"/>
    </xf>
    <xf numFmtId="0" fontId="2" fillId="64" borderId="1" xfId="0" applyFont="1" applyFill="1" applyBorder="1" applyAlignment="1">
      <alignment horizontal="center" vertical="center"/>
    </xf>
    <xf numFmtId="0" fontId="2" fillId="64" borderId="2" xfId="0" applyFont="1" applyFill="1" applyBorder="1" applyAlignment="1">
      <alignment horizontal="center" vertical="center"/>
    </xf>
    <xf numFmtId="0" fontId="2" fillId="64" borderId="3" xfId="0" applyFont="1" applyFill="1" applyBorder="1" applyAlignment="1">
      <alignment horizontal="center" vertical="center"/>
    </xf>
    <xf numFmtId="0" fontId="2" fillId="64" borderId="7" xfId="0" applyFont="1" applyFill="1" applyBorder="1" applyAlignment="1">
      <alignment horizontal="center" vertical="center"/>
    </xf>
    <xf numFmtId="0" fontId="2" fillId="64" borderId="0" xfId="0" applyFont="1" applyFill="1" applyAlignment="1">
      <alignment horizontal="center" vertical="center"/>
    </xf>
    <xf numFmtId="0" fontId="2" fillId="64" borderId="8" xfId="0" applyFont="1" applyFill="1" applyBorder="1" applyAlignment="1">
      <alignment horizontal="center" vertical="center"/>
    </xf>
    <xf numFmtId="0" fontId="2" fillId="64" borderId="4" xfId="0" applyFont="1" applyFill="1" applyBorder="1" applyAlignment="1">
      <alignment horizontal="center" vertical="center"/>
    </xf>
    <xf numFmtId="0" fontId="2" fillId="64" borderId="5" xfId="0" applyFont="1" applyFill="1" applyBorder="1" applyAlignment="1">
      <alignment horizontal="center" vertical="center"/>
    </xf>
    <xf numFmtId="0" fontId="2" fillId="64" borderId="6" xfId="0" applyFont="1" applyFill="1" applyBorder="1" applyAlignment="1">
      <alignment horizontal="center" vertical="center"/>
    </xf>
    <xf numFmtId="0" fontId="3" fillId="102" borderId="208" xfId="0" applyFont="1" applyFill="1" applyBorder="1" applyAlignment="1">
      <alignment horizontal="left" vertical="center" indent="4"/>
    </xf>
    <xf numFmtId="0" fontId="3" fillId="102" borderId="84" xfId="0" applyFont="1" applyFill="1" applyBorder="1" applyAlignment="1">
      <alignment horizontal="left" vertical="center" indent="4"/>
    </xf>
    <xf numFmtId="0" fontId="0" fillId="0" borderId="189" xfId="0" applyBorder="1" applyAlignment="1">
      <alignment horizontal="right" vertical="center" wrapText="1"/>
    </xf>
    <xf numFmtId="0" fontId="0" fillId="0" borderId="8" xfId="0" applyBorder="1" applyAlignment="1">
      <alignment horizontal="right" vertical="center" wrapText="1"/>
    </xf>
    <xf numFmtId="0" fontId="0" fillId="0" borderId="178" xfId="0" applyBorder="1" applyAlignment="1">
      <alignment horizontal="right" vertical="center"/>
    </xf>
    <xf numFmtId="0" fontId="0" fillId="0" borderId="173" xfId="0" applyBorder="1" applyAlignment="1">
      <alignment horizontal="right" vertical="center"/>
    </xf>
    <xf numFmtId="0" fontId="0" fillId="0" borderId="179" xfId="0" applyBorder="1" applyAlignment="1">
      <alignment horizontal="right" vertical="center"/>
    </xf>
    <xf numFmtId="0" fontId="4" fillId="82" borderId="0" xfId="0" applyFont="1" applyFill="1" applyAlignment="1" applyProtection="1">
      <alignment horizontal="left" wrapText="1"/>
      <protection locked="0"/>
    </xf>
    <xf numFmtId="0" fontId="4" fillId="82" borderId="8" xfId="0" applyFont="1" applyFill="1" applyBorder="1" applyAlignment="1" applyProtection="1">
      <alignment horizontal="left" wrapText="1"/>
      <protection locked="0"/>
    </xf>
    <xf numFmtId="0" fontId="3" fillId="7" borderId="0" xfId="0" applyFont="1" applyFill="1" applyAlignment="1" applyProtection="1">
      <alignment horizontal="left" vertical="top" wrapText="1"/>
      <protection locked="0"/>
    </xf>
    <xf numFmtId="0" fontId="0" fillId="0" borderId="31" xfId="0" applyBorder="1" applyAlignment="1">
      <alignment horizontal="right" vertical="center"/>
    </xf>
    <xf numFmtId="0" fontId="0" fillId="0" borderId="180" xfId="0" applyBorder="1" applyAlignment="1">
      <alignment horizontal="right" vertical="center"/>
    </xf>
    <xf numFmtId="0" fontId="0" fillId="0" borderId="182" xfId="0" applyBorder="1" applyAlignment="1">
      <alignment horizontal="right" vertical="center"/>
    </xf>
    <xf numFmtId="0" fontId="0" fillId="0" borderId="31" xfId="0" applyBorder="1" applyAlignment="1">
      <alignment horizontal="right" vertical="center" wrapText="1"/>
    </xf>
    <xf numFmtId="0" fontId="0" fillId="0" borderId="173" xfId="0" applyBorder="1" applyAlignment="1">
      <alignment horizontal="right" vertical="center" wrapText="1"/>
    </xf>
    <xf numFmtId="0" fontId="0" fillId="0" borderId="179" xfId="0" applyBorder="1" applyAlignment="1">
      <alignment horizontal="right" vertical="center" wrapText="1"/>
    </xf>
    <xf numFmtId="0" fontId="122" fillId="45" borderId="0" xfId="0" applyFont="1" applyFill="1" applyBorder="1" applyAlignment="1">
      <alignment horizontal="centerContinuous" vertical="center"/>
    </xf>
  </cellXfs>
  <cellStyles count="99">
    <cellStyle name="20% - Accent1" xfId="27" builtinId="30" hidden="1"/>
    <cellStyle name="20% - Accent2" xfId="31" builtinId="34" hidden="1"/>
    <cellStyle name="20% - Accent3" xfId="35" builtinId="38" hidden="1"/>
    <cellStyle name="20% - Accent4" xfId="39" builtinId="42" hidden="1"/>
    <cellStyle name="20% - Accent5" xfId="43" builtinId="46" hidden="1"/>
    <cellStyle name="20% - Accent6" xfId="47" builtinId="50" hidden="1"/>
    <cellStyle name="40% - Accent1" xfId="28" builtinId="31" hidden="1"/>
    <cellStyle name="40% - Accent2" xfId="32" builtinId="35" hidden="1"/>
    <cellStyle name="40% - Accent3" xfId="36" builtinId="39" hidden="1"/>
    <cellStyle name="40% - Accent4" xfId="40" builtinId="43" hidden="1"/>
    <cellStyle name="40% - Accent5" xfId="44" builtinId="47" hidden="1"/>
    <cellStyle name="40% - Accent6" xfId="48" builtinId="51" hidden="1"/>
    <cellStyle name="60% - Accent1" xfId="29" builtinId="32" hidden="1"/>
    <cellStyle name="60% - Accent2" xfId="33" builtinId="36" hidden="1"/>
    <cellStyle name="60% - Accent3" xfId="37" builtinId="40" hidden="1"/>
    <cellStyle name="60% - Accent4" xfId="41" builtinId="44" hidden="1"/>
    <cellStyle name="60% - Accent5" xfId="45" builtinId="48" hidden="1"/>
    <cellStyle name="60% - Accent6" xfId="49" builtinId="52" hidden="1"/>
    <cellStyle name="Accent1" xfId="26" builtinId="29" hidden="1"/>
    <cellStyle name="Accent2" xfId="30" builtinId="33" hidden="1"/>
    <cellStyle name="Accent3" xfId="34" builtinId="37" hidden="1"/>
    <cellStyle name="Accent4" xfId="38" builtinId="41" hidden="1"/>
    <cellStyle name="Accent5" xfId="42" builtinId="45" hidden="1"/>
    <cellStyle name="Accent6" xfId="46" builtinId="49" hidden="1"/>
    <cellStyle name="AER_AmendConfid" xfId="53" xr:uid="{00000000-0005-0000-0000-00002C000000}"/>
    <cellStyle name="Amended" xfId="77" xr:uid="{4A7B4382-315C-443D-A48B-A7BE4DA8FFF7}"/>
    <cellStyle name="Bad" xfId="15" builtinId="27" hidden="1"/>
    <cellStyle name="Calculation" xfId="19" builtinId="22" hidden="1"/>
    <cellStyle name="Check Cell" xfId="21" builtinId="23" hidden="1"/>
    <cellStyle name="Comma 2" xfId="73" xr:uid="{FAB0AAC0-E132-413E-A186-90461C87484E}"/>
    <cellStyle name="Comma 3" xfId="75" xr:uid="{524115A0-2F3C-4AE2-8EF4-AD7FD69F707E}"/>
    <cellStyle name="Confidential" xfId="76" xr:uid="{DB47AF7A-884E-44CF-AB89-EB8FB765F923}"/>
    <cellStyle name="Currency 2" xfId="67" xr:uid="{1992328D-97E1-4459-9D58-62B840D06C71}"/>
    <cellStyle name="Currency 2 2" xfId="70" xr:uid="{3F8AD4CC-5CEB-4066-9F9D-BFB32D6A0E7D}"/>
    <cellStyle name="dms_1" xfId="63" xr:uid="{65C871C9-FAFE-4675-8DD3-C3E66EFB51F4}"/>
    <cellStyle name="dms_1 2" xfId="78" xr:uid="{196F47C5-A204-471B-BB7B-300B68BE04F3}"/>
    <cellStyle name="dms_2" xfId="4" xr:uid="{00000000-0005-0000-0000-00001C000000}"/>
    <cellStyle name="dms_2 2" xfId="79" xr:uid="{E98786A8-F39D-457A-8FD4-5AD38D38A089}"/>
    <cellStyle name="dms_3" xfId="5" xr:uid="{00000000-0005-0000-0000-00001D000000}"/>
    <cellStyle name="dms_3 2" xfId="80" xr:uid="{437BA0A5-D58B-49BA-98D9-4976F7BC8F07}"/>
    <cellStyle name="dms_4" xfId="6" xr:uid="{00000000-0005-0000-0000-00001E000000}"/>
    <cellStyle name="dms_4 2" xfId="81" xr:uid="{58CB5546-C7DE-49F7-B25E-3A1A70506FDC}"/>
    <cellStyle name="dms_5" xfId="82" xr:uid="{46C3CEB4-8994-4309-95FA-D2387289BEFB}"/>
    <cellStyle name="dms_BH" xfId="2" xr:uid="{945BE941-DACD-4316-8EF1-917E675DACD8}"/>
    <cellStyle name="dms_BH 2" xfId="91" xr:uid="{90ED0AA2-6CFF-4376-A64A-426040FD49F9}"/>
    <cellStyle name="dms_Blue_HDR" xfId="56" xr:uid="{82B0DEB4-589E-40A8-A415-CBF56D955F10}"/>
    <cellStyle name="dms_BY1" xfId="92" xr:uid="{9B43272E-C31E-4935-805A-8C714B37E103}"/>
    <cellStyle name="dms_BY2" xfId="93" xr:uid="{74C6BEFD-B529-46B6-8C0E-FA6FF8F36C5A}"/>
    <cellStyle name="dms_Code" xfId="62" xr:uid="{E93F3853-FF9A-43EE-AD99-369D9FE5867D}"/>
    <cellStyle name="dms_GH" xfId="94" xr:uid="{2B85CAEB-5C10-4DC7-9B2C-ED0D30E92D6B}"/>
    <cellStyle name="dms_GY1" xfId="95" xr:uid="{45948B1D-506F-40CD-A145-E2427AA54F1F}"/>
    <cellStyle name="dms_GY2" xfId="96" xr:uid="{EC40D721-02F5-4865-9051-F840B59D7F11}"/>
    <cellStyle name="dms_H" xfId="3" xr:uid="{00000000-0005-0000-0000-000026000000}"/>
    <cellStyle name="dms_H1" xfId="57" xr:uid="{3C2CC29F-8F8A-4F90-9494-264DB4615DFD}"/>
    <cellStyle name="dms_H2" xfId="58" xr:uid="{7A4A446B-9DE3-4279-900C-EDE5D965951F}"/>
    <cellStyle name="dms_NUM" xfId="7" xr:uid="{00000000-0005-0000-0000-000027000000}"/>
    <cellStyle name="dms_NUM 2" xfId="83" xr:uid="{298509DE-861F-4EE9-B8D8-3A56FF0F0E28}"/>
    <cellStyle name="dms_Num%" xfId="84" xr:uid="{DC2F8920-2DAA-4E73-A76C-2B79A42BEC2B}"/>
    <cellStyle name="dms_NUM3d" xfId="85" xr:uid="{952E04CD-F1D5-4A71-A001-24DBDEA3BC6C}"/>
    <cellStyle name="dms_Row_Locked" xfId="50" xr:uid="{00000000-0005-0000-0000-00002F000000}"/>
    <cellStyle name="dms_Row_Locked 2" xfId="86" xr:uid="{1FB76070-D3EC-4074-9EFB-E24016608FEB}"/>
    <cellStyle name="dms_Row1" xfId="8" xr:uid="{00000000-0005-0000-0000-000030000000}"/>
    <cellStyle name="dms_Row1 2" xfId="87" xr:uid="{10D0B7CF-37AE-4E87-8A4B-0F9A806D311B}"/>
    <cellStyle name="dms_Row2" xfId="88" xr:uid="{DB89AD58-6666-4B0E-AB38-B6DC6B6F2E0F}"/>
    <cellStyle name="dms_T1" xfId="1" xr:uid="{00000000-0005-0000-0000-000032000000}"/>
    <cellStyle name="dms_T1 2" xfId="89" xr:uid="{091EF8B0-8085-48CA-AA82-80D15E238A0A}"/>
    <cellStyle name="dms_T2" xfId="90" xr:uid="{BD9C6141-5EEA-4C95-B44C-72FE9C71E1E6}"/>
    <cellStyle name="dms_TopHeader" xfId="51" xr:uid="{00000000-0005-0000-0000-000034000000}"/>
    <cellStyle name="Explanatory Text" xfId="24" builtinId="53" hidden="1"/>
    <cellStyle name="Followed Hyperlink" xfId="61" builtinId="9" hidden="1"/>
    <cellStyle name="Good" xfId="14" builtinId="26" hidden="1"/>
    <cellStyle name="Heading 1" xfId="10" builtinId="16" hidden="1"/>
    <cellStyle name="Heading 2" xfId="11" builtinId="17" hidden="1"/>
    <cellStyle name="Heading 3" xfId="12" builtinId="18" hidden="1"/>
    <cellStyle name="Heading 4" xfId="13" builtinId="19" hidden="1"/>
    <cellStyle name="Hyperlink" xfId="97" builtinId="8"/>
    <cellStyle name="Hyperlink 2" xfId="54" xr:uid="{00000000-0005-0000-0000-00003C000000}"/>
    <cellStyle name="Input" xfId="17" builtinId="20" hidden="1"/>
    <cellStyle name="Linked Cell" xfId="20" builtinId="24" hidden="1"/>
    <cellStyle name="Neutral" xfId="16" builtinId="28" hidden="1"/>
    <cellStyle name="Normal" xfId="0" builtinId="0"/>
    <cellStyle name="Normal 2" xfId="65" xr:uid="{D7C4C6AF-8C04-422C-BECA-DB9DFC5C4EE6}"/>
    <cellStyle name="Normal 2 2" xfId="66" xr:uid="{EE98B236-B019-4AFF-9BE6-1F8240C6ADD9}"/>
    <cellStyle name="Normal 3" xfId="64" xr:uid="{9F19BE30-FC86-4D06-B2DD-31C6A6344DF7}"/>
    <cellStyle name="Normal 3 2" xfId="74" xr:uid="{4CB2F544-A042-441E-B9C7-563EC2957F71}"/>
    <cellStyle name="Normal 33" xfId="68" xr:uid="{B393F69C-C673-4AD4-AB52-58E41E24A09E}"/>
    <cellStyle name="Normal 4" xfId="69" xr:uid="{93E6B9DB-DA51-49A5-A639-81C23782E2F9}"/>
    <cellStyle name="Normal 4 2" xfId="71" xr:uid="{581127AB-BC74-40FC-8A7D-7DB9A012FC72}"/>
    <cellStyle name="Normal 5" xfId="72" xr:uid="{5EA46EF9-973C-4D5B-A590-2B0FA97EF34D}"/>
    <cellStyle name="Note" xfId="23" builtinId="10" hidden="1"/>
    <cellStyle name="Output" xfId="18" builtinId="21" hidden="1"/>
    <cellStyle name="RIN_TB2" xfId="52" xr:uid="{00000000-0005-0000-0000-000045000000}"/>
    <cellStyle name="RIN_TL2" xfId="55" xr:uid="{F49D218D-A062-4DBE-9050-B1E231A098C1}"/>
    <cellStyle name="RIN_TL2 2" xfId="98" xr:uid="{BC0784ED-C329-4D60-8051-3839935CDBD5}"/>
    <cellStyle name="TableLvl2" xfId="60" xr:uid="{E499AB4A-294C-464A-839F-21FFF8F828AE}"/>
    <cellStyle name="TableLvl3" xfId="59" xr:uid="{D7D8A5D2-1D13-42A8-9710-A6E4982DFEF8}"/>
    <cellStyle name="Title" xfId="9" builtinId="15" hidden="1"/>
    <cellStyle name="Total" xfId="25" builtinId="25" hidden="1"/>
    <cellStyle name="Warning Text" xfId="22" builtinId="11" hidden="1"/>
  </cellStyles>
  <dxfs count="68">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rgb="FFFFFF99"/>
        </patternFill>
      </fill>
    </dxf>
    <dxf>
      <fill>
        <patternFill>
          <bgColor theme="0" tint="-0.24994659260841701"/>
        </patternFill>
      </fill>
    </dxf>
    <dxf>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strike val="0"/>
        <color theme="0" tint="-0.24994659260841701"/>
      </font>
      <fill>
        <patternFill>
          <bgColor theme="0" tint="-0.24994659260841701"/>
        </patternFill>
      </fill>
    </dxf>
    <dxf>
      <font>
        <b/>
        <i val="0"/>
        <color rgb="FFFF0000"/>
      </font>
      <fill>
        <patternFill patternType="solid">
          <bgColor rgb="FFFFFFCC"/>
        </patternFill>
      </fill>
    </dxf>
    <dxf>
      <font>
        <b/>
        <i val="0"/>
        <color theme="9" tint="-0.24994659260841701"/>
      </font>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style="medium">
          <color indexed="64"/>
        </left>
        <right/>
        <top style="thin">
          <color theme="4" tint="0.39997558519241921"/>
        </top>
        <bottom/>
        <vertical/>
        <horizontal/>
      </border>
    </dxf>
    <dxf>
      <font>
        <b val="0"/>
        <i val="0"/>
        <strike val="0"/>
        <condense val="0"/>
        <extend val="0"/>
        <outline val="0"/>
        <shadow val="0"/>
        <u val="none"/>
        <vertAlign val="baseline"/>
        <sz val="11"/>
        <color theme="1"/>
        <name val="Arial"/>
        <family val="2"/>
        <scheme val="none"/>
      </font>
      <numFmt numFmtId="30" formatCode="@"/>
      <fill>
        <patternFill patternType="solid">
          <fgColor indexed="64"/>
          <bgColor theme="4" tint="0.79998168889431442"/>
        </patternFill>
      </fill>
      <border diagonalUp="0" diagonalDown="0">
        <left/>
        <right/>
        <top style="thin">
          <color theme="4" tint="0.39997558519241921"/>
        </top>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8" tint="-0.249977111117893"/>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4"/>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1"/>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bottom"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4"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74" formatCode="0000"/>
      <fill>
        <patternFill patternType="solid">
          <fgColor theme="4" tint="0.79998168889431442"/>
          <bgColor theme="4" tint="0.79998168889431442"/>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 formatCode="0"/>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center"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thin">
          <color theme="0" tint="-0.24994659260841701"/>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solid">
          <fgColor theme="4" tint="0.79998168889431442"/>
          <bgColor theme="4" tint="0.79998168889431442"/>
        </patternFill>
      </fill>
      <alignment horizontal="left" vertical="top" textRotation="0" wrapText="0" indent="0" justifyLastLine="0" shrinkToFit="0" readingOrder="0"/>
      <border diagonalUp="0" diagonalDown="0">
        <left style="medium">
          <color indexed="64"/>
        </left>
        <right/>
        <top style="thin">
          <color theme="0" tint="-0.24994659260841701"/>
        </top>
        <bottom/>
        <vertical/>
        <horizontal/>
      </border>
    </dxf>
    <dxf>
      <font>
        <b val="0"/>
        <i val="0"/>
        <strike val="0"/>
        <condense val="0"/>
        <extend val="0"/>
        <outline val="0"/>
        <shadow val="0"/>
        <u val="none"/>
        <vertAlign val="baseline"/>
        <sz val="10"/>
        <color auto="1"/>
        <name val="Arial"/>
        <family val="2"/>
        <scheme val="none"/>
      </font>
      <numFmt numFmtId="167" formatCode="##\ ###\ ###\ ###\ ##0"/>
      <fill>
        <patternFill patternType="solid">
          <fgColor theme="4" tint="0.79998168889431442"/>
          <bgColor theme="4" tint="0.79998168889431442"/>
        </patternFill>
      </fill>
      <alignment horizontal="right" vertical="top" textRotation="0" wrapText="0" indent="1" justifyLastLine="0" shrinkToFit="0" readingOrder="0"/>
    </dxf>
    <dxf>
      <font>
        <b val="0"/>
        <i val="0"/>
        <strike val="0"/>
        <condense val="0"/>
        <extend val="0"/>
        <outline val="0"/>
        <shadow val="0"/>
        <u val="none"/>
        <vertAlign val="baseline"/>
        <sz val="10"/>
        <color auto="1"/>
        <name val="Arial"/>
        <family val="2"/>
        <scheme val="none"/>
      </font>
      <numFmt numFmtId="167" formatCode="##\ ###\ ###\ ###\ ##0"/>
      <fill>
        <patternFill patternType="solid">
          <fgColor theme="4" tint="0.79998168889431442"/>
          <bgColor theme="4" tint="0.79998168889431442"/>
        </patternFill>
      </fill>
      <alignment horizontal="right" vertical="top" textRotation="0" wrapText="0" indent="1" justifyLastLine="0" shrinkToFit="0" readingOrder="0"/>
      <border diagonalUp="0" diagonalDown="0">
        <left style="thin">
          <color theme="0" tint="-0.34998626667073579"/>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style="medium">
          <color indexed="64"/>
        </left>
        <right/>
        <top style="thin">
          <color theme="0" tint="-0.34998626667073579"/>
        </top>
        <bottom/>
        <vertical/>
        <horizontal/>
      </border>
    </dxf>
    <dxf>
      <font>
        <b val="0"/>
        <i val="0"/>
        <strike val="0"/>
        <condense val="0"/>
        <extend val="0"/>
        <outline val="0"/>
        <shadow val="0"/>
        <u val="none"/>
        <vertAlign val="baseline"/>
        <sz val="11"/>
        <color theme="1"/>
        <name val="Arial"/>
        <family val="2"/>
        <scheme val="none"/>
      </font>
      <numFmt numFmtId="0" formatCode="General"/>
      <fill>
        <patternFill patternType="solid">
          <fgColor theme="4" tint="0.79998168889431442"/>
          <bgColor theme="4" tint="0.79998168889431442"/>
        </patternFill>
      </fill>
      <alignment horizontal="general" vertical="top" textRotation="0" wrapText="0" indent="0" justifyLastLine="0" shrinkToFit="0" readingOrder="0"/>
      <border diagonalUp="0" diagonalDown="0">
        <left/>
        <right/>
        <top style="thin">
          <color theme="0" tint="-0.34998626667073579"/>
        </top>
        <bottom/>
        <vertical/>
        <horizontal/>
      </border>
    </dxf>
    <dxf>
      <border outline="0">
        <left style="medium">
          <color indexed="64"/>
        </left>
        <right style="medium">
          <color indexed="64"/>
        </right>
        <top style="medium">
          <color indexed="64"/>
        </top>
        <bottom style="medium">
          <color indexed="64"/>
        </bottom>
      </border>
    </dxf>
  </dxfs>
  <tableStyles count="1" defaultTableStyle="TableStyleMedium2" defaultPivotStyle="PivotStyleLight16">
    <tableStyle name="Invisible" pivot="0" table="0" count="0" xr9:uid="{70986764-F00B-4548-A842-378D3D82E8C5}"/>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D9F1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A7"/>
      <color rgb="FFFFFFB7"/>
      <color rgb="FFFFFFAB"/>
      <color rgb="FF303F51"/>
      <color rgb="FFE06026"/>
      <color rgb="FF11473A"/>
      <color rgb="FFFFFFE1"/>
      <color rgb="FFDBD6BF"/>
      <color rgb="FF25C6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529C0E-8F26-4902-A3F9-0802E54F197A}" name="Table1" displayName="Table1" ref="B9:AL24" totalsRowShown="0" tableBorderDxfId="67">
  <autoFilter ref="B9:AL24" xr:uid="{AC18A4D7-81B6-4A90-9525-DF6255B60894}"/>
  <sortState xmlns:xlrd2="http://schemas.microsoft.com/office/spreadsheetml/2017/richdata2" ref="B10:AL24">
    <sortCondition ref="B9:B24"/>
  </sortState>
  <tableColumns count="37">
    <tableColumn id="1" xr3:uid="{08C88306-F562-4CA5-BF16-884CFFC3F7CA}" name="dms_TradingName_List" dataDxfId="66"/>
    <tableColumn id="2" xr3:uid="{164AD9C6-6C22-49DF-BE8B-31335C7ACAF0}" name="dms_TradingNameFull_List" dataDxfId="65"/>
    <tableColumn id="3" xr3:uid="{8D890535-B774-4F7C-92AE-377483FEDE8A}" name="dms_ABN_List" dataDxfId="64"/>
    <tableColumn id="37" xr3:uid="{16142B44-6414-4514-846C-02E18B50BEA4}" name="dms_UID_List" dataDxfId="63"/>
    <tableColumn id="4" xr3:uid="{3BA08987-7A49-4B2D-BF91-D8103396872A}" name="dms_JurisdictionList" dataDxfId="62"/>
    <tableColumn id="5" xr3:uid="{41D43B72-E1D9-446B-A9C1-52C8A6209603}" name="dms_Sector_List" dataDxfId="61"/>
    <tableColumn id="6" xr3:uid="{2B1F9F27-F7F5-4880-ABF8-58A2EEAE6A8A}" name="dms_Segment_List" dataDxfId="60"/>
    <tableColumn id="7" xr3:uid="{C328F392-CEE8-4EB7-B708-E907A631C08A}" name="dms_FormControl_List" dataDxfId="59"/>
    <tableColumn id="8" xr3:uid="{2A1DA9EB-0D8B-4265-910C-97178FB707CC}" name="dms_RPT_List" dataDxfId="58"/>
    <tableColumn id="9" xr3:uid="{9C60FE88-DDE6-4817-905B-09D0DC7B249C}" name="dms_RPTMonth_List" dataDxfId="57"/>
    <tableColumn id="10" xr3:uid="{F9D57B6F-2FB4-47C8-AC1A-9E132EFBC1B1}" name="dms_CRCPlength_List" dataDxfId="56"/>
    <tableColumn id="11" xr3:uid="{14EE16BD-8642-4C38-B0FA-ABB9CA59DA8F}" name="dms_FRCPlength_List" dataDxfId="55"/>
    <tableColumn id="12" xr3:uid="{47AF2EF4-F0EB-48A6-80F3-02A63E62FA17}" name="dms_PRCPlength_List" dataDxfId="54"/>
    <tableColumn id="13" xr3:uid="{5AEA4012-EE5F-4E4A-92FA-7594DDE1D335}" name="dms_663_List" dataDxfId="53"/>
    <tableColumn id="14" xr3:uid="{44F2B585-D0D1-4E00-B317-4E591BC3836F}" name="dms_Addr1_List" dataDxfId="52"/>
    <tableColumn id="15" xr3:uid="{3F53647E-AE9D-4D28-81BA-B81E6AA2AF3B}" name="dms_Addr2_List" dataDxfId="51"/>
    <tableColumn id="16" xr3:uid="{9CC999E4-84CA-44A9-AA32-39542B9CBA4E}" name="dms_Suburb_List" dataDxfId="50"/>
    <tableColumn id="17" xr3:uid="{F4953D95-41E7-47C4-AF73-57F8CFE1CFB7}" name="dms_State_List" dataDxfId="49"/>
    <tableColumn id="18" xr3:uid="{ED9E5DAE-33FF-4D98-9C1A-0F60B4F7F0A9}" name="dms_PostCode_List" dataDxfId="48"/>
    <tableColumn id="19" xr3:uid="{11F62259-4E94-4408-963E-AEFC1E103238}" name="dms_PAddr1_List" dataDxfId="47"/>
    <tableColumn id="20" xr3:uid="{0934D774-C444-421C-911B-498BEE3F2817}" name="dms_PAddr2_List" dataDxfId="46"/>
    <tableColumn id="21" xr3:uid="{AE96E4C6-7234-46C0-9C71-8DF31E183E45}" name="dms_PSuburb_List" dataDxfId="45"/>
    <tableColumn id="22" xr3:uid="{01315911-C4B0-4B77-9111-824FE48EF5EC}" name="dms_PState_List" dataDxfId="44"/>
    <tableColumn id="23" xr3:uid="{DC6F644E-5710-4AC0-A060-754919D619EA}" name="dms_PPostCode_List" dataDxfId="43"/>
    <tableColumn id="24" xr3:uid="{12843926-2908-47C6-A25C-A0F8371E5F9A}" name="dms_CBD_flag" dataDxfId="42"/>
    <tableColumn id="25" xr3:uid="{29FE11D4-D814-497E-8E3E-9F76E7A27F01}" name="dms_Urban_flag" dataDxfId="41"/>
    <tableColumn id="26" xr3:uid="{44D00CDB-E494-4F84-953C-C9F7B820D474}" name="dms_ShortRural_flag" dataDxfId="40"/>
    <tableColumn id="27" xr3:uid="{35DD7D37-F54D-48A7-A949-C08B0D578440}" name="dms_LongRural_flag" dataDxfId="39"/>
    <tableColumn id="28" xr3:uid="{724C7099-E902-4100-B39B-4B1725AAEC82}" name="dms_FeederType_5_flag" dataDxfId="38"/>
    <tableColumn id="29" xr3:uid="{C01BDC54-1DEA-4DD8-81BF-FDFDD90F2B22}" name="dms_FeederName_1" dataDxfId="37"/>
    <tableColumn id="30" xr3:uid="{56B3EAED-0AB1-4923-954D-E18274C7B77D}" name="dms_FeederName_2" dataDxfId="36"/>
    <tableColumn id="31" xr3:uid="{0C9F7E18-7922-4749-B80E-EB5BDEEBA03A}" name="dms_FeederName_3" dataDxfId="35"/>
    <tableColumn id="32" xr3:uid="{4B558599-A2B5-407D-A526-766A34DF6C16}" name="dms_FeederName_4" dataDxfId="34"/>
    <tableColumn id="33" xr3:uid="{ED42BF8D-D0F9-47BB-A17C-1C58C365CA6D}" name="dms_FeederName_5" dataDxfId="33"/>
    <tableColumn id="34" xr3:uid="{AAC4DEC3-7583-48BD-A849-D7B4E687A485}" name="dms_MAIFI_flag_List" dataDxfId="32"/>
    <tableColumn id="35" xr3:uid="{382989D3-9E1A-4EF4-9545-9F9397C537C6}" name="dms_Public_Lighting_List" dataDxfId="31"/>
    <tableColumn id="36" xr3:uid="{7AFB6EEC-FD92-488E-B3C7-30FCE86B228F}" name="Name" dataDxfId="30">
      <calculatedColumnFormula>B10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8D465AB-27EB-4F98-A38D-D0CAEF0BF483}" name="Table2" displayName="Table2" ref="B28:E43" totalsRowShown="0" tableBorderDxfId="29">
  <autoFilter ref="B28:E43" xr:uid="{B48A2940-5C8F-466A-BEAE-C1F06C878355}"/>
  <sortState xmlns:xlrd2="http://schemas.microsoft.com/office/spreadsheetml/2017/richdata2" ref="B29:E43">
    <sortCondition ref="B28:B43"/>
  </sortState>
  <tableColumns count="4">
    <tableColumn id="1" xr3:uid="{AF679FC9-D06F-48F1-AE71-CCC59FF41D52}" name="dms_Model_List " dataDxfId="28"/>
    <tableColumn id="2" xr3:uid="{C935AACE-53A5-4F1B-B5FD-A883AE4A539A}" name="dms_Model_Name_Format1" dataDxfId="27"/>
    <tableColumn id="3" xr3:uid="{76C8B8DE-323A-4146-BE0C-6E0DCD566299}" name="dms_Worksheet_List" dataDxfId="26"/>
    <tableColumn id="4" xr3:uid="{FD6B5E6F-3CC5-440B-B025-0240878A29B4}" name="dms_Model_Span_List" dataDxfId="2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B1:J15"/>
  <sheetViews>
    <sheetView tabSelected="1" workbookViewId="0"/>
  </sheetViews>
  <sheetFormatPr defaultColWidth="9.1796875" defaultRowHeight="14.5"/>
  <cols>
    <col min="1" max="1" width="5.6328125" style="5" customWidth="1"/>
    <col min="2" max="2" width="3.1796875" style="5" customWidth="1"/>
    <col min="3" max="3" width="33" style="5" customWidth="1"/>
    <col min="4" max="4" width="57.7265625" style="5" customWidth="1"/>
    <col min="5" max="5" width="3.7265625" style="5" customWidth="1"/>
    <col min="6" max="8" width="9.1796875" style="5"/>
    <col min="9" max="9" width="30.453125" style="5" customWidth="1"/>
    <col min="10" max="10" width="8.7265625" style="5" customWidth="1"/>
    <col min="11" max="16384" width="9.1796875" style="5"/>
  </cols>
  <sheetData>
    <row r="1" spans="2:10" ht="18.5">
      <c r="B1" s="1278" t="str">
        <f>dms_SheetHeading1</f>
        <v>ANNUAL INFORMATION NOTICE</v>
      </c>
      <c r="C1" s="1278"/>
      <c r="D1" s="1278"/>
      <c r="E1" s="1278"/>
    </row>
    <row r="2" spans="2:10" ht="18.5">
      <c r="B2" s="1278" t="str">
        <f>dms_SheetHeading2</f>
        <v>Power and Water</v>
      </c>
      <c r="C2" s="1278"/>
      <c r="D2" s="1278"/>
      <c r="E2" s="1278"/>
    </row>
    <row r="3" spans="2:10" ht="18.5">
      <c r="B3" s="1278" t="str">
        <f>dms_SheetHeading3</f>
        <v>REPORTING STATEMENT: 2025-26</v>
      </c>
      <c r="C3" s="1278"/>
      <c r="D3" s="1278"/>
      <c r="E3" s="1278"/>
    </row>
    <row r="5" spans="2:10" s="891" customFormat="1" ht="25.5" customHeight="1">
      <c r="B5" s="898"/>
      <c r="C5" s="899" t="s">
        <v>38</v>
      </c>
      <c r="D5" s="900" t="s">
        <v>1254</v>
      </c>
      <c r="E5" s="898"/>
      <c r="J5" s="5"/>
    </row>
    <row r="6" spans="2:10" ht="15" thickBot="1"/>
    <row r="7" spans="2:10" ht="9.75" customHeight="1">
      <c r="B7" s="915"/>
      <c r="C7" s="916"/>
      <c r="D7" s="916"/>
      <c r="E7" s="917"/>
    </row>
    <row r="8" spans="2:10" ht="21">
      <c r="B8" s="921"/>
      <c r="D8" s="894" t="s">
        <v>24</v>
      </c>
      <c r="E8" s="923"/>
    </row>
    <row r="9" spans="2:10" ht="15.5">
      <c r="B9" s="921"/>
      <c r="C9" s="926"/>
      <c r="D9" s="896" t="s">
        <v>1202</v>
      </c>
      <c r="E9" s="923"/>
    </row>
    <row r="10" spans="2:10" s="891" customFormat="1" ht="21" customHeight="1">
      <c r="B10" s="925"/>
      <c r="C10" s="926"/>
      <c r="D10" s="896" t="s">
        <v>18</v>
      </c>
      <c r="E10" s="927"/>
    </row>
    <row r="11" spans="2:10" s="891" customFormat="1" ht="21" customHeight="1">
      <c r="B11" s="925"/>
      <c r="C11" s="926"/>
      <c r="D11" s="1140" t="s">
        <v>1194</v>
      </c>
      <c r="E11" s="927"/>
    </row>
    <row r="12" spans="2:10" s="891" customFormat="1" ht="21" customHeight="1">
      <c r="B12" s="922"/>
      <c r="C12" s="928" t="s">
        <v>1203</v>
      </c>
      <c r="D12" s="897" t="s">
        <v>1184</v>
      </c>
      <c r="E12" s="924"/>
      <c r="J12" s="5"/>
    </row>
    <row r="13" spans="2:10" s="891" customFormat="1" ht="21" customHeight="1">
      <c r="B13" s="922"/>
      <c r="C13" s="895"/>
      <c r="D13" s="897" t="s">
        <v>1185</v>
      </c>
      <c r="E13" s="924"/>
      <c r="J13" s="5"/>
    </row>
    <row r="14" spans="2:10" s="891" customFormat="1" ht="21" customHeight="1">
      <c r="B14" s="922"/>
      <c r="C14" s="895"/>
      <c r="D14" s="897" t="s">
        <v>1250</v>
      </c>
      <c r="E14" s="924"/>
      <c r="J14" s="5"/>
    </row>
    <row r="15" spans="2:10" s="891" customFormat="1" ht="18" customHeight="1" thickBot="1">
      <c r="B15" s="918"/>
      <c r="C15" s="919"/>
      <c r="D15" s="919"/>
      <c r="E15" s="920"/>
      <c r="J15" s="5"/>
    </row>
  </sheetData>
  <hyperlinks>
    <hyperlink ref="D12" location="'8.1LM Income statement'!A1" display="8.1LM Income statement" xr:uid="{00000000-0004-0000-0500-000000000000}"/>
    <hyperlink ref="D10" location="'Business &amp; other details'!A1" display="Business &amp; other details" xr:uid="{9D6139C1-9547-4245-B013-7E32C714D8C4}"/>
    <hyperlink ref="D14" location="'8.6LM IndAsset Base Roll Fwd'!A1" display="8.6LM Indicative asset base roll forward" xr:uid="{2B1FD35C-9B65-4FD7-9A90-2C57F8D880FA}"/>
    <hyperlink ref="D13" location="'8.4LM Operating expenditure'!A1" display="8.4LM Operating expenditure" xr:uid="{0D7232F9-0DEB-419E-88F9-4AA16864AE2A}"/>
    <hyperlink ref="D11" location="'Assurance requirements by table'!A1" display="Assurance requirements by table" xr:uid="{61644D03-E17C-4122-AC88-12D040FC9823}"/>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25539-CAF3-42B1-9B9E-488362B4129A}">
  <sheetPr codeName="Sheet3">
    <tabColor theme="1"/>
  </sheetPr>
  <dimension ref="A1:CE117"/>
  <sheetViews>
    <sheetView workbookViewId="0"/>
  </sheetViews>
  <sheetFormatPr defaultColWidth="9.1796875" defaultRowHeight="14.5"/>
  <cols>
    <col min="1" max="1" width="16.7265625" customWidth="1"/>
    <col min="2" max="2" width="33.81640625" style="97" customWidth="1"/>
    <col min="3" max="3" width="60.54296875" style="97" customWidth="1"/>
    <col min="4" max="4" width="38.81640625" customWidth="1"/>
    <col min="5" max="5" width="27" style="125" customWidth="1"/>
    <col min="6" max="6" width="22.1796875" customWidth="1"/>
    <col min="7" max="7" width="27.26953125" customWidth="1"/>
    <col min="8" max="8" width="28.26953125" style="97" customWidth="1"/>
    <col min="9" max="9" width="19" style="381" customWidth="1"/>
    <col min="10" max="10" width="25.7265625" style="97" customWidth="1"/>
    <col min="11" max="11" width="27.81640625" style="97" customWidth="1"/>
    <col min="12" max="12" width="27.54296875" style="136" customWidth="1"/>
    <col min="13" max="13" width="27.81640625" customWidth="1"/>
    <col min="14" max="14" width="21" customWidth="1"/>
    <col min="15" max="15" width="21" style="18" customWidth="1"/>
    <col min="16" max="17" width="22.26953125" style="18" customWidth="1"/>
    <col min="18" max="19" width="25" style="18" customWidth="1"/>
    <col min="20" max="20" width="22.54296875" style="18" customWidth="1"/>
    <col min="21" max="22" width="23.81640625" style="18" customWidth="1"/>
    <col min="23" max="23" width="26.453125" customWidth="1"/>
    <col min="24" max="24" width="37.81640625" customWidth="1"/>
    <col min="25" max="25" width="21.26953125" customWidth="1"/>
    <col min="26" max="27" width="27" customWidth="1"/>
    <col min="28" max="29" width="30.1796875" customWidth="1"/>
    <col min="30" max="30" width="25.1796875" customWidth="1"/>
    <col min="31" max="31" width="28.81640625" customWidth="1"/>
    <col min="32" max="32" width="28.54296875" customWidth="1"/>
    <col min="33" max="33" width="25.1796875" customWidth="1"/>
    <col min="34" max="35" width="30" customWidth="1"/>
    <col min="36" max="36" width="32" customWidth="1"/>
    <col min="37" max="37" width="28.54296875" customWidth="1"/>
  </cols>
  <sheetData>
    <row r="1" spans="1:83" ht="51" customHeight="1">
      <c r="B1" s="28" t="s">
        <v>869</v>
      </c>
      <c r="C1" s="29"/>
      <c r="D1" s="29"/>
      <c r="E1" s="29"/>
      <c r="F1" s="29"/>
      <c r="G1" s="29"/>
      <c r="H1" s="29"/>
      <c r="I1" s="29"/>
      <c r="J1" s="29"/>
      <c r="K1" s="29"/>
      <c r="L1" s="29"/>
      <c r="M1" s="29"/>
      <c r="N1" s="29"/>
      <c r="O1" s="29"/>
      <c r="P1" s="29"/>
      <c r="Q1" s="29"/>
      <c r="R1" s="29"/>
      <c r="S1" s="29"/>
      <c r="T1" s="29"/>
      <c r="U1" s="29"/>
      <c r="V1" s="29"/>
      <c r="W1" s="29"/>
      <c r="X1" s="29"/>
      <c r="Y1" s="29"/>
      <c r="Z1" s="29"/>
      <c r="AA1" s="29"/>
      <c r="AB1" s="29"/>
      <c r="AC1" s="29"/>
      <c r="AD1" s="29"/>
      <c r="AE1" s="29"/>
      <c r="AF1" s="29"/>
      <c r="AG1" s="29"/>
      <c r="AH1" s="29"/>
      <c r="AI1" s="29"/>
      <c r="AJ1" s="29"/>
      <c r="AK1" s="29"/>
    </row>
    <row r="2" spans="1:83" ht="24.75" customHeight="1" thickBot="1">
      <c r="B2"/>
      <c r="C2"/>
      <c r="E2"/>
      <c r="H2"/>
      <c r="I2"/>
      <c r="J2"/>
      <c r="K2"/>
      <c r="L2"/>
      <c r="O2"/>
      <c r="P2"/>
      <c r="Q2"/>
      <c r="R2"/>
      <c r="S2"/>
      <c r="T2"/>
      <c r="U2"/>
      <c r="V2"/>
    </row>
    <row r="3" spans="1:83" ht="24.75" customHeight="1" thickBot="1">
      <c r="B3" s="515" t="s">
        <v>868</v>
      </c>
      <c r="C3" s="514">
        <v>5</v>
      </c>
      <c r="E3"/>
      <c r="H3"/>
      <c r="I3"/>
      <c r="J3"/>
      <c r="K3"/>
      <c r="L3"/>
      <c r="O3"/>
      <c r="P3"/>
      <c r="Q3"/>
      <c r="R3"/>
      <c r="S3"/>
      <c r="T3"/>
      <c r="U3"/>
      <c r="V3"/>
    </row>
    <row r="4" spans="1:83" ht="24.75" customHeight="1" thickBot="1">
      <c r="B4" s="513"/>
      <c r="C4" s="512"/>
      <c r="D4" s="512"/>
      <c r="E4" s="512"/>
      <c r="F4" s="512"/>
      <c r="G4" s="512"/>
      <c r="H4" s="512"/>
      <c r="I4" s="512"/>
      <c r="J4" s="512"/>
      <c r="K4" s="512"/>
      <c r="L4" s="512"/>
      <c r="M4" s="512"/>
      <c r="N4" s="512"/>
      <c r="O4" s="512"/>
      <c r="P4" s="512"/>
      <c r="Q4" s="512"/>
      <c r="R4" s="512"/>
      <c r="S4" s="512"/>
      <c r="T4" s="512"/>
      <c r="U4" s="512"/>
      <c r="V4" s="512"/>
      <c r="W4" s="512"/>
      <c r="X4" s="512"/>
    </row>
    <row r="5" spans="1:83" ht="16" thickBot="1">
      <c r="B5" s="511"/>
      <c r="C5" s="510"/>
      <c r="D5" s="510"/>
      <c r="E5" s="510"/>
      <c r="F5" s="510"/>
      <c r="G5" s="510"/>
      <c r="H5" s="510"/>
      <c r="I5" s="510"/>
      <c r="J5" s="510"/>
      <c r="K5" s="510"/>
      <c r="L5" s="510"/>
      <c r="M5" s="510"/>
      <c r="N5" s="510"/>
      <c r="O5" s="510"/>
      <c r="P5" s="510"/>
      <c r="Q5" s="510"/>
      <c r="R5" s="510"/>
      <c r="S5" s="510"/>
      <c r="T5" s="510"/>
      <c r="U5" s="510"/>
      <c r="V5" s="510"/>
      <c r="W5" s="510"/>
      <c r="X5" s="510"/>
      <c r="Y5" s="509"/>
      <c r="Z5" s="1246" t="s">
        <v>867</v>
      </c>
      <c r="AA5" s="1246"/>
      <c r="AB5" s="1246"/>
      <c r="AC5" s="1246"/>
      <c r="AD5" s="1246"/>
      <c r="AE5" s="1246"/>
      <c r="AF5" s="1246"/>
      <c r="AG5" s="1246"/>
      <c r="AH5" s="1246"/>
      <c r="AI5" s="1246"/>
      <c r="AJ5" s="1246"/>
      <c r="AK5" s="1246"/>
      <c r="AL5" s="508"/>
    </row>
    <row r="6" spans="1:83">
      <c r="B6" s="506"/>
      <c r="C6" s="505"/>
      <c r="D6" s="505"/>
      <c r="E6" s="505"/>
      <c r="F6" s="505"/>
      <c r="G6" s="505"/>
      <c r="H6" s="505"/>
      <c r="I6" s="505"/>
      <c r="J6" s="505"/>
      <c r="K6" s="505"/>
      <c r="L6" s="505"/>
      <c r="M6" s="505"/>
      <c r="N6" s="505"/>
      <c r="O6" s="505"/>
      <c r="P6" s="505"/>
      <c r="Q6" s="505"/>
      <c r="R6" s="505"/>
      <c r="S6" s="505"/>
      <c r="T6" s="505"/>
      <c r="U6" s="505"/>
      <c r="V6" s="505"/>
      <c r="W6" s="505"/>
      <c r="X6" s="505"/>
      <c r="Y6" s="504"/>
      <c r="Z6" s="1249" t="s">
        <v>866</v>
      </c>
      <c r="AA6" s="1249"/>
      <c r="AB6" s="1249"/>
      <c r="AC6" s="1249"/>
      <c r="AD6" s="507" t="s">
        <v>180</v>
      </c>
      <c r="AE6" s="1253" t="s">
        <v>865</v>
      </c>
      <c r="AF6" s="1254"/>
      <c r="AG6" s="1254"/>
      <c r="AH6" s="1254"/>
      <c r="AI6" s="1255"/>
      <c r="AJ6" s="1250"/>
      <c r="AK6" s="1250"/>
      <c r="AL6" s="1241"/>
    </row>
    <row r="7" spans="1:83">
      <c r="B7" s="506"/>
      <c r="C7" s="505"/>
      <c r="D7" s="505"/>
      <c r="E7" s="505"/>
      <c r="F7" s="505"/>
      <c r="G7" s="505"/>
      <c r="H7" s="505"/>
      <c r="I7" s="505"/>
      <c r="J7" s="505"/>
      <c r="K7" s="505"/>
      <c r="L7" s="505"/>
      <c r="M7" s="505"/>
      <c r="N7" s="505"/>
      <c r="O7" s="505"/>
      <c r="P7" s="505"/>
      <c r="Q7" s="505"/>
      <c r="R7" s="505"/>
      <c r="S7" s="505"/>
      <c r="T7" s="505"/>
      <c r="U7" s="505"/>
      <c r="V7" s="505"/>
      <c r="W7" s="505"/>
      <c r="X7" s="505"/>
      <c r="Y7" s="504"/>
      <c r="Z7" s="503"/>
      <c r="AA7" s="503"/>
      <c r="AB7" s="503"/>
      <c r="AC7" s="503"/>
      <c r="AD7" s="502"/>
      <c r="AE7" s="1256"/>
      <c r="AF7" s="1257"/>
      <c r="AG7" s="1257"/>
      <c r="AH7" s="1257"/>
      <c r="AI7" s="1258"/>
      <c r="AJ7" s="1251"/>
      <c r="AK7" s="1251"/>
      <c r="AL7" s="1242"/>
    </row>
    <row r="8" spans="1:83" ht="15" thickBot="1">
      <c r="B8" s="501"/>
      <c r="C8" s="500"/>
      <c r="D8" s="500"/>
      <c r="E8" s="500"/>
      <c r="F8" s="500"/>
      <c r="G8" s="500"/>
      <c r="H8" s="500"/>
      <c r="I8" s="500"/>
      <c r="J8" s="500"/>
      <c r="K8" s="500"/>
      <c r="L8" s="500"/>
      <c r="M8" s="500"/>
      <c r="N8" s="500"/>
      <c r="O8" s="500"/>
      <c r="P8" s="500"/>
      <c r="Q8" s="500"/>
      <c r="R8" s="500"/>
      <c r="S8" s="500"/>
      <c r="T8" s="500"/>
      <c r="U8" s="500"/>
      <c r="V8" s="500"/>
      <c r="W8" s="500"/>
      <c r="X8" s="500"/>
      <c r="Y8" s="499"/>
      <c r="Z8" s="498" t="s">
        <v>754</v>
      </c>
      <c r="AA8" s="498" t="s">
        <v>753</v>
      </c>
      <c r="AB8" s="498" t="s">
        <v>752</v>
      </c>
      <c r="AC8" s="498" t="s">
        <v>864</v>
      </c>
      <c r="AD8" s="497" t="s">
        <v>863</v>
      </c>
      <c r="AE8" s="1259"/>
      <c r="AF8" s="1260"/>
      <c r="AG8" s="1260"/>
      <c r="AH8" s="1260"/>
      <c r="AI8" s="1261"/>
      <c r="AJ8" s="1252"/>
      <c r="AK8" s="1252"/>
      <c r="AL8" s="1243"/>
    </row>
    <row r="9" spans="1:83" s="223" customFormat="1" ht="40.5" customHeight="1">
      <c r="A9" s="496"/>
      <c r="B9" s="495" t="s">
        <v>862</v>
      </c>
      <c r="C9" s="494" t="s">
        <v>861</v>
      </c>
      <c r="D9" s="493" t="s">
        <v>860</v>
      </c>
      <c r="E9" s="492" t="s">
        <v>859</v>
      </c>
      <c r="F9" s="491" t="s">
        <v>858</v>
      </c>
      <c r="G9" s="490" t="s">
        <v>857</v>
      </c>
      <c r="H9" s="490" t="s">
        <v>856</v>
      </c>
      <c r="I9" s="490" t="s">
        <v>855</v>
      </c>
      <c r="J9" s="490" t="s">
        <v>854</v>
      </c>
      <c r="K9" s="490" t="s">
        <v>853</v>
      </c>
      <c r="L9" s="489" t="s">
        <v>852</v>
      </c>
      <c r="M9" s="488" t="s">
        <v>851</v>
      </c>
      <c r="N9" s="488" t="s">
        <v>850</v>
      </c>
      <c r="O9" s="487" t="s">
        <v>849</v>
      </c>
      <c r="P9" s="486" t="s">
        <v>848</v>
      </c>
      <c r="Q9" s="485" t="s">
        <v>847</v>
      </c>
      <c r="R9" s="485" t="s">
        <v>846</v>
      </c>
      <c r="S9" s="485" t="s">
        <v>845</v>
      </c>
      <c r="T9" s="485" t="s">
        <v>844</v>
      </c>
      <c r="U9" s="484" t="s">
        <v>843</v>
      </c>
      <c r="V9" s="484" t="s">
        <v>842</v>
      </c>
      <c r="W9" s="484" t="s">
        <v>841</v>
      </c>
      <c r="X9" s="484" t="s">
        <v>840</v>
      </c>
      <c r="Y9" s="484" t="s">
        <v>839</v>
      </c>
      <c r="Z9" s="483" t="s">
        <v>838</v>
      </c>
      <c r="AA9" s="483" t="s">
        <v>837</v>
      </c>
      <c r="AB9" s="483" t="s">
        <v>836</v>
      </c>
      <c r="AC9" s="483" t="s">
        <v>835</v>
      </c>
      <c r="AD9" s="483" t="s">
        <v>834</v>
      </c>
      <c r="AE9" s="482" t="s">
        <v>833</v>
      </c>
      <c r="AF9" s="481" t="s">
        <v>832</v>
      </c>
      <c r="AG9" s="481" t="s">
        <v>831</v>
      </c>
      <c r="AH9" s="481" t="s">
        <v>830</v>
      </c>
      <c r="AI9" s="480" t="s">
        <v>829</v>
      </c>
      <c r="AJ9" s="479" t="s">
        <v>828</v>
      </c>
      <c r="AK9" s="479" t="s">
        <v>827</v>
      </c>
      <c r="AL9" s="478" t="s">
        <v>16</v>
      </c>
    </row>
    <row r="10" spans="1:83">
      <c r="B10" s="449" t="s">
        <v>150</v>
      </c>
      <c r="C10" s="448" t="s">
        <v>150</v>
      </c>
      <c r="D10" s="477" t="s">
        <v>825</v>
      </c>
      <c r="E10" s="446" t="s">
        <v>826</v>
      </c>
      <c r="F10" s="445" t="s">
        <v>151</v>
      </c>
      <c r="G10" s="444" t="s">
        <v>152</v>
      </c>
      <c r="H10" s="444" t="s">
        <v>153</v>
      </c>
      <c r="I10" s="442" t="s">
        <v>243</v>
      </c>
      <c r="J10" s="443" t="s">
        <v>714</v>
      </c>
      <c r="K10" s="442" t="s">
        <v>759</v>
      </c>
      <c r="L10" s="441">
        <v>5</v>
      </c>
      <c r="M10" s="452">
        <v>5</v>
      </c>
      <c r="N10" s="451">
        <v>5</v>
      </c>
      <c r="O10" s="438">
        <v>5</v>
      </c>
      <c r="P10" s="437" t="s">
        <v>824</v>
      </c>
      <c r="Q10" s="436"/>
      <c r="R10" s="436" t="s">
        <v>761</v>
      </c>
      <c r="S10" s="436" t="s">
        <v>151</v>
      </c>
      <c r="T10" s="435">
        <v>2000</v>
      </c>
      <c r="U10" s="437" t="s">
        <v>823</v>
      </c>
      <c r="V10" s="436"/>
      <c r="W10" s="436" t="s">
        <v>761</v>
      </c>
      <c r="X10" s="436" t="s">
        <v>151</v>
      </c>
      <c r="Y10" s="435">
        <v>2001</v>
      </c>
      <c r="Z10" s="434" t="s">
        <v>750</v>
      </c>
      <c r="AA10" s="433" t="s">
        <v>750</v>
      </c>
      <c r="AB10" s="433" t="s">
        <v>750</v>
      </c>
      <c r="AC10" s="433" t="s">
        <v>750</v>
      </c>
      <c r="AD10" s="433" t="s">
        <v>755</v>
      </c>
      <c r="AE10" s="434" t="s">
        <v>754</v>
      </c>
      <c r="AF10" s="433" t="s">
        <v>753</v>
      </c>
      <c r="AG10" s="433" t="s">
        <v>752</v>
      </c>
      <c r="AH10" s="433" t="s">
        <v>751</v>
      </c>
      <c r="AI10" s="433"/>
      <c r="AJ10" s="432" t="s">
        <v>755</v>
      </c>
      <c r="AK10" s="431" t="s">
        <v>750</v>
      </c>
      <c r="AL10" s="450" t="str">
        <f t="shared" ref="AL10:AL24" si="0">B10</f>
        <v>Ausgrid</v>
      </c>
    </row>
    <row r="11" spans="1:83">
      <c r="B11" s="449" t="s">
        <v>157</v>
      </c>
      <c r="C11" s="448" t="s">
        <v>822</v>
      </c>
      <c r="D11" s="447">
        <v>91064651118</v>
      </c>
      <c r="E11" s="446" t="s">
        <v>821</v>
      </c>
      <c r="F11" s="445" t="s">
        <v>149</v>
      </c>
      <c r="G11" s="444" t="s">
        <v>152</v>
      </c>
      <c r="H11" s="444" t="s">
        <v>153</v>
      </c>
      <c r="I11" s="442" t="s">
        <v>243</v>
      </c>
      <c r="J11" s="443" t="s">
        <v>714</v>
      </c>
      <c r="K11" s="442" t="s">
        <v>759</v>
      </c>
      <c r="L11" s="441">
        <v>5</v>
      </c>
      <c r="M11" s="452">
        <v>5</v>
      </c>
      <c r="N11" s="451">
        <v>5</v>
      </c>
      <c r="O11" s="438">
        <v>2</v>
      </c>
      <c r="P11" s="437" t="s">
        <v>820</v>
      </c>
      <c r="Q11" s="436" t="s">
        <v>819</v>
      </c>
      <c r="R11" s="436" t="s">
        <v>818</v>
      </c>
      <c r="S11" s="436" t="s">
        <v>149</v>
      </c>
      <c r="T11" s="435">
        <v>3006</v>
      </c>
      <c r="U11" s="476" t="s">
        <v>817</v>
      </c>
      <c r="V11" s="436"/>
      <c r="W11" s="436" t="s">
        <v>816</v>
      </c>
      <c r="X11" s="436" t="s">
        <v>149</v>
      </c>
      <c r="Y11" s="435">
        <v>8001</v>
      </c>
      <c r="Z11" s="434" t="s">
        <v>755</v>
      </c>
      <c r="AA11" s="433" t="s">
        <v>750</v>
      </c>
      <c r="AB11" s="433" t="s">
        <v>750</v>
      </c>
      <c r="AC11" s="433" t="s">
        <v>750</v>
      </c>
      <c r="AD11" s="433" t="s">
        <v>755</v>
      </c>
      <c r="AE11" s="434" t="s">
        <v>754</v>
      </c>
      <c r="AF11" s="433" t="s">
        <v>753</v>
      </c>
      <c r="AG11" s="433" t="s">
        <v>752</v>
      </c>
      <c r="AH11" s="433" t="s">
        <v>751</v>
      </c>
      <c r="AI11" s="433"/>
      <c r="AJ11" s="432" t="s">
        <v>750</v>
      </c>
      <c r="AK11" s="431" t="s">
        <v>750</v>
      </c>
      <c r="AL11" s="450" t="str">
        <f t="shared" si="0"/>
        <v>AusNet (D)</v>
      </c>
    </row>
    <row r="12" spans="1:83" ht="15" customHeight="1">
      <c r="B12" s="465" t="s">
        <v>0</v>
      </c>
      <c r="C12" s="464" t="s">
        <v>0</v>
      </c>
      <c r="D12" s="463">
        <v>11222333444</v>
      </c>
      <c r="E12" s="462" t="s">
        <v>815</v>
      </c>
      <c r="F12" s="475" t="s">
        <v>151</v>
      </c>
      <c r="G12" s="474" t="s">
        <v>152</v>
      </c>
      <c r="H12" s="474" t="s">
        <v>153</v>
      </c>
      <c r="I12" s="461" t="s">
        <v>243</v>
      </c>
      <c r="J12" s="473" t="s">
        <v>714</v>
      </c>
      <c r="K12" s="461" t="s">
        <v>759</v>
      </c>
      <c r="L12" s="472">
        <v>5</v>
      </c>
      <c r="M12" s="471">
        <v>5</v>
      </c>
      <c r="N12" s="470">
        <v>5</v>
      </c>
      <c r="O12" s="469">
        <v>2</v>
      </c>
      <c r="P12" s="468" t="s">
        <v>814</v>
      </c>
      <c r="Q12" s="467"/>
      <c r="R12" s="467" t="s">
        <v>761</v>
      </c>
      <c r="S12" s="467" t="s">
        <v>151</v>
      </c>
      <c r="T12" s="466">
        <v>2000</v>
      </c>
      <c r="U12" s="468" t="s">
        <v>813</v>
      </c>
      <c r="V12" s="467"/>
      <c r="W12" s="467" t="s">
        <v>761</v>
      </c>
      <c r="X12" s="467" t="s">
        <v>151</v>
      </c>
      <c r="Y12" s="466">
        <v>2000</v>
      </c>
      <c r="Z12" s="454" t="s">
        <v>750</v>
      </c>
      <c r="AA12" s="453" t="s">
        <v>750</v>
      </c>
      <c r="AB12" s="453" t="s">
        <v>750</v>
      </c>
      <c r="AC12" s="453" t="s">
        <v>750</v>
      </c>
      <c r="AD12" s="453" t="s">
        <v>755</v>
      </c>
      <c r="AE12" s="434" t="s">
        <v>754</v>
      </c>
      <c r="AF12" s="433" t="s">
        <v>753</v>
      </c>
      <c r="AG12" s="433" t="s">
        <v>752</v>
      </c>
      <c r="AH12" s="433" t="s">
        <v>751</v>
      </c>
      <c r="AI12" s="433"/>
      <c r="AJ12" s="432" t="s">
        <v>755</v>
      </c>
      <c r="AK12" s="431" t="s">
        <v>750</v>
      </c>
      <c r="AL12" s="460" t="str">
        <f t="shared" si="0"/>
        <v>Australian Distribution Co.</v>
      </c>
    </row>
    <row r="13" spans="1:83">
      <c r="B13" s="449" t="s">
        <v>160</v>
      </c>
      <c r="C13" s="448" t="s">
        <v>160</v>
      </c>
      <c r="D13" s="447">
        <v>76064651056</v>
      </c>
      <c r="E13" s="446" t="s">
        <v>812</v>
      </c>
      <c r="F13" s="445" t="s">
        <v>149</v>
      </c>
      <c r="G13" s="444" t="s">
        <v>152</v>
      </c>
      <c r="H13" s="444" t="s">
        <v>153</v>
      </c>
      <c r="I13" s="442" t="s">
        <v>243</v>
      </c>
      <c r="J13" s="443" t="s">
        <v>714</v>
      </c>
      <c r="K13" s="442" t="s">
        <v>759</v>
      </c>
      <c r="L13" s="441">
        <v>5</v>
      </c>
      <c r="M13" s="452">
        <v>5</v>
      </c>
      <c r="N13" s="451">
        <v>5</v>
      </c>
      <c r="O13" s="438">
        <v>2</v>
      </c>
      <c r="P13" s="437" t="s">
        <v>780</v>
      </c>
      <c r="Q13" s="436"/>
      <c r="R13" s="436" t="s">
        <v>778</v>
      </c>
      <c r="S13" s="436" t="s">
        <v>149</v>
      </c>
      <c r="T13" s="435">
        <v>3000</v>
      </c>
      <c r="U13" s="437" t="s">
        <v>811</v>
      </c>
      <c r="V13" s="436"/>
      <c r="W13" s="436" t="s">
        <v>778</v>
      </c>
      <c r="X13" s="436" t="s">
        <v>149</v>
      </c>
      <c r="Y13" s="455">
        <v>8001</v>
      </c>
      <c r="Z13" s="434" t="s">
        <v>750</v>
      </c>
      <c r="AA13" s="433" t="s">
        <v>750</v>
      </c>
      <c r="AB13" s="433" t="s">
        <v>755</v>
      </c>
      <c r="AC13" s="433" t="s">
        <v>755</v>
      </c>
      <c r="AD13" s="433" t="s">
        <v>755</v>
      </c>
      <c r="AE13" s="434" t="s">
        <v>754</v>
      </c>
      <c r="AF13" s="433" t="s">
        <v>753</v>
      </c>
      <c r="AG13" s="433" t="s">
        <v>752</v>
      </c>
      <c r="AH13" s="433" t="s">
        <v>751</v>
      </c>
      <c r="AI13" s="433"/>
      <c r="AJ13" s="432" t="s">
        <v>750</v>
      </c>
      <c r="AK13" s="431" t="s">
        <v>750</v>
      </c>
      <c r="AL13" s="450" t="str">
        <f t="shared" si="0"/>
        <v>CitiPower</v>
      </c>
    </row>
    <row r="14" spans="1:83">
      <c r="B14" s="449" t="s">
        <v>165</v>
      </c>
      <c r="C14" s="448" t="s">
        <v>165</v>
      </c>
      <c r="D14" s="447">
        <v>11247365823</v>
      </c>
      <c r="E14" s="446" t="s">
        <v>810</v>
      </c>
      <c r="F14" s="445" t="s">
        <v>151</v>
      </c>
      <c r="G14" s="444" t="s">
        <v>152</v>
      </c>
      <c r="H14" s="444" t="s">
        <v>153</v>
      </c>
      <c r="I14" s="442" t="s">
        <v>243</v>
      </c>
      <c r="J14" s="443" t="s">
        <v>714</v>
      </c>
      <c r="K14" s="442" t="s">
        <v>759</v>
      </c>
      <c r="L14" s="441">
        <v>5</v>
      </c>
      <c r="M14" s="452">
        <v>5</v>
      </c>
      <c r="N14" s="451">
        <v>5</v>
      </c>
      <c r="O14" s="438">
        <v>5</v>
      </c>
      <c r="P14" s="437" t="s">
        <v>809</v>
      </c>
      <c r="Q14" s="436"/>
      <c r="R14" s="436" t="s">
        <v>808</v>
      </c>
      <c r="S14" s="436" t="s">
        <v>151</v>
      </c>
      <c r="T14" s="435">
        <v>2148</v>
      </c>
      <c r="U14" s="437" t="s">
        <v>807</v>
      </c>
      <c r="V14" s="436"/>
      <c r="W14" s="436" t="s">
        <v>806</v>
      </c>
      <c r="X14" s="436" t="s">
        <v>151</v>
      </c>
      <c r="Y14" s="455">
        <v>1730</v>
      </c>
      <c r="Z14" s="434" t="s">
        <v>755</v>
      </c>
      <c r="AA14" s="433" t="s">
        <v>750</v>
      </c>
      <c r="AB14" s="433" t="s">
        <v>750</v>
      </c>
      <c r="AC14" s="433" t="s">
        <v>750</v>
      </c>
      <c r="AD14" s="433" t="s">
        <v>755</v>
      </c>
      <c r="AE14" s="434" t="s">
        <v>754</v>
      </c>
      <c r="AF14" s="433" t="s">
        <v>753</v>
      </c>
      <c r="AG14" s="433" t="s">
        <v>752</v>
      </c>
      <c r="AH14" s="433" t="s">
        <v>751</v>
      </c>
      <c r="AI14" s="433"/>
      <c r="AJ14" s="432" t="s">
        <v>755</v>
      </c>
      <c r="AK14" s="431" t="s">
        <v>750</v>
      </c>
      <c r="AL14" s="450" t="str">
        <f t="shared" si="0"/>
        <v>Endeavour Energy</v>
      </c>
      <c r="AM14" s="95"/>
      <c r="AN14" s="95"/>
      <c r="AO14" s="95"/>
      <c r="AP14" s="95"/>
      <c r="AQ14" s="95"/>
      <c r="AR14" s="95"/>
      <c r="AS14" s="95"/>
      <c r="AT14" s="95"/>
      <c r="AU14" s="95"/>
      <c r="AV14" s="95"/>
      <c r="AW14" s="95"/>
      <c r="AX14" s="95"/>
      <c r="AY14" s="95"/>
      <c r="AZ14" s="95"/>
      <c r="BJ14" s="1244"/>
      <c r="BK14" s="1245"/>
      <c r="BL14" s="1245"/>
      <c r="BM14" s="1245"/>
      <c r="BN14" s="1245"/>
      <c r="BO14" s="1245"/>
      <c r="BP14" s="1245"/>
      <c r="BQ14" s="1245"/>
      <c r="BR14" s="1245"/>
      <c r="BS14" s="1245"/>
      <c r="BT14" s="1245"/>
      <c r="BU14" s="1245"/>
      <c r="BV14" s="1245"/>
      <c r="BW14" s="1245"/>
      <c r="BX14" s="1245"/>
      <c r="BY14" s="1245"/>
      <c r="BZ14" s="1245"/>
      <c r="CA14" s="1245"/>
      <c r="CB14" s="1245"/>
      <c r="CC14" s="1245"/>
      <c r="CD14" s="1245"/>
      <c r="CE14" s="1245"/>
    </row>
    <row r="15" spans="1:83">
      <c r="B15" s="449" t="s">
        <v>166</v>
      </c>
      <c r="C15" s="448" t="s">
        <v>166</v>
      </c>
      <c r="D15" s="447">
        <v>40078849055</v>
      </c>
      <c r="E15" s="446" t="s">
        <v>805</v>
      </c>
      <c r="F15" s="445" t="s">
        <v>162</v>
      </c>
      <c r="G15" s="444" t="s">
        <v>152</v>
      </c>
      <c r="H15" s="444" t="s">
        <v>153</v>
      </c>
      <c r="I15" s="444" t="s">
        <v>243</v>
      </c>
      <c r="J15" s="459" t="s">
        <v>714</v>
      </c>
      <c r="K15" s="444" t="s">
        <v>759</v>
      </c>
      <c r="L15" s="441">
        <v>5</v>
      </c>
      <c r="M15" s="452">
        <v>5</v>
      </c>
      <c r="N15" s="451">
        <v>5</v>
      </c>
      <c r="O15" s="438">
        <v>5</v>
      </c>
      <c r="P15" s="437" t="s">
        <v>804</v>
      </c>
      <c r="Q15" s="436"/>
      <c r="R15" s="436" t="s">
        <v>803</v>
      </c>
      <c r="S15" s="436" t="s">
        <v>162</v>
      </c>
      <c r="T15" s="435">
        <v>4006</v>
      </c>
      <c r="U15" s="437" t="s">
        <v>804</v>
      </c>
      <c r="V15" s="436"/>
      <c r="W15" s="436" t="s">
        <v>803</v>
      </c>
      <c r="X15" s="436" t="s">
        <v>777</v>
      </c>
      <c r="Y15" s="455">
        <v>4006</v>
      </c>
      <c r="Z15" s="434" t="s">
        <v>750</v>
      </c>
      <c r="AA15" s="433" t="s">
        <v>750</v>
      </c>
      <c r="AB15" s="433" t="s">
        <v>750</v>
      </c>
      <c r="AC15" s="433" t="s">
        <v>755</v>
      </c>
      <c r="AD15" s="433" t="s">
        <v>755</v>
      </c>
      <c r="AE15" s="434" t="s">
        <v>754</v>
      </c>
      <c r="AF15" s="433" t="s">
        <v>753</v>
      </c>
      <c r="AG15" s="433" t="s">
        <v>752</v>
      </c>
      <c r="AH15" s="433" t="s">
        <v>751</v>
      </c>
      <c r="AI15" s="433"/>
      <c r="AJ15" s="432" t="s">
        <v>755</v>
      </c>
      <c r="AK15" s="431" t="s">
        <v>750</v>
      </c>
      <c r="AL15" s="450" t="str">
        <f t="shared" si="0"/>
        <v>Energex</v>
      </c>
    </row>
    <row r="16" spans="1:83">
      <c r="B16" s="449" t="s">
        <v>167</v>
      </c>
      <c r="C16" s="448" t="s">
        <v>167</v>
      </c>
      <c r="D16" s="447">
        <v>50087646062</v>
      </c>
      <c r="E16" s="446" t="s">
        <v>802</v>
      </c>
      <c r="F16" s="445" t="s">
        <v>162</v>
      </c>
      <c r="G16" s="444" t="s">
        <v>152</v>
      </c>
      <c r="H16" s="444" t="s">
        <v>153</v>
      </c>
      <c r="I16" s="444" t="s">
        <v>243</v>
      </c>
      <c r="J16" s="459" t="s">
        <v>714</v>
      </c>
      <c r="K16" s="444" t="s">
        <v>759</v>
      </c>
      <c r="L16" s="441">
        <v>5</v>
      </c>
      <c r="M16" s="452">
        <v>5</v>
      </c>
      <c r="N16" s="451">
        <v>5</v>
      </c>
      <c r="O16" s="438">
        <v>5</v>
      </c>
      <c r="P16" s="437" t="s">
        <v>801</v>
      </c>
      <c r="Q16" s="436"/>
      <c r="R16" s="436" t="s">
        <v>800</v>
      </c>
      <c r="S16" s="436" t="s">
        <v>162</v>
      </c>
      <c r="T16" s="435">
        <v>4810</v>
      </c>
      <c r="U16" s="437" t="s">
        <v>799</v>
      </c>
      <c r="V16" s="436"/>
      <c r="W16" s="436" t="s">
        <v>798</v>
      </c>
      <c r="X16" s="436" t="s">
        <v>777</v>
      </c>
      <c r="Y16" s="455">
        <v>4006</v>
      </c>
      <c r="Z16" s="434" t="s">
        <v>755</v>
      </c>
      <c r="AA16" s="433" t="s">
        <v>750</v>
      </c>
      <c r="AB16" s="433" t="s">
        <v>750</v>
      </c>
      <c r="AC16" s="433" t="s">
        <v>750</v>
      </c>
      <c r="AD16" s="433" t="s">
        <v>755</v>
      </c>
      <c r="AE16" s="434" t="s">
        <v>754</v>
      </c>
      <c r="AF16" s="433" t="s">
        <v>753</v>
      </c>
      <c r="AG16" s="433" t="s">
        <v>752</v>
      </c>
      <c r="AH16" s="433" t="s">
        <v>751</v>
      </c>
      <c r="AI16" s="433"/>
      <c r="AJ16" s="432" t="s">
        <v>755</v>
      </c>
      <c r="AK16" s="431" t="s">
        <v>750</v>
      </c>
      <c r="AL16" s="450" t="str">
        <f t="shared" si="0"/>
        <v>Ergon Energy</v>
      </c>
    </row>
    <row r="17" spans="2:38">
      <c r="B17" s="449" t="s">
        <v>168</v>
      </c>
      <c r="C17" s="448" t="s">
        <v>168</v>
      </c>
      <c r="D17" s="447">
        <v>37428185226</v>
      </c>
      <c r="E17" s="446" t="s">
        <v>797</v>
      </c>
      <c r="F17" s="445" t="s">
        <v>151</v>
      </c>
      <c r="G17" s="444" t="s">
        <v>152</v>
      </c>
      <c r="H17" s="444" t="s">
        <v>153</v>
      </c>
      <c r="I17" s="444" t="s">
        <v>243</v>
      </c>
      <c r="J17" s="459" t="s">
        <v>714</v>
      </c>
      <c r="K17" s="444" t="s">
        <v>759</v>
      </c>
      <c r="L17" s="441">
        <v>5</v>
      </c>
      <c r="M17" s="452">
        <v>5</v>
      </c>
      <c r="N17" s="451">
        <v>5</v>
      </c>
      <c r="O17" s="438">
        <v>5</v>
      </c>
      <c r="P17" s="437" t="s">
        <v>796</v>
      </c>
      <c r="Q17" s="436"/>
      <c r="R17" s="436" t="s">
        <v>794</v>
      </c>
      <c r="S17" s="436" t="s">
        <v>151</v>
      </c>
      <c r="T17" s="435">
        <v>2444</v>
      </c>
      <c r="U17" s="437" t="s">
        <v>795</v>
      </c>
      <c r="V17" s="436"/>
      <c r="W17" s="436" t="s">
        <v>794</v>
      </c>
      <c r="X17" s="436" t="s">
        <v>151</v>
      </c>
      <c r="Y17" s="455">
        <v>2444</v>
      </c>
      <c r="Z17" s="434" t="s">
        <v>755</v>
      </c>
      <c r="AA17" s="433" t="s">
        <v>750</v>
      </c>
      <c r="AB17" s="433" t="s">
        <v>750</v>
      </c>
      <c r="AC17" s="433" t="s">
        <v>750</v>
      </c>
      <c r="AD17" s="433" t="s">
        <v>755</v>
      </c>
      <c r="AE17" s="434" t="s">
        <v>754</v>
      </c>
      <c r="AF17" s="433" t="s">
        <v>753</v>
      </c>
      <c r="AG17" s="433" t="s">
        <v>752</v>
      </c>
      <c r="AH17" s="433" t="s">
        <v>751</v>
      </c>
      <c r="AI17" s="433"/>
      <c r="AJ17" s="432" t="s">
        <v>755</v>
      </c>
      <c r="AK17" s="431" t="s">
        <v>750</v>
      </c>
      <c r="AL17" s="450" t="str">
        <f t="shared" si="0"/>
        <v>Essential Energy</v>
      </c>
    </row>
    <row r="18" spans="2:38">
      <c r="B18" s="449" t="s">
        <v>169</v>
      </c>
      <c r="C18" s="448" t="s">
        <v>169</v>
      </c>
      <c r="D18" s="447">
        <v>76670568688</v>
      </c>
      <c r="E18" s="446" t="s">
        <v>793</v>
      </c>
      <c r="F18" s="445" t="s">
        <v>170</v>
      </c>
      <c r="G18" s="444" t="s">
        <v>152</v>
      </c>
      <c r="H18" s="444" t="s">
        <v>153</v>
      </c>
      <c r="I18" s="442" t="s">
        <v>243</v>
      </c>
      <c r="J18" s="443" t="s">
        <v>714</v>
      </c>
      <c r="K18" s="442" t="s">
        <v>759</v>
      </c>
      <c r="L18" s="441">
        <v>5</v>
      </c>
      <c r="M18" s="440">
        <v>5</v>
      </c>
      <c r="N18" s="439">
        <v>5</v>
      </c>
      <c r="O18" s="438">
        <v>5</v>
      </c>
      <c r="P18" s="458" t="s">
        <v>792</v>
      </c>
      <c r="Q18" s="436"/>
      <c r="R18" s="457" t="s">
        <v>790</v>
      </c>
      <c r="S18" s="456" t="s">
        <v>170</v>
      </c>
      <c r="T18" s="435">
        <v>2600</v>
      </c>
      <c r="U18" s="437" t="s">
        <v>791</v>
      </c>
      <c r="V18" s="436"/>
      <c r="W18" s="436" t="s">
        <v>790</v>
      </c>
      <c r="X18" s="436" t="s">
        <v>170</v>
      </c>
      <c r="Y18" s="455">
        <v>2601</v>
      </c>
      <c r="Z18" s="434" t="s">
        <v>755</v>
      </c>
      <c r="AA18" s="433" t="s">
        <v>750</v>
      </c>
      <c r="AB18" s="433" t="s">
        <v>750</v>
      </c>
      <c r="AC18" s="433" t="s">
        <v>755</v>
      </c>
      <c r="AD18" s="433" t="s">
        <v>755</v>
      </c>
      <c r="AE18" s="434" t="s">
        <v>754</v>
      </c>
      <c r="AF18" s="433" t="s">
        <v>753</v>
      </c>
      <c r="AG18" s="433" t="s">
        <v>752</v>
      </c>
      <c r="AH18" s="433" t="s">
        <v>751</v>
      </c>
      <c r="AI18" s="433"/>
      <c r="AJ18" s="432" t="s">
        <v>755</v>
      </c>
      <c r="AK18" s="431" t="s">
        <v>755</v>
      </c>
      <c r="AL18" s="450" t="str">
        <f t="shared" si="0"/>
        <v>Evoenergy Distribution</v>
      </c>
    </row>
    <row r="19" spans="2:38">
      <c r="B19" s="449" t="s">
        <v>172</v>
      </c>
      <c r="C19" s="448" t="s">
        <v>172</v>
      </c>
      <c r="D19" s="447">
        <v>82064651083</v>
      </c>
      <c r="E19" s="446" t="s">
        <v>789</v>
      </c>
      <c r="F19" s="445" t="s">
        <v>149</v>
      </c>
      <c r="G19" s="444" t="s">
        <v>152</v>
      </c>
      <c r="H19" s="444" t="s">
        <v>153</v>
      </c>
      <c r="I19" s="442" t="s">
        <v>243</v>
      </c>
      <c r="J19" s="443" t="s">
        <v>714</v>
      </c>
      <c r="K19" s="442" t="s">
        <v>759</v>
      </c>
      <c r="L19" s="441">
        <v>5</v>
      </c>
      <c r="M19" s="452">
        <v>5</v>
      </c>
      <c r="N19" s="451">
        <v>5</v>
      </c>
      <c r="O19" s="438">
        <v>2</v>
      </c>
      <c r="P19" s="437" t="s">
        <v>788</v>
      </c>
      <c r="Q19" s="436" t="s">
        <v>787</v>
      </c>
      <c r="R19" s="436" t="s">
        <v>778</v>
      </c>
      <c r="S19" s="436" t="s">
        <v>149</v>
      </c>
      <c r="T19" s="435">
        <v>3000</v>
      </c>
      <c r="U19" s="437" t="s">
        <v>786</v>
      </c>
      <c r="V19" s="436"/>
      <c r="W19" s="436" t="s">
        <v>778</v>
      </c>
      <c r="X19" s="436" t="s">
        <v>149</v>
      </c>
      <c r="Y19" s="455">
        <v>8001</v>
      </c>
      <c r="Z19" s="434" t="s">
        <v>755</v>
      </c>
      <c r="AA19" s="433" t="s">
        <v>750</v>
      </c>
      <c r="AB19" s="433" t="s">
        <v>750</v>
      </c>
      <c r="AC19" s="433" t="s">
        <v>755</v>
      </c>
      <c r="AD19" s="433" t="s">
        <v>755</v>
      </c>
      <c r="AE19" s="434" t="s">
        <v>754</v>
      </c>
      <c r="AF19" s="433" t="s">
        <v>753</v>
      </c>
      <c r="AG19" s="433" t="s">
        <v>752</v>
      </c>
      <c r="AH19" s="433" t="s">
        <v>751</v>
      </c>
      <c r="AI19" s="433"/>
      <c r="AJ19" s="432" t="s">
        <v>750</v>
      </c>
      <c r="AK19" s="431" t="s">
        <v>750</v>
      </c>
      <c r="AL19" s="450" t="str">
        <f t="shared" si="0"/>
        <v>Jemena Electricity</v>
      </c>
    </row>
    <row r="20" spans="2:38">
      <c r="B20" s="449" t="s">
        <v>175</v>
      </c>
      <c r="C20" s="448" t="s">
        <v>785</v>
      </c>
      <c r="D20" s="447">
        <v>15947352360</v>
      </c>
      <c r="E20" s="446" t="s">
        <v>784</v>
      </c>
      <c r="F20" s="445" t="s">
        <v>144</v>
      </c>
      <c r="G20" s="444" t="s">
        <v>152</v>
      </c>
      <c r="H20" s="444" t="s">
        <v>153</v>
      </c>
      <c r="I20" s="442" t="s">
        <v>243</v>
      </c>
      <c r="J20" s="443" t="s">
        <v>714</v>
      </c>
      <c r="K20" s="442" t="s">
        <v>759</v>
      </c>
      <c r="L20" s="441">
        <v>5</v>
      </c>
      <c r="M20" s="440">
        <v>5</v>
      </c>
      <c r="N20" s="439">
        <v>5</v>
      </c>
      <c r="O20" s="438" t="s">
        <v>776</v>
      </c>
      <c r="P20" s="437" t="s">
        <v>783</v>
      </c>
      <c r="Q20" s="436"/>
      <c r="R20" s="436" t="s">
        <v>782</v>
      </c>
      <c r="S20" s="436" t="s">
        <v>144</v>
      </c>
      <c r="T20" s="435">
        <v>801</v>
      </c>
      <c r="U20" s="437" t="s">
        <v>783</v>
      </c>
      <c r="V20" s="436"/>
      <c r="W20" s="436" t="s">
        <v>782</v>
      </c>
      <c r="X20" s="436" t="s">
        <v>144</v>
      </c>
      <c r="Y20" s="435">
        <v>801</v>
      </c>
      <c r="Z20" s="434" t="s">
        <v>750</v>
      </c>
      <c r="AA20" s="433" t="s">
        <v>750</v>
      </c>
      <c r="AB20" s="433" t="s">
        <v>750</v>
      </c>
      <c r="AC20" s="433" t="s">
        <v>750</v>
      </c>
      <c r="AD20" s="433" t="s">
        <v>755</v>
      </c>
      <c r="AE20" s="434" t="s">
        <v>754</v>
      </c>
      <c r="AF20" s="433" t="s">
        <v>753</v>
      </c>
      <c r="AG20" s="433" t="s">
        <v>752</v>
      </c>
      <c r="AH20" s="433" t="s">
        <v>751</v>
      </c>
      <c r="AI20" s="433"/>
      <c r="AJ20" s="432" t="s">
        <v>755</v>
      </c>
      <c r="AK20" s="431" t="s">
        <v>755</v>
      </c>
      <c r="AL20" s="450" t="str">
        <f t="shared" si="0"/>
        <v>Power and Water</v>
      </c>
    </row>
    <row r="21" spans="2:38">
      <c r="B21" s="449" t="s">
        <v>176</v>
      </c>
      <c r="C21" s="448" t="s">
        <v>176</v>
      </c>
      <c r="D21" s="447">
        <v>89064651109</v>
      </c>
      <c r="E21" s="446" t="s">
        <v>781</v>
      </c>
      <c r="F21" s="445" t="s">
        <v>149</v>
      </c>
      <c r="G21" s="444" t="s">
        <v>152</v>
      </c>
      <c r="H21" s="444" t="s">
        <v>153</v>
      </c>
      <c r="I21" s="442" t="s">
        <v>243</v>
      </c>
      <c r="J21" s="443" t="s">
        <v>714</v>
      </c>
      <c r="K21" s="442" t="s">
        <v>759</v>
      </c>
      <c r="L21" s="441">
        <v>5</v>
      </c>
      <c r="M21" s="452">
        <v>5</v>
      </c>
      <c r="N21" s="451">
        <v>5</v>
      </c>
      <c r="O21" s="438">
        <v>2</v>
      </c>
      <c r="P21" s="437" t="s">
        <v>780</v>
      </c>
      <c r="Q21" s="436"/>
      <c r="R21" s="436" t="s">
        <v>778</v>
      </c>
      <c r="S21" s="436" t="s">
        <v>149</v>
      </c>
      <c r="T21" s="435">
        <v>3000</v>
      </c>
      <c r="U21" s="437" t="s">
        <v>779</v>
      </c>
      <c r="V21" s="436"/>
      <c r="W21" s="436" t="s">
        <v>778</v>
      </c>
      <c r="X21" s="436" t="s">
        <v>149</v>
      </c>
      <c r="Y21" s="435">
        <v>8001</v>
      </c>
      <c r="Z21" s="434" t="s">
        <v>755</v>
      </c>
      <c r="AA21" s="433" t="s">
        <v>750</v>
      </c>
      <c r="AB21" s="433" t="s">
        <v>750</v>
      </c>
      <c r="AC21" s="433" t="s">
        <v>750</v>
      </c>
      <c r="AD21" s="433" t="s">
        <v>755</v>
      </c>
      <c r="AE21" s="434" t="s">
        <v>754</v>
      </c>
      <c r="AF21" s="433" t="s">
        <v>753</v>
      </c>
      <c r="AG21" s="433" t="s">
        <v>752</v>
      </c>
      <c r="AH21" s="433" t="s">
        <v>751</v>
      </c>
      <c r="AI21" s="433"/>
      <c r="AJ21" s="432" t="s">
        <v>750</v>
      </c>
      <c r="AK21" s="431" t="s">
        <v>750</v>
      </c>
      <c r="AL21" s="450" t="str">
        <f t="shared" si="0"/>
        <v>Powercor Australia</v>
      </c>
    </row>
    <row r="22" spans="2:38">
      <c r="B22" s="449" t="s">
        <v>179</v>
      </c>
      <c r="C22" s="448" t="s">
        <v>179</v>
      </c>
      <c r="D22" s="447">
        <v>13332330749</v>
      </c>
      <c r="E22" s="446" t="s">
        <v>775</v>
      </c>
      <c r="F22" s="445" t="s">
        <v>164</v>
      </c>
      <c r="G22" s="444" t="s">
        <v>152</v>
      </c>
      <c r="H22" s="444" t="s">
        <v>153</v>
      </c>
      <c r="I22" s="442" t="s">
        <v>243</v>
      </c>
      <c r="J22" s="443" t="s">
        <v>714</v>
      </c>
      <c r="K22" s="442" t="s">
        <v>759</v>
      </c>
      <c r="L22" s="441">
        <v>5</v>
      </c>
      <c r="M22" s="452">
        <v>5</v>
      </c>
      <c r="N22" s="451">
        <v>5</v>
      </c>
      <c r="O22" s="438">
        <v>5</v>
      </c>
      <c r="P22" s="437" t="s">
        <v>774</v>
      </c>
      <c r="Q22" s="436"/>
      <c r="R22" s="436" t="s">
        <v>773</v>
      </c>
      <c r="S22" s="436" t="s">
        <v>164</v>
      </c>
      <c r="T22" s="435">
        <v>5035</v>
      </c>
      <c r="U22" s="437" t="s">
        <v>772</v>
      </c>
      <c r="V22" s="436"/>
      <c r="W22" s="436" t="s">
        <v>771</v>
      </c>
      <c r="X22" s="436" t="s">
        <v>164</v>
      </c>
      <c r="Y22" s="435">
        <v>5000</v>
      </c>
      <c r="Z22" s="434" t="s">
        <v>750</v>
      </c>
      <c r="AA22" s="433" t="s">
        <v>750</v>
      </c>
      <c r="AB22" s="433" t="s">
        <v>750</v>
      </c>
      <c r="AC22" s="433" t="s">
        <v>750</v>
      </c>
      <c r="AD22" s="433" t="s">
        <v>755</v>
      </c>
      <c r="AE22" s="434" t="s">
        <v>754</v>
      </c>
      <c r="AF22" s="433" t="s">
        <v>753</v>
      </c>
      <c r="AG22" s="433" t="s">
        <v>752</v>
      </c>
      <c r="AH22" s="433" t="s">
        <v>751</v>
      </c>
      <c r="AI22" s="433"/>
      <c r="AJ22" s="432" t="s">
        <v>755</v>
      </c>
      <c r="AK22" s="431" t="s">
        <v>750</v>
      </c>
      <c r="AL22" s="450" t="str">
        <f t="shared" si="0"/>
        <v>SA Power Networks</v>
      </c>
    </row>
    <row r="23" spans="2:38">
      <c r="B23" s="449" t="s">
        <v>180</v>
      </c>
      <c r="C23" s="448" t="s">
        <v>180</v>
      </c>
      <c r="D23" s="447">
        <v>24167357299</v>
      </c>
      <c r="E23" s="446" t="s">
        <v>770</v>
      </c>
      <c r="F23" s="445" t="s">
        <v>181</v>
      </c>
      <c r="G23" s="444" t="s">
        <v>152</v>
      </c>
      <c r="H23" s="444" t="s">
        <v>153</v>
      </c>
      <c r="I23" s="442" t="s">
        <v>243</v>
      </c>
      <c r="J23" s="443" t="s">
        <v>714</v>
      </c>
      <c r="K23" s="442" t="s">
        <v>759</v>
      </c>
      <c r="L23" s="441">
        <v>5</v>
      </c>
      <c r="M23" s="452">
        <v>5</v>
      </c>
      <c r="N23" s="451">
        <v>5</v>
      </c>
      <c r="O23" s="438">
        <v>5</v>
      </c>
      <c r="P23" s="437" t="s">
        <v>765</v>
      </c>
      <c r="Q23" s="436"/>
      <c r="R23" s="436" t="s">
        <v>764</v>
      </c>
      <c r="S23" s="436" t="s">
        <v>181</v>
      </c>
      <c r="T23" s="435">
        <v>7008</v>
      </c>
      <c r="U23" s="437" t="s">
        <v>763</v>
      </c>
      <c r="V23" s="436"/>
      <c r="W23" s="436" t="s">
        <v>762</v>
      </c>
      <c r="X23" s="436" t="s">
        <v>181</v>
      </c>
      <c r="Y23" s="435">
        <v>7009</v>
      </c>
      <c r="Z23" s="434" t="s">
        <v>750</v>
      </c>
      <c r="AA23" s="433" t="s">
        <v>750</v>
      </c>
      <c r="AB23" s="433" t="s">
        <v>750</v>
      </c>
      <c r="AC23" s="433" t="s">
        <v>750</v>
      </c>
      <c r="AD23" s="433" t="s">
        <v>750</v>
      </c>
      <c r="AE23" s="434" t="s">
        <v>769</v>
      </c>
      <c r="AF23" s="433" t="s">
        <v>753</v>
      </c>
      <c r="AG23" s="433" t="s">
        <v>768</v>
      </c>
      <c r="AH23" s="433" t="s">
        <v>767</v>
      </c>
      <c r="AI23" s="433" t="s">
        <v>766</v>
      </c>
      <c r="AJ23" s="432" t="s">
        <v>755</v>
      </c>
      <c r="AK23" s="431" t="s">
        <v>750</v>
      </c>
      <c r="AL23" s="450" t="str">
        <f t="shared" si="0"/>
        <v>TasNetworks (D)</v>
      </c>
    </row>
    <row r="24" spans="2:38">
      <c r="B24" s="449" t="s">
        <v>184</v>
      </c>
      <c r="C24" s="448" t="s">
        <v>184</v>
      </c>
      <c r="D24" s="447">
        <v>70064651029</v>
      </c>
      <c r="E24" s="446" t="s">
        <v>760</v>
      </c>
      <c r="F24" s="445" t="s">
        <v>149</v>
      </c>
      <c r="G24" s="444" t="s">
        <v>152</v>
      </c>
      <c r="H24" s="444" t="s">
        <v>153</v>
      </c>
      <c r="I24" s="442" t="s">
        <v>243</v>
      </c>
      <c r="J24" s="443" t="s">
        <v>714</v>
      </c>
      <c r="K24" s="442" t="s">
        <v>759</v>
      </c>
      <c r="L24" s="441">
        <v>5</v>
      </c>
      <c r="M24" s="440">
        <v>5</v>
      </c>
      <c r="N24" s="439">
        <v>5</v>
      </c>
      <c r="O24" s="438">
        <v>2</v>
      </c>
      <c r="P24" s="437" t="s">
        <v>758</v>
      </c>
      <c r="Q24" s="436"/>
      <c r="R24" s="436" t="s">
        <v>756</v>
      </c>
      <c r="S24" s="436" t="s">
        <v>149</v>
      </c>
      <c r="T24" s="435">
        <v>3149</v>
      </c>
      <c r="U24" s="437" t="s">
        <v>757</v>
      </c>
      <c r="V24" s="436"/>
      <c r="W24" s="436" t="s">
        <v>756</v>
      </c>
      <c r="X24" s="436" t="s">
        <v>149</v>
      </c>
      <c r="Y24" s="435">
        <v>3170</v>
      </c>
      <c r="Z24" s="434" t="s">
        <v>755</v>
      </c>
      <c r="AA24" s="433" t="s">
        <v>750</v>
      </c>
      <c r="AB24" s="433" t="s">
        <v>750</v>
      </c>
      <c r="AC24" s="433" t="s">
        <v>755</v>
      </c>
      <c r="AD24" s="433" t="s">
        <v>755</v>
      </c>
      <c r="AE24" s="434" t="s">
        <v>754</v>
      </c>
      <c r="AF24" s="433" t="s">
        <v>753</v>
      </c>
      <c r="AG24" s="433" t="s">
        <v>752</v>
      </c>
      <c r="AH24" s="433" t="s">
        <v>751</v>
      </c>
      <c r="AI24" s="433"/>
      <c r="AJ24" s="432" t="s">
        <v>750</v>
      </c>
      <c r="AK24" s="431" t="s">
        <v>750</v>
      </c>
      <c r="AL24" s="430" t="str">
        <f t="shared" si="0"/>
        <v>United Energy</v>
      </c>
    </row>
    <row r="25" spans="2:38">
      <c r="C25" s="130"/>
      <c r="W25" s="18"/>
    </row>
    <row r="26" spans="2:38" ht="15" thickBot="1">
      <c r="C26" s="130"/>
      <c r="H26"/>
      <c r="I26"/>
      <c r="J26"/>
      <c r="K26"/>
      <c r="W26" s="18"/>
    </row>
    <row r="27" spans="2:38" ht="47.25" customHeight="1" thickBot="1">
      <c r="B27" s="1247" t="s">
        <v>749</v>
      </c>
      <c r="C27" s="1248"/>
      <c r="D27" s="1248"/>
      <c r="E27" s="1248"/>
      <c r="H27"/>
      <c r="I27"/>
      <c r="J27"/>
      <c r="K27"/>
      <c r="L27" s="97"/>
      <c r="M27" s="97"/>
      <c r="N27" s="136"/>
      <c r="O27"/>
      <c r="W27" s="18"/>
      <c r="X27" s="18"/>
    </row>
    <row r="28" spans="2:38" ht="31.5" customHeight="1" thickBot="1">
      <c r="B28" s="429" t="s">
        <v>748</v>
      </c>
      <c r="C28" s="429" t="s">
        <v>747</v>
      </c>
      <c r="D28" s="428" t="s">
        <v>746</v>
      </c>
      <c r="E28" s="427" t="s">
        <v>745</v>
      </c>
      <c r="H28"/>
      <c r="I28"/>
      <c r="J28"/>
      <c r="K28"/>
      <c r="L28" s="426"/>
      <c r="M28" s="426"/>
      <c r="N28" s="425"/>
      <c r="O28"/>
      <c r="W28" s="18"/>
      <c r="X28" s="18"/>
    </row>
    <row r="29" spans="2:38">
      <c r="B29" s="424" t="s">
        <v>744</v>
      </c>
      <c r="C29" s="423" t="s">
        <v>743</v>
      </c>
      <c r="D29" s="422" t="str">
        <f>IF(dms_MultiYear_ResponseFlag="yes","NEW HISTORICAL ANNUAL REPORTING","ANNUAL REPORTING")</f>
        <v>ANNUAL REPORTING</v>
      </c>
      <c r="E29" s="421">
        <v>1</v>
      </c>
      <c r="H29"/>
      <c r="I29"/>
      <c r="J29"/>
      <c r="K29"/>
      <c r="L29" s="97"/>
      <c r="M29" s="97"/>
      <c r="N29" s="136"/>
      <c r="O29"/>
      <c r="W29" s="18"/>
      <c r="X29" s="18"/>
    </row>
    <row r="30" spans="2:38">
      <c r="B30" s="419" t="s">
        <v>742</v>
      </c>
      <c r="C30" s="418" t="s">
        <v>741</v>
      </c>
      <c r="D30" s="417" t="str">
        <f>IF(dms_MultiYear_ResponseFlag="yes","NEW HISTORICAL CATEGORY ANALYSIS","CATEGORY ANALYSIS")</f>
        <v>CATEGORY ANALYSIS</v>
      </c>
      <c r="E30" s="420">
        <v>1</v>
      </c>
      <c r="H30"/>
      <c r="I30"/>
      <c r="J30"/>
      <c r="K30"/>
      <c r="L30" s="97"/>
      <c r="M30" s="97"/>
      <c r="N30" s="136"/>
      <c r="O30"/>
      <c r="W30" s="18"/>
      <c r="X30" s="18"/>
    </row>
    <row r="31" spans="2:38">
      <c r="B31" s="419" t="s">
        <v>740</v>
      </c>
      <c r="C31" s="418" t="s">
        <v>739</v>
      </c>
      <c r="D31" s="417" t="s">
        <v>738</v>
      </c>
      <c r="E31" s="420">
        <v>5</v>
      </c>
      <c r="H31"/>
      <c r="I31"/>
      <c r="J31"/>
      <c r="K31"/>
      <c r="L31"/>
      <c r="M31" s="97"/>
      <c r="N31" s="136"/>
      <c r="O31"/>
      <c r="W31" s="18"/>
      <c r="X31" s="18"/>
    </row>
    <row r="32" spans="2:38">
      <c r="B32" s="419" t="s">
        <v>737</v>
      </c>
      <c r="C32" s="418" t="s">
        <v>737</v>
      </c>
      <c r="D32" s="417" t="s">
        <v>737</v>
      </c>
      <c r="E32" s="420">
        <v>5</v>
      </c>
      <c r="H32"/>
      <c r="I32"/>
      <c r="J32"/>
      <c r="K32"/>
      <c r="L32"/>
      <c r="M32" s="97"/>
      <c r="N32" s="136"/>
      <c r="O32"/>
      <c r="W32" s="18"/>
      <c r="X32" s="18"/>
    </row>
    <row r="33" spans="2:24">
      <c r="B33" s="419" t="s">
        <v>1</v>
      </c>
      <c r="C33" s="418" t="s">
        <v>736</v>
      </c>
      <c r="D33" s="417" t="str">
        <f>IF(dms_MultiYear_ResponseFlag="yes","NEW HISTORICAL ECONOMIC BENCHMARKING","ECONOMIC BENCHMARKING")</f>
        <v>ECONOMIC BENCHMARKING</v>
      </c>
      <c r="E33" s="416">
        <v>1</v>
      </c>
      <c r="H33"/>
      <c r="I33"/>
      <c r="J33"/>
      <c r="K33"/>
      <c r="L33"/>
      <c r="M33" s="97"/>
      <c r="N33" s="136"/>
      <c r="O33"/>
      <c r="W33" s="18"/>
      <c r="X33" s="18"/>
    </row>
    <row r="34" spans="2:24">
      <c r="B34" s="419" t="s">
        <v>735</v>
      </c>
      <c r="C34" s="418" t="s">
        <v>734</v>
      </c>
      <c r="D34" s="417" t="s">
        <v>733</v>
      </c>
      <c r="E34" s="416">
        <v>5</v>
      </c>
      <c r="H34"/>
      <c r="I34"/>
      <c r="J34"/>
      <c r="K34"/>
      <c r="L34"/>
      <c r="M34" s="97"/>
      <c r="N34" s="136"/>
      <c r="O34"/>
      <c r="W34" s="18"/>
      <c r="X34" s="18"/>
    </row>
    <row r="35" spans="2:24">
      <c r="B35" s="419" t="s">
        <v>732</v>
      </c>
      <c r="C35" s="418" t="s">
        <v>731</v>
      </c>
      <c r="D35" s="417" t="s">
        <v>730</v>
      </c>
      <c r="E35" s="416">
        <v>5</v>
      </c>
      <c r="H35"/>
      <c r="I35"/>
      <c r="J35"/>
      <c r="K35"/>
      <c r="L35"/>
      <c r="M35" s="97"/>
      <c r="N35" s="136"/>
      <c r="O35"/>
      <c r="W35" s="18"/>
      <c r="X35" s="18"/>
    </row>
    <row r="36" spans="2:24">
      <c r="B36" s="419" t="s">
        <v>729</v>
      </c>
      <c r="C36" s="418" t="s">
        <v>729</v>
      </c>
      <c r="D36" s="417" t="s">
        <v>728</v>
      </c>
      <c r="E36" s="416">
        <v>5</v>
      </c>
      <c r="H36"/>
      <c r="I36"/>
      <c r="J36"/>
      <c r="K36"/>
      <c r="L36"/>
      <c r="M36" s="97"/>
      <c r="N36" s="136"/>
      <c r="O36"/>
      <c r="W36" s="18"/>
      <c r="X36" s="18"/>
    </row>
    <row r="37" spans="2:24">
      <c r="B37" s="419" t="s">
        <v>442</v>
      </c>
      <c r="C37" s="418" t="s">
        <v>727</v>
      </c>
      <c r="D37" s="417" t="s">
        <v>726</v>
      </c>
      <c r="E37" s="416">
        <v>5</v>
      </c>
      <c r="H37"/>
      <c r="I37"/>
      <c r="J37"/>
      <c r="K37"/>
      <c r="L37"/>
      <c r="M37" s="97"/>
      <c r="N37" s="136"/>
      <c r="O37"/>
      <c r="W37" s="18"/>
      <c r="X37" s="18"/>
    </row>
    <row r="38" spans="2:24">
      <c r="B38" s="419" t="s">
        <v>725</v>
      </c>
      <c r="C38" s="418" t="s">
        <v>724</v>
      </c>
      <c r="D38" s="417" t="s">
        <v>723</v>
      </c>
      <c r="E38" s="416">
        <v>5</v>
      </c>
      <c r="H38"/>
      <c r="I38"/>
      <c r="J38"/>
      <c r="K38"/>
      <c r="L38"/>
      <c r="M38" s="97"/>
      <c r="N38" s="136"/>
      <c r="O38"/>
      <c r="W38" s="18"/>
      <c r="X38" s="18"/>
    </row>
    <row r="39" spans="2:24">
      <c r="B39" s="419" t="s">
        <v>722</v>
      </c>
      <c r="C39" s="418" t="s">
        <v>721</v>
      </c>
      <c r="D39" s="417" t="s">
        <v>720</v>
      </c>
      <c r="E39" s="416">
        <v>5</v>
      </c>
      <c r="H39"/>
      <c r="I39"/>
      <c r="J39"/>
      <c r="K39"/>
      <c r="L39"/>
      <c r="M39" s="97"/>
      <c r="N39" s="136"/>
      <c r="O39"/>
      <c r="W39" s="18"/>
      <c r="X39" s="18"/>
    </row>
    <row r="40" spans="2:24">
      <c r="B40" s="419" t="s">
        <v>436</v>
      </c>
      <c r="C40" s="418" t="s">
        <v>719</v>
      </c>
      <c r="D40" s="417" t="s">
        <v>718</v>
      </c>
      <c r="E40" s="416">
        <v>5</v>
      </c>
      <c r="H40"/>
      <c r="I40"/>
      <c r="J40"/>
      <c r="K40"/>
      <c r="L40"/>
      <c r="M40" s="97"/>
      <c r="N40" s="136"/>
      <c r="O40"/>
      <c r="W40" s="18"/>
      <c r="X40" s="18"/>
    </row>
    <row r="41" spans="2:24">
      <c r="B41" s="419" t="s">
        <v>1225</v>
      </c>
      <c r="C41" s="955" t="s">
        <v>1226</v>
      </c>
      <c r="D41" s="417" t="s">
        <v>737</v>
      </c>
      <c r="E41" s="420">
        <v>1</v>
      </c>
      <c r="H41"/>
      <c r="I41"/>
      <c r="J41"/>
      <c r="K41"/>
      <c r="L41"/>
      <c r="M41" s="97"/>
      <c r="N41" s="136"/>
      <c r="O41"/>
      <c r="W41" s="18"/>
      <c r="X41" s="18"/>
    </row>
    <row r="42" spans="2:24">
      <c r="B42" s="419" t="s">
        <v>1227</v>
      </c>
      <c r="C42" s="955" t="s">
        <v>1196</v>
      </c>
      <c r="D42" s="417" t="s">
        <v>737</v>
      </c>
      <c r="E42" s="420">
        <v>1</v>
      </c>
      <c r="H42"/>
      <c r="I42"/>
      <c r="J42"/>
      <c r="K42"/>
      <c r="L42"/>
      <c r="M42" s="97"/>
      <c r="N42" s="136"/>
      <c r="O42"/>
      <c r="W42" s="18"/>
      <c r="X42" s="18"/>
    </row>
    <row r="43" spans="2:24">
      <c r="B43" s="419" t="s">
        <v>717</v>
      </c>
      <c r="C43" s="418" t="s">
        <v>716</v>
      </c>
      <c r="D43" s="417" t="s">
        <v>715</v>
      </c>
      <c r="E43" s="416">
        <v>1</v>
      </c>
      <c r="H43"/>
      <c r="I43"/>
      <c r="J43"/>
      <c r="K43"/>
      <c r="L43"/>
      <c r="M43" s="97"/>
      <c r="N43" s="136"/>
      <c r="O43"/>
      <c r="W43" s="18"/>
      <c r="X43" s="18"/>
    </row>
    <row r="44" spans="2:24" s="18" customFormat="1">
      <c r="E44" s="120"/>
    </row>
    <row r="45" spans="2:24">
      <c r="B45"/>
      <c r="C45" s="18"/>
      <c r="D45" s="18"/>
      <c r="E45" s="120"/>
      <c r="F45" s="18"/>
      <c r="G45" s="18"/>
      <c r="H45" s="18"/>
      <c r="I45" s="18"/>
      <c r="J45" s="18"/>
      <c r="K45" s="18"/>
      <c r="L45" s="18"/>
      <c r="O45"/>
      <c r="P45"/>
      <c r="Q45"/>
      <c r="R45"/>
      <c r="S45"/>
      <c r="T45"/>
      <c r="U45"/>
    </row>
    <row r="46" spans="2:24">
      <c r="C46" s="117"/>
      <c r="E46" s="389"/>
    </row>
    <row r="47" spans="2:24" ht="15" thickBot="1">
      <c r="B47" s="415" t="s">
        <v>714</v>
      </c>
      <c r="C47" s="414" t="s">
        <v>713</v>
      </c>
      <c r="E47" s="413" t="s">
        <v>712</v>
      </c>
      <c r="G47" s="413" t="s">
        <v>711</v>
      </c>
      <c r="H47"/>
      <c r="I47" s="412" t="s">
        <v>710</v>
      </c>
    </row>
    <row r="48" spans="2:24" ht="15" thickBot="1">
      <c r="B48" s="411" t="s">
        <v>709</v>
      </c>
      <c r="C48" s="410" t="s">
        <v>708</v>
      </c>
      <c r="D48" s="409" t="s">
        <v>707</v>
      </c>
      <c r="E48" s="407" t="e">
        <f ca="1">INDEX(INDIRECT(dms_RPT),dms_PRCP_start_row)</f>
        <v>#REF!</v>
      </c>
      <c r="F48" s="409" t="s">
        <v>706</v>
      </c>
      <c r="G48" s="407" t="e">
        <f ca="1">INDEX(INDIRECT(dms_RPT),dms_CRCP_start_row)</f>
        <v>#REF!</v>
      </c>
      <c r="H48" s="408" t="e">
        <f>FRCP_y1</f>
        <v>#REF!</v>
      </c>
      <c r="I48" s="407" t="e">
        <f ca="1">INDEX(INDIRECT(dms_RPT),dms_FRCP_start_row)</f>
        <v>#REF!</v>
      </c>
    </row>
    <row r="49" spans="2:12">
      <c r="B49" s="395" t="s">
        <v>705</v>
      </c>
      <c r="C49" s="394" t="s">
        <v>704</v>
      </c>
      <c r="D49" s="403" t="s">
        <v>703</v>
      </c>
      <c r="E49" s="406" t="e">
        <f ca="1">INDEX(INDIRECT(dms_RPT),dms_PRCP_start_row+1)</f>
        <v>#REF!</v>
      </c>
      <c r="F49" s="403" t="s">
        <v>702</v>
      </c>
      <c r="G49" s="402" t="e">
        <f ca="1">INDEX(INDIRECT(dms_RPT),dms_CRCP_start_row+1)</f>
        <v>#REF!</v>
      </c>
      <c r="H49" s="405" t="s">
        <v>701</v>
      </c>
      <c r="I49" s="402" t="e">
        <f ca="1">INDEX(INDIRECT(dms_RPT),dms_FRCP_start_row+1)</f>
        <v>#REF!</v>
      </c>
    </row>
    <row r="50" spans="2:12">
      <c r="B50" s="395" t="s">
        <v>700</v>
      </c>
      <c r="C50" s="394" t="s">
        <v>699</v>
      </c>
      <c r="D50" s="403" t="s">
        <v>698</v>
      </c>
      <c r="E50" s="402" t="e">
        <f ca="1">INDEX(INDIRECT(dms_RPT),dms_PRCP_start_row+2)</f>
        <v>#REF!</v>
      </c>
      <c r="F50" s="403" t="s">
        <v>697</v>
      </c>
      <c r="G50" s="402" t="e">
        <f ca="1">INDEX(INDIRECT(dms_RPT),dms_CRCP_start_row+2)</f>
        <v>#REF!</v>
      </c>
      <c r="H50" s="403" t="s">
        <v>696</v>
      </c>
      <c r="I50" s="402" t="e">
        <f ca="1">INDEX(INDIRECT(dms_RPT),dms_FRCP_start_row+2)</f>
        <v>#REF!</v>
      </c>
    </row>
    <row r="51" spans="2:12">
      <c r="B51" s="395" t="s">
        <v>695</v>
      </c>
      <c r="C51" s="394" t="s">
        <v>694</v>
      </c>
      <c r="D51" s="403" t="s">
        <v>693</v>
      </c>
      <c r="E51" s="402" t="e">
        <f ca="1">INDEX(INDIRECT(dms_RPT),dms_PRCP_start_row+3)</f>
        <v>#REF!</v>
      </c>
      <c r="F51" s="403" t="s">
        <v>692</v>
      </c>
      <c r="G51" s="402" t="e">
        <f ca="1">INDEX(INDIRECT(dms_RPT),dms_CRCP_start_row+3)</f>
        <v>#REF!</v>
      </c>
      <c r="H51" s="403" t="s">
        <v>691</v>
      </c>
      <c r="I51" s="402" t="e">
        <f ca="1">INDEX(INDIRECT(dms_RPT),dms_FRCP_start_row+3)</f>
        <v>#REF!</v>
      </c>
    </row>
    <row r="52" spans="2:12">
      <c r="B52" s="395" t="s">
        <v>690</v>
      </c>
      <c r="C52" s="394" t="s">
        <v>689</v>
      </c>
      <c r="D52" s="403" t="s">
        <v>688</v>
      </c>
      <c r="E52" s="402" t="e">
        <f ca="1">INDEX(INDIRECT(dms_RPT),dms_PRCP_start_row+4)</f>
        <v>#REF!</v>
      </c>
      <c r="F52" s="403" t="s">
        <v>687</v>
      </c>
      <c r="G52" s="402" t="e">
        <f ca="1">INDEX(INDIRECT(dms_RPT),dms_CRCP_start_row+4)</f>
        <v>#REF!</v>
      </c>
      <c r="H52" s="403" t="s">
        <v>686</v>
      </c>
      <c r="I52" s="402" t="e">
        <f ca="1">INDEX(INDIRECT(dms_RPT),dms_FRCP_start_row+4)</f>
        <v>#REF!</v>
      </c>
    </row>
    <row r="53" spans="2:12">
      <c r="B53" s="395" t="s">
        <v>685</v>
      </c>
      <c r="C53" s="394" t="s">
        <v>684</v>
      </c>
      <c r="D53" s="403" t="s">
        <v>683</v>
      </c>
      <c r="E53" s="402" t="e">
        <f ca="1">INDEX(INDIRECT(dms_RPT),dms_PRCP_start_row+5)</f>
        <v>#REF!</v>
      </c>
      <c r="F53" s="403" t="s">
        <v>682</v>
      </c>
      <c r="G53" s="402" t="e">
        <f ca="1">INDEX(INDIRECT(dms_RPT),dms_CRCP_start_row+5)</f>
        <v>#REF!</v>
      </c>
      <c r="H53" s="403" t="s">
        <v>681</v>
      </c>
      <c r="I53" s="402" t="e">
        <f ca="1">INDEX(INDIRECT(dms_RPT),dms_FRCP_start_row+5)</f>
        <v>#REF!</v>
      </c>
    </row>
    <row r="54" spans="2:12">
      <c r="B54" s="395" t="s">
        <v>680</v>
      </c>
      <c r="C54" s="394" t="s">
        <v>679</v>
      </c>
      <c r="D54" s="403" t="s">
        <v>678</v>
      </c>
      <c r="E54" s="402" t="e">
        <f ca="1">INDEX(INDIRECT(dms_RPT),dms_PRCP_start_row+6)</f>
        <v>#REF!</v>
      </c>
      <c r="F54" s="403" t="s">
        <v>677</v>
      </c>
      <c r="G54" s="402" t="e">
        <f ca="1">INDEX(INDIRECT(dms_RPT),dms_CRCP_start_row+6)</f>
        <v>#REF!</v>
      </c>
      <c r="H54" s="403" t="s">
        <v>676</v>
      </c>
      <c r="I54" s="402" t="e">
        <f ca="1">INDEX(INDIRECT(dms_RPT),dms_FRCP_start_row+6)</f>
        <v>#REF!</v>
      </c>
    </row>
    <row r="55" spans="2:12">
      <c r="B55" s="395" t="s">
        <v>675</v>
      </c>
      <c r="C55" s="394" t="s">
        <v>674</v>
      </c>
      <c r="D55" s="403" t="s">
        <v>673</v>
      </c>
      <c r="E55" s="402" t="e">
        <f ca="1">INDEX(INDIRECT(dms_RPT),dms_PRCP_start_row+7)</f>
        <v>#REF!</v>
      </c>
      <c r="F55" s="403" t="s">
        <v>672</v>
      </c>
      <c r="G55" s="402" t="e">
        <f ca="1">INDEX(INDIRECT(dms_RPT),dms_CRCP_start_row+7)</f>
        <v>#REF!</v>
      </c>
      <c r="H55" s="403" t="s">
        <v>671</v>
      </c>
      <c r="I55" s="402" t="e">
        <f ca="1">INDEX(INDIRECT(dms_RPT),dms_FRCP_start_row+7)</f>
        <v>#REF!</v>
      </c>
      <c r="J55"/>
      <c r="K55"/>
      <c r="L55"/>
    </row>
    <row r="56" spans="2:12">
      <c r="B56" s="395" t="s">
        <v>670</v>
      </c>
      <c r="C56" s="394" t="s">
        <v>669</v>
      </c>
      <c r="D56" s="403" t="s">
        <v>668</v>
      </c>
      <c r="E56" s="402" t="e">
        <f ca="1">INDEX(INDIRECT(dms_RPT),dms_PRCP_start_row+8)</f>
        <v>#REF!</v>
      </c>
      <c r="F56" s="403" t="s">
        <v>667</v>
      </c>
      <c r="G56" s="402" t="e">
        <f ca="1">INDEX(INDIRECT(dms_RPT),dms_CRCP_start_row+8)</f>
        <v>#REF!</v>
      </c>
      <c r="H56" s="403" t="s">
        <v>666</v>
      </c>
      <c r="I56" s="402" t="e">
        <f ca="1">INDEX(INDIRECT(dms_RPT),dms_FRCP_start_row+8)</f>
        <v>#REF!</v>
      </c>
      <c r="J56"/>
      <c r="K56"/>
      <c r="L56"/>
    </row>
    <row r="57" spans="2:12">
      <c r="B57" s="395" t="s">
        <v>665</v>
      </c>
      <c r="C57" s="394" t="s">
        <v>664</v>
      </c>
      <c r="D57" s="403" t="s">
        <v>663</v>
      </c>
      <c r="E57" s="402" t="e">
        <f ca="1">INDEX(INDIRECT(dms_RPT),dms_PRCP_start_row+9)</f>
        <v>#REF!</v>
      </c>
      <c r="F57" s="403" t="s">
        <v>662</v>
      </c>
      <c r="G57" s="402" t="e">
        <f ca="1">INDEX(INDIRECT(dms_RPT),dms_CRCP_start_row+9)</f>
        <v>#REF!</v>
      </c>
      <c r="H57" s="403" t="s">
        <v>661</v>
      </c>
      <c r="I57" s="402" t="e">
        <f ca="1">INDEX(INDIRECT(dms_RPT),dms_FRCP_start_row+9)</f>
        <v>#REF!</v>
      </c>
      <c r="J57"/>
      <c r="K57"/>
      <c r="L57"/>
    </row>
    <row r="58" spans="2:12">
      <c r="B58" s="395" t="s">
        <v>660</v>
      </c>
      <c r="C58" s="394" t="s">
        <v>659</v>
      </c>
      <c r="D58" s="403" t="s">
        <v>658</v>
      </c>
      <c r="E58" s="402" t="e">
        <f ca="1">INDEX(INDIRECT(dms_RPT),dms_PRCP_start_row+10)</f>
        <v>#REF!</v>
      </c>
      <c r="F58" s="403" t="s">
        <v>657</v>
      </c>
      <c r="G58" s="402" t="e">
        <f ca="1">INDEX(INDIRECT(dms_RPT),dms_CRCP_start_row+10)</f>
        <v>#REF!</v>
      </c>
      <c r="H58" s="403" t="s">
        <v>656</v>
      </c>
      <c r="I58" s="402" t="e">
        <f ca="1">INDEX(INDIRECT(dms_RPT),dms_FRCP_start_row+10)</f>
        <v>#REF!</v>
      </c>
      <c r="J58"/>
      <c r="K58"/>
      <c r="L58"/>
    </row>
    <row r="59" spans="2:12">
      <c r="B59" s="395" t="s">
        <v>655</v>
      </c>
      <c r="C59" s="394" t="s">
        <v>654</v>
      </c>
      <c r="D59" s="403" t="s">
        <v>653</v>
      </c>
      <c r="E59" s="402" t="e">
        <f ca="1">INDEX(INDIRECT(dms_RPT),dms_PRCP_start_row+11)</f>
        <v>#REF!</v>
      </c>
      <c r="F59" s="403" t="s">
        <v>652</v>
      </c>
      <c r="G59" s="402" t="e">
        <f ca="1">INDEX(INDIRECT(dms_RPT),dms_CRCP_start_row+11)</f>
        <v>#REF!</v>
      </c>
      <c r="H59" s="403" t="s">
        <v>651</v>
      </c>
      <c r="I59" s="402" t="e">
        <f ca="1">INDEX(INDIRECT(dms_RPT),dms_FRCP_start_row+11)</f>
        <v>#REF!</v>
      </c>
      <c r="J59"/>
      <c r="K59"/>
      <c r="L59"/>
    </row>
    <row r="60" spans="2:12">
      <c r="B60" s="395" t="s">
        <v>650</v>
      </c>
      <c r="C60" s="394" t="s">
        <v>649</v>
      </c>
      <c r="D60" s="403" t="s">
        <v>648</v>
      </c>
      <c r="E60" s="402" t="e">
        <f ca="1">INDEX(INDIRECT(dms_RPT),dms_PRCP_start_row+12)</f>
        <v>#REF!</v>
      </c>
      <c r="F60" s="403" t="s">
        <v>647</v>
      </c>
      <c r="G60" s="402" t="e">
        <f ca="1">INDEX(INDIRECT(dms_RPT),dms_CRCP_start_row+12)</f>
        <v>#REF!</v>
      </c>
      <c r="H60" s="403" t="s">
        <v>646</v>
      </c>
      <c r="I60" s="402" t="e">
        <f ca="1">INDEX(INDIRECT(dms_RPT),dms_FRCP_start_row+12)</f>
        <v>#REF!</v>
      </c>
      <c r="J60"/>
      <c r="K60"/>
      <c r="L60"/>
    </row>
    <row r="61" spans="2:12">
      <c r="B61" s="395" t="s">
        <v>645</v>
      </c>
      <c r="C61" s="394" t="s">
        <v>644</v>
      </c>
      <c r="D61" s="404" t="s">
        <v>643</v>
      </c>
      <c r="E61" s="402" t="e">
        <f ca="1">INDEX(INDIRECT(dms_RPT),dms_PRCP_start_row+13)</f>
        <v>#REF!</v>
      </c>
      <c r="F61" s="403" t="s">
        <v>642</v>
      </c>
      <c r="G61" s="402" t="e">
        <f ca="1">INDEX(INDIRECT(dms_RPT),dms_CRCP_start_row+13)</f>
        <v>#REF!</v>
      </c>
      <c r="H61" s="403" t="s">
        <v>641</v>
      </c>
      <c r="I61" s="402" t="e">
        <f ca="1">INDEX(INDIRECT(dms_RPT),dms_FRCP_start_row+13)</f>
        <v>#REF!</v>
      </c>
      <c r="J61"/>
      <c r="K61"/>
      <c r="L61"/>
    </row>
    <row r="62" spans="2:12">
      <c r="B62" s="395" t="s">
        <v>640</v>
      </c>
      <c r="C62" s="394" t="s">
        <v>639</v>
      </c>
      <c r="D62" s="404" t="s">
        <v>638</v>
      </c>
      <c r="E62" s="402" t="e">
        <f ca="1">INDEX(INDIRECT(dms_RPT),dms_PRCP_start_row+14)</f>
        <v>#REF!</v>
      </c>
      <c r="F62" s="403" t="s">
        <v>637</v>
      </c>
      <c r="G62" s="402" t="e">
        <f ca="1">INDEX(INDIRECT(dms_RPT),dms_CRCP_start_row+14)</f>
        <v>#REF!</v>
      </c>
      <c r="H62" s="403" t="s">
        <v>636</v>
      </c>
      <c r="I62" s="402" t="e">
        <f ca="1">INDEX(INDIRECT(dms_RPT),dms_FRCP_start_row+14)</f>
        <v>#REF!</v>
      </c>
      <c r="J62"/>
      <c r="K62"/>
      <c r="L62"/>
    </row>
    <row r="63" spans="2:12">
      <c r="B63" s="395" t="s">
        <v>635</v>
      </c>
      <c r="C63" s="394" t="s">
        <v>634</v>
      </c>
      <c r="D63" s="404" t="s">
        <v>633</v>
      </c>
      <c r="E63" s="402" t="e">
        <f ca="1">INDEX(INDIRECT(dms_RPT),dms_PRCP_start_row+15)</f>
        <v>#REF!</v>
      </c>
      <c r="F63" s="403" t="s">
        <v>632</v>
      </c>
      <c r="G63" s="402" t="e">
        <f ca="1">INDEX(INDIRECT(dms_RPT),dms_CRCP_start_row+15)</f>
        <v>#REF!</v>
      </c>
      <c r="H63" s="403" t="s">
        <v>631</v>
      </c>
      <c r="I63" s="402" t="e">
        <f ca="1">INDEX(INDIRECT(dms_RPT),dms_FRCP_start_row+15)</f>
        <v>#REF!</v>
      </c>
      <c r="J63"/>
      <c r="K63"/>
      <c r="L63"/>
    </row>
    <row r="64" spans="2:12">
      <c r="B64" s="395" t="s">
        <v>630</v>
      </c>
      <c r="C64" s="394" t="s">
        <v>629</v>
      </c>
      <c r="D64" s="404" t="s">
        <v>628</v>
      </c>
      <c r="E64" s="402" t="e">
        <f ca="1">INDEX(INDIRECT(dms_RPT),dms_PRCP_start_row+16)</f>
        <v>#REF!</v>
      </c>
      <c r="F64" s="403" t="s">
        <v>627</v>
      </c>
      <c r="G64" s="402" t="e">
        <f ca="1">INDEX(INDIRECT(dms_RPT),dms_CRCP_start_row+16)</f>
        <v>#REF!</v>
      </c>
      <c r="H64" s="403" t="s">
        <v>626</v>
      </c>
      <c r="I64" s="402" t="e">
        <f ca="1">INDEX(INDIRECT(dms_RPT),dms_FRCP_start_row+16)</f>
        <v>#REF!</v>
      </c>
      <c r="J64"/>
      <c r="K64"/>
      <c r="L64"/>
    </row>
    <row r="65" spans="2:12">
      <c r="B65" s="395" t="s">
        <v>625</v>
      </c>
      <c r="C65" s="394" t="s">
        <v>624</v>
      </c>
      <c r="D65" s="404" t="s">
        <v>623</v>
      </c>
      <c r="E65" s="402" t="e">
        <f ca="1">INDEX(INDIRECT(dms_RPT),dms_PRCP_start_row+17)</f>
        <v>#REF!</v>
      </c>
      <c r="F65" s="403" t="s">
        <v>622</v>
      </c>
      <c r="G65" s="402" t="e">
        <f ca="1">INDEX(INDIRECT(dms_RPT),dms_CRCP_start_row+17)</f>
        <v>#REF!</v>
      </c>
      <c r="H65" s="403" t="s">
        <v>621</v>
      </c>
      <c r="I65" s="402" t="e">
        <f ca="1">INDEX(INDIRECT(dms_RPT),dms_FRCP_start_row+17)</f>
        <v>#REF!</v>
      </c>
      <c r="J65"/>
      <c r="K65"/>
      <c r="L65"/>
    </row>
    <row r="66" spans="2:12">
      <c r="B66" s="395" t="s">
        <v>620</v>
      </c>
      <c r="C66" s="394" t="s">
        <v>619</v>
      </c>
      <c r="D66" s="404" t="s">
        <v>618</v>
      </c>
      <c r="E66" s="402" t="e">
        <f ca="1">INDEX(INDIRECT(dms_RPT),dms_PRCP_start_row+18)</f>
        <v>#REF!</v>
      </c>
      <c r="F66" s="403" t="s">
        <v>617</v>
      </c>
      <c r="G66" s="402" t="e">
        <f ca="1">INDEX(INDIRECT(dms_RPT),dms_CRCP_start_row+18)</f>
        <v>#REF!</v>
      </c>
      <c r="H66" s="403" t="s">
        <v>616</v>
      </c>
      <c r="I66" s="402" t="e">
        <f ca="1">INDEX(INDIRECT(dms_RPT),dms_FRCP_start_row+18)</f>
        <v>#REF!</v>
      </c>
      <c r="J66"/>
      <c r="K66"/>
      <c r="L66"/>
    </row>
    <row r="67" spans="2:12">
      <c r="B67" s="395" t="s">
        <v>615</v>
      </c>
      <c r="C67" s="394" t="s">
        <v>614</v>
      </c>
      <c r="D67" s="404" t="s">
        <v>613</v>
      </c>
      <c r="E67" s="402" t="e">
        <f ca="1">INDEX(INDIRECT(dms_RPT),dms_PRCP_start_row+19)</f>
        <v>#REF!</v>
      </c>
      <c r="F67" s="403" t="s">
        <v>612</v>
      </c>
      <c r="G67" s="402" t="e">
        <f ca="1">INDEX(INDIRECT(dms_RPT),dms_CRCP_start_row+19)</f>
        <v>#REF!</v>
      </c>
      <c r="H67" s="403" t="s">
        <v>611</v>
      </c>
      <c r="I67" s="402" t="e">
        <f ca="1">INDEX(INDIRECT(dms_RPT),dms_FRCP_start_row+19)</f>
        <v>#REF!</v>
      </c>
      <c r="J67"/>
      <c r="K67"/>
      <c r="L67"/>
    </row>
    <row r="68" spans="2:12">
      <c r="B68" s="395" t="s">
        <v>610</v>
      </c>
      <c r="C68" s="394" t="s">
        <v>609</v>
      </c>
      <c r="D68" s="404" t="s">
        <v>608</v>
      </c>
      <c r="E68" s="402" t="e">
        <f ca="1">INDEX(INDIRECT(dms_RPT),dms_PRCP_start_row+20)</f>
        <v>#REF!</v>
      </c>
      <c r="F68" s="403" t="s">
        <v>607</v>
      </c>
      <c r="G68" s="402" t="e">
        <f ca="1">INDEX(INDIRECT(dms_RPT),dms_CRCP_start_row+20)</f>
        <v>#REF!</v>
      </c>
      <c r="H68" s="403" t="s">
        <v>606</v>
      </c>
      <c r="I68" s="402" t="e">
        <f ca="1">INDEX(INDIRECT(dms_RPT),dms_FRCP_start_row+20)</f>
        <v>#REF!</v>
      </c>
      <c r="J68"/>
      <c r="K68"/>
      <c r="L68"/>
    </row>
    <row r="69" spans="2:12">
      <c r="B69" s="395" t="s">
        <v>605</v>
      </c>
      <c r="C69" s="394" t="s">
        <v>604</v>
      </c>
      <c r="D69" s="404" t="s">
        <v>603</v>
      </c>
      <c r="E69" s="402" t="e">
        <f ca="1">INDEX(INDIRECT(dms_RPT),dms_PRCP_start_row+21)</f>
        <v>#REF!</v>
      </c>
      <c r="F69" s="403" t="s">
        <v>602</v>
      </c>
      <c r="G69" s="402" t="e">
        <f ca="1">INDEX(INDIRECT(dms_RPT),dms_CRCP_start_row+21)</f>
        <v>#REF!</v>
      </c>
      <c r="H69" s="403" t="s">
        <v>601</v>
      </c>
      <c r="I69" s="402" t="e">
        <f ca="1">INDEX(INDIRECT(dms_RPT),dms_FRCP_start_row+21)</f>
        <v>#REF!</v>
      </c>
      <c r="J69"/>
      <c r="K69"/>
      <c r="L69"/>
    </row>
    <row r="70" spans="2:12">
      <c r="B70" s="395" t="s">
        <v>600</v>
      </c>
      <c r="C70" s="394">
        <v>2010</v>
      </c>
      <c r="D70" s="404" t="s">
        <v>599</v>
      </c>
      <c r="E70" s="402" t="e">
        <f ca="1">INDEX(INDIRECT(dms_RPT),dms_PRCP_start_row+22)</f>
        <v>#REF!</v>
      </c>
      <c r="F70" s="403" t="s">
        <v>598</v>
      </c>
      <c r="G70" s="402" t="e">
        <f ca="1">INDEX(INDIRECT(dms_RPT),dms_CRCP_start_row+22)</f>
        <v>#REF!</v>
      </c>
      <c r="H70" s="403" t="s">
        <v>597</v>
      </c>
      <c r="I70" s="402" t="e">
        <f ca="1">INDEX(INDIRECT(dms_RPT),dms_FRCP_start_row+22)</f>
        <v>#REF!</v>
      </c>
      <c r="J70"/>
      <c r="K70"/>
      <c r="L70"/>
    </row>
    <row r="71" spans="2:12">
      <c r="B71" s="395" t="s">
        <v>596</v>
      </c>
      <c r="C71" s="394">
        <v>2011</v>
      </c>
      <c r="D71" s="404" t="s">
        <v>595</v>
      </c>
      <c r="E71" s="402" t="e">
        <f ca="1">INDEX(INDIRECT(dms_RPT),dms_PRCP_start_row+23)</f>
        <v>#REF!</v>
      </c>
      <c r="F71" s="403" t="s">
        <v>594</v>
      </c>
      <c r="G71" s="402" t="e">
        <f ca="1">INDEX(INDIRECT(dms_RPT),dms_CRCP_start_row+23)</f>
        <v>#REF!</v>
      </c>
      <c r="H71" s="403" t="s">
        <v>593</v>
      </c>
      <c r="I71" s="402" t="e">
        <f ca="1">INDEX(INDIRECT(dms_RPT),dms_FRCP_start_row+23)</f>
        <v>#REF!</v>
      </c>
      <c r="J71"/>
      <c r="K71"/>
      <c r="L71"/>
    </row>
    <row r="72" spans="2:12" ht="15" thickBot="1">
      <c r="B72" s="395" t="s">
        <v>592</v>
      </c>
      <c r="C72" s="394">
        <v>2012</v>
      </c>
      <c r="D72" s="401" t="s">
        <v>591</v>
      </c>
      <c r="E72" s="399" t="e">
        <f ca="1">INDEX(INDIRECT(dms_RPT),dms_PRCP_start_row+24)</f>
        <v>#REF!</v>
      </c>
      <c r="F72" s="400" t="s">
        <v>590</v>
      </c>
      <c r="G72" s="399" t="e">
        <f ca="1">INDEX(INDIRECT(dms_RPT),dms_CRCP_start_row+24)</f>
        <v>#REF!</v>
      </c>
      <c r="H72" s="400" t="s">
        <v>589</v>
      </c>
      <c r="I72" s="399" t="e">
        <f ca="1">INDEX(INDIRECT(dms_RPT),dms_FRCP_start_row+24)</f>
        <v>#REF!</v>
      </c>
      <c r="J72"/>
      <c r="K72"/>
      <c r="L72"/>
    </row>
    <row r="73" spans="2:12">
      <c r="B73" s="395" t="s">
        <v>588</v>
      </c>
      <c r="C73" s="394">
        <v>2013</v>
      </c>
      <c r="E73"/>
      <c r="H73"/>
      <c r="I73"/>
      <c r="J73"/>
      <c r="K73"/>
      <c r="L73"/>
    </row>
    <row r="74" spans="2:12">
      <c r="B74" s="395" t="s">
        <v>587</v>
      </c>
      <c r="C74" s="394">
        <v>2014</v>
      </c>
      <c r="E74"/>
      <c r="H74"/>
      <c r="I74"/>
      <c r="J74"/>
      <c r="K74"/>
      <c r="L74"/>
    </row>
    <row r="75" spans="2:12">
      <c r="B75" s="395" t="s">
        <v>586</v>
      </c>
      <c r="C75" s="394">
        <v>2015</v>
      </c>
      <c r="E75"/>
      <c r="I75" s="398"/>
    </row>
    <row r="76" spans="2:12">
      <c r="B76" s="395" t="s">
        <v>585</v>
      </c>
      <c r="C76" s="394">
        <v>2016</v>
      </c>
      <c r="E76"/>
      <c r="I76" s="398"/>
    </row>
    <row r="77" spans="2:12">
      <c r="B77" s="395" t="s">
        <v>584</v>
      </c>
      <c r="C77" s="394">
        <v>2017</v>
      </c>
      <c r="E77"/>
    </row>
    <row r="78" spans="2:12">
      <c r="B78" s="395" t="s">
        <v>583</v>
      </c>
      <c r="C78" s="394">
        <v>2018</v>
      </c>
      <c r="E78"/>
    </row>
    <row r="79" spans="2:12">
      <c r="B79" s="395" t="s">
        <v>582</v>
      </c>
      <c r="C79" s="394">
        <v>2019</v>
      </c>
      <c r="E79"/>
    </row>
    <row r="80" spans="2:12">
      <c r="B80" s="395" t="s">
        <v>581</v>
      </c>
      <c r="C80" s="394">
        <v>2020</v>
      </c>
      <c r="E80"/>
      <c r="H80"/>
      <c r="I80"/>
    </row>
    <row r="81" spans="2:9" ht="15" thickBot="1">
      <c r="B81" s="395" t="s">
        <v>5</v>
      </c>
      <c r="C81" s="394">
        <v>2021</v>
      </c>
      <c r="E81"/>
      <c r="H81"/>
      <c r="I81"/>
    </row>
    <row r="82" spans="2:9">
      <c r="B82" s="395" t="s">
        <v>580</v>
      </c>
      <c r="C82" s="394">
        <v>2022</v>
      </c>
      <c r="D82" s="397"/>
      <c r="E82" s="396" t="s">
        <v>579</v>
      </c>
      <c r="H82"/>
      <c r="I82"/>
    </row>
    <row r="83" spans="2:9">
      <c r="B83" s="395" t="s">
        <v>578</v>
      </c>
      <c r="C83" s="394">
        <v>2023</v>
      </c>
      <c r="D83" s="393" t="s">
        <v>577</v>
      </c>
      <c r="E83" s="392" t="str">
        <f ca="1">IFERROR(INDEX(INDIRECT(dms_RPT),dms_CRY_start_row),0)</f>
        <v>2025-26</v>
      </c>
      <c r="H83"/>
      <c r="I83"/>
    </row>
    <row r="84" spans="2:9">
      <c r="B84" s="395" t="s">
        <v>576</v>
      </c>
      <c r="C84" s="394">
        <v>2024</v>
      </c>
      <c r="D84" s="393" t="s">
        <v>575</v>
      </c>
      <c r="E84" s="392" t="str">
        <f ca="1">IFERROR(INDEX(INDIRECT(dms_RPT),dms_CRY_start_row+1),0)</f>
        <v>2026-27</v>
      </c>
      <c r="H84"/>
      <c r="I84"/>
    </row>
    <row r="85" spans="2:9">
      <c r="B85" s="395" t="s">
        <v>6</v>
      </c>
      <c r="C85" s="394">
        <v>2025</v>
      </c>
      <c r="D85" s="393" t="s">
        <v>574</v>
      </c>
      <c r="E85" s="392" t="str">
        <f ca="1">IFERROR(INDEX(INDIRECT(dms_RPT),dms_CRY_start_row+2),0)</f>
        <v>2027-28</v>
      </c>
      <c r="H85"/>
      <c r="I85"/>
    </row>
    <row r="86" spans="2:9">
      <c r="B86" s="395" t="s">
        <v>573</v>
      </c>
      <c r="C86" s="394">
        <v>2026</v>
      </c>
      <c r="D86" s="393" t="s">
        <v>572</v>
      </c>
      <c r="E86" s="392" t="str">
        <f ca="1">IFERROR(INDEX(INDIRECT(dms_RPT),dms_CRY_start_row+3),0)</f>
        <v>2028-29</v>
      </c>
      <c r="H86"/>
      <c r="I86"/>
    </row>
    <row r="87" spans="2:9">
      <c r="B87" s="395" t="s">
        <v>571</v>
      </c>
      <c r="C87" s="394">
        <v>2027</v>
      </c>
      <c r="D87" s="393" t="s">
        <v>570</v>
      </c>
      <c r="E87" s="392" t="str">
        <f ca="1">IFERROR(INDEX(INDIRECT(dms_RPT),dms_CRY_start_row+4),0)</f>
        <v>2029-30</v>
      </c>
      <c r="H87"/>
      <c r="I87"/>
    </row>
    <row r="88" spans="2:9">
      <c r="B88" s="395" t="s">
        <v>569</v>
      </c>
      <c r="C88" s="394">
        <v>2028</v>
      </c>
      <c r="D88" s="393" t="s">
        <v>568</v>
      </c>
      <c r="E88" s="392" t="str">
        <f ca="1">IFERROR(INDEX(INDIRECT(dms_RPT),dms_CRY_start_row+5),0)</f>
        <v>2030-31</v>
      </c>
      <c r="H88"/>
      <c r="I88"/>
    </row>
    <row r="89" spans="2:9">
      <c r="B89" s="395" t="s">
        <v>567</v>
      </c>
      <c r="C89" s="394">
        <v>2029</v>
      </c>
      <c r="D89" s="393" t="s">
        <v>566</v>
      </c>
      <c r="E89" s="392" t="str">
        <f ca="1">IFERROR(INDEX(INDIRECT(dms_RPT),dms_CRY_start_row+6),0)</f>
        <v>2031-32</v>
      </c>
      <c r="H89"/>
      <c r="I89"/>
    </row>
    <row r="90" spans="2:9">
      <c r="B90" s="395" t="s">
        <v>565</v>
      </c>
      <c r="C90" s="394">
        <v>2030</v>
      </c>
      <c r="D90" s="393" t="s">
        <v>564</v>
      </c>
      <c r="E90" s="392" t="str">
        <f ca="1">IFERROR(INDEX(INDIRECT(dms_RPT),dms_CRY_start_row+7),0)</f>
        <v>2032-33</v>
      </c>
      <c r="H90"/>
      <c r="I90"/>
    </row>
    <row r="91" spans="2:9">
      <c r="B91" s="395" t="s">
        <v>563</v>
      </c>
      <c r="C91" s="394">
        <v>2031</v>
      </c>
      <c r="D91" s="393" t="s">
        <v>562</v>
      </c>
      <c r="E91" s="392" t="str">
        <f ca="1">IFERROR(INDEX(INDIRECT(dms_RPT),dms_CRY_start_row+8),0)</f>
        <v>2033-34</v>
      </c>
      <c r="H91"/>
      <c r="I91"/>
    </row>
    <row r="92" spans="2:9">
      <c r="B92" s="395" t="s">
        <v>561</v>
      </c>
      <c r="C92" s="394">
        <v>2032</v>
      </c>
      <c r="D92" s="393" t="s">
        <v>560</v>
      </c>
      <c r="E92" s="392" t="str">
        <f ca="1">IFERROR(INDEX(INDIRECT(dms_RPT),dms_CRY_start_row+9),0)</f>
        <v>2034-35</v>
      </c>
      <c r="H92"/>
      <c r="I92"/>
    </row>
    <row r="93" spans="2:9">
      <c r="B93" s="395" t="s">
        <v>559</v>
      </c>
      <c r="C93" s="394">
        <v>2033</v>
      </c>
      <c r="D93" s="393" t="s">
        <v>558</v>
      </c>
      <c r="E93" s="392" t="str">
        <f ca="1">IFERROR(INDEX(INDIRECT(dms_RPT),dms_CRY_start_row+10),0)</f>
        <v>2035-36</v>
      </c>
      <c r="H93"/>
      <c r="I93"/>
    </row>
    <row r="94" spans="2:9">
      <c r="B94" s="395" t="s">
        <v>557</v>
      </c>
      <c r="C94" s="394">
        <v>2034</v>
      </c>
      <c r="D94" s="393" t="s">
        <v>556</v>
      </c>
      <c r="E94" s="392" t="str">
        <f ca="1">IFERROR(INDEX(INDIRECT(dms_RPT),dms_CRY_start_row+11),0)</f>
        <v>2036-37</v>
      </c>
      <c r="H94"/>
      <c r="I94"/>
    </row>
    <row r="95" spans="2:9">
      <c r="B95" s="395" t="s">
        <v>555</v>
      </c>
      <c r="C95" s="394">
        <v>2035</v>
      </c>
      <c r="D95" s="393" t="s">
        <v>554</v>
      </c>
      <c r="E95" s="392" t="str">
        <f ca="1">IFERROR(INDEX(INDIRECT(dms_RPT),dms_CRY_start_row+12),0)</f>
        <v>2037-38</v>
      </c>
      <c r="H95"/>
      <c r="I95"/>
    </row>
    <row r="96" spans="2:9">
      <c r="B96" s="395" t="s">
        <v>553</v>
      </c>
      <c r="C96" s="394">
        <v>2036</v>
      </c>
      <c r="D96" s="393" t="s">
        <v>552</v>
      </c>
      <c r="E96" s="392" t="str">
        <f ca="1">IFERROR(INDEX(INDIRECT(dms_RPT),dms_CRY_start_row+13),0)</f>
        <v>2038-39</v>
      </c>
      <c r="H96"/>
      <c r="I96"/>
    </row>
    <row r="97" spans="2:21">
      <c r="B97" s="395" t="s">
        <v>551</v>
      </c>
      <c r="C97" s="394">
        <v>2037</v>
      </c>
      <c r="D97" s="393" t="s">
        <v>550</v>
      </c>
      <c r="E97" s="392" t="str">
        <f ca="1">IFERROR(INDEX(INDIRECT(dms_RPT),dms_CRY_start_row+14),0)</f>
        <v>2039-40</v>
      </c>
      <c r="H97"/>
      <c r="I97"/>
    </row>
    <row r="98" spans="2:21">
      <c r="B98" s="395" t="s">
        <v>549</v>
      </c>
      <c r="C98" s="394">
        <v>2038</v>
      </c>
      <c r="D98" s="393" t="s">
        <v>548</v>
      </c>
      <c r="E98" s="392" t="str">
        <f ca="1">IFERROR(INDEX(INDIRECT(dms_RPT),dms_CRY_start_row+15),0)</f>
        <v>2040-41</v>
      </c>
      <c r="H98"/>
      <c r="I98"/>
    </row>
    <row r="99" spans="2:21">
      <c r="B99" s="395" t="s">
        <v>547</v>
      </c>
      <c r="C99" s="394">
        <v>2039</v>
      </c>
      <c r="D99" s="393" t="s">
        <v>546</v>
      </c>
      <c r="E99" s="392" t="str">
        <f ca="1">IFERROR(INDEX(INDIRECT(dms_RPT),dms_CRY_start_row+16),0)</f>
        <v>2041-42</v>
      </c>
      <c r="H99"/>
      <c r="I99"/>
    </row>
    <row r="100" spans="2:21">
      <c r="B100" s="395" t="s">
        <v>545</v>
      </c>
      <c r="C100" s="394">
        <v>2040</v>
      </c>
      <c r="D100" s="393" t="s">
        <v>544</v>
      </c>
      <c r="E100" s="392" t="str">
        <f ca="1">IFERROR(INDEX(INDIRECT(dms_RPT),dms_CRY_start_row+17),0)</f>
        <v>2042-43</v>
      </c>
      <c r="H100"/>
      <c r="I100"/>
    </row>
    <row r="101" spans="2:21">
      <c r="B101" s="395" t="s">
        <v>543</v>
      </c>
      <c r="C101" s="394">
        <v>2041</v>
      </c>
      <c r="D101" s="393" t="s">
        <v>542</v>
      </c>
      <c r="E101" s="392" t="str">
        <f ca="1">IFERROR(INDEX(INDIRECT(dms_RPT),dms_CRY_start_row+18),0)</f>
        <v>2043-44</v>
      </c>
      <c r="H101"/>
      <c r="I101"/>
    </row>
    <row r="102" spans="2:21">
      <c r="B102" s="395" t="s">
        <v>541</v>
      </c>
      <c r="C102" s="394">
        <v>2042</v>
      </c>
      <c r="D102" s="393" t="s">
        <v>540</v>
      </c>
      <c r="E102" s="392" t="str">
        <f ca="1">IFERROR(INDEX(INDIRECT(dms_RPT),dms_CRY_start_row+19),0)</f>
        <v>2044-45</v>
      </c>
      <c r="H102"/>
      <c r="I102"/>
    </row>
    <row r="103" spans="2:21">
      <c r="B103" s="395" t="s">
        <v>539</v>
      </c>
      <c r="C103" s="394">
        <v>2043</v>
      </c>
      <c r="D103" s="393" t="s">
        <v>538</v>
      </c>
      <c r="E103" s="392" t="str">
        <f ca="1">IFERROR(INDEX(INDIRECT(dms_RPT),dms_CRY_start_row+20),0)</f>
        <v>2045-46</v>
      </c>
      <c r="H103"/>
      <c r="I103"/>
    </row>
    <row r="104" spans="2:21">
      <c r="B104" s="395" t="s">
        <v>537</v>
      </c>
      <c r="C104" s="394">
        <v>2044</v>
      </c>
      <c r="D104" s="393" t="s">
        <v>536</v>
      </c>
      <c r="E104" s="392" t="str">
        <f ca="1">IFERROR(INDEX(INDIRECT(dms_RPT),dms_CRY_start_row+21),0)</f>
        <v>2046-47</v>
      </c>
      <c r="H104"/>
      <c r="I104"/>
    </row>
    <row r="105" spans="2:21">
      <c r="B105" s="395" t="s">
        <v>535</v>
      </c>
      <c r="C105" s="394">
        <v>2045</v>
      </c>
      <c r="D105" s="393" t="s">
        <v>534</v>
      </c>
      <c r="E105" s="392" t="str">
        <f ca="1">IFERROR(INDEX(INDIRECT(dms_RPT),dms_CRY_start_row+22),0)</f>
        <v>2047-48</v>
      </c>
      <c r="H105"/>
      <c r="I105"/>
    </row>
    <row r="106" spans="2:21">
      <c r="B106" s="395" t="s">
        <v>533</v>
      </c>
      <c r="C106" s="394">
        <v>2046</v>
      </c>
      <c r="D106" s="393" t="s">
        <v>532</v>
      </c>
      <c r="E106" s="392" t="str">
        <f ca="1">IFERROR(INDEX(INDIRECT(dms_RPT),dms_CRY_start_row+23),0)</f>
        <v>2048-49</v>
      </c>
      <c r="H106"/>
      <c r="I106"/>
    </row>
    <row r="107" spans="2:21">
      <c r="B107" s="388" t="s">
        <v>531</v>
      </c>
      <c r="C107" s="387">
        <v>2047</v>
      </c>
      <c r="D107" s="393" t="s">
        <v>530</v>
      </c>
      <c r="E107" s="392" t="str">
        <f ca="1">IFERROR(INDEX(INDIRECT(dms_RPT),dms_CRY_start_row+24),0)</f>
        <v>2049-50</v>
      </c>
      <c r="H107"/>
      <c r="I107"/>
    </row>
    <row r="108" spans="2:21" ht="15" thickBot="1">
      <c r="B108" s="388" t="s">
        <v>529</v>
      </c>
      <c r="C108" s="387">
        <v>2048</v>
      </c>
      <c r="D108" s="391" t="s">
        <v>528</v>
      </c>
      <c r="E108" s="390">
        <f ca="1">IFERROR(INDEX(INDIRECT(dms_RPT),dms_CRY_start_row+25),0)</f>
        <v>0</v>
      </c>
    </row>
    <row r="109" spans="2:21">
      <c r="B109" s="388" t="s">
        <v>527</v>
      </c>
      <c r="C109" s="387" t="s">
        <v>526</v>
      </c>
      <c r="E109" s="389"/>
      <c r="O109"/>
      <c r="P109"/>
      <c r="Q109"/>
      <c r="R109"/>
      <c r="S109"/>
      <c r="T109"/>
      <c r="U109"/>
    </row>
    <row r="110" spans="2:21">
      <c r="B110" s="388" t="s">
        <v>525</v>
      </c>
      <c r="C110" s="387" t="s">
        <v>524</v>
      </c>
      <c r="H110"/>
      <c r="I110"/>
      <c r="J110"/>
      <c r="K110"/>
      <c r="L110"/>
      <c r="O110"/>
      <c r="P110"/>
      <c r="Q110"/>
      <c r="R110"/>
      <c r="S110"/>
      <c r="T110"/>
      <c r="U110"/>
    </row>
    <row r="111" spans="2:21">
      <c r="B111" s="388"/>
      <c r="C111" s="387"/>
      <c r="H111"/>
      <c r="I111"/>
      <c r="J111"/>
      <c r="K111"/>
      <c r="L111"/>
      <c r="O111"/>
      <c r="P111"/>
      <c r="Q111"/>
      <c r="R111"/>
      <c r="S111"/>
      <c r="T111"/>
      <c r="U111"/>
    </row>
    <row r="112" spans="2:21">
      <c r="B112" s="388"/>
      <c r="C112" s="387"/>
      <c r="H112"/>
      <c r="I112"/>
      <c r="J112"/>
      <c r="K112"/>
      <c r="L112"/>
    </row>
    <row r="113" spans="2:3">
      <c r="B113" s="388"/>
      <c r="C113" s="387"/>
    </row>
    <row r="114" spans="2:3">
      <c r="B114" s="388"/>
      <c r="C114" s="387"/>
    </row>
    <row r="115" spans="2:3">
      <c r="B115" s="388"/>
      <c r="C115" s="387"/>
    </row>
    <row r="116" spans="2:3">
      <c r="B116" s="388"/>
      <c r="C116" s="387"/>
    </row>
    <row r="117" spans="2:3" ht="15" thickBot="1">
      <c r="B117" s="386"/>
      <c r="C117" s="385"/>
    </row>
  </sheetData>
  <mergeCells count="8">
    <mergeCell ref="AL6:AL8"/>
    <mergeCell ref="BJ14:CE14"/>
    <mergeCell ref="Z5:AK5"/>
    <mergeCell ref="B27:E27"/>
    <mergeCell ref="Z6:AC6"/>
    <mergeCell ref="AK6:AK8"/>
    <mergeCell ref="AE6:AI8"/>
    <mergeCell ref="AJ6:AJ8"/>
  </mergeCells>
  <conditionalFormatting sqref="Z10:AD24">
    <cfRule type="containsText" dxfId="16" priority="5" operator="containsText" text="YES">
      <formula>NOT(ISERROR(SEARCH("YES",Z10)))</formula>
    </cfRule>
  </conditionalFormatting>
  <conditionalFormatting sqref="AE10:AJ24">
    <cfRule type="expression" dxfId="15" priority="2">
      <formula>Z10="YES"</formula>
    </cfRule>
  </conditionalFormatting>
  <conditionalFormatting sqref="AK10:AK24">
    <cfRule type="cellIs" dxfId="14" priority="4" operator="equal">
      <formula>"YES"</formula>
    </cfRule>
  </conditionalFormatting>
  <pageMargins left="0.7" right="0.7" top="0.75" bottom="0.75" header="0.3" footer="0.3"/>
  <pageSetup paperSize="9"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B81F9-2B6F-4897-9B74-BCC712520FE3}">
  <sheetPr codeName="Sheet5">
    <tabColor theme="1"/>
    <pageSetUpPr autoPageBreaks="0"/>
  </sheetPr>
  <dimension ref="A1:CL154"/>
  <sheetViews>
    <sheetView workbookViewId="0"/>
  </sheetViews>
  <sheetFormatPr defaultColWidth="9.1796875" defaultRowHeight="14.5"/>
  <cols>
    <col min="1" max="1" width="36.26953125" customWidth="1"/>
    <col min="2" max="2" width="44.54296875" style="97" customWidth="1"/>
    <col min="3" max="3" width="24.1796875" style="97" customWidth="1"/>
    <col min="4" max="4" width="33.453125" style="97" customWidth="1"/>
    <col min="5" max="7" width="17.26953125" style="97" customWidth="1"/>
    <col min="8" max="9" width="13.26953125" style="97" customWidth="1"/>
    <col min="10" max="12" width="13.7265625" customWidth="1"/>
    <col min="13" max="16384" width="9.1796875" style="97"/>
  </cols>
  <sheetData>
    <row r="1" spans="1:51" customFormat="1" ht="51" customHeight="1">
      <c r="B1" s="28" t="s">
        <v>870</v>
      </c>
      <c r="C1" s="29"/>
      <c r="D1" s="29"/>
      <c r="E1" s="29"/>
      <c r="F1" s="29"/>
      <c r="G1" s="29"/>
      <c r="H1" s="29"/>
      <c r="I1" s="29"/>
      <c r="J1" s="29"/>
      <c r="K1" s="29"/>
    </row>
    <row r="2" spans="1:51" customFormat="1" ht="24.75" customHeight="1"/>
    <row r="3" spans="1:51" ht="20">
      <c r="B3" s="517" t="s">
        <v>871</v>
      </c>
      <c r="C3" s="518" t="s">
        <v>872</v>
      </c>
      <c r="D3" s="519" t="s">
        <v>873</v>
      </c>
      <c r="E3" s="520"/>
      <c r="F3" s="520"/>
      <c r="G3" s="520"/>
      <c r="H3" s="520"/>
      <c r="I3" s="520"/>
      <c r="J3" s="520"/>
      <c r="K3" s="520"/>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 thickBot="1">
      <c r="B4" s="521"/>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522" t="s">
        <v>874</v>
      </c>
      <c r="C5" s="516"/>
      <c r="D5" s="523"/>
      <c r="E5" s="516"/>
      <c r="F5" s="516"/>
      <c r="G5" s="516"/>
      <c r="H5" s="516"/>
      <c r="I5" s="508"/>
    </row>
    <row r="6" spans="1:51" customFormat="1">
      <c r="B6" s="524" t="s">
        <v>875</v>
      </c>
      <c r="D6" s="97"/>
      <c r="E6" s="97"/>
      <c r="F6" s="97"/>
      <c r="G6" s="97"/>
      <c r="H6" s="97"/>
      <c r="I6" s="525"/>
    </row>
    <row r="7" spans="1:51" customFormat="1" ht="15" thickBot="1">
      <c r="B7" s="526" t="s">
        <v>876</v>
      </c>
      <c r="C7" s="512"/>
      <c r="D7" s="527"/>
      <c r="E7" s="527"/>
      <c r="F7" s="527"/>
      <c r="G7" s="527"/>
      <c r="H7" s="527"/>
      <c r="I7" s="528"/>
    </row>
    <row r="8" spans="1:51" customFormat="1" ht="15" thickBot="1">
      <c r="B8" s="513"/>
      <c r="C8" s="513"/>
      <c r="D8" s="513"/>
      <c r="E8" s="513"/>
      <c r="F8" s="513"/>
      <c r="G8" s="513"/>
      <c r="H8" s="513"/>
      <c r="I8" s="513"/>
    </row>
    <row r="9" spans="1:51" customFormat="1">
      <c r="A9" s="529"/>
      <c r="B9" s="530" t="s">
        <v>877</v>
      </c>
      <c r="C9" s="531" t="str">
        <f>INDEX(dms_TradingNameFull_List,MATCH(dms_TradingName,dms_TradingName_List))</f>
        <v>Power and Water Corporation</v>
      </c>
      <c r="D9" s="532"/>
      <c r="E9" s="533" t="s">
        <v>878</v>
      </c>
      <c r="F9" s="534"/>
      <c r="G9" s="534"/>
      <c r="H9" s="534"/>
      <c r="I9" s="535"/>
    </row>
    <row r="10" spans="1:51" customFormat="1">
      <c r="B10" s="530" t="s">
        <v>879</v>
      </c>
      <c r="C10" s="531" t="str">
        <f>dms_TradingName</f>
        <v>Power and Water</v>
      </c>
      <c r="D10" s="532"/>
      <c r="E10" s="533"/>
      <c r="F10" s="534"/>
      <c r="G10" s="534"/>
      <c r="H10" s="534"/>
      <c r="I10" s="535"/>
    </row>
    <row r="11" spans="1:51" customFormat="1">
      <c r="B11" s="530" t="s">
        <v>880</v>
      </c>
      <c r="C11" s="531" t="str">
        <f>INDEX(dms_UID_List,MATCH(dms_TradingName,dms_TradingName_List))</f>
        <v>EDDNTY100</v>
      </c>
      <c r="D11" s="532"/>
      <c r="E11" s="533"/>
      <c r="F11" s="534"/>
      <c r="G11" s="534"/>
      <c r="H11" s="534"/>
      <c r="I11" s="535"/>
    </row>
    <row r="12" spans="1:51" customFormat="1">
      <c r="A12" s="536" t="s">
        <v>881</v>
      </c>
      <c r="B12" s="537" t="s">
        <v>882</v>
      </c>
      <c r="C12" s="538" t="s">
        <v>1225</v>
      </c>
      <c r="D12" s="539" t="s">
        <v>883</v>
      </c>
      <c r="E12" s="540"/>
      <c r="F12" s="541"/>
      <c r="G12" s="541"/>
      <c r="H12" s="541"/>
      <c r="I12" s="542"/>
    </row>
    <row r="13" spans="1:51" customFormat="1">
      <c r="A13" s="1266" t="s">
        <v>884</v>
      </c>
      <c r="B13" s="530" t="s">
        <v>9</v>
      </c>
      <c r="C13" s="543" t="s">
        <v>248</v>
      </c>
      <c r="D13" s="533" t="s">
        <v>885</v>
      </c>
      <c r="E13" s="544" t="str">
        <f>IF(dms_Model="Reset", "Make sure you have set Reg Proposal as source","")</f>
        <v/>
      </c>
      <c r="F13" s="534"/>
      <c r="G13" s="534"/>
      <c r="H13" s="534"/>
      <c r="I13" s="535"/>
    </row>
    <row r="14" spans="1:51" customFormat="1">
      <c r="A14" s="1267"/>
      <c r="B14" s="530" t="s">
        <v>886</v>
      </c>
      <c r="C14" s="531" t="s">
        <v>2</v>
      </c>
      <c r="D14" s="533" t="s">
        <v>887</v>
      </c>
      <c r="E14" s="1269"/>
      <c r="F14" s="1269"/>
      <c r="G14" s="1269"/>
      <c r="H14" s="1269"/>
      <c r="I14" s="1270"/>
    </row>
    <row r="15" spans="1:51" customFormat="1">
      <c r="A15" s="1267"/>
      <c r="B15" s="530" t="s">
        <v>888</v>
      </c>
      <c r="C15" s="531" t="s">
        <v>3</v>
      </c>
      <c r="D15" s="533" t="s">
        <v>889</v>
      </c>
      <c r="E15" s="545"/>
      <c r="F15" s="545"/>
      <c r="G15" s="545"/>
      <c r="H15" s="545"/>
      <c r="I15" s="546"/>
    </row>
    <row r="16" spans="1:51" customFormat="1" ht="39" customHeight="1">
      <c r="A16" s="1267"/>
      <c r="B16" s="547" t="s">
        <v>890</v>
      </c>
      <c r="C16" s="1271" t="str">
        <f>dms_Amendment_Text</f>
        <v>.</v>
      </c>
      <c r="D16" s="1271"/>
      <c r="E16" s="1271"/>
      <c r="F16" s="548" t="s">
        <v>891</v>
      </c>
      <c r="G16" s="545"/>
      <c r="H16" s="545"/>
      <c r="I16" s="546"/>
    </row>
    <row r="17" spans="1:11" customFormat="1" ht="15" customHeight="1" thickBot="1">
      <c r="A17" s="1268"/>
      <c r="B17" s="549" t="s">
        <v>892</v>
      </c>
      <c r="C17" s="550" t="str">
        <f>dms_Typed_Submission_Date</f>
        <v>dd/mm/yyyy</v>
      </c>
      <c r="D17" s="551" t="s">
        <v>893</v>
      </c>
      <c r="E17" s="552"/>
      <c r="F17" s="553"/>
      <c r="G17" s="553"/>
      <c r="H17" s="553"/>
      <c r="I17" s="554"/>
    </row>
    <row r="18" spans="1:11" customFormat="1" ht="15" customHeight="1" thickBot="1">
      <c r="B18" s="97"/>
      <c r="C18" s="97"/>
      <c r="D18" s="97"/>
      <c r="E18" s="97"/>
      <c r="F18" s="97"/>
      <c r="G18" s="97"/>
      <c r="H18" s="97"/>
      <c r="I18" s="97"/>
    </row>
    <row r="19" spans="1:11" customFormat="1" ht="15" thickBot="1">
      <c r="A19" s="536" t="s">
        <v>894</v>
      </c>
      <c r="B19" s="555" t="s">
        <v>895</v>
      </c>
      <c r="C19" s="556" t="s">
        <v>896</v>
      </c>
      <c r="D19" s="557"/>
      <c r="E19" s="557"/>
      <c r="F19" s="557"/>
      <c r="G19" s="557"/>
      <c r="H19" s="557"/>
      <c r="I19" s="558"/>
      <c r="J19" s="512"/>
      <c r="K19" s="512"/>
    </row>
    <row r="20" spans="1:11" customFormat="1">
      <c r="A20" s="1272" t="s">
        <v>897</v>
      </c>
      <c r="B20" s="559" t="s">
        <v>898</v>
      </c>
      <c r="C20" s="560" t="s">
        <v>2</v>
      </c>
      <c r="D20" s="561" t="s">
        <v>899</v>
      </c>
      <c r="E20" s="562" t="s">
        <v>900</v>
      </c>
      <c r="F20" s="563"/>
      <c r="G20" s="563"/>
      <c r="H20" s="563"/>
      <c r="I20" s="563"/>
      <c r="J20" s="564"/>
      <c r="K20" s="565"/>
    </row>
    <row r="21" spans="1:11" s="426" customFormat="1">
      <c r="A21" s="1273"/>
      <c r="B21" s="566" t="s">
        <v>121</v>
      </c>
      <c r="C21" s="567" t="str">
        <f>INDEX(dms_Sector_List,MATCH(dms_TradingName,dms_TradingName_List))</f>
        <v>Electricity</v>
      </c>
      <c r="D21" s="568" t="s">
        <v>901</v>
      </c>
      <c r="E21" s="569" t="s">
        <v>902</v>
      </c>
      <c r="F21" s="570"/>
      <c r="G21" s="570"/>
      <c r="H21" s="570"/>
      <c r="I21" s="570"/>
      <c r="J21" s="571"/>
      <c r="K21" s="572"/>
    </row>
    <row r="22" spans="1:11" customFormat="1">
      <c r="A22" s="1273"/>
      <c r="B22" s="566" t="s">
        <v>122</v>
      </c>
      <c r="C22" s="573" t="str">
        <f>INDEX(dms_Segment_List,MATCH(dms_TradingName,dms_TradingName_List))</f>
        <v>Distribution</v>
      </c>
      <c r="D22" s="568" t="s">
        <v>903</v>
      </c>
      <c r="E22" s="569" t="s">
        <v>904</v>
      </c>
      <c r="F22" s="570"/>
      <c r="G22" s="570"/>
      <c r="H22" s="570"/>
      <c r="I22" s="570"/>
      <c r="J22" s="571"/>
      <c r="K22" s="572"/>
    </row>
    <row r="23" spans="1:11" customFormat="1">
      <c r="A23" s="1273"/>
      <c r="B23" s="566" t="s">
        <v>905</v>
      </c>
      <c r="C23" s="567" t="str">
        <f>IF(dms_MultiYear_Flag=1,LEFT(dms_Specified_FinalYear,2)&amp;RIGHT(dms_Specified_FinalYear,2),dms_RYE_result)</f>
        <v>2026</v>
      </c>
      <c r="D23" s="568" t="s">
        <v>906</v>
      </c>
      <c r="E23" s="569" t="s">
        <v>907</v>
      </c>
      <c r="F23" s="570"/>
      <c r="G23" s="570"/>
      <c r="H23" s="570"/>
      <c r="I23" s="570"/>
      <c r="J23" s="571"/>
      <c r="K23" s="572"/>
    </row>
    <row r="24" spans="1:11" customFormat="1">
      <c r="A24" s="1273"/>
      <c r="B24" s="566" t="s">
        <v>908</v>
      </c>
      <c r="C24" s="573" t="str">
        <f>INDEX(dms_RPT_List,MATCH(dms_TradingName,dms_TradingName_List))</f>
        <v>Financial</v>
      </c>
      <c r="D24" s="568" t="s">
        <v>909</v>
      </c>
      <c r="E24" s="569" t="s">
        <v>910</v>
      </c>
      <c r="F24" s="570"/>
      <c r="G24" s="570"/>
      <c r="H24" s="570"/>
      <c r="I24" s="570"/>
      <c r="J24" s="571"/>
      <c r="K24" s="572"/>
    </row>
    <row r="25" spans="1:11" ht="18">
      <c r="A25" s="1273"/>
      <c r="B25" s="566" t="s">
        <v>911</v>
      </c>
      <c r="C25" s="574" t="s">
        <v>392</v>
      </c>
      <c r="D25" s="568" t="s">
        <v>912</v>
      </c>
      <c r="E25" s="575" t="str">
        <f>IF(dms_SingleYearModel="yes","This is set to an historical template (EB, CA or ARR), apply UOM Named Range to cell !","This is not an historical template, make sure UOM Named Range is not applied")</f>
        <v>This is not an historical template, make sure UOM Named Range is not applied</v>
      </c>
      <c r="F25" s="576"/>
      <c r="G25" s="576"/>
      <c r="H25" s="576"/>
      <c r="I25" s="576"/>
      <c r="J25" s="577" t="s">
        <v>392</v>
      </c>
      <c r="K25" s="578"/>
    </row>
    <row r="26" spans="1:11" customFormat="1">
      <c r="A26" s="1273"/>
      <c r="B26" s="566" t="s">
        <v>913</v>
      </c>
      <c r="C26" s="573" t="s">
        <v>3</v>
      </c>
      <c r="D26" s="579" t="s">
        <v>914</v>
      </c>
      <c r="E26" s="580" t="s">
        <v>915</v>
      </c>
      <c r="F26" s="570"/>
      <c r="G26" s="570"/>
      <c r="H26" s="570"/>
      <c r="I26" s="570"/>
      <c r="J26" s="571"/>
      <c r="K26" s="572"/>
    </row>
    <row r="27" spans="1:11" customFormat="1" ht="15.75" customHeight="1" thickBot="1">
      <c r="A27" s="1274"/>
      <c r="B27" s="581" t="s">
        <v>916</v>
      </c>
      <c r="C27" s="582" t="str">
        <f>INDEX(dms_JurisdictionList,MATCH(dms_TradingName,dms_TradingName_List))</f>
        <v>NT</v>
      </c>
      <c r="D27" s="583" t="s">
        <v>917</v>
      </c>
      <c r="E27" s="584" t="s">
        <v>918</v>
      </c>
      <c r="F27" s="585"/>
      <c r="G27" s="585"/>
      <c r="H27" s="585"/>
      <c r="I27" s="585"/>
      <c r="J27" s="586"/>
      <c r="K27" s="587"/>
    </row>
    <row r="28" spans="1:11" customFormat="1" ht="22.5" customHeight="1" thickBot="1">
      <c r="A28" s="1275" t="s">
        <v>919</v>
      </c>
      <c r="B28" s="588" t="s">
        <v>920</v>
      </c>
      <c r="C28" s="589"/>
      <c r="D28" s="589"/>
      <c r="E28" s="590"/>
      <c r="F28" s="591"/>
      <c r="G28" s="591"/>
      <c r="H28" s="591"/>
      <c r="I28" s="591"/>
      <c r="J28" s="591"/>
      <c r="K28" s="592"/>
    </row>
    <row r="29" spans="1:11" s="18" customFormat="1" ht="22.5" customHeight="1">
      <c r="A29" s="1276"/>
      <c r="B29" s="593" t="s">
        <v>921</v>
      </c>
      <c r="C29" s="594" t="str">
        <f>IFERROR(CRY,"NO")</f>
        <v>2025-26</v>
      </c>
      <c r="D29" s="595"/>
      <c r="E29" s="596"/>
      <c r="F29" s="596"/>
      <c r="G29" s="596"/>
      <c r="H29" s="596"/>
      <c r="I29" s="596"/>
      <c r="J29" s="596"/>
      <c r="K29" s="597"/>
    </row>
    <row r="30" spans="1:11" customFormat="1">
      <c r="A30" s="1276"/>
      <c r="B30" s="598" t="s">
        <v>922</v>
      </c>
      <c r="C30" s="574" t="str">
        <f>IFERROR(IF(dms_RPT="calendar",CRY-1,LEFT(CRY,4)),"CRY not present")</f>
        <v>2025</v>
      </c>
      <c r="D30" s="599" t="s">
        <v>923</v>
      </c>
      <c r="E30" s="600" t="s">
        <v>924</v>
      </c>
      <c r="F30" s="599"/>
      <c r="G30" s="599"/>
      <c r="H30" s="599"/>
      <c r="I30" s="599"/>
      <c r="J30" s="601"/>
      <c r="K30" s="602"/>
    </row>
    <row r="31" spans="1:11" customFormat="1">
      <c r="A31" s="1276"/>
      <c r="B31" s="603" t="s">
        <v>925</v>
      </c>
      <c r="C31" s="573" t="str">
        <f>INDEX(dms_RPTMonth_List,MATCH(dms_TradingName,dms_TradingName_List))</f>
        <v>June</v>
      </c>
      <c r="D31" s="579" t="s">
        <v>926</v>
      </c>
      <c r="E31" s="568" t="s">
        <v>927</v>
      </c>
      <c r="F31" s="579"/>
      <c r="G31" s="579"/>
      <c r="H31" s="579"/>
      <c r="I31" s="579"/>
      <c r="J31" s="604"/>
      <c r="K31" s="605"/>
    </row>
    <row r="32" spans="1:11" customFormat="1" ht="14.25" customHeight="1">
      <c r="A32" s="1276"/>
      <c r="B32" s="603" t="s">
        <v>928</v>
      </c>
      <c r="C32" s="606" t="e">
        <f ca="1">IF(dms_Model="RFM",dms_DollarReal_Prev, IF(dms_SingleYearModel="yes",CONCATENATE(dms_RPTMonth)&amp;" "&amp;VALUE((LEFT(dms_CRY_start_year,2)&amp;RIGHT(dms_CRY_start_year,2))),CONCATENATE(dms_RPTMonth)&amp;" "&amp;dms_DollarReal_year))</f>
        <v>#REF!</v>
      </c>
      <c r="D32" s="568" t="s">
        <v>929</v>
      </c>
      <c r="E32" s="568" t="s">
        <v>930</v>
      </c>
      <c r="F32" s="579"/>
      <c r="G32" s="579"/>
      <c r="H32" s="579"/>
      <c r="I32" s="579"/>
      <c r="J32" s="604"/>
      <c r="K32" s="605"/>
    </row>
    <row r="33" spans="1:90" customFormat="1" ht="24" customHeight="1" thickBot="1">
      <c r="A33" s="1277"/>
      <c r="B33" s="607" t="s">
        <v>931</v>
      </c>
      <c r="C33" s="608" t="e">
        <f ca="1">CONCATENATE(dms_RPTMonth)&amp;" "&amp;dms_Previous_DollarReal_year</f>
        <v>#REF!</v>
      </c>
      <c r="D33" s="583" t="s">
        <v>932</v>
      </c>
      <c r="E33" s="583" t="s">
        <v>933</v>
      </c>
      <c r="F33" s="609"/>
      <c r="G33" s="609"/>
      <c r="H33" s="609"/>
      <c r="I33" s="609"/>
      <c r="J33" s="610"/>
      <c r="K33" s="611"/>
    </row>
    <row r="34" spans="1:90" customFormat="1" ht="24" customHeight="1" thickBot="1">
      <c r="B34" s="612" t="s">
        <v>934</v>
      </c>
      <c r="C34" s="613"/>
      <c r="D34" s="613"/>
      <c r="E34" s="613"/>
      <c r="F34" s="614"/>
      <c r="G34" s="614"/>
      <c r="H34" s="614"/>
      <c r="I34" s="614"/>
      <c r="J34" s="614"/>
      <c r="K34" s="615"/>
      <c r="AL34" s="1220"/>
      <c r="AM34" s="1220"/>
      <c r="AN34" s="1220"/>
      <c r="AO34" s="1220"/>
      <c r="AP34" s="1220"/>
      <c r="AQ34" s="1220"/>
      <c r="AR34" s="1220"/>
      <c r="AS34" s="1220"/>
      <c r="AT34" s="1220"/>
      <c r="AU34" s="1220"/>
      <c r="AV34" s="1220"/>
      <c r="AW34" s="1220"/>
      <c r="AX34" s="1220"/>
      <c r="AY34" s="1220"/>
      <c r="AZ34" s="1220"/>
      <c r="BA34" s="1220"/>
      <c r="BB34" s="1220"/>
      <c r="BC34" s="1220"/>
      <c r="BD34" s="1220"/>
      <c r="BE34" s="1220"/>
      <c r="BF34" s="1220"/>
      <c r="BG34" s="1220"/>
      <c r="BQ34" s="1220"/>
      <c r="BR34" s="1220"/>
      <c r="BS34" s="1220"/>
      <c r="BT34" s="1220"/>
      <c r="BU34" s="1220"/>
      <c r="BV34" s="1220"/>
      <c r="BW34" s="1220"/>
      <c r="BX34" s="1220"/>
      <c r="BY34" s="1220"/>
      <c r="BZ34" s="1220"/>
      <c r="CA34" s="1220"/>
      <c r="CB34" s="1220"/>
      <c r="CC34" s="1220"/>
      <c r="CD34" s="1220"/>
      <c r="CE34" s="1220"/>
      <c r="CF34" s="1220"/>
      <c r="CG34" s="1220"/>
      <c r="CH34" s="1220"/>
      <c r="CI34" s="1220"/>
      <c r="CJ34" s="1220"/>
      <c r="CK34" s="1220"/>
      <c r="CL34" s="1220"/>
    </row>
    <row r="35" spans="1:90" s="18" customFormat="1" ht="30.75" customHeight="1" thickBot="1">
      <c r="B35" s="616" t="s">
        <v>935</v>
      </c>
      <c r="C35" s="617" t="str">
        <f>INDEX(dms_FormControl_List,MATCH(dms_TradingName,dms_TradingName_List))</f>
        <v>Revenue cap</v>
      </c>
      <c r="D35" s="600" t="s">
        <v>936</v>
      </c>
      <c r="E35" s="618" t="s">
        <v>937</v>
      </c>
      <c r="F35" s="619"/>
      <c r="G35" s="619"/>
      <c r="H35" s="619"/>
      <c r="I35" s="619"/>
      <c r="J35" s="620"/>
      <c r="K35" s="621"/>
      <c r="AL35" s="1220"/>
      <c r="AM35" s="1220"/>
      <c r="AN35" s="1220"/>
      <c r="AO35" s="1220"/>
      <c r="AP35" s="1220"/>
      <c r="AQ35" s="1220"/>
      <c r="AR35" s="1220"/>
      <c r="AS35" s="1220"/>
      <c r="AT35" s="1220"/>
      <c r="AU35" s="1220"/>
      <c r="AV35" s="1220"/>
      <c r="AW35" s="1220"/>
      <c r="AX35" s="1220"/>
      <c r="AY35" s="1220"/>
      <c r="AZ35" s="1220"/>
      <c r="BA35" s="1220"/>
      <c r="BB35" s="1220"/>
      <c r="BC35" s="1220"/>
      <c r="BD35" s="1220"/>
      <c r="BE35" s="1220"/>
      <c r="BF35" s="1220"/>
      <c r="BG35" s="1220"/>
      <c r="BQ35" s="1220"/>
      <c r="BR35" s="1220"/>
      <c r="BS35" s="1220"/>
      <c r="BT35" s="1220"/>
      <c r="BU35" s="1220"/>
      <c r="BV35" s="1220"/>
      <c r="BW35" s="1220"/>
      <c r="BX35" s="1220"/>
      <c r="BY35" s="1220"/>
      <c r="BZ35" s="1220"/>
      <c r="CA35" s="1220"/>
      <c r="CB35" s="1220"/>
      <c r="CC35" s="1220"/>
      <c r="CD35" s="1220"/>
      <c r="CE35" s="1220"/>
      <c r="CF35" s="1220"/>
      <c r="CG35" s="1220"/>
      <c r="CH35" s="1220"/>
      <c r="CI35" s="1220"/>
      <c r="CJ35" s="1220"/>
      <c r="CK35" s="1220"/>
      <c r="CL35" s="1220"/>
    </row>
    <row r="36" spans="1:90" customFormat="1" ht="24" customHeight="1" thickBot="1">
      <c r="A36" s="1264" t="s">
        <v>938</v>
      </c>
      <c r="B36" s="622" t="s">
        <v>939</v>
      </c>
      <c r="C36" s="623"/>
      <c r="D36" s="590"/>
      <c r="E36" s="590"/>
      <c r="F36" s="591"/>
      <c r="G36" s="591"/>
      <c r="H36" s="591"/>
      <c r="I36" s="591"/>
      <c r="J36" s="591"/>
      <c r="K36" s="592"/>
      <c r="AL36" s="1220"/>
      <c r="AM36" s="1220"/>
      <c r="AN36" s="1220"/>
      <c r="AO36" s="1220"/>
      <c r="AP36" s="1220"/>
      <c r="AQ36" s="1220"/>
      <c r="AR36" s="1220"/>
      <c r="AS36" s="1220"/>
      <c r="AT36" s="1220"/>
      <c r="AU36" s="1220"/>
      <c r="AV36" s="1220"/>
      <c r="AW36" s="1220"/>
      <c r="AX36" s="1220"/>
      <c r="AY36" s="1220"/>
      <c r="AZ36" s="1220"/>
      <c r="BA36" s="1220"/>
      <c r="BB36" s="1220"/>
      <c r="BC36" s="1220"/>
      <c r="BD36" s="1220"/>
      <c r="BE36" s="1220"/>
      <c r="BF36" s="1220"/>
      <c r="BG36" s="1220"/>
      <c r="BQ36" s="1220"/>
      <c r="BR36" s="1220"/>
      <c r="BS36" s="1220"/>
      <c r="BT36" s="1220"/>
      <c r="BU36" s="1220"/>
      <c r="BV36" s="1220"/>
      <c r="BW36" s="1220"/>
      <c r="BX36" s="1220"/>
      <c r="BY36" s="1220"/>
      <c r="BZ36" s="1220"/>
      <c r="CA36" s="1220"/>
      <c r="CB36" s="1220"/>
      <c r="CC36" s="1220"/>
      <c r="CD36" s="1220"/>
      <c r="CE36" s="1220"/>
      <c r="CF36" s="1220"/>
      <c r="CG36" s="1220"/>
      <c r="CH36" s="1220"/>
      <c r="CI36" s="1220"/>
      <c r="CJ36" s="1220"/>
      <c r="CK36" s="1220"/>
      <c r="CL36" s="1220"/>
    </row>
    <row r="37" spans="1:90" customFormat="1">
      <c r="A37" s="1265"/>
      <c r="B37" s="624" t="s">
        <v>940</v>
      </c>
      <c r="C37" s="625" t="e">
        <f>FRCP_y1</f>
        <v>#REF!</v>
      </c>
      <c r="D37" s="626" t="s">
        <v>941</v>
      </c>
      <c r="E37" s="627" t="s">
        <v>942</v>
      </c>
      <c r="F37" s="628"/>
      <c r="G37" s="628"/>
      <c r="H37" s="628"/>
      <c r="I37" s="628"/>
      <c r="J37" s="628"/>
      <c r="K37" s="629"/>
    </row>
    <row r="38" spans="1:90" customFormat="1">
      <c r="A38" s="1265"/>
      <c r="B38" s="630" t="s">
        <v>943</v>
      </c>
      <c r="C38" s="631" t="str">
        <f>IFERROR(CRY,CRCP_y4)</f>
        <v>2025-26</v>
      </c>
      <c r="D38" s="632" t="s">
        <v>944</v>
      </c>
      <c r="E38" s="633"/>
      <c r="F38" s="634"/>
      <c r="G38" s="634"/>
      <c r="H38" s="634"/>
      <c r="I38" s="634"/>
      <c r="J38" s="634"/>
      <c r="K38" s="635"/>
    </row>
    <row r="39" spans="1:90" customFormat="1">
      <c r="A39" s="1265"/>
      <c r="B39" s="630" t="s">
        <v>945</v>
      </c>
      <c r="C39" s="631">
        <f ca="1">IFERROR(MATCH(dms_CRY_start_year,INDIRECT(dms_RPT),0),0)</f>
        <v>39</v>
      </c>
      <c r="D39" s="632" t="s">
        <v>946</v>
      </c>
      <c r="E39" s="633"/>
      <c r="F39" s="634"/>
      <c r="G39" s="634"/>
      <c r="H39" s="634"/>
      <c r="I39" s="634"/>
      <c r="J39" s="634"/>
      <c r="K39" s="635"/>
    </row>
    <row r="40" spans="1:90" customFormat="1">
      <c r="A40" s="1265"/>
      <c r="B40" s="636" t="s">
        <v>947</v>
      </c>
      <c r="C40" s="637" t="e">
        <f ca="1">MATCH(dms_start_year,INDIRECT(dms_RPT),0)</f>
        <v>#REF!</v>
      </c>
      <c r="D40" s="638" t="s">
        <v>948</v>
      </c>
      <c r="E40" s="639" t="s">
        <v>949</v>
      </c>
      <c r="F40" s="640"/>
      <c r="G40" s="640"/>
      <c r="H40" s="640"/>
      <c r="I40" s="640"/>
      <c r="J40" s="640"/>
      <c r="K40" s="641"/>
    </row>
    <row r="41" spans="1:90" customFormat="1">
      <c r="A41" s="1265"/>
      <c r="B41" s="642" t="s">
        <v>950</v>
      </c>
      <c r="C41" s="643" t="e">
        <f ca="1">dms_FRCP_start_row-dms_CRCPlength_Num</f>
        <v>#REF!</v>
      </c>
      <c r="D41" s="644" t="s">
        <v>951</v>
      </c>
      <c r="E41" s="645" t="s">
        <v>952</v>
      </c>
      <c r="F41" s="646"/>
      <c r="G41" s="646"/>
      <c r="H41" s="646"/>
      <c r="I41" s="646"/>
      <c r="J41" s="646"/>
      <c r="K41" s="647"/>
    </row>
    <row r="42" spans="1:90" customFormat="1">
      <c r="A42" s="1265"/>
      <c r="B42" s="642" t="s">
        <v>953</v>
      </c>
      <c r="C42" s="643" t="e">
        <f ca="1">dms_FRCP_start_row-dms_CRCPlength_Num-dms_PRCPlength_Num</f>
        <v>#REF!</v>
      </c>
      <c r="D42" s="644" t="s">
        <v>954</v>
      </c>
      <c r="E42" s="645" t="s">
        <v>955</v>
      </c>
      <c r="F42" s="646"/>
      <c r="G42" s="646"/>
      <c r="H42" s="646"/>
      <c r="I42" s="646"/>
      <c r="J42" s="646"/>
      <c r="K42" s="647"/>
    </row>
    <row r="43" spans="1:90" customFormat="1">
      <c r="A43" s="1265"/>
      <c r="B43" s="648" t="s">
        <v>956</v>
      </c>
      <c r="C43" s="649" t="e">
        <f ca="1">dms_FRCP_start_row+(dms_FRCPlength_Num-1)</f>
        <v>#REF!</v>
      </c>
      <c r="D43" s="650" t="s">
        <v>957</v>
      </c>
      <c r="E43" s="651" t="s">
        <v>958</v>
      </c>
      <c r="F43" s="652"/>
      <c r="G43" s="652"/>
      <c r="H43" s="652"/>
      <c r="I43" s="652"/>
      <c r="J43" s="652"/>
      <c r="K43" s="653"/>
    </row>
    <row r="44" spans="1:90" customFormat="1">
      <c r="A44" s="1265"/>
      <c r="B44" s="636" t="s">
        <v>959</v>
      </c>
      <c r="C44" s="654" t="e">
        <f ca="1">INDEX(INDIRECT(dms_RPT),dms_FRCP_start_row)</f>
        <v>#REF!</v>
      </c>
      <c r="D44" s="638" t="s">
        <v>960</v>
      </c>
      <c r="E44" s="639" t="s">
        <v>961</v>
      </c>
      <c r="F44" s="640"/>
      <c r="G44" s="640"/>
      <c r="H44" s="640"/>
      <c r="I44" s="640"/>
      <c r="J44" s="640"/>
      <c r="K44" s="641"/>
    </row>
    <row r="45" spans="1:90" customFormat="1">
      <c r="A45" s="1265"/>
      <c r="B45" s="642" t="s">
        <v>962</v>
      </c>
      <c r="C45" s="643" t="e">
        <f ca="1">INDEX(INDIRECT(dms_RPT),dms_CRCP_start_row)</f>
        <v>#REF!</v>
      </c>
      <c r="D45" s="644" t="s">
        <v>963</v>
      </c>
      <c r="E45" s="645" t="s">
        <v>964</v>
      </c>
      <c r="F45" s="646"/>
      <c r="G45" s="646"/>
      <c r="H45" s="646"/>
      <c r="I45" s="646"/>
      <c r="J45" s="646"/>
      <c r="K45" s="647"/>
    </row>
    <row r="46" spans="1:90" customFormat="1">
      <c r="A46" s="1265"/>
      <c r="B46" s="655" t="s">
        <v>965</v>
      </c>
      <c r="C46" s="656" t="e">
        <f ca="1">INDEX(INDIRECT(dms_RPT),dms_PRCP_start_row)</f>
        <v>#REF!</v>
      </c>
      <c r="D46" s="657" t="s">
        <v>966</v>
      </c>
      <c r="E46" s="651" t="s">
        <v>967</v>
      </c>
      <c r="F46" s="652"/>
      <c r="G46" s="652"/>
      <c r="H46" s="652"/>
      <c r="I46" s="652"/>
      <c r="J46" s="652"/>
      <c r="K46" s="653"/>
    </row>
    <row r="47" spans="1:90" customFormat="1">
      <c r="A47" s="1265"/>
      <c r="B47" s="636" t="s">
        <v>968</v>
      </c>
      <c r="C47" s="654" t="e">
        <f ca="1">INDEX(INDIRECT(dms_RPT),dms_FRCP_start_row+dms_FRCPlength_Num-1)</f>
        <v>#REF!</v>
      </c>
      <c r="D47" s="638" t="s">
        <v>969</v>
      </c>
      <c r="E47" s="645" t="s">
        <v>970</v>
      </c>
      <c r="F47" s="646"/>
      <c r="G47" s="646"/>
      <c r="H47" s="646"/>
      <c r="I47" s="646"/>
      <c r="J47" s="646"/>
      <c r="K47" s="647"/>
    </row>
    <row r="48" spans="1:90" customFormat="1">
      <c r="A48" s="1265"/>
      <c r="B48" s="642" t="s">
        <v>971</v>
      </c>
      <c r="C48" s="643" t="e">
        <f ca="1">INDEX(INDIRECT(dms_RPT),dms_CRCP_start_row+dms_CRCPlength_Num-1)</f>
        <v>#REF!</v>
      </c>
      <c r="D48" s="644" t="s">
        <v>972</v>
      </c>
      <c r="E48" s="645" t="s">
        <v>973</v>
      </c>
      <c r="F48" s="646"/>
      <c r="G48" s="646"/>
      <c r="H48" s="646"/>
      <c r="I48" s="646"/>
      <c r="J48" s="646"/>
      <c r="K48" s="647"/>
    </row>
    <row r="49" spans="1:11" customFormat="1">
      <c r="A49" s="1265"/>
      <c r="B49" s="655" t="s">
        <v>974</v>
      </c>
      <c r="C49" s="656" t="e">
        <f ca="1">INDEX(INDIRECT(dms_RPT),dms_PRCP_start_row+dms_FRCPlength_Num-1)</f>
        <v>#REF!</v>
      </c>
      <c r="D49" s="657" t="s">
        <v>975</v>
      </c>
      <c r="E49" s="651" t="s">
        <v>976</v>
      </c>
      <c r="F49" s="652"/>
      <c r="G49" s="652"/>
      <c r="H49" s="652"/>
      <c r="I49" s="652"/>
      <c r="J49" s="652"/>
      <c r="K49" s="653"/>
    </row>
    <row r="50" spans="1:11" customFormat="1">
      <c r="A50" s="1265"/>
      <c r="B50" s="636" t="s">
        <v>977</v>
      </c>
      <c r="C50" s="654" t="e">
        <f ca="1">INDEX(INDIRECT(dms_RPT),dms_RYE_start_row)</f>
        <v>#REF!</v>
      </c>
      <c r="D50" s="638" t="s">
        <v>978</v>
      </c>
      <c r="E50" s="645" t="s">
        <v>979</v>
      </c>
      <c r="F50" s="646"/>
      <c r="G50" s="646"/>
      <c r="H50" s="646"/>
      <c r="I50" s="646"/>
      <c r="J50" s="646"/>
      <c r="K50" s="647"/>
    </row>
    <row r="51" spans="1:11" customFormat="1">
      <c r="A51" s="1265"/>
      <c r="B51" s="655" t="s">
        <v>980</v>
      </c>
      <c r="C51" s="658" t="e">
        <f>FRY</f>
        <v>#REF!</v>
      </c>
      <c r="D51" s="657" t="s">
        <v>981</v>
      </c>
      <c r="E51" s="651" t="s">
        <v>982</v>
      </c>
      <c r="F51" s="652"/>
      <c r="G51" s="652"/>
      <c r="H51" s="652"/>
      <c r="I51" s="652"/>
      <c r="J51" s="652"/>
      <c r="K51" s="653"/>
    </row>
    <row r="52" spans="1:11" customFormat="1">
      <c r="A52" s="1265"/>
      <c r="B52" s="630" t="s">
        <v>983</v>
      </c>
      <c r="C52" s="659" t="e">
        <f ca="1">LEFT(CRCP_final_year,2)&amp;RIGHT(CRCP_final_year,2)</f>
        <v>#REF!</v>
      </c>
      <c r="D52" s="632" t="s">
        <v>984</v>
      </c>
      <c r="E52" s="660" t="s">
        <v>985</v>
      </c>
      <c r="F52" s="661"/>
      <c r="G52" s="661"/>
      <c r="H52" s="661"/>
      <c r="I52" s="661"/>
      <c r="J52" s="661"/>
      <c r="K52" s="662"/>
    </row>
    <row r="53" spans="1:11" customFormat="1">
      <c r="A53" s="1265"/>
      <c r="B53" s="663" t="s">
        <v>986</v>
      </c>
      <c r="C53" s="664" t="e">
        <f ca="1">LEFT(PRCP_final_year,2)&amp;RIGHT(PRCP_final_year,2)</f>
        <v>#REF!</v>
      </c>
      <c r="D53" s="665" t="s">
        <v>987</v>
      </c>
      <c r="E53" s="651" t="s">
        <v>988</v>
      </c>
      <c r="F53" s="652"/>
      <c r="G53" s="652"/>
      <c r="H53" s="652"/>
      <c r="I53" s="652"/>
      <c r="J53" s="652"/>
      <c r="K53" s="653"/>
    </row>
    <row r="54" spans="1:11" customFormat="1">
      <c r="A54" s="1265"/>
      <c r="B54" s="666" t="s">
        <v>989</v>
      </c>
      <c r="C54" s="667" t="str">
        <f>IFERROR(LEFT(CRY,2)&amp;RIGHT(CRY,2),0)</f>
        <v>2026</v>
      </c>
      <c r="D54" s="668" t="s">
        <v>990</v>
      </c>
      <c r="E54" s="639" t="s">
        <v>991</v>
      </c>
      <c r="F54" s="646"/>
      <c r="G54" s="646"/>
      <c r="H54" s="646"/>
      <c r="I54" s="646"/>
      <c r="J54" s="646"/>
      <c r="K54" s="647"/>
    </row>
    <row r="55" spans="1:11" customFormat="1">
      <c r="A55" s="1265"/>
      <c r="B55" s="642" t="s">
        <v>992</v>
      </c>
      <c r="C55" s="643">
        <f>IF(dms_Model_Span&gt;1,IF(dms_Model="RFM",(LEFT(dms_DollarReal_year,2)&amp;RIGHT(dms_DollarReal_year,2)),(LEFT(dms_Reset_final_year,2)&amp;RIGHT(dms_Reset_final_year,2))),0)</f>
        <v>0</v>
      </c>
      <c r="D55" s="644" t="s">
        <v>993</v>
      </c>
      <c r="E55" s="645" t="s">
        <v>994</v>
      </c>
      <c r="F55" s="646"/>
      <c r="G55" s="646"/>
      <c r="H55" s="646"/>
      <c r="I55" s="646"/>
      <c r="J55" s="646"/>
      <c r="K55" s="647"/>
    </row>
    <row r="56" spans="1:11" customFormat="1">
      <c r="A56" s="1265"/>
      <c r="B56" s="642" t="s">
        <v>995</v>
      </c>
      <c r="C56" s="643">
        <f>IF(dms_MultiYear_ResponseFlag="Yes",(LEFT(dms_Specified_FinalYear,2)&amp;RIGHT(dms_Specified_FinalYear,2)),0)</f>
        <v>0</v>
      </c>
      <c r="D56" s="644" t="s">
        <v>996</v>
      </c>
      <c r="E56" s="645" t="s">
        <v>997</v>
      </c>
      <c r="F56" s="646"/>
      <c r="G56" s="646"/>
      <c r="H56" s="646"/>
      <c r="I56" s="646"/>
      <c r="J56" s="646"/>
      <c r="K56" s="647"/>
    </row>
    <row r="57" spans="1:11" customFormat="1">
      <c r="A57" s="1265"/>
      <c r="B57" s="642" t="s">
        <v>998</v>
      </c>
      <c r="C57" s="643">
        <f>INDEX(dms_Model_Span_List,MATCH(dms_Model,dms_Model_List))</f>
        <v>1</v>
      </c>
      <c r="D57" s="644" t="s">
        <v>999</v>
      </c>
      <c r="E57" s="645" t="s">
        <v>1000</v>
      </c>
      <c r="F57" s="646"/>
      <c r="G57" s="646"/>
      <c r="H57" s="646"/>
      <c r="I57" s="646"/>
      <c r="J57" s="646"/>
      <c r="K57" s="647"/>
    </row>
    <row r="58" spans="1:11" customFormat="1">
      <c r="A58" s="1265"/>
      <c r="B58" s="655" t="s">
        <v>1001</v>
      </c>
      <c r="C58" s="656" t="str">
        <f>IF(dms_MultiYear_ResponseFlag="yes",dms_Specified_RYE,(IF(dms_Model_Span&gt;1,dms_Reset_RYE,dms_CRY_RYE)))</f>
        <v>2026</v>
      </c>
      <c r="D58" s="657" t="s">
        <v>1002</v>
      </c>
      <c r="E58" s="651" t="s">
        <v>1003</v>
      </c>
      <c r="F58" s="652"/>
      <c r="G58" s="652"/>
      <c r="H58" s="652"/>
      <c r="I58" s="652"/>
      <c r="J58" s="652"/>
      <c r="K58" s="653"/>
    </row>
    <row r="59" spans="1:11" customFormat="1">
      <c r="A59" s="1265"/>
      <c r="B59" s="666" t="s">
        <v>1004</v>
      </c>
      <c r="C59" s="667">
        <f>IF(dms_Reset_RYE&gt;0,CONCATENATE(FRCP_y1," to ",FRCP_final_year),0)</f>
        <v>0</v>
      </c>
      <c r="D59" s="668" t="s">
        <v>1005</v>
      </c>
      <c r="E59" s="645" t="s">
        <v>1006</v>
      </c>
      <c r="F59" s="669"/>
      <c r="G59" s="646"/>
      <c r="H59" s="646"/>
      <c r="I59" s="646"/>
      <c r="J59" s="646"/>
      <c r="K59" s="647"/>
    </row>
    <row r="60" spans="1:11" customFormat="1">
      <c r="A60" s="1265"/>
      <c r="B60" s="642" t="s">
        <v>1007</v>
      </c>
      <c r="C60" s="643">
        <f>IF(dms_Specified_RYE&gt;0,CONCATENATE(CRY," to ",dms_Specified_FinalYear),0)</f>
        <v>0</v>
      </c>
      <c r="D60" s="644" t="s">
        <v>1008</v>
      </c>
      <c r="E60" s="645" t="s">
        <v>1009</v>
      </c>
      <c r="F60" s="646"/>
      <c r="G60" s="646"/>
      <c r="H60" s="646"/>
      <c r="I60" s="646"/>
      <c r="J60" s="646"/>
      <c r="K60" s="647"/>
    </row>
    <row r="61" spans="1:11" customFormat="1" ht="15" thickBot="1">
      <c r="A61" s="1265"/>
      <c r="B61" s="670" t="s">
        <v>1010</v>
      </c>
      <c r="C61" s="671" t="str">
        <f>IF(dms_MultiYear_Flag=1,dms_SpecifiedYear_Span,IF(dms_Model_Span&gt;1,dms_y1&amp;" to "&amp;FRCP_final_year,CRY))</f>
        <v>2025-26</v>
      </c>
      <c r="D61" s="672" t="s">
        <v>1011</v>
      </c>
      <c r="E61" s="673" t="s">
        <v>1012</v>
      </c>
      <c r="F61" s="674"/>
      <c r="G61" s="674"/>
      <c r="H61" s="674"/>
      <c r="I61" s="674"/>
      <c r="J61" s="674"/>
      <c r="K61" s="675"/>
    </row>
    <row r="62" spans="1:11" customFormat="1" ht="25.5" customHeight="1" thickBot="1">
      <c r="B62" s="622" t="s">
        <v>1013</v>
      </c>
      <c r="C62" s="623"/>
      <c r="D62" s="613"/>
      <c r="E62" s="613"/>
      <c r="F62" s="614"/>
      <c r="G62" s="614"/>
      <c r="H62" s="614"/>
      <c r="I62" s="614"/>
      <c r="J62" s="614"/>
      <c r="K62" s="615"/>
    </row>
    <row r="63" spans="1:11" customFormat="1" ht="17.5">
      <c r="B63" s="676" t="s">
        <v>1014</v>
      </c>
      <c r="C63" s="677" t="s">
        <v>896</v>
      </c>
      <c r="D63" s="678"/>
      <c r="E63" s="679"/>
      <c r="F63" s="680"/>
      <c r="G63" s="680"/>
      <c r="H63" s="680"/>
      <c r="I63" s="680"/>
      <c r="J63" s="681"/>
      <c r="K63" s="682"/>
    </row>
    <row r="64" spans="1:11" customFormat="1">
      <c r="B64" s="683"/>
      <c r="C64" s="684">
        <f>IF(dms_MultiYear_ResponseFlag="No",0,1)</f>
        <v>0</v>
      </c>
      <c r="D64" s="685" t="s">
        <v>1015</v>
      </c>
      <c r="E64" s="686" t="s">
        <v>1016</v>
      </c>
      <c r="F64" s="687"/>
      <c r="G64" s="687"/>
      <c r="H64" s="687"/>
      <c r="I64" s="687"/>
      <c r="J64" s="688"/>
      <c r="K64" s="689"/>
    </row>
    <row r="65" spans="2:11" customFormat="1" ht="25">
      <c r="B65" s="683"/>
      <c r="C65" s="690" t="str">
        <f>IF(dms_MultiYear_Flag=1,FRY,"not a Multiple year submission")</f>
        <v>not a Multiple year submission</v>
      </c>
      <c r="D65" s="685" t="s">
        <v>1017</v>
      </c>
      <c r="E65" s="691" t="s">
        <v>1018</v>
      </c>
      <c r="F65" s="687"/>
      <c r="G65" s="687"/>
      <c r="H65" s="687"/>
      <c r="I65" s="692"/>
      <c r="J65" s="693"/>
      <c r="K65" s="694"/>
    </row>
    <row r="66" spans="2:11" customFormat="1" ht="15" thickBot="1">
      <c r="B66" s="695" t="s">
        <v>1019</v>
      </c>
      <c r="C66" s="696" t="str">
        <f>IFERROR(IF(dms_MultiYear_Flag=1,FRY,CRY),"not an ABC")</f>
        <v>2025-26</v>
      </c>
      <c r="D66" s="697" t="s">
        <v>1020</v>
      </c>
      <c r="E66" s="697" t="s">
        <v>1021</v>
      </c>
      <c r="F66" s="698"/>
      <c r="G66" s="698" t="s">
        <v>1022</v>
      </c>
      <c r="H66" s="698"/>
      <c r="I66" s="698"/>
      <c r="J66" s="699"/>
      <c r="K66" s="700"/>
    </row>
    <row r="67" spans="2:11" customFormat="1" ht="22.5" customHeight="1" thickBot="1">
      <c r="B67" s="622" t="s">
        <v>1023</v>
      </c>
      <c r="C67" s="623"/>
      <c r="D67" s="623"/>
      <c r="E67" s="623"/>
      <c r="F67" s="701"/>
      <c r="G67" s="701"/>
      <c r="H67" s="701"/>
      <c r="I67" s="701"/>
      <c r="J67" s="701"/>
      <c r="K67" s="702"/>
    </row>
    <row r="68" spans="2:11" customFormat="1">
      <c r="B68" s="703" t="s">
        <v>1024</v>
      </c>
      <c r="C68" s="704"/>
      <c r="D68" s="705"/>
      <c r="E68" s="706"/>
      <c r="F68" s="707"/>
      <c r="G68" s="707"/>
      <c r="H68" s="707"/>
      <c r="I68" s="707"/>
      <c r="J68" s="708"/>
      <c r="K68" s="709"/>
    </row>
    <row r="69" spans="2:11" customFormat="1">
      <c r="B69" s="683" t="s">
        <v>1025</v>
      </c>
      <c r="C69" s="710">
        <f>INDEX(dms_PRCPlength_List,MATCH(dms_TradingName,dms_TradingName_List))</f>
        <v>5</v>
      </c>
      <c r="D69" s="678" t="s">
        <v>1026</v>
      </c>
      <c r="E69" s="711" t="s">
        <v>1027</v>
      </c>
      <c r="F69" s="712"/>
      <c r="G69" s="712"/>
      <c r="H69" s="712"/>
      <c r="I69" s="712"/>
      <c r="J69" s="712"/>
      <c r="K69" s="713"/>
    </row>
    <row r="70" spans="2:11" customFormat="1">
      <c r="B70" s="683" t="s">
        <v>1028</v>
      </c>
      <c r="C70" s="684">
        <f>INDEX(dms_CRCPlength_List,MATCH(dms_TradingName,dms_TradingName_List))</f>
        <v>5</v>
      </c>
      <c r="D70" s="714" t="s">
        <v>1029</v>
      </c>
      <c r="E70" s="715" t="s">
        <v>1030</v>
      </c>
      <c r="F70" s="707"/>
      <c r="G70" s="707"/>
      <c r="H70" s="707"/>
      <c r="I70" s="707"/>
      <c r="J70" s="707"/>
      <c r="K70" s="716"/>
    </row>
    <row r="71" spans="2:11" customFormat="1">
      <c r="B71" s="717" t="s">
        <v>1031</v>
      </c>
      <c r="C71" s="718">
        <f>INDEX(dms_FRCPlength_List,MATCH(dms_TradingName,dms_TradingName_List))</f>
        <v>5</v>
      </c>
      <c r="D71" s="719" t="s">
        <v>1032</v>
      </c>
      <c r="E71" s="720" t="s">
        <v>1033</v>
      </c>
      <c r="F71" s="721"/>
      <c r="G71" s="721"/>
      <c r="H71" s="721"/>
      <c r="I71" s="721"/>
      <c r="J71" s="721"/>
      <c r="K71" s="722"/>
    </row>
    <row r="72" spans="2:11" customFormat="1">
      <c r="B72" s="723" t="s">
        <v>1034</v>
      </c>
      <c r="C72" s="705"/>
      <c r="D72" s="705"/>
      <c r="E72" s="706"/>
      <c r="F72" s="707"/>
      <c r="G72" s="707"/>
      <c r="H72" s="707"/>
      <c r="I72" s="707"/>
      <c r="J72" s="708"/>
      <c r="K72" s="709"/>
    </row>
    <row r="73" spans="2:11" customFormat="1">
      <c r="B73" s="1262" t="s">
        <v>1035</v>
      </c>
      <c r="C73" s="724">
        <f>IF(dms_Model="EB",1,0)</f>
        <v>0</v>
      </c>
      <c r="D73" s="705" t="s">
        <v>1036</v>
      </c>
      <c r="E73" s="706"/>
      <c r="F73" s="707"/>
      <c r="G73" s="707"/>
      <c r="H73" s="707"/>
      <c r="I73" s="707"/>
      <c r="J73" s="708"/>
      <c r="K73" s="709"/>
    </row>
    <row r="74" spans="2:11" customFormat="1">
      <c r="B74" s="1262"/>
      <c r="C74" s="725">
        <f>IF(dms_Model="CA",1,0)</f>
        <v>0</v>
      </c>
      <c r="D74" s="726" t="s">
        <v>1037</v>
      </c>
      <c r="E74" s="727" t="s">
        <v>1038</v>
      </c>
      <c r="F74" s="728"/>
      <c r="G74" s="728"/>
      <c r="H74" s="728"/>
      <c r="I74" s="728"/>
      <c r="J74" s="729"/>
      <c r="K74" s="730"/>
    </row>
    <row r="75" spans="2:11" customFormat="1">
      <c r="B75" s="1263"/>
      <c r="C75" s="725">
        <f>IF(dms_Model="ARR",1,0)</f>
        <v>0</v>
      </c>
      <c r="D75" s="726" t="s">
        <v>1039</v>
      </c>
      <c r="E75" s="727"/>
      <c r="F75" s="728"/>
      <c r="G75" s="728"/>
      <c r="H75" s="728"/>
      <c r="I75" s="728"/>
      <c r="J75" s="729"/>
      <c r="K75" s="730"/>
    </row>
    <row r="76" spans="2:11" customFormat="1">
      <c r="B76" s="731" t="s">
        <v>1040</v>
      </c>
      <c r="C76" s="732" t="str">
        <f>IF(SUM(dms_SingleYear_Model)=1,"yes","no")</f>
        <v>no</v>
      </c>
      <c r="D76" s="727" t="s">
        <v>1041</v>
      </c>
      <c r="E76" s="727" t="s">
        <v>1042</v>
      </c>
      <c r="F76" s="698"/>
      <c r="G76" s="698"/>
      <c r="H76" s="698"/>
      <c r="I76" s="728"/>
      <c r="J76" s="729"/>
      <c r="K76" s="730"/>
    </row>
    <row r="77" spans="2:11" customFormat="1">
      <c r="B77" s="733" t="s">
        <v>1043</v>
      </c>
      <c r="C77" s="734">
        <f>IF(AND(dms_SingleYearModel="yes",dms_MultiYear_Flag=0),CRY,0)</f>
        <v>0</v>
      </c>
      <c r="D77" s="719" t="s">
        <v>1044</v>
      </c>
      <c r="E77" s="720" t="s">
        <v>1045</v>
      </c>
      <c r="F77" s="735"/>
      <c r="G77" s="735"/>
      <c r="H77" s="735"/>
      <c r="I77" s="735"/>
      <c r="J77" s="735"/>
      <c r="K77" s="736"/>
    </row>
    <row r="78" spans="2:11" customFormat="1">
      <c r="B78" s="703" t="s">
        <v>1046</v>
      </c>
      <c r="C78" s="696"/>
      <c r="D78" s="714"/>
      <c r="E78" s="715"/>
      <c r="F78" s="707"/>
      <c r="G78" s="707"/>
      <c r="H78" s="707"/>
      <c r="I78" s="707"/>
      <c r="J78" s="707"/>
      <c r="K78" s="716"/>
    </row>
    <row r="79" spans="2:11" customFormat="1">
      <c r="B79" s="683"/>
      <c r="C79" s="696"/>
      <c r="D79" s="714"/>
      <c r="E79" s="715"/>
      <c r="F79" s="707"/>
      <c r="G79" s="707"/>
      <c r="H79" s="707"/>
      <c r="I79" s="707"/>
      <c r="J79" s="707"/>
      <c r="K79" s="716"/>
    </row>
    <row r="80" spans="2:11" customFormat="1">
      <c r="B80" s="683" t="s">
        <v>1047</v>
      </c>
      <c r="C80" s="696" t="str">
        <f>IF(dms_Model_Span&gt;1,"yes","no")</f>
        <v>no</v>
      </c>
      <c r="D80" s="714"/>
      <c r="E80" s="715"/>
      <c r="F80" s="707"/>
      <c r="G80" s="707"/>
      <c r="H80" s="707"/>
      <c r="I80" s="707"/>
      <c r="J80" s="707"/>
      <c r="K80" s="716"/>
    </row>
    <row r="81" spans="2:12" customFormat="1">
      <c r="B81" s="683" t="s">
        <v>1048</v>
      </c>
      <c r="C81" s="737">
        <f>IF(dms_Model_Span&gt;1,dms_Reset_final_year,0)</f>
        <v>0</v>
      </c>
      <c r="D81" s="714" t="s">
        <v>1049</v>
      </c>
      <c r="E81" s="715" t="s">
        <v>1050</v>
      </c>
      <c r="F81" s="707"/>
      <c r="G81" s="707"/>
      <c r="H81" s="707"/>
      <c r="I81" s="707"/>
      <c r="J81" s="707"/>
      <c r="K81" s="716"/>
    </row>
    <row r="82" spans="2:12" customFormat="1">
      <c r="B82" s="683"/>
      <c r="C82" s="696"/>
      <c r="D82" s="714"/>
      <c r="E82" s="715"/>
      <c r="F82" s="707"/>
      <c r="G82" s="707"/>
      <c r="H82" s="707"/>
      <c r="I82" s="707"/>
      <c r="J82" s="707"/>
      <c r="K82" s="716"/>
    </row>
    <row r="83" spans="2:12" customFormat="1">
      <c r="B83" s="683" t="s">
        <v>1051</v>
      </c>
      <c r="C83" s="696" t="str">
        <f>IF(dms_MultiYear_Flag=1,"yes","no")</f>
        <v>no</v>
      </c>
      <c r="D83" s="714" t="s">
        <v>1052</v>
      </c>
      <c r="E83" s="715"/>
      <c r="F83" s="707"/>
      <c r="G83" s="707"/>
      <c r="H83" s="707"/>
      <c r="I83" s="707"/>
      <c r="J83" s="707"/>
      <c r="K83" s="716"/>
    </row>
    <row r="84" spans="2:12" customFormat="1">
      <c r="B84" s="717" t="s">
        <v>1053</v>
      </c>
      <c r="C84" s="738">
        <f>IF(dms_MultiYear_Flag=1,C51,0)</f>
        <v>0</v>
      </c>
      <c r="D84" s="739"/>
      <c r="E84" s="740"/>
      <c r="F84" s="721"/>
      <c r="G84" s="721"/>
      <c r="H84" s="721"/>
      <c r="I84" s="721"/>
      <c r="J84" s="721"/>
      <c r="K84" s="722"/>
    </row>
    <row r="85" spans="2:12" customFormat="1" ht="15" thickBot="1">
      <c r="B85" s="683"/>
      <c r="C85" s="696"/>
      <c r="D85" s="714"/>
      <c r="E85" s="715"/>
      <c r="F85" s="707"/>
      <c r="G85" s="707"/>
      <c r="H85" s="707"/>
      <c r="I85" s="707"/>
      <c r="J85" s="707"/>
      <c r="K85" s="716"/>
    </row>
    <row r="86" spans="2:12" customFormat="1" ht="28.5" customHeight="1" thickBot="1">
      <c r="B86" s="622" t="s">
        <v>1054</v>
      </c>
      <c r="C86" s="623"/>
      <c r="D86" s="623"/>
      <c r="E86" s="623"/>
      <c r="F86" s="701"/>
      <c r="G86" s="701"/>
      <c r="H86" s="701"/>
      <c r="I86" s="701"/>
      <c r="J86" s="701"/>
      <c r="K86" s="702"/>
    </row>
    <row r="87" spans="2:12" s="18" customFormat="1" ht="24.75" customHeight="1" thickBot="1">
      <c r="B87" s="741" t="s">
        <v>1055</v>
      </c>
      <c r="C87" s="574" t="str">
        <f>IFERROR(IF(dms_Segment="Transmission",dms_Cal_Year_B4_CRY,CRY),"CRY not present")</f>
        <v>2025-26</v>
      </c>
      <c r="D87" s="600" t="s">
        <v>1056</v>
      </c>
      <c r="E87" s="618" t="s">
        <v>1057</v>
      </c>
      <c r="F87" s="619"/>
      <c r="G87" s="619"/>
      <c r="H87" s="619"/>
      <c r="I87" s="619"/>
      <c r="J87" s="620"/>
      <c r="K87" s="621"/>
    </row>
    <row r="88" spans="2:12" customFormat="1" ht="27" customHeight="1" thickBot="1">
      <c r="B88" s="622" t="s">
        <v>1058</v>
      </c>
      <c r="C88" s="623"/>
      <c r="D88" s="623"/>
      <c r="E88" s="623"/>
      <c r="F88" s="701"/>
      <c r="G88" s="701"/>
      <c r="H88" s="701"/>
      <c r="I88" s="701"/>
      <c r="J88" s="701"/>
      <c r="K88" s="702"/>
    </row>
    <row r="89" spans="2:12" customFormat="1">
      <c r="B89" s="742" t="s">
        <v>1059</v>
      </c>
      <c r="C89" s="743"/>
      <c r="D89" s="744"/>
      <c r="E89" s="580" t="s">
        <v>1060</v>
      </c>
      <c r="F89" s="745"/>
      <c r="G89" s="745"/>
      <c r="H89" s="745"/>
      <c r="I89" s="745"/>
      <c r="J89" s="745"/>
      <c r="K89" s="746"/>
    </row>
    <row r="90" spans="2:12" customFormat="1">
      <c r="B90" s="742"/>
      <c r="C90" s="743" t="str">
        <f>IF(dms_Model&lt;&gt;"CA","not a CA","Is a CA")</f>
        <v>not a CA</v>
      </c>
      <c r="D90" s="744"/>
      <c r="E90" s="747" t="s">
        <v>1061</v>
      </c>
      <c r="F90" s="745"/>
      <c r="G90" s="745"/>
      <c r="H90" s="745"/>
      <c r="I90" s="745"/>
      <c r="J90" s="745"/>
      <c r="K90" s="746"/>
    </row>
    <row r="91" spans="2:12" customFormat="1">
      <c r="B91" s="748" t="s">
        <v>1062</v>
      </c>
      <c r="C91" s="743" t="s">
        <v>1251</v>
      </c>
      <c r="D91" s="744" t="s">
        <v>1063</v>
      </c>
      <c r="E91" s="749" t="s">
        <v>1064</v>
      </c>
      <c r="F91" s="745"/>
      <c r="G91" s="745"/>
      <c r="H91" s="745"/>
      <c r="I91" s="745"/>
      <c r="J91" s="745"/>
      <c r="K91" s="746"/>
    </row>
    <row r="92" spans="2:12" customFormat="1">
      <c r="B92" s="748"/>
      <c r="C92" s="750" t="str">
        <f>IF(AND(dms_Model="CA",(dms_060301_checkvalue="no")),"error - NR not present","no errors")</f>
        <v>no errors</v>
      </c>
      <c r="D92" s="744"/>
      <c r="E92" s="749" t="s">
        <v>1065</v>
      </c>
      <c r="F92" s="745"/>
      <c r="G92" s="745"/>
      <c r="H92" s="745"/>
      <c r="I92" s="745"/>
      <c r="J92" s="745"/>
      <c r="K92" s="746"/>
    </row>
    <row r="93" spans="2:12" customFormat="1">
      <c r="B93" s="751" t="s">
        <v>1066</v>
      </c>
      <c r="C93" s="743" t="s">
        <v>1252</v>
      </c>
      <c r="D93" s="744" t="s">
        <v>1067</v>
      </c>
      <c r="E93" s="749" t="s">
        <v>1068</v>
      </c>
      <c r="F93" s="745"/>
      <c r="G93" s="745"/>
      <c r="H93" s="745"/>
      <c r="I93" s="745"/>
      <c r="J93" s="745"/>
      <c r="K93" s="746"/>
    </row>
    <row r="94" spans="2:12" customFormat="1">
      <c r="B94" s="752" t="s">
        <v>1069</v>
      </c>
      <c r="C94" s="753" t="str">
        <f>IFERROR(IF(dms_Model="CA",(dms_060301_LastRow-15),"not a CA"),"error")</f>
        <v>not a CA</v>
      </c>
      <c r="D94" s="754" t="s">
        <v>1070</v>
      </c>
      <c r="E94" s="755" t="s">
        <v>1071</v>
      </c>
      <c r="F94" s="756"/>
      <c r="G94" s="756"/>
      <c r="H94" s="756"/>
      <c r="I94" s="756"/>
      <c r="J94" s="756"/>
      <c r="K94" s="757"/>
      <c r="L94" s="1"/>
    </row>
    <row r="95" spans="2:12" ht="15" thickBot="1">
      <c r="B95" s="758" t="s">
        <v>1072</v>
      </c>
      <c r="C95" s="759" t="str">
        <f>INDEX(dms_663_List,MATCH(dms_TradingName,dms_TradingName_List))</f>
        <v>x</v>
      </c>
      <c r="D95" s="760" t="s">
        <v>1073</v>
      </c>
      <c r="E95" s="749" t="s">
        <v>1074</v>
      </c>
      <c r="F95" s="761"/>
      <c r="G95" s="761"/>
      <c r="H95" s="761"/>
      <c r="I95" s="761"/>
      <c r="J95" s="761"/>
      <c r="K95" s="762"/>
    </row>
    <row r="96" spans="2:12" customFormat="1" ht="21" customHeight="1" thickBot="1">
      <c r="B96" s="622" t="s">
        <v>1075</v>
      </c>
      <c r="C96" s="623"/>
      <c r="D96" s="623"/>
      <c r="E96" s="623"/>
      <c r="F96" s="701"/>
      <c r="G96" s="701"/>
      <c r="H96" s="701"/>
      <c r="I96" s="701"/>
      <c r="J96" s="701"/>
      <c r="K96" s="702"/>
    </row>
    <row r="97" spans="2:12" ht="26">
      <c r="B97" s="742" t="s">
        <v>1076</v>
      </c>
      <c r="C97" s="763" t="s">
        <v>1077</v>
      </c>
      <c r="D97" s="764"/>
      <c r="E97" s="765" t="s">
        <v>1078</v>
      </c>
      <c r="F97" s="766"/>
      <c r="G97" s="766"/>
      <c r="H97" s="761"/>
      <c r="I97" s="761"/>
      <c r="J97" s="761"/>
      <c r="K97" s="762"/>
    </row>
    <row r="98" spans="2:12">
      <c r="B98" s="751" t="s">
        <v>1079</v>
      </c>
      <c r="C98" s="763" t="s">
        <v>872</v>
      </c>
      <c r="D98" s="764"/>
      <c r="E98" s="767"/>
      <c r="F98" s="766"/>
      <c r="G98" s="766"/>
      <c r="H98" s="761"/>
      <c r="I98" s="761"/>
      <c r="J98" s="761"/>
      <c r="K98" s="762"/>
    </row>
    <row r="99" spans="2:12">
      <c r="B99" s="768" t="s">
        <v>1080</v>
      </c>
      <c r="C99" s="769" t="s">
        <v>1253</v>
      </c>
      <c r="D99" s="760" t="s">
        <v>1081</v>
      </c>
      <c r="E99" s="760" t="s">
        <v>1082</v>
      </c>
      <c r="F99" s="761"/>
      <c r="G99" s="761"/>
      <c r="H99" s="761"/>
      <c r="I99" s="761"/>
      <c r="J99" s="761"/>
      <c r="K99" s="762"/>
    </row>
    <row r="100" spans="2:12">
      <c r="B100" s="768" t="s">
        <v>1083</v>
      </c>
      <c r="C100" s="770">
        <f>IF(dms_LeapYear_Result="is a leap year",1827,1826)</f>
        <v>1826</v>
      </c>
      <c r="D100" s="760" t="s">
        <v>1084</v>
      </c>
      <c r="E100" s="771" t="s">
        <v>1085</v>
      </c>
      <c r="F100" s="761"/>
      <c r="G100" s="761"/>
      <c r="H100" s="570" t="s">
        <v>1086</v>
      </c>
      <c r="I100" s="761"/>
      <c r="J100" s="761"/>
      <c r="K100" s="762"/>
    </row>
    <row r="101" spans="2:12">
      <c r="B101" s="768" t="s">
        <v>1087</v>
      </c>
      <c r="C101" s="770">
        <f>IF(dms_LeapYear_Result="is a leap year",366,365)</f>
        <v>365</v>
      </c>
      <c r="D101" s="760" t="s">
        <v>1088</v>
      </c>
      <c r="E101" s="771" t="s">
        <v>1089</v>
      </c>
      <c r="F101" s="761"/>
      <c r="G101" s="761"/>
      <c r="H101" s="570" t="s">
        <v>1090</v>
      </c>
      <c r="I101" s="761"/>
      <c r="J101" s="761"/>
      <c r="K101" s="762"/>
    </row>
    <row r="102" spans="2:12" ht="15" thickBot="1">
      <c r="B102" s="772" t="s">
        <v>1091</v>
      </c>
      <c r="C102" s="773" t="str">
        <f>IF(dms_Model="ARR",dms_060701_ARR_MaxRows,IF(dms_Model="Reset",dms_060701_Reset_MaxRows,"not a relevant RIN type"))</f>
        <v>not a relevant RIN type</v>
      </c>
      <c r="D102" s="774" t="s">
        <v>1092</v>
      </c>
      <c r="E102" s="775" t="s">
        <v>1093</v>
      </c>
      <c r="F102" s="776"/>
      <c r="G102" s="776"/>
      <c r="H102" s="776"/>
      <c r="I102" s="776"/>
      <c r="J102" s="776"/>
      <c r="K102" s="777"/>
    </row>
    <row r="103" spans="2:12" ht="24" customHeight="1">
      <c r="B103" s="778" t="s">
        <v>1094</v>
      </c>
      <c r="C103" s="779" t="str">
        <f>IF(dms_FifthFeeder_flag_NSP="NO","This NSP has only 4 feeder categories","This NSP has 5 feeder categories")</f>
        <v>This NSP has only 4 feeder categories</v>
      </c>
      <c r="D103" s="780"/>
      <c r="E103" s="781"/>
      <c r="F103" s="782"/>
      <c r="G103" s="782"/>
      <c r="H103" s="782"/>
      <c r="I103" s="782"/>
      <c r="J103" s="782"/>
      <c r="K103" s="783"/>
    </row>
    <row r="104" spans="2:12">
      <c r="B104" s="751" t="s">
        <v>1095</v>
      </c>
      <c r="C104" s="784">
        <f>IF(dms_FifthFeeder_flag_NSP="NO",10,12)</f>
        <v>10</v>
      </c>
      <c r="D104" s="760" t="s">
        <v>1096</v>
      </c>
      <c r="E104" s="749" t="s">
        <v>1097</v>
      </c>
      <c r="F104" s="761"/>
      <c r="G104" s="761"/>
      <c r="H104" s="761"/>
      <c r="I104" s="761"/>
      <c r="J104" s="761"/>
      <c r="K104" s="762"/>
    </row>
    <row r="105" spans="2:12">
      <c r="B105" s="752" t="s">
        <v>1098</v>
      </c>
      <c r="C105" s="785">
        <f>IF(dms_Model="ARR",15,9)</f>
        <v>9</v>
      </c>
      <c r="D105" s="786" t="s">
        <v>1099</v>
      </c>
      <c r="E105" s="787" t="s">
        <v>1100</v>
      </c>
      <c r="F105" s="788"/>
      <c r="G105" s="788"/>
      <c r="H105" s="788"/>
      <c r="I105" s="788"/>
      <c r="J105" s="788"/>
      <c r="K105" s="789"/>
    </row>
    <row r="106" spans="2:12">
      <c r="B106" s="742" t="s">
        <v>1101</v>
      </c>
      <c r="C106" s="790"/>
      <c r="D106" s="791"/>
      <c r="E106" s="580" t="s">
        <v>1102</v>
      </c>
      <c r="F106" s="761"/>
      <c r="G106" s="761"/>
      <c r="H106" s="761"/>
      <c r="I106" s="761"/>
      <c r="J106" s="761"/>
      <c r="K106" s="762"/>
    </row>
    <row r="107" spans="2:12">
      <c r="B107" s="751" t="s">
        <v>1103</v>
      </c>
      <c r="C107" s="790" t="e">
        <f ca="1">IF(dms_SingleYearModel="yes",(CONCATENATE(IF(LEN(CRY)=4,"1-Jan-","1-Jul-"),LEFT(CRY,4))),(CONCATENATE(IF(LEN(PRCP_y4)=4,"1-Jan-","1-Jul-"),LEFT(PRCP_y4,4))))</f>
        <v>#REF!</v>
      </c>
      <c r="D107" s="760" t="s">
        <v>461</v>
      </c>
      <c r="E107" s="747" t="s">
        <v>1104</v>
      </c>
      <c r="F107" s="761"/>
      <c r="G107" s="761"/>
      <c r="H107" s="761"/>
      <c r="I107" s="761"/>
      <c r="J107" s="761"/>
      <c r="K107" s="762"/>
    </row>
    <row r="108" spans="2:12">
      <c r="B108" s="752" t="s">
        <v>1105</v>
      </c>
      <c r="C108" s="785" t="e">
        <f ca="1">DATEVALUE(dms_060701_StartDateTxt)</f>
        <v>#REF!</v>
      </c>
      <c r="D108" s="786" t="s">
        <v>1106</v>
      </c>
      <c r="E108" s="792" t="s">
        <v>1107</v>
      </c>
      <c r="F108" s="788"/>
      <c r="G108" s="788"/>
      <c r="H108" s="788"/>
      <c r="I108" s="788"/>
      <c r="J108" s="788"/>
      <c r="K108" s="789"/>
      <c r="L108" s="1"/>
    </row>
    <row r="109" spans="2:12" ht="15" thickBot="1">
      <c r="B109" s="793" t="s">
        <v>1108</v>
      </c>
      <c r="C109" s="794" t="s">
        <v>755</v>
      </c>
      <c r="D109" s="795" t="s">
        <v>1109</v>
      </c>
      <c r="E109" s="796"/>
      <c r="F109" s="761"/>
      <c r="G109" s="761"/>
      <c r="H109" s="761"/>
      <c r="I109" s="761"/>
      <c r="J109" s="761"/>
      <c r="K109" s="762"/>
      <c r="L109" s="1"/>
    </row>
    <row r="110" spans="2:12" customFormat="1" ht="15" thickBot="1">
      <c r="B110" s="622" t="s">
        <v>1110</v>
      </c>
      <c r="C110" s="623"/>
      <c r="D110" s="623"/>
      <c r="E110" s="623"/>
      <c r="F110" s="701"/>
      <c r="G110" s="701"/>
      <c r="H110" s="701"/>
      <c r="I110" s="701"/>
      <c r="J110" s="701"/>
      <c r="K110" s="702"/>
    </row>
    <row r="111" spans="2:12" ht="39">
      <c r="B111" s="797" t="s">
        <v>1111</v>
      </c>
      <c r="C111" s="763" t="s">
        <v>1112</v>
      </c>
      <c r="D111" s="580"/>
      <c r="E111" s="580" t="s">
        <v>1113</v>
      </c>
      <c r="F111" s="798"/>
      <c r="G111" s="798"/>
      <c r="H111" s="798"/>
      <c r="I111" s="798"/>
      <c r="J111" s="798"/>
      <c r="K111" s="799"/>
      <c r="L111" s="1"/>
    </row>
    <row r="112" spans="2:12">
      <c r="B112" s="742" t="s">
        <v>1114</v>
      </c>
      <c r="C112" s="800" t="str">
        <f>IFERROR(IF((ROW(dms_060801_StartCell)-1)=1,"yes","yes"),"no")</f>
        <v>no</v>
      </c>
      <c r="D112" s="801" t="s">
        <v>1115</v>
      </c>
      <c r="E112" s="749" t="s">
        <v>1116</v>
      </c>
      <c r="F112" s="761"/>
      <c r="G112" s="761"/>
      <c r="H112" s="761"/>
      <c r="I112" s="761"/>
      <c r="J112" s="761"/>
      <c r="K112" s="762"/>
      <c r="L112" s="1"/>
    </row>
    <row r="113" spans="2:11">
      <c r="B113" s="751" t="s">
        <v>1117</v>
      </c>
      <c r="C113" s="790">
        <v>12</v>
      </c>
      <c r="D113" s="760" t="s">
        <v>1118</v>
      </c>
      <c r="E113" s="749" t="s">
        <v>1119</v>
      </c>
      <c r="F113" s="761"/>
      <c r="G113" s="761"/>
      <c r="H113" s="761"/>
      <c r="I113" s="761"/>
      <c r="J113" s="761"/>
      <c r="K113" s="762"/>
    </row>
    <row r="114" spans="2:11">
      <c r="B114" s="751" t="s">
        <v>1120</v>
      </c>
      <c r="C114" s="800" t="str">
        <f>IFERROR(IF(dms_060801_StartCell&lt;&gt;"",IF(dms_Model="ARR",(LOOKUP(2,1/(dms_060801_01_Values&lt;&gt;""),(ROW(dms_060801_01_Values)))),"not an ARR"),0),"0")</f>
        <v>0</v>
      </c>
      <c r="D114" s="760" t="s">
        <v>1121</v>
      </c>
      <c r="E114" s="771" t="s">
        <v>1122</v>
      </c>
      <c r="F114" s="761"/>
      <c r="G114" s="761"/>
      <c r="H114" s="761"/>
      <c r="I114" s="761"/>
      <c r="J114" s="761"/>
      <c r="K114" s="762"/>
    </row>
    <row r="115" spans="2:11" ht="15" thickBot="1">
      <c r="B115" s="802" t="s">
        <v>1123</v>
      </c>
      <c r="C115" s="803" t="str">
        <f>IFERROR(IF(dms_Model="ARR",(MAX(0,dms_0608_LastRow-dms_0608_OffsetRows)),"not an ARR"),"0")</f>
        <v>not an ARR</v>
      </c>
      <c r="D115" s="804" t="s">
        <v>1124</v>
      </c>
      <c r="E115" s="805" t="s">
        <v>1125</v>
      </c>
      <c r="F115" s="806"/>
      <c r="G115" s="807"/>
      <c r="H115" s="807"/>
      <c r="I115" s="807"/>
      <c r="J115" s="807"/>
      <c r="K115" s="808"/>
    </row>
    <row r="116" spans="2:11" customFormat="1" ht="15" thickBot="1">
      <c r="B116" s="622" t="s">
        <v>1126</v>
      </c>
      <c r="C116" s="623"/>
      <c r="D116" s="623"/>
      <c r="E116" s="623"/>
      <c r="F116" s="701"/>
      <c r="G116" s="701"/>
      <c r="H116" s="701"/>
      <c r="I116" s="701"/>
      <c r="J116" s="701"/>
      <c r="K116" s="702"/>
    </row>
    <row r="117" spans="2:11">
      <c r="B117" s="742" t="s">
        <v>1127</v>
      </c>
      <c r="C117" s="809"/>
      <c r="D117" s="760"/>
      <c r="E117" s="749"/>
      <c r="F117" s="810"/>
      <c r="G117" s="761"/>
      <c r="H117" s="761"/>
      <c r="I117" s="761"/>
      <c r="J117" s="761"/>
      <c r="K117" s="762"/>
    </row>
    <row r="118" spans="2:11">
      <c r="B118" s="751" t="s">
        <v>1128</v>
      </c>
      <c r="C118" s="790" t="e">
        <f ca="1">LEFT(PRCP_y3,4)</f>
        <v>#REF!</v>
      </c>
      <c r="D118" s="760" t="s">
        <v>1129</v>
      </c>
      <c r="E118" s="811" t="s">
        <v>1130</v>
      </c>
      <c r="F118" s="761"/>
      <c r="G118" s="761"/>
      <c r="H118" s="761"/>
      <c r="I118" s="761"/>
      <c r="J118" s="761"/>
      <c r="K118" s="762"/>
    </row>
    <row r="119" spans="2:11" ht="15" thickBot="1">
      <c r="B119" s="812"/>
      <c r="C119" s="813"/>
      <c r="D119" s="814"/>
      <c r="E119" s="815"/>
      <c r="F119" s="816"/>
      <c r="G119" s="816"/>
      <c r="H119" s="816"/>
      <c r="I119" s="816"/>
      <c r="J119" s="816"/>
      <c r="K119" s="817"/>
    </row>
    <row r="120" spans="2:11" customFormat="1" ht="15" thickBot="1">
      <c r="B120" s="622" t="s">
        <v>1131</v>
      </c>
      <c r="C120" s="623"/>
      <c r="D120" s="623"/>
      <c r="E120" s="623"/>
      <c r="F120" s="701"/>
      <c r="G120" s="701"/>
      <c r="H120" s="701"/>
      <c r="I120" s="701"/>
      <c r="J120" s="701"/>
      <c r="K120" s="702"/>
    </row>
    <row r="121" spans="2:11" customFormat="1" ht="14.25" customHeight="1">
      <c r="B121" s="818" t="s">
        <v>1132</v>
      </c>
      <c r="C121" s="819" t="s">
        <v>1195</v>
      </c>
      <c r="D121" s="820" t="s">
        <v>1133</v>
      </c>
      <c r="E121" s="821"/>
      <c r="F121" s="822"/>
      <c r="G121" s="822"/>
      <c r="H121" s="822"/>
      <c r="I121" s="822"/>
      <c r="J121" s="822"/>
      <c r="K121" s="823"/>
    </row>
    <row r="122" spans="2:11" customFormat="1" ht="14.25" customHeight="1">
      <c r="B122" s="824" t="s">
        <v>1134</v>
      </c>
      <c r="C122" s="825" t="str">
        <f>INDEX(dms_Public_Lighting_List,MATCH(dms_TradingName,dms_TradingName_List))</f>
        <v>NO</v>
      </c>
      <c r="D122" s="826" t="s">
        <v>1135</v>
      </c>
      <c r="E122" s="827" t="s">
        <v>1136</v>
      </c>
      <c r="F122" s="828"/>
      <c r="G122" s="828"/>
      <c r="H122" s="828"/>
      <c r="I122" s="828"/>
      <c r="J122" s="828"/>
      <c r="K122" s="829"/>
    </row>
    <row r="123" spans="2:11" ht="15" customHeight="1">
      <c r="B123" s="830" t="s">
        <v>1137</v>
      </c>
      <c r="C123" s="560" t="str">
        <f>INDEX(dms_CBD_flag,MATCH(dms_TradingName,dms_TradingName_List))</f>
        <v>YES</v>
      </c>
      <c r="D123" s="561" t="s">
        <v>1138</v>
      </c>
      <c r="E123" s="561"/>
      <c r="F123" s="831"/>
      <c r="G123" s="831"/>
      <c r="H123" s="831"/>
      <c r="I123" s="831"/>
      <c r="J123" s="831"/>
      <c r="K123" s="832"/>
    </row>
    <row r="124" spans="2:11" ht="15" customHeight="1">
      <c r="B124" s="833" t="s">
        <v>1139</v>
      </c>
      <c r="C124" s="573" t="str">
        <f>INDEX(dms_Urban_flag,MATCH(dms_TradingName,dms_TradingName_List))</f>
        <v>YES</v>
      </c>
      <c r="D124" s="568" t="s">
        <v>1140</v>
      </c>
      <c r="E124" s="568"/>
      <c r="F124" s="579"/>
      <c r="G124" s="579"/>
      <c r="H124" s="579"/>
      <c r="I124" s="579"/>
      <c r="J124" s="579"/>
      <c r="K124" s="834"/>
    </row>
    <row r="125" spans="2:11" ht="15" customHeight="1">
      <c r="B125" s="833" t="s">
        <v>1141</v>
      </c>
      <c r="C125" s="573" t="str">
        <f>INDEX(dms_ShortRural_flag,MATCH(dms_TradingName,dms_TradingName_List))</f>
        <v>YES</v>
      </c>
      <c r="D125" s="568" t="s">
        <v>1142</v>
      </c>
      <c r="E125" s="568"/>
      <c r="F125" s="579"/>
      <c r="G125" s="579"/>
      <c r="H125" s="579"/>
      <c r="I125" s="579"/>
      <c r="J125" s="579"/>
      <c r="K125" s="834"/>
    </row>
    <row r="126" spans="2:11" ht="15" customHeight="1">
      <c r="B126" s="835" t="s">
        <v>1143</v>
      </c>
      <c r="C126" s="836" t="str">
        <f>INDEX(dms_LongRural_flag,MATCH(dms_TradingName,dms_TradingName_List))</f>
        <v>YES</v>
      </c>
      <c r="D126" s="837" t="s">
        <v>1144</v>
      </c>
      <c r="E126" s="837"/>
      <c r="F126" s="838"/>
      <c r="G126" s="838"/>
      <c r="H126" s="838"/>
      <c r="I126" s="838"/>
      <c r="J126" s="838"/>
      <c r="K126" s="839"/>
    </row>
    <row r="127" spans="2:11" ht="15" thickBot="1">
      <c r="B127" s="840" t="s">
        <v>1145</v>
      </c>
      <c r="C127" s="841" t="str">
        <f>INDEX(dms_FeederType_5_flag,MATCH(dms_TradingName,dms_TradingName_List))</f>
        <v>NO</v>
      </c>
      <c r="D127" s="804" t="s">
        <v>1146</v>
      </c>
      <c r="E127" s="805" t="s">
        <v>1147</v>
      </c>
      <c r="F127" s="842"/>
      <c r="G127" s="842"/>
      <c r="H127" s="842"/>
      <c r="I127" s="842"/>
      <c r="J127" s="842"/>
      <c r="K127" s="843"/>
    </row>
    <row r="128" spans="2:11" ht="15" thickBot="1">
      <c r="B128" s="812"/>
      <c r="C128" s="813"/>
      <c r="D128" s="814"/>
      <c r="E128" s="815"/>
      <c r="F128" s="816"/>
      <c r="G128" s="816"/>
      <c r="H128" s="816"/>
      <c r="I128" s="816"/>
      <c r="J128" s="816"/>
      <c r="K128" s="817"/>
    </row>
    <row r="129" spans="2:11" customFormat="1" ht="15" thickBot="1">
      <c r="B129" s="844" t="s">
        <v>1148</v>
      </c>
      <c r="C129" s="845"/>
      <c r="D129" s="845"/>
      <c r="E129" s="845"/>
      <c r="F129" s="846"/>
      <c r="G129" s="846"/>
      <c r="H129" s="846"/>
      <c r="I129" s="846"/>
      <c r="J129" s="846"/>
      <c r="K129" s="847"/>
    </row>
    <row r="130" spans="2:11" ht="15" thickBot="1">
      <c r="B130" s="848" t="s">
        <v>1149</v>
      </c>
      <c r="C130" s="849" t="s">
        <v>755</v>
      </c>
      <c r="D130" s="850" t="s">
        <v>1150</v>
      </c>
      <c r="E130" s="851" t="s">
        <v>1151</v>
      </c>
      <c r="F130" s="852"/>
      <c r="G130" s="852"/>
      <c r="H130" s="852"/>
      <c r="I130" s="852"/>
      <c r="J130" s="852"/>
      <c r="K130" s="853"/>
    </row>
    <row r="131" spans="2:11" customFormat="1" ht="15" thickBot="1"/>
    <row r="132" spans="2:11" customFormat="1" ht="15" thickBot="1">
      <c r="B132" s="844" t="s">
        <v>1152</v>
      </c>
      <c r="C132" s="845"/>
      <c r="D132" s="845"/>
      <c r="E132" s="845"/>
      <c r="F132" s="846"/>
      <c r="G132" s="846"/>
      <c r="H132" s="846"/>
      <c r="I132" s="846"/>
      <c r="J132" s="846"/>
      <c r="K132" s="847"/>
    </row>
    <row r="133" spans="2:11">
      <c r="B133" s="854" t="s">
        <v>1153</v>
      </c>
      <c r="C133" s="855" t="s">
        <v>755</v>
      </c>
      <c r="D133" s="568" t="s">
        <v>1154</v>
      </c>
      <c r="E133" s="856"/>
      <c r="F133" s="857"/>
      <c r="G133" s="857"/>
      <c r="H133" s="857"/>
      <c r="I133" s="857"/>
      <c r="J133" s="857"/>
      <c r="K133" s="858"/>
    </row>
    <row r="134" spans="2:11" customFormat="1"/>
    <row r="135" spans="2:11" ht="15" thickBot="1">
      <c r="B135" s="812"/>
      <c r="C135" s="813"/>
      <c r="D135" s="814"/>
      <c r="E135" s="815"/>
      <c r="F135" s="816"/>
      <c r="G135" s="816"/>
      <c r="H135" s="816"/>
      <c r="I135" s="816"/>
      <c r="J135" s="816"/>
      <c r="K135" s="817"/>
    </row>
    <row r="136" spans="2:11" ht="15" thickBot="1">
      <c r="B136" s="859" t="s">
        <v>1155</v>
      </c>
      <c r="C136" s="860"/>
      <c r="D136" s="860"/>
      <c r="E136" s="860"/>
      <c r="F136" s="861"/>
      <c r="G136" s="861"/>
      <c r="H136" s="861"/>
      <c r="I136" s="861"/>
      <c r="J136" s="861"/>
      <c r="K136" s="862"/>
    </row>
    <row r="137" spans="2:11">
      <c r="B137" s="863" t="s">
        <v>1156</v>
      </c>
      <c r="C137" s="855" t="s">
        <v>755</v>
      </c>
      <c r="D137" s="864" t="s">
        <v>1157</v>
      </c>
      <c r="E137" s="865"/>
      <c r="F137" s="866"/>
      <c r="G137" s="866"/>
      <c r="H137" s="866"/>
      <c r="I137" s="866"/>
      <c r="J137" s="866"/>
      <c r="K137" s="867"/>
    </row>
    <row r="138" spans="2:11">
      <c r="B138" s="868"/>
      <c r="C138" s="869" t="s">
        <v>1158</v>
      </c>
      <c r="D138" s="870" t="s">
        <v>1159</v>
      </c>
      <c r="E138" s="871"/>
      <c r="F138" s="872"/>
      <c r="G138" s="872"/>
      <c r="H138" s="872"/>
      <c r="I138" s="872"/>
      <c r="J138" s="872"/>
      <c r="K138" s="873"/>
    </row>
    <row r="139" spans="2:11">
      <c r="B139" s="868"/>
      <c r="C139" s="874">
        <v>2013</v>
      </c>
      <c r="D139" s="875" t="s">
        <v>1160</v>
      </c>
      <c r="E139" s="876"/>
      <c r="F139" s="877"/>
      <c r="G139" s="877"/>
      <c r="H139" s="877"/>
      <c r="I139" s="877"/>
      <c r="J139" s="877"/>
      <c r="K139" s="878"/>
    </row>
    <row r="140" spans="2:11">
      <c r="B140" s="868"/>
      <c r="C140" s="874">
        <v>2014</v>
      </c>
      <c r="D140" s="875" t="s">
        <v>1161</v>
      </c>
      <c r="E140" s="876"/>
      <c r="F140" s="877"/>
      <c r="G140" s="877"/>
      <c r="H140" s="877"/>
      <c r="I140" s="877"/>
      <c r="J140" s="877"/>
      <c r="K140" s="878"/>
    </row>
    <row r="141" spans="2:11">
      <c r="B141" s="868"/>
      <c r="C141" s="874">
        <v>2015</v>
      </c>
      <c r="D141" s="875" t="s">
        <v>1162</v>
      </c>
      <c r="E141" s="876"/>
      <c r="F141" s="877"/>
      <c r="G141" s="877"/>
      <c r="H141" s="877"/>
      <c r="I141" s="877"/>
      <c r="J141" s="877"/>
      <c r="K141" s="878"/>
    </row>
    <row r="142" spans="2:11">
      <c r="B142" s="868"/>
      <c r="C142" s="874">
        <v>2016</v>
      </c>
      <c r="D142" s="875" t="s">
        <v>1163</v>
      </c>
      <c r="E142" s="876"/>
      <c r="F142" s="877"/>
      <c r="G142" s="877"/>
      <c r="H142" s="877"/>
      <c r="I142" s="877"/>
      <c r="J142" s="877"/>
      <c r="K142" s="878"/>
    </row>
    <row r="143" spans="2:11">
      <c r="B143" s="879"/>
      <c r="C143" s="880">
        <v>2017</v>
      </c>
      <c r="D143" s="881" t="s">
        <v>1164</v>
      </c>
      <c r="E143" s="882"/>
      <c r="F143" s="883"/>
      <c r="G143" s="883"/>
      <c r="H143" s="883"/>
      <c r="I143" s="883"/>
      <c r="J143" s="883"/>
      <c r="K143" s="884"/>
    </row>
    <row r="144" spans="2:11">
      <c r="B144" s="879"/>
      <c r="C144" s="880">
        <v>2018</v>
      </c>
      <c r="D144" s="881" t="s">
        <v>1165</v>
      </c>
      <c r="E144" s="882"/>
      <c r="F144" s="883"/>
      <c r="G144" s="883"/>
      <c r="H144" s="883"/>
      <c r="I144" s="883"/>
      <c r="J144" s="883"/>
      <c r="K144" s="884"/>
    </row>
    <row r="145" spans="2:11">
      <c r="B145" s="879"/>
      <c r="C145" s="880">
        <v>2019</v>
      </c>
      <c r="D145" s="881" t="s">
        <v>1166</v>
      </c>
      <c r="E145" s="882"/>
      <c r="F145" s="883"/>
      <c r="G145" s="883"/>
      <c r="H145" s="883"/>
      <c r="I145" s="883"/>
      <c r="J145" s="883"/>
      <c r="K145" s="884"/>
    </row>
    <row r="146" spans="2:11">
      <c r="B146" s="879"/>
      <c r="C146" s="880">
        <v>2020</v>
      </c>
      <c r="D146" s="881" t="s">
        <v>1167</v>
      </c>
      <c r="E146" s="882"/>
      <c r="F146" s="883"/>
      <c r="G146" s="883"/>
      <c r="H146" s="883"/>
      <c r="I146" s="883"/>
      <c r="J146" s="883"/>
      <c r="K146" s="884"/>
    </row>
    <row r="147" spans="2:11" ht="15" thickBot="1">
      <c r="B147" s="885"/>
      <c r="C147" s="886">
        <v>2021</v>
      </c>
      <c r="D147" s="887" t="s">
        <v>1168</v>
      </c>
      <c r="E147" s="888"/>
      <c r="F147" s="889"/>
      <c r="G147" s="889"/>
      <c r="H147" s="889"/>
      <c r="I147" s="889"/>
      <c r="J147" s="889"/>
      <c r="K147" s="890"/>
    </row>
    <row r="148" spans="2:11">
      <c r="B148"/>
      <c r="C148"/>
    </row>
    <row r="149" spans="2:11">
      <c r="B149"/>
      <c r="C149"/>
    </row>
    <row r="150" spans="2:11">
      <c r="B150"/>
      <c r="C150"/>
      <c r="D150"/>
      <c r="E150"/>
      <c r="F150"/>
      <c r="G150"/>
      <c r="H150"/>
      <c r="I150"/>
    </row>
    <row r="151" spans="2:11">
      <c r="B151"/>
      <c r="C151"/>
      <c r="D151"/>
      <c r="E151"/>
      <c r="F151"/>
      <c r="G151"/>
      <c r="H151"/>
      <c r="I151"/>
    </row>
    <row r="152" spans="2:11">
      <c r="B152"/>
      <c r="C152"/>
      <c r="D152"/>
      <c r="E152"/>
      <c r="F152"/>
      <c r="G152"/>
      <c r="H152"/>
      <c r="I152"/>
    </row>
    <row r="153" spans="2:11">
      <c r="B153"/>
      <c r="C153"/>
      <c r="D153"/>
      <c r="E153"/>
      <c r="F153"/>
      <c r="G153"/>
      <c r="H153"/>
      <c r="I153"/>
    </row>
    <row r="154" spans="2:11">
      <c r="B154"/>
      <c r="C154"/>
      <c r="D154"/>
      <c r="E154"/>
      <c r="F154"/>
      <c r="G154"/>
      <c r="H154"/>
      <c r="I154"/>
    </row>
  </sheetData>
  <sheetProtection formatColumns="0" formatRows="0" insertRows="0" autoFilter="0"/>
  <dataConsolidate/>
  <mergeCells count="13">
    <mergeCell ref="A13:A17"/>
    <mergeCell ref="E14:I14"/>
    <mergeCell ref="C16:E16"/>
    <mergeCell ref="A20:A27"/>
    <mergeCell ref="A28:A33"/>
    <mergeCell ref="B73:B75"/>
    <mergeCell ref="BQ34:CL34"/>
    <mergeCell ref="AL35:BG35"/>
    <mergeCell ref="BQ35:CL35"/>
    <mergeCell ref="A36:A61"/>
    <mergeCell ref="AL36:BG36"/>
    <mergeCell ref="BQ36:CL36"/>
    <mergeCell ref="AL34:BG34"/>
  </mergeCells>
  <conditionalFormatting sqref="B86">
    <cfRule type="expression" dxfId="13" priority="11">
      <formula>dms_Model="EB"</formula>
    </cfRule>
  </conditionalFormatting>
  <conditionalFormatting sqref="B88">
    <cfRule type="expression" dxfId="12" priority="12">
      <formula>dms_Model="CA"</formula>
    </cfRule>
  </conditionalFormatting>
  <conditionalFormatting sqref="B96">
    <cfRule type="expression" dxfId="11" priority="9">
      <formula>IF(OR(dms_Model="ARR",dms_Model="Reset"),"True")</formula>
    </cfRule>
  </conditionalFormatting>
  <conditionalFormatting sqref="B110">
    <cfRule type="expression" dxfId="10" priority="10">
      <formula>dms_Model="ARR"</formula>
    </cfRule>
  </conditionalFormatting>
  <conditionalFormatting sqref="B116">
    <cfRule type="expression" dxfId="9" priority="4">
      <formula>AND(dms_Model="Reset",dms_Segment="Transmission")</formula>
    </cfRule>
  </conditionalFormatting>
  <conditionalFormatting sqref="C25">
    <cfRule type="expression" dxfId="8" priority="14">
      <formula>SUM(dms_SingleYear_Model)&gt;0</formula>
    </cfRule>
  </conditionalFormatting>
  <conditionalFormatting sqref="C63">
    <cfRule type="cellIs" dxfId="7" priority="5" operator="equal">
      <formula>"YES"</formula>
    </cfRule>
  </conditionalFormatting>
  <conditionalFormatting sqref="C65">
    <cfRule type="expression" dxfId="6" priority="13">
      <formula>dms_MultiYear_Flag=1</formula>
    </cfRule>
  </conditionalFormatting>
  <conditionalFormatting sqref="C77">
    <cfRule type="cellIs" dxfId="5" priority="2" operator="greaterThan">
      <formula>0</formula>
    </cfRule>
  </conditionalFormatting>
  <conditionalFormatting sqref="C81 C84">
    <cfRule type="cellIs" dxfId="4" priority="3" operator="greaterThan">
      <formula>0</formula>
    </cfRule>
  </conditionalFormatting>
  <conditionalFormatting sqref="C94">
    <cfRule type="cellIs" dxfId="2" priority="8" operator="equal">
      <formula>"error"</formula>
    </cfRule>
  </conditionalFormatting>
  <conditionalFormatting sqref="C112">
    <cfRule type="cellIs" dxfId="1" priority="1" operator="equal">
      <formula>"no"</formula>
    </cfRule>
  </conditionalFormatting>
  <conditionalFormatting sqref="C133 C137">
    <cfRule type="cellIs" dxfId="0" priority="6" operator="equal">
      <formula>"YES"</formula>
    </cfRule>
  </conditionalFormatting>
  <dataValidations count="9">
    <dataValidation type="list" allowBlank="1" showInputMessage="1" showErrorMessage="1" sqref="C15" xr:uid="{AD68A6B8-2CBB-44D6-8C46-C27B8259F1B3}">
      <formula1>dms_Confid_status_List</formula1>
    </dataValidation>
    <dataValidation type="list" allowBlank="1" showInputMessage="1" showErrorMessage="1" sqref="C130 C137 C133" xr:uid="{2DF7BCE5-B6CE-46DB-9514-F1D5EEE2EC7F}">
      <formula1>"YES, NO"</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5" xr:uid="{2A7F1317-679F-4C49-85C0-FEDE2F24A8E7}"/>
    <dataValidation type="list" allowBlank="1" showInputMessage="1" showErrorMessage="1" promptTitle="Model" prompt="Make sure corresponding Source type is correctly selected !!!_x000a__x000a_eg: ABC=Reporting, Reset=Regulatory proposal  etc" sqref="C12" xr:uid="{920B0C76-5A49-42E1-AAC2-C13E4B56B322}">
      <formula1>dms_Model_List</formula1>
    </dataValidation>
    <dataValidation type="list" allowBlank="1" showInputMessage="1" showErrorMessage="1" sqref="C14" xr:uid="{9299D243-3482-425C-88C2-B3DC5D5B8485}">
      <formula1>dms_DataQuality_List</formula1>
    </dataValidation>
    <dataValidation type="list" allowBlank="1" showInputMessage="1" showErrorMessage="1" sqref="C24" xr:uid="{6248E055-6EA5-4792-B0E3-F9A99DA67711}">
      <formula1>"Financial, Calendar, Other"</formula1>
    </dataValidation>
    <dataValidation type="list" allowBlank="1" showInputMessage="1" showErrorMessage="1" sqref="C26" xr:uid="{C44D2B07-07CC-46A6-B7EE-305645310C5B}">
      <formula1>"Public, Confidential"</formula1>
    </dataValidation>
    <dataValidation type="list" allowBlank="1" showInputMessage="1" showErrorMessage="1" sqref="C19 C63" xr:uid="{33F44015-A77C-44C9-A0E8-1DB43A3B1150}">
      <formula1>"Yes, No"</formula1>
    </dataValidation>
    <dataValidation type="list" allowBlank="1" showInputMessage="1" showErrorMessage="1" sqref="C13" xr:uid="{10C3264D-BA6D-4BBA-88BA-580F524A4048}">
      <formula1>dms_SourceList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7" operator="containsText" id="{CDFB6A11-6ADE-408F-A3C8-FDAFBAB8EB2A}">
            <xm:f>NOT(ISERROR(SEARCH("error - NR not present",C92)))</xm:f>
            <xm:f>"error - NR not present"</xm:f>
            <x14:dxf>
              <font>
                <color rgb="FF9C0006"/>
              </font>
              <fill>
                <patternFill>
                  <bgColor rgb="FFFFC7CE"/>
                </patternFill>
              </fill>
            </x14:dxf>
          </x14:cfRule>
          <xm:sqref>C92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6F724-BE02-4BD1-8CE2-50463BD9BBD4}">
  <sheetPr codeName="Sheet1"/>
  <dimension ref="B1:J34"/>
  <sheetViews>
    <sheetView workbookViewId="0"/>
  </sheetViews>
  <sheetFormatPr defaultColWidth="9.1796875" defaultRowHeight="14.5"/>
  <cols>
    <col min="1" max="1" width="5.6328125" style="931" customWidth="1"/>
    <col min="2" max="2" width="62.81640625" style="931" customWidth="1"/>
    <col min="3" max="3" width="95.54296875" style="931" customWidth="1"/>
    <col min="4" max="6" width="14.26953125" style="931" customWidth="1"/>
    <col min="7" max="16384" width="9.1796875" style="931"/>
  </cols>
  <sheetData>
    <row r="1" spans="2:10" ht="15" customHeight="1">
      <c r="B1" s="929"/>
      <c r="C1" s="930"/>
    </row>
    <row r="2" spans="2:10" s="930" customFormat="1" ht="22" customHeight="1">
      <c r="B2" s="1163" t="s">
        <v>1202</v>
      </c>
      <c r="C2" s="1164"/>
      <c r="D2" s="932"/>
      <c r="E2" s="932"/>
      <c r="F2" s="932"/>
      <c r="G2" s="932"/>
      <c r="H2" s="932"/>
      <c r="I2" s="932"/>
      <c r="J2" s="932"/>
    </row>
    <row r="3" spans="2:10" s="930" customFormat="1" ht="10.5" customHeight="1">
      <c r="B3" s="933"/>
      <c r="C3" s="933"/>
      <c r="D3" s="932"/>
      <c r="E3" s="932"/>
      <c r="F3" s="932"/>
      <c r="G3" s="932"/>
      <c r="H3" s="932"/>
      <c r="I3" s="932"/>
      <c r="J3" s="932"/>
    </row>
    <row r="4" spans="2:10" s="935" customFormat="1" ht="20.149999999999999" customHeight="1">
      <c r="B4" s="1165" t="s">
        <v>1204</v>
      </c>
      <c r="C4" s="1165"/>
      <c r="D4" s="934"/>
    </row>
    <row r="5" spans="2:10" s="935" customFormat="1" ht="7.5" customHeight="1"/>
    <row r="6" spans="2:10" s="935" customFormat="1" ht="25" customHeight="1">
      <c r="B6" s="936" t="s">
        <v>1205</v>
      </c>
      <c r="C6" s="936"/>
      <c r="D6" s="934"/>
    </row>
    <row r="7" spans="2:10" s="935" customFormat="1" ht="25" customHeight="1">
      <c r="B7" s="936" t="s">
        <v>1206</v>
      </c>
      <c r="C7" s="936"/>
      <c r="D7" s="934"/>
    </row>
    <row r="8" spans="2:10" s="935" customFormat="1" ht="25" customHeight="1">
      <c r="B8" s="936" t="s">
        <v>1207</v>
      </c>
      <c r="C8" s="936"/>
      <c r="D8" s="934"/>
    </row>
    <row r="9" spans="2:10" s="935" customFormat="1" ht="25" customHeight="1">
      <c r="B9" s="936" t="s">
        <v>1208</v>
      </c>
      <c r="C9" s="936"/>
      <c r="D9" s="934"/>
    </row>
    <row r="10" spans="2:10" s="935" customFormat="1" ht="25" customHeight="1">
      <c r="B10" s="936" t="s">
        <v>1209</v>
      </c>
      <c r="C10" s="936"/>
      <c r="D10" s="934"/>
    </row>
    <row r="11" spans="2:10" s="935" customFormat="1" ht="9" customHeight="1">
      <c r="B11" s="937"/>
      <c r="C11" s="937"/>
      <c r="D11" s="934"/>
    </row>
    <row r="12" spans="2:10" s="935" customFormat="1" ht="6.75" customHeight="1">
      <c r="B12" s="938"/>
      <c r="C12" s="939"/>
      <c r="D12" s="934"/>
    </row>
    <row r="13" spans="2:10" s="935" customFormat="1" ht="20.149999999999999" customHeight="1">
      <c r="B13" s="1165" t="s">
        <v>1210</v>
      </c>
      <c r="C13" s="1165"/>
      <c r="D13" s="934"/>
    </row>
    <row r="14" spans="2:10" s="935" customFormat="1" ht="6.75" customHeight="1">
      <c r="B14" s="938"/>
      <c r="C14" s="939"/>
      <c r="D14" s="934"/>
    </row>
    <row r="15" spans="2:10" s="930" customFormat="1" ht="35.25" customHeight="1">
      <c r="B15" s="1166" t="s">
        <v>1211</v>
      </c>
      <c r="C15" s="1166"/>
      <c r="D15" s="940"/>
    </row>
    <row r="16" spans="2:10" s="935" customFormat="1" ht="11.25" customHeight="1">
      <c r="B16" s="938"/>
      <c r="C16" s="939"/>
      <c r="D16" s="934"/>
    </row>
    <row r="17" spans="2:4" s="935" customFormat="1" ht="20.149999999999999" customHeight="1">
      <c r="B17" s="1165" t="s">
        <v>1212</v>
      </c>
      <c r="C17" s="1165"/>
      <c r="D17" s="934"/>
    </row>
    <row r="18" spans="2:4" s="930" customFormat="1" ht="11.25" customHeight="1"/>
    <row r="19" spans="2:4" s="941" customFormat="1" ht="27.75" customHeight="1">
      <c r="B19" s="1166" t="s">
        <v>1213</v>
      </c>
      <c r="C19" s="1166"/>
    </row>
    <row r="20" spans="2:4" s="941" customFormat="1" ht="27.75" customHeight="1">
      <c r="B20" s="1169" t="s">
        <v>1214</v>
      </c>
      <c r="C20" s="1166"/>
    </row>
    <row r="21" spans="2:4" s="941" customFormat="1" ht="27.75" customHeight="1">
      <c r="B21" s="1169" t="s">
        <v>1215</v>
      </c>
      <c r="C21" s="1166"/>
      <c r="D21" s="934"/>
    </row>
    <row r="22" spans="2:4" s="930" customFormat="1" ht="11.15" customHeight="1">
      <c r="D22" s="940"/>
    </row>
    <row r="23" spans="2:4" s="930" customFormat="1" ht="22" customHeight="1">
      <c r="B23" s="1166" t="s">
        <v>1216</v>
      </c>
      <c r="C23" s="1166"/>
      <c r="D23" s="940"/>
    </row>
    <row r="24" spans="2:4" s="930" customFormat="1" ht="22" customHeight="1">
      <c r="B24" s="942" t="s">
        <v>1217</v>
      </c>
      <c r="C24" s="943"/>
      <c r="D24" s="940"/>
    </row>
    <row r="25" spans="2:4" s="930" customFormat="1" ht="22" customHeight="1">
      <c r="B25" s="1167" t="s">
        <v>1218</v>
      </c>
      <c r="C25" s="1167"/>
      <c r="D25" s="940"/>
    </row>
    <row r="26" spans="2:4" s="930" customFormat="1" ht="22" customHeight="1">
      <c r="B26" s="944" t="s">
        <v>1217</v>
      </c>
      <c r="C26" s="945"/>
      <c r="D26" s="940"/>
    </row>
    <row r="27" spans="2:4" s="930" customFormat="1" ht="22" customHeight="1">
      <c r="B27" s="946" t="s">
        <v>1219</v>
      </c>
      <c r="C27" s="947"/>
      <c r="D27" s="940"/>
    </row>
    <row r="28" spans="2:4" s="930" customFormat="1" ht="22" customHeight="1">
      <c r="B28" s="946" t="s">
        <v>1220</v>
      </c>
      <c r="C28" s="947"/>
      <c r="D28" s="940"/>
    </row>
    <row r="29" spans="2:4" s="935" customFormat="1" ht="22" customHeight="1">
      <c r="B29" s="942" t="s">
        <v>1217</v>
      </c>
      <c r="C29" s="948"/>
      <c r="D29" s="949"/>
    </row>
    <row r="30" spans="2:4" s="935" customFormat="1" ht="22" customHeight="1">
      <c r="B30" s="1168" t="s">
        <v>1221</v>
      </c>
      <c r="C30" s="1168"/>
      <c r="D30" s="934"/>
    </row>
    <row r="31" spans="2:4" s="935" customFormat="1" ht="21.75" customHeight="1">
      <c r="B31" s="951" t="s">
        <v>1222</v>
      </c>
      <c r="C31" s="950"/>
      <c r="D31" s="934"/>
    </row>
    <row r="32" spans="2:4" s="935" customFormat="1" ht="22" customHeight="1">
      <c r="B32" s="952" t="s">
        <v>1217</v>
      </c>
      <c r="C32" s="950"/>
      <c r="D32" s="934"/>
    </row>
    <row r="33" spans="2:4" s="935" customFormat="1" ht="22" customHeight="1">
      <c r="B33" s="953" t="s">
        <v>1223</v>
      </c>
      <c r="C33" s="950"/>
      <c r="D33" s="934"/>
    </row>
    <row r="34" spans="2:4" s="935" customFormat="1" ht="22" customHeight="1">
      <c r="B34" s="953" t="s">
        <v>1224</v>
      </c>
      <c r="C34" s="950"/>
      <c r="D34" s="934"/>
    </row>
  </sheetData>
  <mergeCells count="11">
    <mergeCell ref="B2:C2"/>
    <mergeCell ref="B4:C4"/>
    <mergeCell ref="B23:C23"/>
    <mergeCell ref="B25:C25"/>
    <mergeCell ref="B30:C30"/>
    <mergeCell ref="B13:C13"/>
    <mergeCell ref="B15:C15"/>
    <mergeCell ref="B17:C17"/>
    <mergeCell ref="B19:C19"/>
    <mergeCell ref="B20:C20"/>
    <mergeCell ref="B21:C2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1:BF35"/>
  <sheetViews>
    <sheetView zoomScaleNormal="100" workbookViewId="0"/>
  </sheetViews>
  <sheetFormatPr defaultColWidth="9.1796875" defaultRowHeight="14.5"/>
  <cols>
    <col min="1" max="1" width="5.6328125" style="5" customWidth="1"/>
    <col min="2" max="56" width="3" style="5" customWidth="1"/>
    <col min="57" max="58" width="2.7265625" style="5" customWidth="1"/>
    <col min="59" max="16384" width="9.1796875" style="5"/>
  </cols>
  <sheetData>
    <row r="1" spans="2:58" ht="20" customHeight="1">
      <c r="B1" s="980"/>
      <c r="C1" s="902" t="str">
        <f>UPPER(N24)</f>
        <v>ANNUAL INFORMATION NOTICE</v>
      </c>
      <c r="D1" s="902"/>
      <c r="E1" s="902"/>
      <c r="F1" s="902"/>
      <c r="G1" s="902"/>
      <c r="H1" s="902"/>
      <c r="I1" s="902"/>
      <c r="J1" s="902"/>
      <c r="K1" s="902"/>
      <c r="L1" s="902"/>
      <c r="M1" s="902"/>
      <c r="N1" s="902"/>
      <c r="O1" s="902"/>
      <c r="P1" s="902"/>
      <c r="Q1" s="902"/>
      <c r="R1" s="902"/>
      <c r="S1" s="902"/>
      <c r="T1" s="902"/>
      <c r="U1" s="902"/>
      <c r="V1" s="902"/>
      <c r="W1" s="902"/>
      <c r="X1" s="902"/>
      <c r="Y1" s="902"/>
      <c r="Z1" s="902"/>
      <c r="AA1" s="902"/>
      <c r="AB1" s="902"/>
      <c r="AC1" s="902"/>
      <c r="AD1" s="902"/>
      <c r="AE1" s="981"/>
      <c r="AF1" s="7"/>
      <c r="AG1" s="3"/>
      <c r="AH1" s="3"/>
      <c r="AI1" s="3"/>
      <c r="AJ1" s="3"/>
      <c r="AK1" s="3"/>
      <c r="AL1" s="3"/>
      <c r="AM1" s="3"/>
      <c r="AN1" s="3"/>
      <c r="AO1" s="3"/>
      <c r="AP1" s="3"/>
      <c r="AQ1" s="3"/>
      <c r="AR1" s="3"/>
      <c r="AS1" s="3"/>
      <c r="AT1" s="3"/>
      <c r="AU1" s="3"/>
      <c r="AV1" s="3"/>
      <c r="AW1" s="3"/>
      <c r="AX1" s="3"/>
      <c r="AY1" s="3"/>
      <c r="AZ1" s="3"/>
      <c r="BA1" s="3"/>
      <c r="BB1" s="3"/>
      <c r="BC1" s="3"/>
      <c r="BD1" s="3"/>
    </row>
    <row r="2" spans="2:58" ht="20" customHeight="1">
      <c r="B2" s="980"/>
      <c r="C2" s="903" t="str">
        <f>dms_TradingName</f>
        <v>Power and Water</v>
      </c>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80"/>
      <c r="AF2" s="8"/>
      <c r="AG2" s="3"/>
      <c r="AH2" s="3"/>
      <c r="AI2" s="3"/>
      <c r="AJ2" s="3"/>
      <c r="AK2" s="3"/>
      <c r="AL2" s="3"/>
      <c r="AM2" s="3"/>
      <c r="AN2" s="3"/>
      <c r="AO2" s="3"/>
      <c r="AP2" s="3"/>
      <c r="AQ2" s="3"/>
      <c r="AR2" s="3"/>
      <c r="AS2" s="3"/>
      <c r="AT2" s="3"/>
      <c r="AU2" s="3"/>
      <c r="AV2" s="3"/>
      <c r="AW2" s="3"/>
      <c r="AX2" s="3"/>
      <c r="AY2" s="3"/>
      <c r="AZ2" s="3"/>
      <c r="BA2" s="3"/>
      <c r="BB2" s="3"/>
      <c r="BC2" s="3"/>
      <c r="BD2" s="3"/>
    </row>
    <row r="3" spans="2:58" ht="20" customHeight="1">
      <c r="B3" s="980"/>
      <c r="C3" s="904" t="str">
        <f>CONCATENATE("REPORTING STATEMENT: "&amp;CRY)</f>
        <v>REPORTING STATEMENT: 2025-26</v>
      </c>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82"/>
      <c r="AF3" s="9"/>
      <c r="AG3" s="3"/>
      <c r="AH3" s="3"/>
      <c r="AI3" s="3"/>
      <c r="AJ3" s="3"/>
      <c r="AK3" s="3"/>
      <c r="AL3" s="3"/>
      <c r="AM3" s="3"/>
      <c r="AN3" s="3"/>
      <c r="AO3" s="3"/>
      <c r="AP3" s="3"/>
      <c r="AQ3" s="3"/>
      <c r="AR3" s="3"/>
      <c r="AS3" s="3"/>
      <c r="AT3" s="3"/>
      <c r="AU3" s="3"/>
      <c r="AV3" s="3"/>
      <c r="AW3" s="3"/>
      <c r="AX3" s="3"/>
      <c r="AY3" s="3"/>
      <c r="AZ3" s="3"/>
      <c r="BA3" s="3"/>
      <c r="BB3" s="3"/>
      <c r="BC3" s="3"/>
      <c r="BD3" s="3"/>
    </row>
    <row r="4" spans="2:58" ht="20" customHeight="1">
      <c r="B4" s="2"/>
      <c r="C4" s="912" t="s">
        <v>7</v>
      </c>
      <c r="D4" s="912"/>
      <c r="E4" s="912"/>
      <c r="F4" s="912"/>
      <c r="G4" s="912"/>
      <c r="H4" s="912"/>
      <c r="I4" s="912"/>
      <c r="J4" s="912"/>
      <c r="K4" s="912"/>
      <c r="L4" s="912"/>
      <c r="M4" s="912"/>
      <c r="N4" s="912"/>
      <c r="O4" s="912"/>
      <c r="P4" s="912"/>
      <c r="Q4" s="912"/>
      <c r="R4" s="912"/>
      <c r="S4" s="912"/>
      <c r="T4" s="912"/>
      <c r="U4" s="912"/>
      <c r="V4" s="912"/>
      <c r="W4" s="912"/>
      <c r="X4" s="912"/>
      <c r="Y4" s="912"/>
      <c r="Z4" s="912"/>
      <c r="AA4" s="912"/>
      <c r="AB4" s="912"/>
      <c r="AC4" s="912"/>
      <c r="AD4" s="912"/>
      <c r="AE4" s="2"/>
      <c r="AF4" s="2"/>
      <c r="AG4" s="2"/>
      <c r="AH4" s="2"/>
      <c r="AI4" s="2"/>
      <c r="AJ4" s="2"/>
      <c r="AK4" s="2"/>
      <c r="AL4" s="2"/>
      <c r="AM4" s="2"/>
      <c r="AN4" s="2"/>
      <c r="AO4" s="2"/>
      <c r="AP4" s="2"/>
      <c r="AQ4" s="2"/>
      <c r="AR4" s="2"/>
      <c r="AS4" s="2"/>
      <c r="AT4" s="2"/>
      <c r="AU4" s="2"/>
      <c r="AV4" s="2"/>
      <c r="AW4" s="2"/>
      <c r="AX4" s="2"/>
      <c r="AY4" s="2"/>
      <c r="AZ4" s="2"/>
      <c r="BA4" s="2"/>
      <c r="BB4" s="2"/>
      <c r="BC4" s="2"/>
      <c r="BD4" s="2"/>
    </row>
    <row r="5" spans="2:58" ht="5.15" customHeight="1"/>
    <row r="6" spans="2:58" ht="21" customHeight="1">
      <c r="B6" s="1172" t="s">
        <v>1243</v>
      </c>
      <c r="C6" s="1172"/>
      <c r="D6" s="1172"/>
      <c r="E6" s="1172"/>
      <c r="F6" s="1172"/>
      <c r="G6" s="1172"/>
      <c r="H6" s="1172"/>
      <c r="I6" s="1172"/>
      <c r="J6" s="1172"/>
      <c r="K6" s="1172"/>
      <c r="L6" s="1172"/>
      <c r="M6" s="1172"/>
      <c r="N6" s="1172"/>
      <c r="O6" s="1172"/>
      <c r="P6" s="1172"/>
      <c r="Q6" s="1172"/>
      <c r="R6" s="1172"/>
      <c r="S6" s="1172"/>
      <c r="T6" s="1172"/>
      <c r="U6" s="1172"/>
      <c r="V6" s="1172"/>
      <c r="W6" s="1172"/>
      <c r="X6" s="1172"/>
      <c r="Y6" s="1172"/>
      <c r="Z6" s="1172"/>
      <c r="AA6" s="1172"/>
      <c r="AB6" s="1172"/>
      <c r="AC6" s="1172"/>
      <c r="AD6" s="1172"/>
      <c r="AE6" s="1172"/>
      <c r="AF6" s="1172"/>
      <c r="AG6" s="1172"/>
      <c r="AH6" s="1172"/>
      <c r="AI6" s="1172"/>
      <c r="AJ6" s="1172"/>
      <c r="AK6" s="1172"/>
      <c r="AL6" s="1172"/>
      <c r="AM6" s="1172"/>
      <c r="AN6" s="1172"/>
      <c r="AO6" s="1172"/>
      <c r="AP6" s="1172"/>
      <c r="AQ6" s="1172"/>
      <c r="AR6" s="1172"/>
      <c r="AS6" s="1172"/>
      <c r="AT6" s="1172"/>
      <c r="AU6" s="1172"/>
      <c r="AV6" s="1172"/>
      <c r="AW6" s="1172"/>
      <c r="AX6" s="1172"/>
      <c r="AY6" s="1172"/>
      <c r="AZ6" s="1172"/>
      <c r="BA6" s="1172"/>
      <c r="BB6" s="1172"/>
      <c r="BC6" s="1172"/>
      <c r="BD6" s="1172"/>
    </row>
    <row r="7" spans="2:58" ht="38.25" customHeight="1">
      <c r="B7" s="983"/>
      <c r="C7" s="1170" t="s">
        <v>1242</v>
      </c>
      <c r="D7" s="1170"/>
      <c r="E7" s="1170"/>
      <c r="F7" s="1170"/>
      <c r="G7" s="1170"/>
      <c r="H7" s="1170"/>
      <c r="I7" s="1170"/>
      <c r="J7" s="1170"/>
      <c r="K7" s="1170"/>
      <c r="L7" s="1170"/>
      <c r="M7" s="1170"/>
      <c r="N7" s="1170"/>
      <c r="O7" s="1170"/>
      <c r="P7" s="1170"/>
      <c r="Q7" s="1170"/>
      <c r="R7" s="1170"/>
      <c r="S7" s="1170"/>
      <c r="T7" s="1170"/>
      <c r="U7" s="1170"/>
      <c r="V7" s="1170"/>
      <c r="W7" s="1170"/>
      <c r="X7" s="1170"/>
      <c r="Y7" s="1170"/>
      <c r="Z7" s="1170"/>
      <c r="AA7" s="1170"/>
      <c r="AB7" s="1170"/>
      <c r="AC7" s="1170"/>
      <c r="AD7" s="1170"/>
      <c r="AE7" s="1170"/>
      <c r="AF7" s="1170"/>
      <c r="AG7" s="1170"/>
      <c r="AH7" s="1170"/>
      <c r="AI7" s="1170"/>
      <c r="AJ7" s="1170"/>
      <c r="AK7" s="1170"/>
      <c r="AL7" s="1170"/>
      <c r="AM7" s="1170"/>
      <c r="AN7" s="1170"/>
      <c r="AO7" s="1170"/>
      <c r="AP7" s="1170"/>
      <c r="AQ7" s="1170"/>
      <c r="AR7" s="1170"/>
      <c r="AS7" s="1170"/>
      <c r="AT7" s="1170"/>
      <c r="AU7" s="1170"/>
      <c r="AV7" s="1170"/>
      <c r="AW7" s="1170"/>
      <c r="AX7" s="1170"/>
      <c r="AY7" s="1170"/>
      <c r="AZ7" s="1170"/>
      <c r="BA7" s="1170"/>
      <c r="BB7" s="1170"/>
      <c r="BC7" s="1170"/>
      <c r="BD7" s="983"/>
    </row>
    <row r="8" spans="2:58" ht="5.15" customHeight="1">
      <c r="B8" s="4"/>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4"/>
      <c r="AU8" s="4"/>
      <c r="AV8" s="4"/>
      <c r="AW8" s="4"/>
      <c r="AX8" s="4"/>
      <c r="AY8" s="4"/>
      <c r="AZ8" s="4"/>
      <c r="BA8" s="4"/>
      <c r="BB8" s="4"/>
      <c r="BC8" s="4"/>
      <c r="BD8" s="4"/>
    </row>
    <row r="9" spans="2:58" s="913" customFormat="1" ht="23.25" customHeight="1">
      <c r="B9" s="993"/>
      <c r="C9" s="994" t="s">
        <v>13</v>
      </c>
      <c r="D9" s="994"/>
      <c r="E9" s="994"/>
      <c r="F9" s="994"/>
      <c r="G9" s="994"/>
      <c r="H9" s="994"/>
      <c r="I9" s="994"/>
      <c r="J9" s="994"/>
      <c r="K9" s="994"/>
      <c r="L9" s="994"/>
      <c r="M9" s="994"/>
      <c r="N9" s="994"/>
      <c r="O9" s="994"/>
      <c r="P9" s="994"/>
      <c r="Q9" s="994"/>
      <c r="R9" s="994"/>
      <c r="S9" s="994"/>
      <c r="T9" s="994"/>
      <c r="U9" s="994"/>
      <c r="V9" s="994"/>
      <c r="W9" s="994"/>
      <c r="X9" s="994"/>
      <c r="Y9" s="994"/>
      <c r="Z9" s="994"/>
      <c r="AA9" s="994"/>
      <c r="AB9" s="994"/>
      <c r="AC9" s="994"/>
      <c r="AD9" s="994"/>
      <c r="AE9" s="994"/>
      <c r="AF9" s="994"/>
      <c r="AG9" s="994"/>
      <c r="AH9" s="994"/>
      <c r="AI9" s="994"/>
      <c r="AJ9" s="994"/>
      <c r="AK9" s="994"/>
      <c r="AL9" s="994"/>
      <c r="AM9" s="994"/>
      <c r="AN9" s="994"/>
      <c r="AO9" s="994"/>
      <c r="AP9" s="994"/>
      <c r="AQ9" s="994"/>
      <c r="AR9" s="994"/>
      <c r="AS9" s="994"/>
      <c r="AT9" s="994"/>
      <c r="AU9" s="994"/>
      <c r="AV9" s="994"/>
      <c r="AW9" s="994"/>
      <c r="AX9" s="994"/>
      <c r="AY9" s="994"/>
      <c r="AZ9" s="994"/>
      <c r="BA9" s="994"/>
      <c r="BB9" s="994"/>
      <c r="BC9" s="994"/>
      <c r="BD9" s="994"/>
      <c r="BE9" s="5"/>
      <c r="BF9" s="5"/>
    </row>
    <row r="10" spans="2:58" ht="5.15" customHeight="1"/>
    <row r="11" spans="2:58" ht="25" customHeight="1">
      <c r="B11" s="1171" t="s">
        <v>1239</v>
      </c>
      <c r="C11" s="1171"/>
      <c r="D11" s="1171"/>
      <c r="E11" s="1171"/>
      <c r="F11" s="1171"/>
      <c r="G11" s="1171"/>
      <c r="H11" s="1171"/>
      <c r="I11" s="1171"/>
      <c r="J11" s="1171"/>
      <c r="K11" s="1171"/>
      <c r="L11" s="1171"/>
      <c r="M11" s="1171"/>
      <c r="N11" s="1171"/>
      <c r="O11" s="1171"/>
      <c r="P11" s="1171"/>
      <c r="Q11" s="1171"/>
      <c r="R11" s="1171"/>
      <c r="S11" s="1171"/>
      <c r="T11" s="1171"/>
      <c r="U11" s="1171"/>
      <c r="V11" s="1171"/>
      <c r="W11" s="1171"/>
      <c r="X11" s="1171"/>
      <c r="Y11" s="1171"/>
      <c r="Z11" s="1171"/>
      <c r="AA11" s="1171"/>
      <c r="AB11" s="1171"/>
      <c r="AC11" s="1171"/>
      <c r="AD11" s="1171"/>
      <c r="AE11" s="1171"/>
      <c r="AF11" s="1171"/>
      <c r="AG11" s="1171"/>
      <c r="AH11" s="1171"/>
      <c r="AI11" s="1171"/>
      <c r="AJ11" s="1171"/>
      <c r="AK11" s="1171"/>
      <c r="AL11" s="1171"/>
      <c r="AM11" s="1171"/>
      <c r="AN11" s="1171"/>
      <c r="AO11" s="1171"/>
      <c r="AP11" s="1171"/>
      <c r="AQ11" s="1171"/>
      <c r="AR11" s="1171"/>
      <c r="AS11" s="1171"/>
      <c r="AT11" s="1171"/>
      <c r="AU11" s="1171"/>
      <c r="AV11" s="1171"/>
      <c r="AW11" s="1171"/>
      <c r="AX11" s="1171"/>
      <c r="AY11" s="1171"/>
      <c r="AZ11" s="1171"/>
      <c r="BA11" s="1171"/>
      <c r="BB11" s="1171"/>
      <c r="BC11" s="1171"/>
      <c r="BD11" s="1171"/>
    </row>
    <row r="12" spans="2:58" ht="25.5" customHeight="1">
      <c r="B12" s="986"/>
      <c r="C12" s="986"/>
      <c r="D12" s="987"/>
      <c r="E12" s="987"/>
      <c r="F12" s="987"/>
      <c r="G12" s="987"/>
      <c r="H12" s="987"/>
      <c r="I12" s="987"/>
      <c r="J12" s="987"/>
      <c r="K12" s="987"/>
      <c r="L12" s="988" t="s">
        <v>14</v>
      </c>
      <c r="M12" s="987"/>
      <c r="N12" s="987"/>
      <c r="O12" s="987"/>
      <c r="P12" s="987"/>
      <c r="Q12" s="987"/>
      <c r="R12" s="987"/>
      <c r="S12" s="987"/>
      <c r="T12" s="987"/>
      <c r="U12" s="987"/>
      <c r="V12" s="987"/>
      <c r="W12" s="987"/>
      <c r="X12" s="987"/>
      <c r="Y12" s="987"/>
      <c r="Z12" s="987"/>
      <c r="AA12" s="987"/>
      <c r="AB12" s="987"/>
      <c r="AC12" s="987"/>
      <c r="AD12" s="987"/>
      <c r="AE12" s="987"/>
      <c r="AF12" s="986"/>
      <c r="AG12" s="986"/>
      <c r="AH12" s="986"/>
      <c r="AI12" s="986"/>
      <c r="AJ12" s="986"/>
      <c r="AK12" s="986"/>
      <c r="AL12" s="986"/>
      <c r="AM12" s="986"/>
      <c r="AN12" s="986"/>
      <c r="AO12" s="986"/>
      <c r="AP12" s="986"/>
      <c r="AQ12" s="986"/>
      <c r="AR12" s="986"/>
      <c r="AS12" s="986"/>
      <c r="AT12" s="986"/>
      <c r="AU12" s="986"/>
      <c r="AV12" s="986"/>
      <c r="AW12" s="986"/>
      <c r="AX12" s="986"/>
      <c r="AY12" s="986"/>
      <c r="AZ12" s="986"/>
      <c r="BA12" s="986"/>
      <c r="BB12" s="986"/>
      <c r="BC12" s="986"/>
      <c r="BD12" s="986"/>
    </row>
    <row r="13" spans="2:58" s="891" customFormat="1" ht="22.5" customHeight="1">
      <c r="B13" s="989"/>
      <c r="C13" s="990"/>
      <c r="D13" s="991"/>
      <c r="E13" s="991"/>
      <c r="F13" s="991"/>
      <c r="G13" s="991"/>
      <c r="H13" s="991"/>
      <c r="I13" s="991"/>
      <c r="J13" s="991"/>
      <c r="K13" s="991"/>
      <c r="L13" s="990" t="s">
        <v>8</v>
      </c>
      <c r="M13" s="989"/>
      <c r="N13" s="1175" t="s">
        <v>175</v>
      </c>
      <c r="O13" s="1175"/>
      <c r="P13" s="1175"/>
      <c r="Q13" s="1175"/>
      <c r="R13" s="1175"/>
      <c r="S13" s="1175"/>
      <c r="T13" s="1175"/>
      <c r="U13" s="1175"/>
      <c r="V13" s="1175"/>
      <c r="W13" s="1175"/>
      <c r="X13" s="1175"/>
      <c r="Y13" s="1175"/>
      <c r="Z13" s="1175"/>
      <c r="AA13" s="1175"/>
      <c r="AB13" s="1175"/>
      <c r="AC13" s="1175"/>
      <c r="AD13" s="1175"/>
      <c r="AE13" s="1175"/>
      <c r="AF13" s="989"/>
      <c r="AG13" s="989"/>
      <c r="AH13" s="989"/>
      <c r="AI13" s="989"/>
      <c r="AJ13" s="989"/>
      <c r="AK13" s="989"/>
      <c r="AL13" s="989"/>
      <c r="AM13" s="989"/>
      <c r="AN13" s="989"/>
      <c r="AO13" s="989"/>
      <c r="AP13" s="989"/>
      <c r="AQ13" s="989"/>
      <c r="AR13" s="989"/>
      <c r="AS13" s="989"/>
      <c r="AT13" s="989"/>
      <c r="AU13" s="989"/>
      <c r="AV13" s="989"/>
      <c r="AW13" s="989"/>
      <c r="AX13" s="989"/>
      <c r="AY13" s="989"/>
      <c r="AZ13" s="989"/>
      <c r="BA13" s="989"/>
      <c r="BB13" s="989"/>
      <c r="BC13" s="989"/>
      <c r="BD13" s="989"/>
      <c r="BE13" s="5"/>
      <c r="BF13" s="5"/>
    </row>
    <row r="14" spans="2:58" s="914" customFormat="1" ht="22.5" customHeight="1">
      <c r="B14" s="992"/>
      <c r="C14" s="990"/>
      <c r="D14" s="991"/>
      <c r="E14" s="991"/>
      <c r="F14" s="991"/>
      <c r="G14" s="991"/>
      <c r="H14" s="991"/>
      <c r="I14" s="991"/>
      <c r="J14" s="991"/>
      <c r="K14" s="991"/>
      <c r="L14" s="990" t="s">
        <v>15</v>
      </c>
      <c r="M14" s="992"/>
      <c r="N14" s="1176">
        <f>INDEX(dms_ABN_List,MATCH(dms_TradingName,dms_TradingName_List))</f>
        <v>15947352360</v>
      </c>
      <c r="O14" s="1176"/>
      <c r="P14" s="1176"/>
      <c r="Q14" s="1176"/>
      <c r="R14" s="1176"/>
      <c r="S14" s="1176"/>
      <c r="T14" s="1176"/>
      <c r="U14" s="1176"/>
      <c r="V14" s="1176"/>
      <c r="W14" s="1176"/>
      <c r="X14" s="1176"/>
      <c r="Y14" s="1176"/>
      <c r="Z14" s="992"/>
      <c r="AA14" s="992"/>
      <c r="AB14" s="992"/>
      <c r="AC14" s="992"/>
      <c r="AD14" s="992"/>
      <c r="AE14" s="992"/>
      <c r="AF14" s="992"/>
      <c r="AG14" s="992"/>
      <c r="AH14" s="992"/>
      <c r="AI14" s="992"/>
      <c r="AJ14" s="992"/>
      <c r="AK14" s="992"/>
      <c r="AL14" s="992"/>
      <c r="AM14" s="992"/>
      <c r="AN14" s="992"/>
      <c r="AO14" s="992"/>
      <c r="AP14" s="992"/>
      <c r="AQ14" s="992"/>
      <c r="AR14" s="992"/>
      <c r="AS14" s="992"/>
      <c r="AT14" s="992"/>
      <c r="AU14" s="992"/>
      <c r="AV14" s="992"/>
      <c r="AW14" s="992"/>
      <c r="AX14" s="992"/>
      <c r="AY14" s="992"/>
      <c r="AZ14" s="992"/>
      <c r="BA14" s="992"/>
      <c r="BB14" s="992"/>
      <c r="BC14" s="992"/>
      <c r="BD14" s="992"/>
      <c r="BE14" s="5"/>
      <c r="BF14" s="5"/>
    </row>
    <row r="15" spans="2:58" ht="9" customHeight="1">
      <c r="B15" s="986"/>
      <c r="C15" s="986"/>
      <c r="D15" s="986"/>
      <c r="E15" s="986"/>
      <c r="F15" s="986"/>
      <c r="G15" s="986"/>
      <c r="H15" s="986"/>
      <c r="I15" s="986"/>
      <c r="J15" s="986"/>
      <c r="K15" s="986"/>
      <c r="L15" s="986"/>
      <c r="M15" s="986"/>
      <c r="N15" s="986"/>
      <c r="O15" s="986"/>
      <c r="P15" s="986"/>
      <c r="Q15" s="986"/>
      <c r="R15" s="986"/>
      <c r="S15" s="986"/>
      <c r="T15" s="986"/>
      <c r="U15" s="986"/>
      <c r="V15" s="986"/>
      <c r="W15" s="986"/>
      <c r="X15" s="986"/>
      <c r="Y15" s="986"/>
      <c r="Z15" s="986"/>
      <c r="AA15" s="986"/>
      <c r="AB15" s="986"/>
      <c r="AC15" s="986"/>
      <c r="AD15" s="986"/>
      <c r="AE15" s="986"/>
      <c r="AF15" s="986"/>
      <c r="AG15" s="986"/>
      <c r="AH15" s="986"/>
      <c r="AI15" s="986"/>
      <c r="AJ15" s="986"/>
      <c r="AK15" s="986"/>
      <c r="AL15" s="986"/>
      <c r="AM15" s="986"/>
      <c r="AN15" s="986"/>
      <c r="AO15" s="986"/>
      <c r="AP15" s="986"/>
      <c r="AQ15" s="986"/>
      <c r="AR15" s="986"/>
      <c r="AS15" s="986"/>
      <c r="AT15" s="986"/>
      <c r="AU15" s="986"/>
      <c r="AV15" s="986"/>
      <c r="AW15" s="986"/>
      <c r="AX15" s="986"/>
      <c r="AY15" s="986"/>
      <c r="AZ15" s="986"/>
      <c r="BA15" s="986"/>
      <c r="BB15" s="986"/>
      <c r="BC15" s="986"/>
      <c r="BD15" s="986"/>
    </row>
    <row r="16" spans="2:58" ht="9" customHeight="1">
      <c r="B16" s="984"/>
      <c r="C16" s="984"/>
      <c r="D16" s="984"/>
      <c r="E16" s="984"/>
      <c r="F16" s="984"/>
      <c r="G16" s="984"/>
      <c r="H16" s="985"/>
      <c r="I16" s="985"/>
      <c r="J16" s="985"/>
      <c r="K16" s="985"/>
      <c r="L16" s="985"/>
      <c r="M16" s="985"/>
      <c r="N16" s="985"/>
      <c r="O16" s="985"/>
      <c r="P16" s="985"/>
      <c r="Q16" s="985"/>
      <c r="R16" s="985"/>
      <c r="S16" s="985"/>
      <c r="T16" s="985"/>
      <c r="U16" s="985"/>
      <c r="V16" s="985"/>
      <c r="W16" s="985"/>
      <c r="X16" s="985"/>
      <c r="Y16" s="985"/>
      <c r="Z16" s="985"/>
      <c r="AA16" s="984"/>
      <c r="AB16" s="984"/>
      <c r="AC16" s="984"/>
      <c r="AD16" s="984"/>
      <c r="AE16" s="984"/>
      <c r="AF16" s="984"/>
      <c r="AG16" s="984"/>
      <c r="AH16" s="984"/>
      <c r="AI16" s="984"/>
      <c r="AJ16" s="984"/>
      <c r="AK16" s="984"/>
      <c r="AL16" s="984"/>
      <c r="AM16" s="984"/>
      <c r="AN16" s="984"/>
      <c r="AO16" s="984"/>
      <c r="AP16" s="984"/>
      <c r="AQ16" s="984"/>
      <c r="AR16" s="984"/>
      <c r="AS16" s="984"/>
      <c r="AT16" s="984"/>
      <c r="AU16" s="984"/>
      <c r="AV16" s="984"/>
      <c r="AW16" s="984"/>
      <c r="AX16" s="984"/>
      <c r="AY16" s="984"/>
      <c r="AZ16" s="984"/>
      <c r="BA16" s="984"/>
      <c r="BB16" s="984"/>
      <c r="BC16" s="984"/>
      <c r="BD16" s="984"/>
    </row>
    <row r="17" spans="2:56" ht="25" customHeight="1">
      <c r="B17" s="1171" t="s">
        <v>1240</v>
      </c>
      <c r="C17" s="1171"/>
      <c r="D17" s="1171"/>
      <c r="E17" s="1171"/>
      <c r="F17" s="1171"/>
      <c r="G17" s="1171"/>
      <c r="H17" s="1171"/>
      <c r="I17" s="1171"/>
      <c r="J17" s="1171"/>
      <c r="K17" s="1171"/>
      <c r="L17" s="1171"/>
      <c r="M17" s="1171"/>
      <c r="N17" s="1171"/>
      <c r="O17" s="1171"/>
      <c r="P17" s="1171"/>
      <c r="Q17" s="1171"/>
      <c r="R17" s="1171"/>
      <c r="S17" s="1171"/>
      <c r="T17" s="1171"/>
      <c r="U17" s="1171"/>
      <c r="V17" s="1171"/>
      <c r="W17" s="1171"/>
      <c r="X17" s="1171"/>
      <c r="Y17" s="1171"/>
      <c r="Z17" s="1171"/>
      <c r="AA17" s="1171"/>
      <c r="AB17" s="1171"/>
      <c r="AC17" s="1171"/>
      <c r="AD17" s="1171"/>
      <c r="AE17" s="1171"/>
      <c r="AF17" s="1171"/>
      <c r="AG17" s="1171"/>
      <c r="AH17" s="1171"/>
      <c r="AI17" s="1171"/>
      <c r="AJ17" s="1171"/>
      <c r="AK17" s="1171"/>
      <c r="AL17" s="1171"/>
      <c r="AM17" s="1171"/>
      <c r="AN17" s="1171"/>
      <c r="AO17" s="1171"/>
      <c r="AP17" s="1171"/>
      <c r="AQ17" s="1171"/>
      <c r="AR17" s="1171"/>
      <c r="AS17" s="1171"/>
      <c r="AT17" s="1171"/>
      <c r="AU17" s="1171"/>
      <c r="AV17" s="1171"/>
      <c r="AW17" s="1171"/>
      <c r="AX17" s="1171"/>
      <c r="AY17" s="1171"/>
      <c r="AZ17" s="1171"/>
      <c r="BA17" s="1171"/>
      <c r="BB17" s="1171"/>
      <c r="BC17" s="1171"/>
      <c r="BD17" s="1171"/>
    </row>
    <row r="18" spans="2:56" ht="5.15" customHeight="1">
      <c r="B18" s="997"/>
      <c r="C18" s="998"/>
      <c r="D18" s="998"/>
      <c r="E18" s="995"/>
      <c r="F18" s="995"/>
      <c r="G18" s="995"/>
      <c r="H18" s="995"/>
      <c r="I18" s="995"/>
      <c r="J18" s="995"/>
      <c r="K18" s="995"/>
      <c r="L18" s="995"/>
      <c r="M18" s="995"/>
      <c r="N18" s="995"/>
      <c r="O18" s="995"/>
      <c r="P18" s="995"/>
      <c r="Q18" s="995"/>
      <c r="R18" s="995"/>
      <c r="S18" s="995"/>
      <c r="T18" s="995"/>
      <c r="U18" s="997"/>
      <c r="V18" s="997"/>
      <c r="W18" s="997"/>
      <c r="X18" s="997"/>
      <c r="Y18" s="997"/>
      <c r="Z18" s="997"/>
      <c r="AA18" s="997"/>
      <c r="AB18" s="997"/>
      <c r="AC18" s="997"/>
      <c r="AD18" s="997"/>
      <c r="AE18" s="997"/>
      <c r="AF18" s="997"/>
      <c r="AG18" s="997"/>
      <c r="AH18" s="997"/>
      <c r="AI18" s="997"/>
      <c r="AJ18" s="997"/>
      <c r="AK18" s="997"/>
      <c r="AL18" s="997"/>
      <c r="AM18" s="997"/>
      <c r="AN18" s="997"/>
      <c r="AO18" s="997"/>
      <c r="AP18" s="997"/>
      <c r="AQ18" s="997"/>
      <c r="AR18" s="997"/>
      <c r="AS18" s="997"/>
      <c r="AT18" s="997"/>
      <c r="AU18" s="997"/>
      <c r="AV18" s="997"/>
      <c r="AW18" s="997"/>
      <c r="AX18" s="997"/>
      <c r="AY18" s="997"/>
      <c r="AZ18" s="997"/>
      <c r="BA18" s="997"/>
      <c r="BB18" s="997"/>
      <c r="BC18" s="997"/>
      <c r="BD18" s="997"/>
    </row>
    <row r="19" spans="2:56" ht="21.75" customHeight="1">
      <c r="B19" s="988"/>
      <c r="C19" s="995"/>
      <c r="D19" s="995"/>
      <c r="E19" s="995"/>
      <c r="F19" s="995"/>
      <c r="G19" s="995"/>
      <c r="H19" s="995"/>
      <c r="I19" s="995"/>
      <c r="J19" s="996"/>
      <c r="K19" s="996"/>
      <c r="L19" s="990" t="s">
        <v>1183</v>
      </c>
      <c r="M19" s="995"/>
      <c r="N19" s="1173" t="s">
        <v>573</v>
      </c>
      <c r="O19" s="1173"/>
      <c r="P19" s="1173"/>
      <c r="Q19" s="1173"/>
      <c r="R19" s="1173"/>
      <c r="S19" s="1173"/>
      <c r="T19" s="1173"/>
      <c r="U19" s="1173"/>
      <c r="V19" s="997"/>
      <c r="W19" s="997"/>
      <c r="X19" s="997"/>
      <c r="Y19" s="997"/>
      <c r="Z19" s="997"/>
      <c r="AA19" s="997"/>
      <c r="AB19" s="997"/>
      <c r="AC19" s="997"/>
      <c r="AD19" s="997"/>
      <c r="AE19" s="997"/>
      <c r="AF19" s="997"/>
      <c r="AG19" s="997"/>
      <c r="AH19" s="997"/>
      <c r="AI19" s="997"/>
      <c r="AJ19" s="997"/>
      <c r="AK19" s="997"/>
      <c r="AL19" s="997"/>
      <c r="AM19" s="997"/>
      <c r="AN19" s="997"/>
      <c r="AO19" s="997"/>
      <c r="AP19" s="997"/>
      <c r="AQ19" s="997"/>
      <c r="AR19" s="997"/>
      <c r="AS19" s="997"/>
      <c r="AT19" s="997"/>
      <c r="AU19" s="997"/>
      <c r="AV19" s="997"/>
      <c r="AW19" s="997"/>
      <c r="AX19" s="997"/>
      <c r="AY19" s="997"/>
      <c r="AZ19" s="997"/>
      <c r="BA19" s="997"/>
      <c r="BB19" s="997"/>
      <c r="BC19" s="997"/>
      <c r="BD19" s="997"/>
    </row>
    <row r="20" spans="2:56" ht="5" customHeight="1">
      <c r="B20" s="997"/>
      <c r="C20" s="997"/>
      <c r="D20" s="997"/>
      <c r="E20" s="995"/>
      <c r="F20" s="995"/>
      <c r="G20" s="995"/>
      <c r="H20" s="995"/>
      <c r="I20" s="995"/>
      <c r="J20" s="995"/>
      <c r="K20" s="995"/>
      <c r="L20" s="995"/>
      <c r="M20" s="995"/>
      <c r="N20" s="995"/>
      <c r="O20" s="995"/>
      <c r="P20" s="995"/>
      <c r="Q20" s="995"/>
      <c r="R20" s="995"/>
      <c r="S20" s="995"/>
      <c r="T20" s="995"/>
      <c r="U20" s="997"/>
      <c r="V20" s="997"/>
      <c r="W20" s="997"/>
      <c r="X20" s="997"/>
      <c r="Y20" s="997"/>
      <c r="Z20" s="997"/>
      <c r="AA20" s="997"/>
      <c r="AB20" s="997"/>
      <c r="AC20" s="997"/>
      <c r="AD20" s="997"/>
      <c r="AE20" s="997"/>
      <c r="AF20" s="997"/>
      <c r="AG20" s="997"/>
      <c r="AH20" s="997"/>
      <c r="AI20" s="997"/>
      <c r="AJ20" s="997"/>
      <c r="AK20" s="997"/>
      <c r="AL20" s="997"/>
      <c r="AM20" s="997"/>
      <c r="AN20" s="997"/>
      <c r="AO20" s="997"/>
      <c r="AP20" s="997"/>
      <c r="AQ20" s="997"/>
      <c r="AR20" s="997"/>
      <c r="AS20" s="997"/>
      <c r="AT20" s="997"/>
      <c r="AU20" s="997"/>
      <c r="AV20" s="997"/>
      <c r="AW20" s="997"/>
      <c r="AX20" s="997"/>
      <c r="AY20" s="997"/>
      <c r="AZ20" s="997"/>
      <c r="BA20" s="997"/>
      <c r="BB20" s="997"/>
      <c r="BC20" s="997"/>
      <c r="BD20" s="997"/>
    </row>
    <row r="21" spans="2:56" ht="9" customHeight="1">
      <c r="B21" s="984"/>
      <c r="C21" s="984"/>
      <c r="D21" s="984"/>
      <c r="E21" s="985"/>
      <c r="F21" s="985"/>
      <c r="G21" s="985"/>
      <c r="H21" s="985"/>
      <c r="I21" s="985"/>
      <c r="J21" s="985"/>
      <c r="K21" s="985"/>
      <c r="L21" s="985"/>
      <c r="M21" s="985"/>
      <c r="N21" s="985"/>
      <c r="O21" s="985"/>
      <c r="P21" s="985"/>
      <c r="Q21" s="985"/>
      <c r="R21" s="985"/>
      <c r="S21" s="985"/>
      <c r="T21" s="985"/>
      <c r="U21" s="984"/>
      <c r="V21" s="984"/>
      <c r="W21" s="984"/>
      <c r="X21" s="984"/>
      <c r="Y21" s="984"/>
      <c r="Z21" s="984"/>
      <c r="AA21" s="984"/>
      <c r="AB21" s="984"/>
      <c r="AC21" s="984"/>
      <c r="AD21" s="984"/>
      <c r="AE21" s="984"/>
      <c r="AF21" s="984"/>
      <c r="AG21" s="984"/>
      <c r="AH21" s="984"/>
      <c r="AI21" s="984"/>
      <c r="AJ21" s="984"/>
      <c r="AK21" s="984"/>
      <c r="AL21" s="984"/>
      <c r="AM21" s="984"/>
      <c r="AN21" s="984"/>
      <c r="AO21" s="984"/>
      <c r="AP21" s="984"/>
      <c r="AQ21" s="984"/>
      <c r="AR21" s="984"/>
      <c r="AS21" s="984"/>
      <c r="AT21" s="984"/>
      <c r="AU21" s="984"/>
      <c r="AV21" s="984"/>
      <c r="AW21" s="984"/>
      <c r="AX21" s="984"/>
      <c r="AY21" s="984"/>
      <c r="AZ21" s="984"/>
      <c r="BA21" s="984"/>
      <c r="BB21" s="984"/>
      <c r="BC21" s="984"/>
      <c r="BD21" s="984"/>
    </row>
    <row r="22" spans="2:56" ht="25" customHeight="1">
      <c r="B22" s="1171" t="s">
        <v>1241</v>
      </c>
      <c r="C22" s="1171"/>
      <c r="D22" s="1171"/>
      <c r="E22" s="1171"/>
      <c r="F22" s="1171"/>
      <c r="G22" s="1171"/>
      <c r="H22" s="1171"/>
      <c r="I22" s="1171"/>
      <c r="J22" s="1171"/>
      <c r="K22" s="1171"/>
      <c r="L22" s="1171"/>
      <c r="M22" s="1171"/>
      <c r="N22" s="1171"/>
      <c r="O22" s="1171"/>
      <c r="P22" s="1171"/>
      <c r="Q22" s="1171"/>
      <c r="R22" s="1171"/>
      <c r="S22" s="1171"/>
      <c r="T22" s="1171"/>
      <c r="U22" s="1171"/>
      <c r="V22" s="1171"/>
      <c r="W22" s="1171"/>
      <c r="X22" s="1171"/>
      <c r="Y22" s="1171"/>
      <c r="Z22" s="1171"/>
      <c r="AA22" s="1171"/>
      <c r="AB22" s="1171"/>
      <c r="AC22" s="1171"/>
      <c r="AD22" s="1171"/>
      <c r="AE22" s="1171"/>
      <c r="AF22" s="1171"/>
      <c r="AG22" s="1171"/>
      <c r="AH22" s="1171"/>
      <c r="AI22" s="1171"/>
      <c r="AJ22" s="1171"/>
      <c r="AK22" s="1171"/>
      <c r="AL22" s="1171"/>
      <c r="AM22" s="1171"/>
      <c r="AN22" s="1171"/>
      <c r="AO22" s="1171"/>
      <c r="AP22" s="1171"/>
      <c r="AQ22" s="1171"/>
      <c r="AR22" s="1171"/>
      <c r="AS22" s="1171"/>
      <c r="AT22" s="1171"/>
      <c r="AU22" s="1171"/>
      <c r="AV22" s="1171"/>
      <c r="AW22" s="1171"/>
      <c r="AX22" s="1171"/>
      <c r="AY22" s="1171"/>
      <c r="AZ22" s="1171"/>
      <c r="BA22" s="1171"/>
      <c r="BB22" s="1171"/>
      <c r="BC22" s="1171"/>
      <c r="BD22" s="1171"/>
    </row>
    <row r="23" spans="2:56" ht="5.15" customHeight="1">
      <c r="B23" s="997"/>
      <c r="C23" s="998"/>
      <c r="D23" s="998"/>
      <c r="E23" s="995"/>
      <c r="F23" s="995"/>
      <c r="G23" s="995"/>
      <c r="H23" s="995"/>
      <c r="I23" s="995"/>
      <c r="J23" s="995"/>
      <c r="K23" s="995"/>
      <c r="L23" s="995"/>
      <c r="M23" s="995"/>
      <c r="N23" s="995"/>
      <c r="O23" s="995"/>
      <c r="P23" s="995"/>
      <c r="Q23" s="995"/>
      <c r="R23" s="995"/>
      <c r="S23" s="995"/>
      <c r="T23" s="995"/>
      <c r="U23" s="997"/>
      <c r="V23" s="997"/>
      <c r="W23" s="997"/>
      <c r="X23" s="997"/>
      <c r="Y23" s="997"/>
      <c r="Z23" s="997"/>
      <c r="AA23" s="997"/>
      <c r="AB23" s="997"/>
      <c r="AC23" s="997"/>
      <c r="AD23" s="997"/>
      <c r="AE23" s="997"/>
      <c r="AF23" s="997"/>
      <c r="AG23" s="997"/>
      <c r="AH23" s="997"/>
      <c r="AI23" s="997"/>
      <c r="AJ23" s="997"/>
      <c r="AK23" s="997"/>
      <c r="AL23" s="997"/>
      <c r="AM23" s="997"/>
      <c r="AN23" s="997"/>
      <c r="AO23" s="997"/>
      <c r="AP23" s="997"/>
      <c r="AQ23" s="997"/>
      <c r="AR23" s="997"/>
      <c r="AS23" s="997"/>
      <c r="AT23" s="997"/>
      <c r="AU23" s="997"/>
      <c r="AV23" s="997"/>
      <c r="AW23" s="997"/>
      <c r="AX23" s="997"/>
      <c r="AY23" s="997"/>
      <c r="AZ23" s="997"/>
      <c r="BA23" s="997"/>
      <c r="BB23" s="997"/>
      <c r="BC23" s="997"/>
      <c r="BD23" s="997"/>
    </row>
    <row r="24" spans="2:56" ht="18.5">
      <c r="B24" s="997"/>
      <c r="C24" s="998"/>
      <c r="D24" s="998"/>
      <c r="E24" s="990"/>
      <c r="F24" s="990"/>
      <c r="G24" s="990"/>
      <c r="H24" s="990"/>
      <c r="I24" s="990"/>
      <c r="J24" s="990"/>
      <c r="K24" s="990"/>
      <c r="L24" s="990" t="s">
        <v>1236</v>
      </c>
      <c r="M24" s="997"/>
      <c r="N24" s="1177" t="str">
        <f>IF(dms_TradingName='AER lookups'!B20,"Annual Information Notice","Annual Information Order")</f>
        <v>Annual Information Notice</v>
      </c>
      <c r="O24" s="1177"/>
      <c r="P24" s="1177"/>
      <c r="Q24" s="1177"/>
      <c r="R24" s="1177"/>
      <c r="S24" s="1177"/>
      <c r="T24" s="1177"/>
      <c r="U24" s="1177"/>
      <c r="V24" s="1177"/>
      <c r="W24" s="1177"/>
      <c r="X24" s="1177"/>
      <c r="Y24" s="1177"/>
      <c r="Z24" s="1177"/>
      <c r="AA24" s="1177"/>
      <c r="AB24" s="1177"/>
      <c r="AC24" s="1177"/>
      <c r="AD24" s="997"/>
      <c r="AE24" s="997"/>
      <c r="AF24" s="997"/>
      <c r="AG24" s="997"/>
      <c r="AH24" s="997"/>
      <c r="AI24" s="997"/>
      <c r="AJ24" s="997"/>
      <c r="AK24" s="997"/>
      <c r="AL24" s="997"/>
      <c r="AM24" s="997"/>
      <c r="AN24" s="997"/>
      <c r="AO24" s="997"/>
      <c r="AP24" s="997"/>
      <c r="AQ24" s="997"/>
      <c r="AR24" s="997"/>
      <c r="AS24" s="997"/>
      <c r="AT24" s="997"/>
      <c r="AU24" s="997"/>
      <c r="AV24" s="997"/>
      <c r="AW24" s="997"/>
      <c r="AX24" s="997"/>
      <c r="AY24" s="997"/>
      <c r="AZ24" s="997"/>
      <c r="BA24" s="997"/>
      <c r="BB24" s="997"/>
      <c r="BC24" s="997"/>
      <c r="BD24" s="997"/>
    </row>
    <row r="25" spans="2:56" ht="5.15" customHeight="1">
      <c r="B25" s="997"/>
      <c r="C25" s="998"/>
      <c r="D25" s="998"/>
      <c r="E25" s="999"/>
      <c r="F25" s="999"/>
      <c r="G25" s="999"/>
      <c r="H25" s="999"/>
      <c r="I25" s="999"/>
      <c r="J25" s="999"/>
      <c r="K25" s="999"/>
      <c r="L25" s="999"/>
      <c r="M25" s="995"/>
      <c r="N25" s="995"/>
      <c r="O25" s="995"/>
      <c r="P25" s="995"/>
      <c r="Q25" s="995"/>
      <c r="R25" s="995"/>
      <c r="S25" s="995"/>
      <c r="T25" s="995"/>
      <c r="U25" s="997"/>
      <c r="V25" s="997"/>
      <c r="W25" s="997"/>
      <c r="X25" s="997"/>
      <c r="Y25" s="997"/>
      <c r="Z25" s="997"/>
      <c r="AA25" s="997"/>
      <c r="AB25" s="997"/>
      <c r="AC25" s="997"/>
      <c r="AD25" s="997"/>
      <c r="AE25" s="997"/>
      <c r="AF25" s="997"/>
      <c r="AG25" s="997"/>
      <c r="AH25" s="997"/>
      <c r="AI25" s="997"/>
      <c r="AJ25" s="997"/>
      <c r="AK25" s="997"/>
      <c r="AL25" s="997"/>
      <c r="AM25" s="997"/>
      <c r="AN25" s="997"/>
      <c r="AO25" s="997"/>
      <c r="AP25" s="997"/>
      <c r="AQ25" s="997"/>
      <c r="AR25" s="997"/>
      <c r="AS25" s="997"/>
      <c r="AT25" s="997"/>
      <c r="AU25" s="997"/>
      <c r="AV25" s="997"/>
      <c r="AW25" s="997"/>
      <c r="AX25" s="997"/>
      <c r="AY25" s="997"/>
      <c r="AZ25" s="997"/>
      <c r="BA25" s="997"/>
      <c r="BB25" s="997"/>
      <c r="BC25" s="997"/>
      <c r="BD25" s="997"/>
    </row>
    <row r="26" spans="2:56" ht="15.75" customHeight="1">
      <c r="B26" s="988"/>
      <c r="C26" s="988"/>
      <c r="D26" s="995"/>
      <c r="E26" s="990"/>
      <c r="F26" s="990"/>
      <c r="G26" s="990"/>
      <c r="H26" s="990"/>
      <c r="I26" s="990"/>
      <c r="J26" s="990"/>
      <c r="K26" s="990"/>
      <c r="L26" s="990" t="s">
        <v>9</v>
      </c>
      <c r="M26" s="997"/>
      <c r="N26" s="1180" t="s">
        <v>4</v>
      </c>
      <c r="O26" s="1180"/>
      <c r="P26" s="1180"/>
      <c r="Q26" s="1180"/>
      <c r="R26" s="1180"/>
      <c r="S26" s="1180"/>
      <c r="T26" s="1180"/>
      <c r="U26" s="1180"/>
      <c r="V26" s="1180"/>
      <c r="W26" s="1180"/>
      <c r="X26" s="1180"/>
      <c r="Y26" s="1180"/>
      <c r="Z26" s="1180"/>
      <c r="AA26" s="1180"/>
      <c r="AB26" s="1180"/>
      <c r="AC26" s="1180"/>
      <c r="AD26" s="997"/>
      <c r="AE26" s="997"/>
      <c r="AF26" s="997"/>
      <c r="AG26" s="997"/>
      <c r="AH26" s="997"/>
      <c r="AI26" s="997"/>
      <c r="AJ26" s="997"/>
      <c r="AK26" s="997"/>
      <c r="AL26" s="997"/>
      <c r="AM26" s="997"/>
      <c r="AN26" s="997"/>
      <c r="AO26" s="997"/>
      <c r="AP26" s="997"/>
      <c r="AQ26" s="997"/>
      <c r="AR26" s="997"/>
      <c r="AS26" s="997"/>
      <c r="AT26" s="997"/>
      <c r="AU26" s="997"/>
      <c r="AV26" s="997"/>
      <c r="AW26" s="997"/>
      <c r="AX26" s="997"/>
      <c r="AY26" s="997"/>
      <c r="AZ26" s="997"/>
      <c r="BA26" s="997"/>
      <c r="BB26" s="997"/>
      <c r="BC26" s="997"/>
      <c r="BD26" s="997"/>
    </row>
    <row r="27" spans="2:56" ht="5.15" customHeight="1">
      <c r="B27" s="988"/>
      <c r="C27" s="988"/>
      <c r="D27" s="995"/>
      <c r="E27" s="999"/>
      <c r="F27" s="999"/>
      <c r="G27" s="999"/>
      <c r="H27" s="999"/>
      <c r="I27" s="999"/>
      <c r="J27" s="999"/>
      <c r="K27" s="1000"/>
      <c r="L27" s="999"/>
      <c r="M27" s="997"/>
      <c r="N27" s="997"/>
      <c r="O27" s="997"/>
      <c r="P27" s="997"/>
      <c r="Q27" s="997"/>
      <c r="R27" s="997"/>
      <c r="S27" s="997"/>
      <c r="T27" s="997"/>
      <c r="U27" s="997"/>
      <c r="V27" s="997"/>
      <c r="W27" s="997"/>
      <c r="X27" s="997"/>
      <c r="Y27" s="997"/>
      <c r="Z27" s="997"/>
      <c r="AA27" s="997"/>
      <c r="AB27" s="997"/>
      <c r="AC27" s="997"/>
      <c r="AD27" s="997"/>
      <c r="AE27" s="997"/>
      <c r="AF27" s="997"/>
      <c r="AG27" s="997"/>
      <c r="AH27" s="997"/>
      <c r="AI27" s="997"/>
      <c r="AJ27" s="997"/>
      <c r="AK27" s="997"/>
      <c r="AL27" s="997"/>
      <c r="AM27" s="997"/>
      <c r="AN27" s="997"/>
      <c r="AO27" s="997"/>
      <c r="AP27" s="997"/>
      <c r="AQ27" s="997"/>
      <c r="AR27" s="997"/>
      <c r="AS27" s="997"/>
      <c r="AT27" s="997"/>
      <c r="AU27" s="997"/>
      <c r="AV27" s="997"/>
      <c r="AW27" s="997"/>
      <c r="AX27" s="997"/>
      <c r="AY27" s="997"/>
      <c r="AZ27" s="997"/>
      <c r="BA27" s="997"/>
      <c r="BB27" s="997"/>
      <c r="BC27" s="997"/>
      <c r="BD27" s="997"/>
    </row>
    <row r="28" spans="2:56" ht="15.75" customHeight="1">
      <c r="B28" s="988"/>
      <c r="C28" s="988"/>
      <c r="D28" s="995"/>
      <c r="E28" s="990"/>
      <c r="F28" s="990"/>
      <c r="G28" s="990"/>
      <c r="H28" s="990"/>
      <c r="I28" s="990"/>
      <c r="J28" s="990"/>
      <c r="K28" s="990"/>
      <c r="L28" s="990" t="s">
        <v>17</v>
      </c>
      <c r="M28" s="997"/>
      <c r="N28" s="1180" t="s">
        <v>3</v>
      </c>
      <c r="O28" s="1180"/>
      <c r="P28" s="1180"/>
      <c r="Q28" s="1180"/>
      <c r="R28" s="1180"/>
      <c r="S28" s="1180"/>
      <c r="T28" s="1180"/>
      <c r="U28" s="1180"/>
      <c r="V28" s="1180"/>
      <c r="W28" s="1180"/>
      <c r="X28" s="1180"/>
      <c r="Y28" s="1180"/>
      <c r="Z28" s="1180"/>
      <c r="AA28" s="1180"/>
      <c r="AB28" s="1180"/>
      <c r="AC28" s="1180"/>
      <c r="AD28" s="997"/>
      <c r="AE28" s="997"/>
      <c r="AF28" s="997"/>
      <c r="AG28" s="997"/>
      <c r="AH28" s="997"/>
      <c r="AI28" s="997"/>
      <c r="AJ28" s="997"/>
      <c r="AK28" s="997"/>
      <c r="AL28" s="997"/>
      <c r="AM28" s="997"/>
      <c r="AN28" s="997"/>
      <c r="AO28" s="997"/>
      <c r="AP28" s="997"/>
      <c r="AQ28" s="997"/>
      <c r="AR28" s="997"/>
      <c r="AS28" s="997"/>
      <c r="AT28" s="997"/>
      <c r="AU28" s="997"/>
      <c r="AV28" s="997"/>
      <c r="AW28" s="997"/>
      <c r="AX28" s="997"/>
      <c r="AY28" s="997"/>
      <c r="AZ28" s="997"/>
      <c r="BA28" s="997"/>
      <c r="BB28" s="997"/>
      <c r="BC28" s="997"/>
      <c r="BD28" s="988"/>
    </row>
    <row r="29" spans="2:56" ht="5.15" customHeight="1">
      <c r="B29" s="988"/>
      <c r="C29" s="988"/>
      <c r="D29" s="995"/>
      <c r="E29" s="999"/>
      <c r="F29" s="999"/>
      <c r="G29" s="999"/>
      <c r="H29" s="999"/>
      <c r="I29" s="999"/>
      <c r="J29" s="999"/>
      <c r="K29" s="1000"/>
      <c r="L29" s="999"/>
      <c r="M29" s="997"/>
      <c r="N29" s="997"/>
      <c r="O29" s="997"/>
      <c r="P29" s="997"/>
      <c r="Q29" s="997"/>
      <c r="R29" s="997"/>
      <c r="S29" s="997"/>
      <c r="T29" s="997"/>
      <c r="U29" s="997"/>
      <c r="V29" s="997"/>
      <c r="W29" s="997"/>
      <c r="X29" s="997"/>
      <c r="Y29" s="997"/>
      <c r="Z29" s="997"/>
      <c r="AA29" s="997"/>
      <c r="AB29" s="997"/>
      <c r="AC29" s="997"/>
      <c r="AD29" s="997"/>
      <c r="AE29" s="997"/>
      <c r="AF29" s="997"/>
      <c r="AG29" s="997"/>
      <c r="AH29" s="997"/>
      <c r="AI29" s="997"/>
      <c r="AJ29" s="997"/>
      <c r="AK29" s="997"/>
      <c r="AL29" s="997"/>
      <c r="AM29" s="997"/>
      <c r="AN29" s="997"/>
      <c r="AO29" s="997"/>
      <c r="AP29" s="997"/>
      <c r="AQ29" s="997"/>
      <c r="AR29" s="997"/>
      <c r="AS29" s="997"/>
      <c r="AT29" s="997"/>
      <c r="AU29" s="997"/>
      <c r="AV29" s="997"/>
      <c r="AW29" s="997"/>
      <c r="AX29" s="997"/>
      <c r="AY29" s="997"/>
      <c r="AZ29" s="997"/>
      <c r="BA29" s="997"/>
      <c r="BB29" s="997"/>
      <c r="BC29" s="997"/>
      <c r="BD29" s="988"/>
    </row>
    <row r="30" spans="2:56" ht="15" customHeight="1">
      <c r="B30" s="988"/>
      <c r="C30" s="988"/>
      <c r="D30" s="995"/>
      <c r="E30" s="1001"/>
      <c r="F30" s="1001"/>
      <c r="G30" s="1001"/>
      <c r="H30" s="1001"/>
      <c r="I30" s="1001"/>
      <c r="J30" s="1001"/>
      <c r="K30" s="1001"/>
      <c r="L30" s="990" t="s">
        <v>1237</v>
      </c>
      <c r="M30" s="997"/>
      <c r="N30" s="1174" t="s">
        <v>10</v>
      </c>
      <c r="O30" s="1174"/>
      <c r="P30" s="1174"/>
      <c r="Q30" s="1174"/>
      <c r="R30" s="1174"/>
      <c r="S30" s="1174"/>
      <c r="T30" s="1174"/>
      <c r="U30" s="1174"/>
      <c r="V30" s="1174"/>
      <c r="W30" s="1174"/>
      <c r="X30" s="1174"/>
      <c r="Y30" s="1174"/>
      <c r="Z30" s="1174"/>
      <c r="AA30" s="1174"/>
      <c r="AB30" s="1174"/>
      <c r="AC30" s="1174"/>
      <c r="AD30" s="1174"/>
      <c r="AE30" s="1174"/>
      <c r="AF30" s="1174"/>
      <c r="AG30" s="1174"/>
      <c r="AH30" s="1174"/>
      <c r="AI30" s="1174"/>
      <c r="AJ30" s="1174"/>
      <c r="AK30" s="1174"/>
      <c r="AL30" s="1174"/>
      <c r="AM30" s="1174"/>
      <c r="AN30" s="1174"/>
      <c r="AO30" s="1174"/>
      <c r="AP30" s="1174"/>
      <c r="AQ30" s="1174"/>
      <c r="AR30" s="1174"/>
      <c r="AS30" s="1174"/>
      <c r="AT30" s="1174"/>
      <c r="AU30" s="1174"/>
      <c r="AV30" s="1174"/>
      <c r="AW30" s="1174"/>
      <c r="AX30" s="1174"/>
      <c r="AY30" s="1174"/>
      <c r="AZ30" s="1174"/>
      <c r="BA30" s="1174"/>
      <c r="BB30" s="1174"/>
      <c r="BC30" s="1174"/>
      <c r="BD30" s="988"/>
    </row>
    <row r="31" spans="2:56" ht="15" customHeight="1">
      <c r="B31" s="988"/>
      <c r="C31" s="988"/>
      <c r="D31" s="995"/>
      <c r="E31" s="1001"/>
      <c r="F31" s="1001"/>
      <c r="G31" s="1001"/>
      <c r="H31" s="1001"/>
      <c r="I31" s="1001"/>
      <c r="J31" s="1001"/>
      <c r="K31" s="1001"/>
      <c r="L31" s="990" t="s">
        <v>1238</v>
      </c>
      <c r="M31" s="997"/>
      <c r="N31" s="1174"/>
      <c r="O31" s="1174"/>
      <c r="P31" s="1174"/>
      <c r="Q31" s="1174"/>
      <c r="R31" s="1174"/>
      <c r="S31" s="1174"/>
      <c r="T31" s="1174"/>
      <c r="U31" s="1174"/>
      <c r="V31" s="1174"/>
      <c r="W31" s="1174"/>
      <c r="X31" s="1174"/>
      <c r="Y31" s="1174"/>
      <c r="Z31" s="1174"/>
      <c r="AA31" s="1174"/>
      <c r="AB31" s="1174"/>
      <c r="AC31" s="1174"/>
      <c r="AD31" s="1174"/>
      <c r="AE31" s="1174"/>
      <c r="AF31" s="1174"/>
      <c r="AG31" s="1174"/>
      <c r="AH31" s="1174"/>
      <c r="AI31" s="1174"/>
      <c r="AJ31" s="1174"/>
      <c r="AK31" s="1174"/>
      <c r="AL31" s="1174"/>
      <c r="AM31" s="1174"/>
      <c r="AN31" s="1174"/>
      <c r="AO31" s="1174"/>
      <c r="AP31" s="1174"/>
      <c r="AQ31" s="1174"/>
      <c r="AR31" s="1174"/>
      <c r="AS31" s="1174"/>
      <c r="AT31" s="1174"/>
      <c r="AU31" s="1174"/>
      <c r="AV31" s="1174"/>
      <c r="AW31" s="1174"/>
      <c r="AX31" s="1174"/>
      <c r="AY31" s="1174"/>
      <c r="AZ31" s="1174"/>
      <c r="BA31" s="1174"/>
      <c r="BB31" s="1174"/>
      <c r="BC31" s="1174"/>
      <c r="BD31" s="988"/>
    </row>
    <row r="32" spans="2:56" ht="15" customHeight="1">
      <c r="B32" s="988"/>
      <c r="C32" s="988"/>
      <c r="D32" s="995"/>
      <c r="E32" s="1001"/>
      <c r="F32" s="1001"/>
      <c r="G32" s="1001"/>
      <c r="H32" s="1001"/>
      <c r="I32" s="1001"/>
      <c r="J32" s="1001"/>
      <c r="K32" s="1001"/>
      <c r="L32" s="1001"/>
      <c r="M32" s="997"/>
      <c r="N32" s="1174"/>
      <c r="O32" s="1174"/>
      <c r="P32" s="1174"/>
      <c r="Q32" s="1174"/>
      <c r="R32" s="1174"/>
      <c r="S32" s="1174"/>
      <c r="T32" s="1174"/>
      <c r="U32" s="1174"/>
      <c r="V32" s="1174"/>
      <c r="W32" s="1174"/>
      <c r="X32" s="1174"/>
      <c r="Y32" s="1174"/>
      <c r="Z32" s="1174"/>
      <c r="AA32" s="1174"/>
      <c r="AB32" s="1174"/>
      <c r="AC32" s="1174"/>
      <c r="AD32" s="1174"/>
      <c r="AE32" s="1174"/>
      <c r="AF32" s="1174"/>
      <c r="AG32" s="1174"/>
      <c r="AH32" s="1174"/>
      <c r="AI32" s="1174"/>
      <c r="AJ32" s="1174"/>
      <c r="AK32" s="1174"/>
      <c r="AL32" s="1174"/>
      <c r="AM32" s="1174"/>
      <c r="AN32" s="1174"/>
      <c r="AO32" s="1174"/>
      <c r="AP32" s="1174"/>
      <c r="AQ32" s="1174"/>
      <c r="AR32" s="1174"/>
      <c r="AS32" s="1174"/>
      <c r="AT32" s="1174"/>
      <c r="AU32" s="1174"/>
      <c r="AV32" s="1174"/>
      <c r="AW32" s="1174"/>
      <c r="AX32" s="1174"/>
      <c r="AY32" s="1174"/>
      <c r="AZ32" s="1174"/>
      <c r="BA32" s="1174"/>
      <c r="BB32" s="1174"/>
      <c r="BC32" s="1174"/>
      <c r="BD32" s="988"/>
    </row>
    <row r="33" spans="2:56" ht="5.15" customHeight="1">
      <c r="B33" s="988"/>
      <c r="C33" s="988"/>
      <c r="D33" s="995"/>
      <c r="E33" s="999"/>
      <c r="F33" s="999"/>
      <c r="G33" s="999"/>
      <c r="H33" s="999"/>
      <c r="I33" s="999"/>
      <c r="J33" s="999"/>
      <c r="K33" s="1000"/>
      <c r="L33" s="999"/>
      <c r="M33" s="997"/>
      <c r="N33" s="997"/>
      <c r="O33" s="997"/>
      <c r="P33" s="997"/>
      <c r="Q33" s="997"/>
      <c r="R33" s="997"/>
      <c r="S33" s="997"/>
      <c r="T33" s="997"/>
      <c r="U33" s="997"/>
      <c r="V33" s="997"/>
      <c r="W33" s="997"/>
      <c r="X33" s="997"/>
      <c r="Y33" s="997"/>
      <c r="Z33" s="997"/>
      <c r="AA33" s="997"/>
      <c r="AB33" s="997"/>
      <c r="AC33" s="997"/>
      <c r="AD33" s="997"/>
      <c r="AE33" s="997"/>
      <c r="AF33" s="997"/>
      <c r="AG33" s="997"/>
      <c r="AH33" s="997"/>
      <c r="AI33" s="997"/>
      <c r="AJ33" s="997"/>
      <c r="AK33" s="997"/>
      <c r="AL33" s="997"/>
      <c r="AM33" s="997"/>
      <c r="AN33" s="997"/>
      <c r="AO33" s="997"/>
      <c r="AP33" s="997"/>
      <c r="AQ33" s="997"/>
      <c r="AR33" s="997"/>
      <c r="AS33" s="997"/>
      <c r="AT33" s="997"/>
      <c r="AU33" s="997"/>
      <c r="AV33" s="997"/>
      <c r="AW33" s="997"/>
      <c r="AX33" s="997"/>
      <c r="AY33" s="997"/>
      <c r="AZ33" s="997"/>
      <c r="BA33" s="997"/>
      <c r="BB33" s="997"/>
      <c r="BC33" s="997"/>
      <c r="BD33" s="988"/>
    </row>
    <row r="34" spans="2:56" ht="15.75" customHeight="1">
      <c r="B34" s="988"/>
      <c r="C34" s="988"/>
      <c r="D34" s="995"/>
      <c r="E34" s="990"/>
      <c r="F34" s="990"/>
      <c r="G34" s="990"/>
      <c r="H34" s="990"/>
      <c r="I34" s="990"/>
      <c r="J34" s="990"/>
      <c r="K34" s="990"/>
      <c r="L34" s="990" t="s">
        <v>11</v>
      </c>
      <c r="M34" s="997"/>
      <c r="N34" s="1178" t="s">
        <v>1255</v>
      </c>
      <c r="O34" s="1179"/>
      <c r="P34" s="1179"/>
      <c r="Q34" s="1179"/>
      <c r="R34" s="1179"/>
      <c r="S34" s="1179"/>
      <c r="T34" s="1179"/>
      <c r="U34" s="1179"/>
      <c r="V34" s="1179"/>
      <c r="W34" s="1179"/>
      <c r="X34" s="1179"/>
      <c r="Y34" s="1179"/>
      <c r="Z34" s="1179"/>
      <c r="AA34" s="1179"/>
      <c r="AB34" s="1179"/>
      <c r="AC34" s="1179"/>
      <c r="AD34" s="997"/>
      <c r="AE34" s="997"/>
      <c r="AF34" s="997"/>
      <c r="AG34" s="997"/>
      <c r="AH34" s="997"/>
      <c r="AI34" s="997"/>
      <c r="AJ34" s="997"/>
      <c r="AK34" s="997"/>
      <c r="AL34" s="997"/>
      <c r="AM34" s="997"/>
      <c r="AN34" s="997"/>
      <c r="AO34" s="997"/>
      <c r="AP34" s="997"/>
      <c r="AQ34" s="997"/>
      <c r="AR34" s="997"/>
      <c r="AS34" s="997"/>
      <c r="AT34" s="997"/>
      <c r="AU34" s="997"/>
      <c r="AV34" s="997"/>
      <c r="AW34" s="997"/>
      <c r="AX34" s="997"/>
      <c r="AY34" s="997"/>
      <c r="AZ34" s="997"/>
      <c r="BA34" s="997"/>
      <c r="BB34" s="997"/>
      <c r="BC34" s="997"/>
      <c r="BD34" s="988"/>
    </row>
    <row r="35" spans="2:56" ht="5.15" customHeight="1">
      <c r="B35" s="1002"/>
      <c r="C35" s="1002"/>
      <c r="D35" s="1002"/>
      <c r="E35" s="1002"/>
      <c r="F35" s="1002"/>
      <c r="G35" s="1002"/>
      <c r="H35" s="1002"/>
      <c r="I35" s="1002"/>
      <c r="J35" s="1002"/>
      <c r="K35" s="1003"/>
      <c r="L35" s="1003"/>
      <c r="M35" s="1003"/>
      <c r="N35" s="1003"/>
      <c r="O35" s="1003"/>
      <c r="P35" s="1003"/>
      <c r="Q35" s="1003"/>
      <c r="R35" s="1003"/>
      <c r="S35" s="1003"/>
      <c r="T35" s="1003"/>
      <c r="U35" s="1003"/>
      <c r="V35" s="1003"/>
      <c r="W35" s="1003"/>
      <c r="X35" s="1003"/>
      <c r="Y35" s="1003"/>
      <c r="Z35" s="1003"/>
      <c r="AA35" s="1003"/>
      <c r="AB35" s="1003"/>
      <c r="AC35" s="1003"/>
      <c r="AD35" s="1003"/>
      <c r="AE35" s="1003"/>
      <c r="AF35" s="1003"/>
      <c r="AG35" s="1003"/>
      <c r="AH35" s="1003"/>
      <c r="AI35" s="1003"/>
      <c r="AJ35" s="1003"/>
      <c r="AK35" s="1003"/>
      <c r="AL35" s="1003"/>
      <c r="AM35" s="1003"/>
      <c r="AN35" s="1003"/>
      <c r="AO35" s="1003"/>
      <c r="AP35" s="1003"/>
      <c r="AQ35" s="1003"/>
      <c r="AR35" s="1003"/>
      <c r="AS35" s="1003"/>
      <c r="AT35" s="1003"/>
      <c r="AU35" s="1003"/>
      <c r="AV35" s="1003"/>
      <c r="AW35" s="1003"/>
      <c r="AX35" s="1003"/>
      <c r="AY35" s="1003"/>
      <c r="AZ35" s="1003"/>
      <c r="BA35" s="1003"/>
      <c r="BB35" s="1003"/>
      <c r="BC35" s="1003"/>
      <c r="BD35" s="1002"/>
    </row>
  </sheetData>
  <mergeCells count="13">
    <mergeCell ref="N34:AC34"/>
    <mergeCell ref="N26:AC26"/>
    <mergeCell ref="N28:AC28"/>
    <mergeCell ref="C7:BC7"/>
    <mergeCell ref="B11:BD11"/>
    <mergeCell ref="B6:BD6"/>
    <mergeCell ref="N19:U19"/>
    <mergeCell ref="N30:BC32"/>
    <mergeCell ref="N13:AE13"/>
    <mergeCell ref="B17:BD17"/>
    <mergeCell ref="N14:Y14"/>
    <mergeCell ref="B22:BD22"/>
    <mergeCell ref="N24:AC24"/>
  </mergeCells>
  <conditionalFormatting sqref="N19:U19">
    <cfRule type="expression" dxfId="24" priority="44" stopIfTrue="1">
      <formula>(INDEX(dms_Model_Span_List,MATCH(dms_Model,dms_Model_List))=1)</formula>
    </cfRule>
  </conditionalFormatting>
  <conditionalFormatting sqref="N28:AC28">
    <cfRule type="cellIs" dxfId="23" priority="31" operator="equal">
      <formula>"Confidential"</formula>
    </cfRule>
  </conditionalFormatting>
  <dataValidations xWindow="1211" yWindow="807" count="5">
    <dataValidation allowBlank="1" sqref="N26:AC26" xr:uid="{00000000-0002-0000-0600-000001000000}"/>
    <dataValidation type="list" allowBlank="1" showInputMessage="1" showErrorMessage="1" sqref="N28:AC28" xr:uid="{00000000-0002-0000-0600-000003000000}">
      <formula1>dms_Confid_status_List</formula1>
    </dataValidation>
    <dataValidation allowBlank="1" promptTitle="Submission Date" prompt="-- enter date file submitted to AER -- " sqref="N34:AC34" xr:uid="{00000000-0002-0000-0600-000004000000}"/>
    <dataValidation type="list" allowBlank="1" showInputMessage="1" showErrorMessage="1" sqref="N19:U19" xr:uid="{00000000-0002-0000-0600-000005000000}">
      <formula1>INDIRECT(dms_RPT)</formula1>
    </dataValidation>
    <dataValidation type="list" operator="lessThanOrEqual" prompt="Please use drop down to select correct business name. ABN will auto populate." sqref="N13:AE13" xr:uid="{83A8466A-2087-4C71-A8F6-5AF0309DC562}">
      <formula1>dms_TradingName_List</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6A8D3-9655-4231-AF91-FD41F1581B5B}">
  <sheetPr codeName="Sheet7"/>
  <dimension ref="B1:G22"/>
  <sheetViews>
    <sheetView workbookViewId="0"/>
  </sheetViews>
  <sheetFormatPr defaultColWidth="9.1796875" defaultRowHeight="14.5"/>
  <cols>
    <col min="1" max="1" width="5.6328125" style="891" customWidth="1"/>
    <col min="2" max="2" width="17.7265625" style="891" customWidth="1"/>
    <col min="3" max="3" width="81.81640625" style="891" customWidth="1"/>
    <col min="4" max="5" width="25" style="891" customWidth="1"/>
    <col min="6" max="16384" width="9.1796875" style="891"/>
  </cols>
  <sheetData>
    <row r="1" spans="2:7" ht="21">
      <c r="B1" s="901"/>
      <c r="C1" s="902" t="str">
        <f>dms_SheetHeading1</f>
        <v>ANNUAL INFORMATION NOTICE</v>
      </c>
      <c r="D1" s="16"/>
      <c r="E1" s="16"/>
    </row>
    <row r="2" spans="2:7" ht="21">
      <c r="B2" s="17"/>
      <c r="C2" s="903" t="str">
        <f>dms_SheetHeading2</f>
        <v>Power and Water</v>
      </c>
      <c r="D2" s="16"/>
      <c r="E2" s="16"/>
    </row>
    <row r="3" spans="2:7" ht="21">
      <c r="B3" s="16"/>
      <c r="C3" s="904" t="str">
        <f>dms_SheetHeading3</f>
        <v>REPORTING STATEMENT: 2025-26</v>
      </c>
      <c r="D3" s="905"/>
      <c r="E3" s="905"/>
    </row>
    <row r="4" spans="2:7" ht="18.5">
      <c r="B4" s="912"/>
      <c r="C4" s="912" t="s">
        <v>1188</v>
      </c>
      <c r="D4" s="912"/>
      <c r="E4" s="912"/>
    </row>
    <row r="5" spans="2:7" ht="11.25" customHeight="1"/>
    <row r="6" spans="2:7" ht="23.25" customHeight="1">
      <c r="B6" s="957" t="str">
        <f>"The information provided in response to the annual information "&amp;IF(dms_TradingName='AER lookups'!$B$20,"notice","order")&amp;" is subject to the assurance requirements set out in section 6 of the "&amp;IF(dms_TradingName='AER lookups'!$B$20,"Notice.","Order.")</f>
        <v>The information provided in response to the annual information notice is subject to the assurance requirements set out in section 6 of the Notice.</v>
      </c>
      <c r="C6" s="958"/>
      <c r="D6" s="958"/>
      <c r="E6" s="958"/>
    </row>
    <row r="7" spans="2:7" ht="23.25" customHeight="1">
      <c r="B7" s="956" t="s">
        <v>1189</v>
      </c>
      <c r="C7" s="956"/>
      <c r="D7" s="956"/>
      <c r="E7" s="956"/>
    </row>
    <row r="8" spans="2:7" ht="12" customHeight="1"/>
    <row r="9" spans="2:7" ht="19.5" customHeight="1">
      <c r="B9" s="1181" t="s">
        <v>1229</v>
      </c>
      <c r="C9" s="1183" t="s">
        <v>1190</v>
      </c>
      <c r="D9" s="1183" t="s">
        <v>1191</v>
      </c>
      <c r="E9" s="1185"/>
    </row>
    <row r="10" spans="2:7" ht="18.75" customHeight="1">
      <c r="B10" s="1182"/>
      <c r="C10" s="1184"/>
      <c r="D10" s="959" t="s">
        <v>1192</v>
      </c>
      <c r="E10" s="960" t="s">
        <v>1193</v>
      </c>
    </row>
    <row r="11" spans="2:7" ht="18" customHeight="1">
      <c r="B11" s="965" t="s">
        <v>1184</v>
      </c>
      <c r="C11" s="966"/>
      <c r="D11" s="967"/>
      <c r="E11" s="968"/>
    </row>
    <row r="12" spans="2:7" ht="18" customHeight="1">
      <c r="B12" s="971"/>
      <c r="C12" s="972" t="s">
        <v>1230</v>
      </c>
      <c r="D12" s="963" t="s">
        <v>1186</v>
      </c>
      <c r="E12" s="964" t="s">
        <v>1187</v>
      </c>
      <c r="G12" s="906"/>
    </row>
    <row r="13" spans="2:7" ht="18" customHeight="1">
      <c r="B13" s="971"/>
      <c r="C13" s="972" t="s">
        <v>1231</v>
      </c>
      <c r="D13" s="963" t="s">
        <v>1186</v>
      </c>
      <c r="E13" s="964" t="s">
        <v>1187</v>
      </c>
      <c r="G13" s="906"/>
    </row>
    <row r="14" spans="2:7" ht="18" customHeight="1">
      <c r="B14" s="973"/>
      <c r="C14" s="974" t="s">
        <v>1232</v>
      </c>
      <c r="D14" s="969" t="s">
        <v>1186</v>
      </c>
      <c r="E14" s="970" t="s">
        <v>1187</v>
      </c>
      <c r="G14" s="906"/>
    </row>
    <row r="15" spans="2:7" ht="18" customHeight="1">
      <c r="B15" s="977" t="s">
        <v>1185</v>
      </c>
      <c r="C15" s="978"/>
      <c r="D15" s="967"/>
      <c r="E15" s="968"/>
    </row>
    <row r="16" spans="2:7" ht="18" customHeight="1">
      <c r="B16" s="979"/>
      <c r="C16" s="972" t="s">
        <v>1233</v>
      </c>
      <c r="D16" s="963" t="s">
        <v>1186</v>
      </c>
      <c r="E16" s="964" t="s">
        <v>1187</v>
      </c>
    </row>
    <row r="17" spans="2:5" ht="18" customHeight="1">
      <c r="B17" s="971"/>
      <c r="C17" s="972" t="s">
        <v>1234</v>
      </c>
      <c r="D17" s="963" t="s">
        <v>1186</v>
      </c>
      <c r="E17" s="964" t="s">
        <v>1187</v>
      </c>
    </row>
    <row r="18" spans="2:5" ht="18" customHeight="1">
      <c r="B18" s="971"/>
      <c r="C18" s="972" t="s">
        <v>1258</v>
      </c>
      <c r="D18" s="963" t="s">
        <v>1186</v>
      </c>
      <c r="E18" s="964" t="s">
        <v>1187</v>
      </c>
    </row>
    <row r="19" spans="2:5" ht="18" customHeight="1">
      <c r="B19" s="971"/>
      <c r="C19" s="972" t="s">
        <v>1257</v>
      </c>
      <c r="D19" s="963" t="s">
        <v>1186</v>
      </c>
      <c r="E19" s="964" t="s">
        <v>1187</v>
      </c>
    </row>
    <row r="20" spans="2:5" ht="18" customHeight="1">
      <c r="B20" s="973"/>
      <c r="C20" s="974" t="s">
        <v>1235</v>
      </c>
      <c r="D20" s="969" t="s">
        <v>1186</v>
      </c>
      <c r="E20" s="970" t="s">
        <v>1187</v>
      </c>
    </row>
    <row r="21" spans="2:5" ht="18" customHeight="1">
      <c r="B21" s="961" t="s">
        <v>1248</v>
      </c>
      <c r="C21" s="962"/>
      <c r="D21" s="967"/>
      <c r="E21" s="968"/>
    </row>
    <row r="22" spans="2:5" ht="18" customHeight="1">
      <c r="B22" s="975"/>
      <c r="C22" s="976" t="s">
        <v>1249</v>
      </c>
      <c r="D22" s="969" t="s">
        <v>1186</v>
      </c>
      <c r="E22" s="970" t="s">
        <v>1187</v>
      </c>
    </row>
  </sheetData>
  <mergeCells count="3">
    <mergeCell ref="B9:B10"/>
    <mergeCell ref="C9:C10"/>
    <mergeCell ref="D9:E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F8F33-3133-4FB8-B342-14B391A9776F}">
  <sheetPr codeName="Sheet8">
    <tabColor rgb="FF11473A"/>
    <pageSetUpPr autoPageBreaks="0"/>
  </sheetPr>
  <dimension ref="B1:R46"/>
  <sheetViews>
    <sheetView zoomScaleNormal="100" workbookViewId="0"/>
  </sheetViews>
  <sheetFormatPr defaultColWidth="9.1796875" defaultRowHeight="12.65" customHeight="1"/>
  <cols>
    <col min="1" max="1" width="5.6328125" style="5" customWidth="1"/>
    <col min="2" max="2" width="10.6328125" style="5" customWidth="1"/>
    <col min="3" max="3" width="80" style="5" customWidth="1"/>
    <col min="4" max="4" width="12.1796875" style="5" customWidth="1"/>
    <col min="5" max="5" width="24.36328125" style="5" customWidth="1"/>
    <col min="6" max="6" width="15.7265625" style="5" customWidth="1"/>
    <col min="7" max="9" width="4.26953125" style="5" customWidth="1"/>
    <col min="10" max="18" width="3.7265625" style="5" customWidth="1"/>
    <col min="19" max="19" width="6.81640625" style="5" customWidth="1"/>
    <col min="20" max="26" width="7.81640625" style="5" customWidth="1"/>
    <col min="27" max="16384" width="9.1796875" style="5"/>
  </cols>
  <sheetData>
    <row r="1" spans="2:18" ht="18.75" customHeight="1">
      <c r="C1" s="904" t="str">
        <f>dms_SheetHeading1</f>
        <v>ANNUAL INFORMATION NOTICE</v>
      </c>
      <c r="D1" s="16"/>
      <c r="E1" s="13"/>
      <c r="G1" s="1015" t="s">
        <v>55</v>
      </c>
      <c r="H1" s="1015"/>
      <c r="I1" s="1015"/>
      <c r="J1" s="1015"/>
      <c r="K1" s="1015"/>
      <c r="L1" s="1015"/>
      <c r="M1" s="1049" t="s">
        <v>54</v>
      </c>
      <c r="N1" s="1015"/>
      <c r="O1" s="1015"/>
      <c r="P1" s="1015"/>
      <c r="Q1" s="1015"/>
      <c r="R1" s="1015"/>
    </row>
    <row r="2" spans="2:18" ht="18.75" customHeight="1">
      <c r="C2" s="903" t="str">
        <f>dms_SheetHeading2</f>
        <v>Power and Water</v>
      </c>
      <c r="D2" s="17"/>
      <c r="E2" s="13"/>
      <c r="G2" s="1016" t="s">
        <v>56</v>
      </c>
      <c r="H2" s="1016"/>
      <c r="I2" s="1016"/>
      <c r="J2" s="1016"/>
      <c r="K2" s="1016"/>
      <c r="L2" s="1016"/>
      <c r="M2" s="1024" t="s">
        <v>12</v>
      </c>
      <c r="N2" s="1016"/>
      <c r="O2" s="1016"/>
      <c r="P2" s="1016"/>
      <c r="Q2" s="1016"/>
      <c r="R2" s="1016"/>
    </row>
    <row r="3" spans="2:18" ht="18.75" customHeight="1">
      <c r="C3" s="904" t="str">
        <f>dms_SheetHeading3</f>
        <v>REPORTING STATEMENT: 2025-26</v>
      </c>
      <c r="D3" s="16"/>
      <c r="E3" s="13"/>
      <c r="G3" s="1017" t="s">
        <v>57</v>
      </c>
      <c r="H3" s="1017"/>
      <c r="I3" s="1017"/>
      <c r="J3" s="1017"/>
      <c r="K3" s="1017"/>
      <c r="L3" s="1017"/>
      <c r="M3" s="1025" t="s">
        <v>19</v>
      </c>
      <c r="N3" s="1017"/>
      <c r="O3" s="1017"/>
      <c r="P3" s="1017"/>
      <c r="Q3" s="1017"/>
      <c r="R3" s="1017"/>
    </row>
    <row r="4" spans="2:18" ht="18.75" customHeight="1">
      <c r="C4" s="1048" t="s">
        <v>1182</v>
      </c>
      <c r="D4" s="14"/>
      <c r="E4" s="14"/>
      <c r="G4" s="1018" t="s">
        <v>59</v>
      </c>
      <c r="H4" s="1019"/>
      <c r="I4" s="1019"/>
      <c r="J4" s="1019"/>
      <c r="K4" s="1019"/>
      <c r="L4" s="1019"/>
      <c r="M4" s="1026" t="s">
        <v>58</v>
      </c>
      <c r="N4" s="1019"/>
      <c r="O4" s="1019"/>
      <c r="P4" s="1019"/>
      <c r="Q4" s="1019"/>
      <c r="R4" s="1019"/>
    </row>
    <row r="5" spans="2:18" ht="14.25" customHeight="1">
      <c r="C5" s="891"/>
      <c r="D5" s="891"/>
      <c r="E5" s="891"/>
    </row>
    <row r="6" spans="2:18" ht="18.5">
      <c r="C6" s="1027" t="s">
        <v>1169</v>
      </c>
      <c r="D6" s="19"/>
      <c r="E6" s="19"/>
    </row>
    <row r="7" spans="2:18" ht="14.5">
      <c r="C7" s="1028" t="s">
        <v>69</v>
      </c>
      <c r="D7" s="892"/>
      <c r="E7" s="892"/>
    </row>
    <row r="8" spans="2:18" ht="18" customHeight="1">
      <c r="B8" s="891"/>
      <c r="C8" s="1029" t="s">
        <v>1170</v>
      </c>
      <c r="D8" s="893"/>
      <c r="E8" s="10"/>
    </row>
    <row r="9" spans="2:18" ht="18.5">
      <c r="B9" s="891"/>
      <c r="C9" s="910"/>
      <c r="D9" s="909"/>
      <c r="G9" s="1012" t="s">
        <v>82</v>
      </c>
      <c r="H9" s="1013" t="s">
        <v>83</v>
      </c>
      <c r="I9" s="1014" t="s">
        <v>84</v>
      </c>
    </row>
    <row r="10" spans="2:18" ht="33" customHeight="1">
      <c r="B10" s="908"/>
      <c r="C10" s="1030" t="s">
        <v>70</v>
      </c>
      <c r="D10" s="27" t="s">
        <v>92</v>
      </c>
      <c r="E10" s="1031" t="s">
        <v>91</v>
      </c>
      <c r="G10" s="1186" t="s">
        <v>63</v>
      </c>
      <c r="H10" s="1187"/>
      <c r="I10" s="1188"/>
    </row>
    <row r="11" spans="2:18" ht="15" customHeight="1">
      <c r="B11" s="908"/>
      <c r="C11" s="1152" t="s">
        <v>31</v>
      </c>
      <c r="D11" s="1093" t="s">
        <v>39</v>
      </c>
      <c r="E11" s="1096"/>
      <c r="G11" s="1004" t="str">
        <f t="shared" ref="G11" si="0">IF(ISNONTEXT(E11)=TRUE,"","X")</f>
        <v/>
      </c>
      <c r="H11" s="1005" t="str">
        <f t="shared" ref="H11" si="1">IF(E11&gt;=0,"","X")</f>
        <v/>
      </c>
      <c r="I11" s="1006" t="str">
        <f t="shared" ref="I11" si="2">IF(E11="","X","")</f>
        <v>X</v>
      </c>
    </row>
    <row r="12" spans="2:18" ht="15" customHeight="1">
      <c r="B12" s="908"/>
      <c r="C12" s="1153" t="s">
        <v>71</v>
      </c>
      <c r="D12" s="1089" t="s">
        <v>39</v>
      </c>
      <c r="E12" s="1098"/>
      <c r="G12" s="1007" t="str">
        <f t="shared" ref="G12:G17" si="3">IF(ISNONTEXT(E12)=TRUE,"","X")</f>
        <v/>
      </c>
      <c r="H12" s="22" t="str">
        <f t="shared" ref="H12:H17" si="4">IF(E12&gt;=0,"","X")</f>
        <v/>
      </c>
      <c r="I12" s="1008" t="str">
        <f t="shared" ref="I12:I17" si="5">IF(E12="","X","")</f>
        <v>X</v>
      </c>
    </row>
    <row r="13" spans="2:18" ht="15" customHeight="1">
      <c r="B13" s="908"/>
      <c r="C13" s="1153" t="s">
        <v>72</v>
      </c>
      <c r="D13" s="1089" t="s">
        <v>39</v>
      </c>
      <c r="E13" s="1154">
        <f>E14+E15</f>
        <v>0</v>
      </c>
      <c r="G13" s="1007" t="str">
        <f t="shared" si="3"/>
        <v/>
      </c>
      <c r="H13" s="22" t="str">
        <f t="shared" si="4"/>
        <v/>
      </c>
      <c r="I13" s="1008" t="str">
        <f>IF(E13="","X",IF(E13&gt;0,"",IF(OR(E14&lt;&gt;"",E15&lt;&gt;""),"",IF(_xlfn.ISFORMULA(E13)=FALSE,"","X"))))</f>
        <v>X</v>
      </c>
    </row>
    <row r="14" spans="2:18" ht="15" customHeight="1">
      <c r="B14" s="908"/>
      <c r="C14" s="1155" t="s">
        <v>73</v>
      </c>
      <c r="D14" s="1089" t="s">
        <v>39</v>
      </c>
      <c r="E14" s="1098"/>
      <c r="G14" s="1007" t="str">
        <f t="shared" si="3"/>
        <v/>
      </c>
      <c r="H14" s="22" t="str">
        <f t="shared" si="4"/>
        <v/>
      </c>
      <c r="I14" s="1008" t="str">
        <f>IF(_xlfn.ISFORMULA(E13)=FALSE,"",IF(E14="","X",""))</f>
        <v>X</v>
      </c>
    </row>
    <row r="15" spans="2:18" ht="15" customHeight="1">
      <c r="B15" s="908"/>
      <c r="C15" s="1155" t="s">
        <v>74</v>
      </c>
      <c r="D15" s="1089" t="s">
        <v>39</v>
      </c>
      <c r="E15" s="1098"/>
      <c r="G15" s="1007" t="str">
        <f t="shared" si="3"/>
        <v/>
      </c>
      <c r="H15" s="22" t="str">
        <f t="shared" si="4"/>
        <v/>
      </c>
      <c r="I15" s="1008" t="str">
        <f>IF(_xlfn.ISFORMULA(E13)=FALSE,"",IF(E15="","X",""))</f>
        <v>X</v>
      </c>
    </row>
    <row r="16" spans="2:18" ht="15" customHeight="1">
      <c r="B16" s="908"/>
      <c r="C16" s="1153" t="s">
        <v>53</v>
      </c>
      <c r="D16" s="1089" t="s">
        <v>39</v>
      </c>
      <c r="E16" s="1098"/>
      <c r="G16" s="1007" t="str">
        <f t="shared" si="3"/>
        <v/>
      </c>
      <c r="H16" s="22" t="str">
        <f t="shared" si="4"/>
        <v/>
      </c>
      <c r="I16" s="1008" t="str">
        <f t="shared" si="5"/>
        <v>X</v>
      </c>
    </row>
    <row r="17" spans="2:9" ht="15" customHeight="1">
      <c r="B17" s="908"/>
      <c r="C17" s="1156" t="s">
        <v>52</v>
      </c>
      <c r="D17" s="1100" t="s">
        <v>39</v>
      </c>
      <c r="E17" s="1103"/>
      <c r="G17" s="1009" t="str">
        <f t="shared" si="3"/>
        <v/>
      </c>
      <c r="H17" s="1010" t="str">
        <f t="shared" si="4"/>
        <v/>
      </c>
      <c r="I17" s="1011" t="str">
        <f t="shared" si="5"/>
        <v>X</v>
      </c>
    </row>
    <row r="18" spans="2:9" ht="15" customHeight="1">
      <c r="B18" s="908"/>
      <c r="C18" s="20" t="s">
        <v>51</v>
      </c>
      <c r="D18" s="1032"/>
      <c r="E18" s="1032">
        <f>SUM(E11:E13)+SUM(E16:E17)</f>
        <v>0</v>
      </c>
    </row>
    <row r="19" spans="2:9" ht="14.5"/>
    <row r="20" spans="2:9" ht="18" customHeight="1">
      <c r="B20" s="908"/>
      <c r="C20" s="1029" t="s">
        <v>1171</v>
      </c>
      <c r="D20" s="1033"/>
      <c r="E20" s="1034"/>
    </row>
    <row r="21" spans="2:9" ht="14.5">
      <c r="B21" s="891"/>
      <c r="C21" s="1035"/>
      <c r="D21" s="1036"/>
      <c r="E21" s="954"/>
      <c r="G21" s="1012" t="s">
        <v>82</v>
      </c>
      <c r="H21" s="1013" t="s">
        <v>83</v>
      </c>
      <c r="I21" s="1014" t="s">
        <v>84</v>
      </c>
    </row>
    <row r="22" spans="2:9" ht="30" customHeight="1">
      <c r="B22" s="908"/>
      <c r="C22" s="911" t="s">
        <v>25</v>
      </c>
      <c r="D22" s="27" t="s">
        <v>92</v>
      </c>
      <c r="E22" s="1031" t="s">
        <v>91</v>
      </c>
      <c r="G22" s="1186" t="s">
        <v>85</v>
      </c>
      <c r="H22" s="1187"/>
      <c r="I22" s="1188"/>
    </row>
    <row r="23" spans="2:9" ht="15" customHeight="1">
      <c r="C23" s="1037" t="s">
        <v>68</v>
      </c>
      <c r="D23" s="1038" t="s">
        <v>39</v>
      </c>
      <c r="E23" s="1039">
        <f>E24+E25</f>
        <v>0</v>
      </c>
      <c r="G23" s="1007" t="str">
        <f t="shared" ref="G23:G25" si="6">IF(ISNONTEXT(E23)=TRUE,"","X")</f>
        <v/>
      </c>
      <c r="H23" s="22" t="str">
        <f t="shared" ref="H23:H25" si="7">IF(E23&gt;=0,"","X")</f>
        <v/>
      </c>
      <c r="I23" s="1008" t="str">
        <f>IF(E23="","X",IF(E23&gt;0,"",IF(OR(E24&lt;&gt;"",E25&lt;&gt;""),"",IF(_xlfn.ISFORMULA(E23)=FALSE,"","X"))))</f>
        <v>X</v>
      </c>
    </row>
    <row r="24" spans="2:9" ht="15" customHeight="1">
      <c r="C24" s="1040" t="s">
        <v>75</v>
      </c>
      <c r="D24" s="1041" t="s">
        <v>39</v>
      </c>
      <c r="E24" s="1042"/>
      <c r="G24" s="1007" t="str">
        <f t="shared" si="6"/>
        <v/>
      </c>
      <c r="H24" s="22" t="str">
        <f t="shared" si="7"/>
        <v/>
      </c>
      <c r="I24" s="1008" t="str">
        <f>IF(_xlfn.ISFORMULA(E23)=FALSE,"",IF(E24="","X",""))</f>
        <v>X</v>
      </c>
    </row>
    <row r="25" spans="2:9" ht="15" customHeight="1">
      <c r="C25" s="1040" t="s">
        <v>76</v>
      </c>
      <c r="D25" s="1041" t="s">
        <v>39</v>
      </c>
      <c r="E25" s="1042"/>
      <c r="G25" s="1007" t="str">
        <f t="shared" si="6"/>
        <v/>
      </c>
      <c r="H25" s="22" t="str">
        <f t="shared" si="7"/>
        <v/>
      </c>
      <c r="I25" s="1008" t="str">
        <f>IF(_xlfn.ISFORMULA(E23)=FALSE,"",IF(E25="","X",""))</f>
        <v>X</v>
      </c>
    </row>
    <row r="26" spans="2:9" ht="15" customHeight="1">
      <c r="C26" s="1043" t="s">
        <v>67</v>
      </c>
      <c r="D26" s="1044" t="s">
        <v>39</v>
      </c>
      <c r="E26" s="1042"/>
      <c r="G26" s="21" t="str">
        <f t="shared" ref="G26:G29" si="8">IF(ISNONTEXT(E26)=TRUE,"","X")</f>
        <v/>
      </c>
      <c r="H26" s="22" t="str">
        <f t="shared" ref="H26:H29" si="9">IF(AND(E26&gt;=0)=TRUE,"","X")</f>
        <v/>
      </c>
      <c r="I26" s="23" t="str">
        <f t="shared" ref="I26:I29" si="10">IF(E26="","X","")</f>
        <v>X</v>
      </c>
    </row>
    <row r="27" spans="2:9" ht="15" customHeight="1">
      <c r="C27" s="1043" t="s">
        <v>32</v>
      </c>
      <c r="D27" s="1044" t="s">
        <v>39</v>
      </c>
      <c r="E27" s="1042"/>
      <c r="G27" s="21" t="str">
        <f t="shared" si="8"/>
        <v/>
      </c>
      <c r="H27" s="22" t="str">
        <f t="shared" si="9"/>
        <v/>
      </c>
      <c r="I27" s="23" t="str">
        <f t="shared" si="10"/>
        <v>X</v>
      </c>
    </row>
    <row r="28" spans="2:9" ht="15" customHeight="1">
      <c r="B28" s="908"/>
      <c r="C28" s="1043" t="s">
        <v>33</v>
      </c>
      <c r="D28" s="1044" t="s">
        <v>39</v>
      </c>
      <c r="E28" s="1042"/>
      <c r="G28" s="21" t="str">
        <f t="shared" si="8"/>
        <v/>
      </c>
      <c r="H28" s="22" t="str">
        <f t="shared" si="9"/>
        <v/>
      </c>
      <c r="I28" s="23" t="str">
        <f t="shared" si="10"/>
        <v>X</v>
      </c>
    </row>
    <row r="29" spans="2:9" ht="15" customHeight="1">
      <c r="B29" s="908"/>
      <c r="C29" s="1045" t="s">
        <v>30</v>
      </c>
      <c r="D29" s="1046" t="s">
        <v>39</v>
      </c>
      <c r="E29" s="1047"/>
      <c r="G29" s="24" t="str">
        <f t="shared" si="8"/>
        <v/>
      </c>
      <c r="H29" s="25" t="str">
        <f t="shared" si="9"/>
        <v/>
      </c>
      <c r="I29" s="26" t="str">
        <f t="shared" si="10"/>
        <v>X</v>
      </c>
    </row>
    <row r="30" spans="2:9" ht="15" customHeight="1">
      <c r="B30" s="908"/>
      <c r="C30" s="20" t="s">
        <v>50</v>
      </c>
      <c r="D30" s="1032"/>
      <c r="E30" s="1032" cm="1">
        <f t="array" ref="E30">SUM(E26:E29+E23)</f>
        <v>0</v>
      </c>
    </row>
    <row r="31" spans="2:9" ht="14.5">
      <c r="B31" s="908"/>
      <c r="C31" s="954"/>
      <c r="D31" s="954"/>
      <c r="E31" s="954"/>
    </row>
    <row r="32" spans="2:9" ht="14.5">
      <c r="C32" s="1027" t="s">
        <v>1169</v>
      </c>
      <c r="D32" s="1027"/>
      <c r="E32" s="1027"/>
    </row>
    <row r="33" spans="3:9" ht="14.5">
      <c r="C33" s="1028" t="s">
        <v>1173</v>
      </c>
      <c r="D33" s="1028"/>
      <c r="E33" s="1028"/>
    </row>
    <row r="34" spans="3:9" ht="18" customHeight="1">
      <c r="C34" s="1029" t="s">
        <v>1172</v>
      </c>
      <c r="D34" s="1033"/>
      <c r="E34" s="1034"/>
    </row>
    <row r="35" spans="3:9" ht="14.5">
      <c r="C35" s="954"/>
      <c r="D35" s="1036"/>
      <c r="E35" s="954"/>
      <c r="G35" s="1012" t="s">
        <v>82</v>
      </c>
      <c r="H35" s="1013" t="s">
        <v>83</v>
      </c>
      <c r="I35" s="1014" t="s">
        <v>84</v>
      </c>
    </row>
    <row r="36" spans="3:9" ht="31.5" customHeight="1">
      <c r="C36" s="1030" t="s">
        <v>60</v>
      </c>
      <c r="D36" s="27" t="s">
        <v>92</v>
      </c>
      <c r="E36" s="1031" t="s">
        <v>93</v>
      </c>
      <c r="G36" s="1186" t="s">
        <v>39</v>
      </c>
      <c r="H36" s="1187"/>
      <c r="I36" s="1188"/>
    </row>
    <row r="37" spans="3:9" ht="15" customHeight="1">
      <c r="C37" s="1158" t="s">
        <v>45</v>
      </c>
      <c r="D37" s="1159" t="s">
        <v>39</v>
      </c>
      <c r="E37" s="1096"/>
      <c r="G37" s="21" t="str">
        <f t="shared" ref="G37:G42" si="11">IF(ISNONTEXT(E37)=TRUE,"","X")</f>
        <v/>
      </c>
      <c r="H37" s="22" t="str">
        <f t="shared" ref="H37:H42" si="12">IF(AND(E37&gt;=0)=TRUE,"","X")</f>
        <v/>
      </c>
      <c r="I37" s="23" t="str">
        <f t="shared" ref="I37:I42" si="13">IF(E37="","X","")</f>
        <v>X</v>
      </c>
    </row>
    <row r="38" spans="3:9" ht="15" customHeight="1">
      <c r="C38" s="1160" t="s">
        <v>42</v>
      </c>
      <c r="D38" s="1157" t="s">
        <v>39</v>
      </c>
      <c r="E38" s="1098"/>
      <c r="G38" s="21" t="str">
        <f t="shared" si="11"/>
        <v/>
      </c>
      <c r="H38" s="22" t="str">
        <f t="shared" si="12"/>
        <v/>
      </c>
      <c r="I38" s="23" t="str">
        <f t="shared" si="13"/>
        <v>X</v>
      </c>
    </row>
    <row r="39" spans="3:9" ht="15" customHeight="1">
      <c r="C39" s="1160" t="s">
        <v>43</v>
      </c>
      <c r="D39" s="1157" t="s">
        <v>39</v>
      </c>
      <c r="E39" s="1098"/>
      <c r="G39" s="21" t="str">
        <f t="shared" si="11"/>
        <v/>
      </c>
      <c r="H39" s="22" t="str">
        <f t="shared" si="12"/>
        <v/>
      </c>
      <c r="I39" s="23" t="str">
        <f t="shared" si="13"/>
        <v>X</v>
      </c>
    </row>
    <row r="40" spans="3:9" ht="15" customHeight="1">
      <c r="C40" s="1160" t="s">
        <v>44</v>
      </c>
      <c r="D40" s="1157" t="s">
        <v>39</v>
      </c>
      <c r="E40" s="1098"/>
      <c r="G40" s="21" t="str">
        <f t="shared" si="11"/>
        <v/>
      </c>
      <c r="H40" s="22" t="str">
        <f t="shared" si="12"/>
        <v/>
      </c>
      <c r="I40" s="23" t="str">
        <f t="shared" si="13"/>
        <v>X</v>
      </c>
    </row>
    <row r="41" spans="3:9" ht="15" customHeight="1">
      <c r="C41" s="1160" t="s">
        <v>46</v>
      </c>
      <c r="D41" s="1157" t="s">
        <v>39</v>
      </c>
      <c r="E41" s="1098"/>
      <c r="G41" s="21" t="str">
        <f t="shared" si="11"/>
        <v/>
      </c>
      <c r="H41" s="22" t="str">
        <f t="shared" si="12"/>
        <v/>
      </c>
      <c r="I41" s="23" t="str">
        <f t="shared" si="13"/>
        <v>X</v>
      </c>
    </row>
    <row r="42" spans="3:9" ht="15" customHeight="1">
      <c r="C42" s="1161" t="s">
        <v>47</v>
      </c>
      <c r="D42" s="1162" t="s">
        <v>39</v>
      </c>
      <c r="E42" s="1103"/>
      <c r="G42" s="24" t="str">
        <f t="shared" si="11"/>
        <v/>
      </c>
      <c r="H42" s="25" t="str">
        <f t="shared" si="12"/>
        <v/>
      </c>
      <c r="I42" s="26" t="str">
        <f t="shared" si="13"/>
        <v>X</v>
      </c>
    </row>
    <row r="43" spans="3:9" ht="15" customHeight="1">
      <c r="C43" s="20" t="s">
        <v>63</v>
      </c>
      <c r="D43" s="1032"/>
      <c r="E43" s="1032">
        <f>SUM(E37:E42)</f>
        <v>0</v>
      </c>
    </row>
    <row r="44" spans="3:9" ht="12.65" customHeight="1">
      <c r="C44" s="954"/>
      <c r="D44" s="954"/>
      <c r="E44" s="954"/>
    </row>
    <row r="45" spans="3:9" ht="12.65" customHeight="1">
      <c r="C45" s="954"/>
      <c r="D45" s="954"/>
      <c r="E45" s="954"/>
    </row>
    <row r="46" spans="3:9" ht="12.65" customHeight="1">
      <c r="C46" s="954"/>
      <c r="D46" s="954"/>
      <c r="E46" s="954"/>
    </row>
  </sheetData>
  <sheetProtection formatColumns="0"/>
  <mergeCells count="3">
    <mergeCell ref="G10:I10"/>
    <mergeCell ref="G22:I22"/>
    <mergeCell ref="G36:I36"/>
  </mergeCells>
  <phoneticPr fontId="121" type="noConversion"/>
  <dataValidations count="1">
    <dataValidation allowBlank="1" showErrorMessage="1" sqref="G37:I42 G11:I17 G21:I21 E36:E43 G9:I9 G23:I29 G35:I35 C33:E33 C7:E7" xr:uid="{6E8D7FA6-BA28-43B9-9F6A-A630F38B86C8}"/>
  </dataValidations>
  <pageMargins left="0.75" right="0.75" top="1" bottom="1" header="0.5" footer="0.5"/>
  <pageSetup paperSize="8" scale="85" orientation="landscape" verticalDpi="2"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5" id="{2B7A6159-67A1-44C1-A6C5-94D19615A9F2}">
            <xm:f>'Business &amp; other details'!$N$13='AER lookups'!$B$20</xm:f>
            <x14:dxf>
              <font>
                <strike val="0"/>
                <color theme="0" tint="-0.24994659260841701"/>
              </font>
              <fill>
                <patternFill>
                  <bgColor theme="0" tint="-0.24994659260841701"/>
                </patternFill>
              </fill>
            </x14:dxf>
          </x14:cfRule>
          <xm:sqref>C12:E17</xm:sqref>
        </x14:conditionalFormatting>
        <x14:conditionalFormatting xmlns:xm="http://schemas.microsoft.com/office/excel/2006/main">
          <x14:cfRule type="expression" priority="2" id="{225D15A2-C360-4633-BCB9-F79854F9ADA2}">
            <xm:f>'Business &amp; other details'!$N$13='AER lookups'!$B$20</xm:f>
            <x14:dxf>
              <font>
                <strike val="0"/>
                <color theme="0" tint="-0.24994659260841701"/>
              </font>
              <fill>
                <patternFill>
                  <bgColor theme="0" tint="-0.24994659260841701"/>
                </patternFill>
              </fill>
            </x14:dxf>
          </x14:cfRule>
          <xm:sqref>C23:E25</xm:sqref>
        </x14:conditionalFormatting>
        <x14:conditionalFormatting xmlns:xm="http://schemas.microsoft.com/office/excel/2006/main">
          <x14:cfRule type="expression" priority="4" id="{268AEB12-7881-4085-8CC7-80953C6FD1DD}">
            <xm:f>'Business &amp; other details'!$N$13='AER lookups'!$B$20</xm:f>
            <x14:dxf>
              <font>
                <strike val="0"/>
                <color theme="0" tint="-0.24994659260841701"/>
              </font>
              <fill>
                <patternFill>
                  <bgColor theme="0" tint="-0.24994659260841701"/>
                </patternFill>
              </fill>
            </x14:dxf>
          </x14:cfRule>
          <xm:sqref>G12:I17</xm:sqref>
        </x14:conditionalFormatting>
        <x14:conditionalFormatting xmlns:xm="http://schemas.microsoft.com/office/excel/2006/main">
          <x14:cfRule type="expression" priority="1" id="{ECF46888-0466-427D-A8E1-D8A8DE777DAF}">
            <xm:f>'Business &amp; other details'!$N$13='AER lookups'!$B$20</xm:f>
            <x14:dxf>
              <font>
                <strike val="0"/>
                <color theme="0" tint="-0.24994659260841701"/>
              </font>
              <fill>
                <patternFill>
                  <bgColor theme="0" tint="-0.24994659260841701"/>
                </patternFill>
              </fill>
            </x14:dxf>
          </x14:cfRule>
          <xm:sqref>G23:I25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56B0F-CC5C-4DDF-A0C7-51765B94B0FA}">
  <sheetPr codeName="Sheet9">
    <tabColor rgb="FF11473A"/>
    <pageSetUpPr autoPageBreaks="0"/>
  </sheetPr>
  <dimension ref="B1:U75"/>
  <sheetViews>
    <sheetView workbookViewId="0"/>
  </sheetViews>
  <sheetFormatPr defaultColWidth="9.1796875" defaultRowHeight="12.65" customHeight="1"/>
  <cols>
    <col min="1" max="1" width="5.6328125" style="5" customWidth="1"/>
    <col min="2" max="2" width="10.6328125" style="5" customWidth="1"/>
    <col min="3" max="3" width="75" style="5" customWidth="1"/>
    <col min="4" max="4" width="15.7265625" style="5" customWidth="1"/>
    <col min="5" max="7" width="18" style="5" customWidth="1"/>
    <col min="8" max="8" width="11.1796875" style="5" customWidth="1"/>
    <col min="9" max="21" width="4.6328125" style="5" customWidth="1"/>
    <col min="22" max="16384" width="9.1796875" style="5"/>
  </cols>
  <sheetData>
    <row r="1" spans="2:21" ht="18.75" customHeight="1">
      <c r="B1" s="907"/>
      <c r="C1" s="904" t="str">
        <f>dms_SheetHeading1</f>
        <v>ANNUAL INFORMATION NOTICE</v>
      </c>
      <c r="D1" s="1067"/>
      <c r="E1" s="1067"/>
      <c r="F1" s="1067"/>
      <c r="G1" s="1067"/>
      <c r="I1" s="1015" t="s">
        <v>55</v>
      </c>
      <c r="J1" s="1015"/>
      <c r="K1" s="1015"/>
      <c r="L1" s="1015"/>
      <c r="M1" s="1015"/>
      <c r="N1" s="1015"/>
      <c r="O1" s="1049" t="s">
        <v>54</v>
      </c>
      <c r="P1" s="1015"/>
      <c r="Q1" s="1015"/>
      <c r="R1" s="1015"/>
      <c r="S1" s="1015"/>
      <c r="T1" s="1015"/>
      <c r="U1" s="1020"/>
    </row>
    <row r="2" spans="2:21" ht="18.75" customHeight="1">
      <c r="B2" s="907"/>
      <c r="C2" s="903" t="str">
        <f>dms_SheetHeading2</f>
        <v>Power and Water</v>
      </c>
      <c r="D2" s="1067"/>
      <c r="E2" s="1067"/>
      <c r="F2" s="1067"/>
      <c r="G2" s="1067"/>
      <c r="I2" s="1016" t="s">
        <v>56</v>
      </c>
      <c r="J2" s="1016"/>
      <c r="K2" s="1016"/>
      <c r="L2" s="1016"/>
      <c r="M2" s="1016"/>
      <c r="N2" s="1016"/>
      <c r="O2" s="1024" t="s">
        <v>12</v>
      </c>
      <c r="P2" s="1016"/>
      <c r="Q2" s="1016"/>
      <c r="R2" s="1016"/>
      <c r="S2" s="1016"/>
      <c r="T2" s="1016"/>
      <c r="U2" s="1021"/>
    </row>
    <row r="3" spans="2:21" ht="18.75" customHeight="1">
      <c r="B3" s="907"/>
      <c r="C3" s="904" t="str">
        <f>dms_SheetHeading3</f>
        <v>REPORTING STATEMENT: 2025-26</v>
      </c>
      <c r="D3" s="1067"/>
      <c r="E3" s="1067"/>
      <c r="F3" s="1067"/>
      <c r="G3" s="1067"/>
      <c r="I3" s="1017" t="s">
        <v>57</v>
      </c>
      <c r="J3" s="1017"/>
      <c r="K3" s="1017"/>
      <c r="L3" s="1017"/>
      <c r="M3" s="1017"/>
      <c r="N3" s="1017"/>
      <c r="O3" s="1025" t="s">
        <v>19</v>
      </c>
      <c r="P3" s="1017"/>
      <c r="Q3" s="1017"/>
      <c r="R3" s="1017"/>
      <c r="S3" s="1017"/>
      <c r="T3" s="1017"/>
      <c r="U3" s="1022"/>
    </row>
    <row r="4" spans="2:21" ht="18.75" customHeight="1">
      <c r="B4" s="907"/>
      <c r="C4" s="1048" t="s">
        <v>1181</v>
      </c>
      <c r="D4" s="1068"/>
      <c r="E4" s="1068"/>
      <c r="F4" s="1068"/>
      <c r="G4" s="1068"/>
      <c r="I4" s="1018" t="s">
        <v>59</v>
      </c>
      <c r="J4" s="1019"/>
      <c r="K4" s="1019"/>
      <c r="L4" s="1019"/>
      <c r="M4" s="1019"/>
      <c r="N4" s="1019"/>
      <c r="O4" s="1026" t="s">
        <v>58</v>
      </c>
      <c r="P4" s="1019"/>
      <c r="Q4" s="1019"/>
      <c r="R4" s="1019"/>
      <c r="S4" s="1019"/>
      <c r="T4" s="1019"/>
      <c r="U4" s="1023"/>
    </row>
    <row r="5" spans="2:21" s="907" customFormat="1" ht="15.5"/>
    <row r="6" spans="2:21" s="907" customFormat="1" ht="15" customHeight="1">
      <c r="C6" s="1027" t="s">
        <v>1174</v>
      </c>
      <c r="D6" s="1027"/>
      <c r="E6" s="1027"/>
      <c r="F6" s="1027"/>
      <c r="G6" s="1027"/>
    </row>
    <row r="7" spans="2:21" s="907" customFormat="1" ht="15" customHeight="1">
      <c r="C7" s="1028" t="s">
        <v>62</v>
      </c>
      <c r="D7" s="1028"/>
      <c r="E7" s="1028"/>
      <c r="F7" s="1028"/>
      <c r="G7" s="1028"/>
    </row>
    <row r="8" spans="2:21" s="907" customFormat="1" ht="15" customHeight="1">
      <c r="C8" s="1028" t="s">
        <v>1176</v>
      </c>
      <c r="D8" s="1028"/>
      <c r="E8" s="1028"/>
      <c r="F8" s="1028"/>
      <c r="G8" s="1028"/>
    </row>
    <row r="9" spans="2:21" ht="18" customHeight="1">
      <c r="C9" s="1029" t="s">
        <v>1175</v>
      </c>
      <c r="D9" s="1033"/>
      <c r="E9" s="1034"/>
      <c r="F9" s="1034"/>
      <c r="G9" s="1034"/>
      <c r="J9" s="1052"/>
    </row>
    <row r="10" spans="2:21" ht="15" customHeight="1">
      <c r="C10" s="1082" t="s">
        <v>1200</v>
      </c>
      <c r="D10" s="1036"/>
      <c r="E10" s="954"/>
      <c r="F10" s="954"/>
      <c r="G10" s="954"/>
      <c r="J10" s="1052"/>
    </row>
    <row r="11" spans="2:21" ht="15" customHeight="1">
      <c r="C11" s="1132" t="s">
        <v>1199</v>
      </c>
      <c r="D11" s="1133"/>
      <c r="E11" s="1134"/>
      <c r="F11" s="1134"/>
      <c r="G11" s="1134"/>
      <c r="J11" s="1052"/>
    </row>
    <row r="12" spans="2:21" ht="7.5" customHeight="1">
      <c r="C12" s="1036"/>
      <c r="D12" s="954"/>
      <c r="E12" s="954"/>
      <c r="F12" s="954"/>
      <c r="G12" s="954"/>
      <c r="J12" s="1052"/>
    </row>
    <row r="13" spans="2:21" ht="30" customHeight="1">
      <c r="C13" s="1083" t="s">
        <v>40</v>
      </c>
      <c r="D13" s="954"/>
      <c r="E13" s="1086" t="s">
        <v>77</v>
      </c>
      <c r="F13" s="1087"/>
      <c r="G13" s="1088"/>
      <c r="I13" s="1189" t="s">
        <v>86</v>
      </c>
      <c r="J13" s="1190"/>
      <c r="K13" s="1191"/>
      <c r="L13" s="1145" t="s">
        <v>82</v>
      </c>
      <c r="M13" s="1146" t="s">
        <v>83</v>
      </c>
      <c r="N13" s="1147" t="s">
        <v>84</v>
      </c>
      <c r="O13" s="1148" t="s">
        <v>1256</v>
      </c>
      <c r="P13" s="1145" t="s">
        <v>82</v>
      </c>
      <c r="Q13" s="1146" t="s">
        <v>83</v>
      </c>
      <c r="R13" s="1147" t="s">
        <v>84</v>
      </c>
      <c r="S13" s="1148" t="s">
        <v>1256</v>
      </c>
    </row>
    <row r="14" spans="2:21" ht="21" customHeight="1">
      <c r="C14" s="1063" t="s">
        <v>1201</v>
      </c>
      <c r="D14" s="27" t="s">
        <v>92</v>
      </c>
      <c r="E14" s="1129" t="s">
        <v>96</v>
      </c>
      <c r="F14" s="1130" t="s">
        <v>94</v>
      </c>
      <c r="G14" s="1131" t="s">
        <v>95</v>
      </c>
      <c r="I14" s="1216" t="s">
        <v>87</v>
      </c>
      <c r="J14" s="1217"/>
      <c r="K14" s="1218"/>
      <c r="L14" s="1213" t="s">
        <v>89</v>
      </c>
      <c r="M14" s="1214"/>
      <c r="N14" s="1214"/>
      <c r="O14" s="1215"/>
      <c r="P14" s="1213" t="s">
        <v>90</v>
      </c>
      <c r="Q14" s="1214"/>
      <c r="R14" s="1214"/>
      <c r="S14" s="1215"/>
    </row>
    <row r="15" spans="2:21" ht="15" customHeight="1">
      <c r="B15" s="908"/>
      <c r="C15" s="1092"/>
      <c r="D15" s="1093" t="s">
        <v>39</v>
      </c>
      <c r="E15" s="1094">
        <f t="shared" ref="E15:E26" si="0">SUM(F15:G15)</f>
        <v>0</v>
      </c>
      <c r="F15" s="1095"/>
      <c r="G15" s="1096"/>
      <c r="I15" s="1192" t="s">
        <v>88</v>
      </c>
      <c r="J15" s="1193"/>
      <c r="K15" s="1194"/>
      <c r="L15" s="1059" t="str">
        <f t="shared" ref="L15:L26" si="1">IF(ISNONTEXT(F15)=TRUE,"","X")</f>
        <v/>
      </c>
      <c r="M15" s="1060" t="str">
        <f t="shared" ref="M15:M26" si="2">IF(F15&gt;=0=TRUE,"","X")</f>
        <v/>
      </c>
      <c r="N15" s="1060" t="str">
        <f>IF(ISBLANK(F15),"X","")</f>
        <v>X</v>
      </c>
      <c r="O15" s="1069"/>
      <c r="P15" s="1059" t="str">
        <f t="shared" ref="P15:P26" si="3">IF(ISNONTEXT(G15)=TRUE,"","X")</f>
        <v/>
      </c>
      <c r="Q15" s="1060" t="str">
        <f t="shared" ref="Q15:Q26" si="4">IF(G15&gt;=0=TRUE,"","X")</f>
        <v/>
      </c>
      <c r="R15" s="1060" t="str">
        <f>IF(ISBLANK(G15),"X","")</f>
        <v>X</v>
      </c>
      <c r="S15" s="1069"/>
    </row>
    <row r="16" spans="2:21" ht="15" customHeight="1">
      <c r="B16" s="908"/>
      <c r="C16" s="1097"/>
      <c r="D16" s="1089" t="s">
        <v>39</v>
      </c>
      <c r="E16" s="1090">
        <f t="shared" si="0"/>
        <v>0</v>
      </c>
      <c r="F16" s="1091"/>
      <c r="G16" s="1098"/>
      <c r="I16" s="1195"/>
      <c r="J16" s="1196"/>
      <c r="K16" s="1197"/>
      <c r="L16" s="1053" t="str">
        <f t="shared" si="1"/>
        <v/>
      </c>
      <c r="M16" s="1054" t="str">
        <f t="shared" si="2"/>
        <v/>
      </c>
      <c r="N16" s="1070"/>
      <c r="O16" s="1071" t="str">
        <f t="shared" ref="O16:O26" si="5">IF(AND($C16&lt;&gt;"",LEFT($C16,5)&lt;&gt;"&lt;DNSP",ISBLANK(F16))=TRUE,"X","")</f>
        <v/>
      </c>
      <c r="P16" s="1053" t="str">
        <f t="shared" si="3"/>
        <v/>
      </c>
      <c r="Q16" s="1054" t="str">
        <f t="shared" si="4"/>
        <v/>
      </c>
      <c r="R16" s="1070"/>
      <c r="S16" s="1071" t="str">
        <f t="shared" ref="S16:S26" si="6">IF(AND($C16&lt;&gt;"",LEFT($C16,5)&lt;&gt;"&lt;DNSP",ISBLANK(G16))=TRUE,"X","")</f>
        <v/>
      </c>
    </row>
    <row r="17" spans="2:19" ht="15" customHeight="1">
      <c r="B17" s="908"/>
      <c r="C17" s="1097"/>
      <c r="D17" s="1089" t="s">
        <v>39</v>
      </c>
      <c r="E17" s="1090">
        <f t="shared" si="0"/>
        <v>0</v>
      </c>
      <c r="F17" s="1091"/>
      <c r="G17" s="1098"/>
      <c r="I17" s="1195"/>
      <c r="J17" s="1196"/>
      <c r="K17" s="1197"/>
      <c r="L17" s="1053" t="str">
        <f t="shared" si="1"/>
        <v/>
      </c>
      <c r="M17" s="1054" t="str">
        <f t="shared" si="2"/>
        <v/>
      </c>
      <c r="N17" s="1070"/>
      <c r="O17" s="1071" t="str">
        <f t="shared" si="5"/>
        <v/>
      </c>
      <c r="P17" s="1053" t="str">
        <f t="shared" si="3"/>
        <v/>
      </c>
      <c r="Q17" s="1054" t="str">
        <f t="shared" si="4"/>
        <v/>
      </c>
      <c r="R17" s="1070"/>
      <c r="S17" s="1071" t="str">
        <f t="shared" si="6"/>
        <v/>
      </c>
    </row>
    <row r="18" spans="2:19" ht="15" customHeight="1">
      <c r="B18" s="908"/>
      <c r="C18" s="1097"/>
      <c r="D18" s="1089" t="s">
        <v>39</v>
      </c>
      <c r="E18" s="1090">
        <f t="shared" si="0"/>
        <v>0</v>
      </c>
      <c r="F18" s="1091"/>
      <c r="G18" s="1098"/>
      <c r="I18" s="1195"/>
      <c r="J18" s="1196"/>
      <c r="K18" s="1197"/>
      <c r="L18" s="1053" t="str">
        <f t="shared" si="1"/>
        <v/>
      </c>
      <c r="M18" s="1054" t="str">
        <f t="shared" si="2"/>
        <v/>
      </c>
      <c r="N18" s="1070"/>
      <c r="O18" s="1071" t="str">
        <f t="shared" si="5"/>
        <v/>
      </c>
      <c r="P18" s="1053" t="str">
        <f t="shared" si="3"/>
        <v/>
      </c>
      <c r="Q18" s="1054" t="str">
        <f t="shared" si="4"/>
        <v/>
      </c>
      <c r="R18" s="1070"/>
      <c r="S18" s="1071" t="str">
        <f t="shared" si="6"/>
        <v/>
      </c>
    </row>
    <row r="19" spans="2:19" ht="15" customHeight="1">
      <c r="B19" s="908"/>
      <c r="C19" s="1097"/>
      <c r="D19" s="1089" t="s">
        <v>39</v>
      </c>
      <c r="E19" s="1090">
        <f t="shared" si="0"/>
        <v>0</v>
      </c>
      <c r="F19" s="1091"/>
      <c r="G19" s="1098"/>
      <c r="I19" s="1195"/>
      <c r="J19" s="1196"/>
      <c r="K19" s="1197"/>
      <c r="L19" s="1053" t="str">
        <f t="shared" si="1"/>
        <v/>
      </c>
      <c r="M19" s="1054" t="str">
        <f t="shared" si="2"/>
        <v/>
      </c>
      <c r="N19" s="1070"/>
      <c r="O19" s="1071" t="str">
        <f t="shared" si="5"/>
        <v/>
      </c>
      <c r="P19" s="1053" t="str">
        <f t="shared" si="3"/>
        <v/>
      </c>
      <c r="Q19" s="1054" t="str">
        <f t="shared" si="4"/>
        <v/>
      </c>
      <c r="R19" s="1070"/>
      <c r="S19" s="1071" t="str">
        <f t="shared" si="6"/>
        <v/>
      </c>
    </row>
    <row r="20" spans="2:19" ht="15" customHeight="1">
      <c r="B20" s="908"/>
      <c r="C20" s="1097"/>
      <c r="D20" s="1089" t="s">
        <v>39</v>
      </c>
      <c r="E20" s="1090">
        <f t="shared" si="0"/>
        <v>0</v>
      </c>
      <c r="F20" s="1091"/>
      <c r="G20" s="1098"/>
      <c r="I20" s="1195"/>
      <c r="J20" s="1196"/>
      <c r="K20" s="1197"/>
      <c r="L20" s="1053" t="str">
        <f t="shared" si="1"/>
        <v/>
      </c>
      <c r="M20" s="1054" t="str">
        <f t="shared" si="2"/>
        <v/>
      </c>
      <c r="N20" s="1070"/>
      <c r="O20" s="1071" t="str">
        <f t="shared" si="5"/>
        <v/>
      </c>
      <c r="P20" s="1053" t="str">
        <f t="shared" si="3"/>
        <v/>
      </c>
      <c r="Q20" s="1054" t="str">
        <f t="shared" si="4"/>
        <v/>
      </c>
      <c r="R20" s="1070"/>
      <c r="S20" s="1071" t="str">
        <f t="shared" si="6"/>
        <v/>
      </c>
    </row>
    <row r="21" spans="2:19" ht="15" customHeight="1">
      <c r="B21" s="908"/>
      <c r="C21" s="1097"/>
      <c r="D21" s="1089" t="s">
        <v>39</v>
      </c>
      <c r="E21" s="1090">
        <f t="shared" si="0"/>
        <v>0</v>
      </c>
      <c r="F21" s="1091"/>
      <c r="G21" s="1098"/>
      <c r="I21" s="1195"/>
      <c r="J21" s="1196"/>
      <c r="K21" s="1197"/>
      <c r="L21" s="1053" t="str">
        <f t="shared" si="1"/>
        <v/>
      </c>
      <c r="M21" s="1054" t="str">
        <f t="shared" si="2"/>
        <v/>
      </c>
      <c r="N21" s="1070"/>
      <c r="O21" s="1071" t="str">
        <f t="shared" si="5"/>
        <v/>
      </c>
      <c r="P21" s="1053" t="str">
        <f t="shared" si="3"/>
        <v/>
      </c>
      <c r="Q21" s="1054" t="str">
        <f t="shared" si="4"/>
        <v/>
      </c>
      <c r="R21" s="1070"/>
      <c r="S21" s="1071" t="str">
        <f t="shared" si="6"/>
        <v/>
      </c>
    </row>
    <row r="22" spans="2:19" ht="15" customHeight="1">
      <c r="B22" s="908"/>
      <c r="C22" s="1097"/>
      <c r="D22" s="1089" t="s">
        <v>39</v>
      </c>
      <c r="E22" s="1090">
        <f t="shared" si="0"/>
        <v>0</v>
      </c>
      <c r="F22" s="1091"/>
      <c r="G22" s="1098"/>
      <c r="I22" s="1195"/>
      <c r="J22" s="1196"/>
      <c r="K22" s="1197"/>
      <c r="L22" s="1053" t="str">
        <f t="shared" si="1"/>
        <v/>
      </c>
      <c r="M22" s="1054" t="str">
        <f t="shared" si="2"/>
        <v/>
      </c>
      <c r="N22" s="1070"/>
      <c r="O22" s="1071" t="str">
        <f t="shared" si="5"/>
        <v/>
      </c>
      <c r="P22" s="1053" t="str">
        <f t="shared" si="3"/>
        <v/>
      </c>
      <c r="Q22" s="1054" t="str">
        <f t="shared" si="4"/>
        <v/>
      </c>
      <c r="R22" s="1070"/>
      <c r="S22" s="1071" t="str">
        <f t="shared" si="6"/>
        <v/>
      </c>
    </row>
    <row r="23" spans="2:19" ht="15" customHeight="1">
      <c r="B23" s="908"/>
      <c r="C23" s="1097"/>
      <c r="D23" s="1089" t="s">
        <v>39</v>
      </c>
      <c r="E23" s="1090">
        <f t="shared" si="0"/>
        <v>0</v>
      </c>
      <c r="F23" s="1091"/>
      <c r="G23" s="1098"/>
      <c r="I23" s="1195"/>
      <c r="J23" s="1196"/>
      <c r="K23" s="1197"/>
      <c r="L23" s="1053" t="str">
        <f t="shared" si="1"/>
        <v/>
      </c>
      <c r="M23" s="1054" t="str">
        <f t="shared" si="2"/>
        <v/>
      </c>
      <c r="N23" s="1070"/>
      <c r="O23" s="1071" t="str">
        <f t="shared" si="5"/>
        <v/>
      </c>
      <c r="P23" s="1053" t="str">
        <f t="shared" si="3"/>
        <v/>
      </c>
      <c r="Q23" s="1054" t="str">
        <f t="shared" si="4"/>
        <v/>
      </c>
      <c r="R23" s="1070"/>
      <c r="S23" s="1071" t="str">
        <f t="shared" si="6"/>
        <v/>
      </c>
    </row>
    <row r="24" spans="2:19" ht="15" customHeight="1">
      <c r="B24" s="908"/>
      <c r="C24" s="1097"/>
      <c r="D24" s="1089" t="s">
        <v>39</v>
      </c>
      <c r="E24" s="1090">
        <f t="shared" si="0"/>
        <v>0</v>
      </c>
      <c r="F24" s="1091"/>
      <c r="G24" s="1098"/>
      <c r="I24" s="1195"/>
      <c r="J24" s="1196"/>
      <c r="K24" s="1197"/>
      <c r="L24" s="1053" t="str">
        <f t="shared" si="1"/>
        <v/>
      </c>
      <c r="M24" s="1054" t="str">
        <f t="shared" si="2"/>
        <v/>
      </c>
      <c r="N24" s="1070"/>
      <c r="O24" s="1071" t="str">
        <f t="shared" si="5"/>
        <v/>
      </c>
      <c r="P24" s="1053" t="str">
        <f t="shared" si="3"/>
        <v/>
      </c>
      <c r="Q24" s="1054" t="str">
        <f t="shared" si="4"/>
        <v/>
      </c>
      <c r="R24" s="1070"/>
      <c r="S24" s="1071" t="str">
        <f t="shared" si="6"/>
        <v/>
      </c>
    </row>
    <row r="25" spans="2:19" ht="15" customHeight="1">
      <c r="B25" s="908"/>
      <c r="C25" s="1097"/>
      <c r="D25" s="1089" t="s">
        <v>39</v>
      </c>
      <c r="E25" s="1090">
        <f t="shared" si="0"/>
        <v>0</v>
      </c>
      <c r="F25" s="1091"/>
      <c r="G25" s="1098"/>
      <c r="I25" s="1195"/>
      <c r="J25" s="1196"/>
      <c r="K25" s="1197"/>
      <c r="L25" s="1072" t="str">
        <f t="shared" si="1"/>
        <v/>
      </c>
      <c r="M25" s="1073" t="str">
        <f t="shared" si="2"/>
        <v/>
      </c>
      <c r="N25" s="1074"/>
      <c r="O25" s="1075" t="str">
        <f t="shared" si="5"/>
        <v/>
      </c>
      <c r="P25" s="1072" t="str">
        <f t="shared" si="3"/>
        <v/>
      </c>
      <c r="Q25" s="1073" t="str">
        <f t="shared" si="4"/>
        <v/>
      </c>
      <c r="R25" s="1074"/>
      <c r="S25" s="1075" t="str">
        <f t="shared" si="6"/>
        <v/>
      </c>
    </row>
    <row r="26" spans="2:19" ht="15" customHeight="1">
      <c r="B26" s="908"/>
      <c r="C26" s="1099"/>
      <c r="D26" s="1100" t="s">
        <v>39</v>
      </c>
      <c r="E26" s="1101">
        <f t="shared" si="0"/>
        <v>0</v>
      </c>
      <c r="F26" s="1102"/>
      <c r="G26" s="1103"/>
      <c r="I26" s="1198"/>
      <c r="J26" s="1199"/>
      <c r="K26" s="1200"/>
      <c r="L26" s="1076" t="str">
        <f t="shared" si="1"/>
        <v/>
      </c>
      <c r="M26" s="1077" t="str">
        <f t="shared" si="2"/>
        <v/>
      </c>
      <c r="N26" s="1078"/>
      <c r="O26" s="1079" t="str">
        <f t="shared" si="5"/>
        <v/>
      </c>
      <c r="P26" s="1076" t="str">
        <f t="shared" si="3"/>
        <v/>
      </c>
      <c r="Q26" s="1077" t="str">
        <f t="shared" si="4"/>
        <v/>
      </c>
      <c r="R26" s="1078"/>
      <c r="S26" s="1079" t="str">
        <f t="shared" si="6"/>
        <v/>
      </c>
    </row>
    <row r="27" spans="2:19" ht="15" customHeight="1">
      <c r="B27" s="908"/>
      <c r="C27" s="1080" t="s">
        <v>62</v>
      </c>
      <c r="D27" s="1081"/>
      <c r="E27" s="1081">
        <f>SUM(E15:E26)</f>
        <v>0</v>
      </c>
      <c r="F27" s="1081">
        <f>SUM(F15:F26)</f>
        <v>0</v>
      </c>
      <c r="G27" s="1081">
        <f>SUM(G15:G26)</f>
        <v>0</v>
      </c>
    </row>
    <row r="28" spans="2:19" ht="15" customHeight="1">
      <c r="C28" s="1063" t="s">
        <v>61</v>
      </c>
      <c r="D28" s="954"/>
      <c r="E28" s="954"/>
      <c r="F28" s="954"/>
      <c r="G28" s="954"/>
    </row>
    <row r="29" spans="2:19" ht="15" customHeight="1">
      <c r="C29" s="1063" t="s">
        <v>1201</v>
      </c>
      <c r="D29" s="954"/>
      <c r="E29" s="954"/>
      <c r="F29" s="954"/>
      <c r="G29" s="954"/>
    </row>
    <row r="30" spans="2:19" ht="15" customHeight="1">
      <c r="B30" s="908"/>
      <c r="C30" s="1126" t="str">
        <f>IF(C15="","",C15)</f>
        <v/>
      </c>
      <c r="D30" s="1038" t="s">
        <v>39</v>
      </c>
      <c r="E30" s="1118">
        <f t="shared" ref="E30:E41" si="7">SUM(F30:G30)</f>
        <v>0</v>
      </c>
      <c r="F30" s="1119"/>
      <c r="G30" s="1120"/>
      <c r="I30" s="1201" t="s">
        <v>88</v>
      </c>
      <c r="J30" s="1202"/>
      <c r="K30" s="1203"/>
      <c r="L30" s="1059" t="str">
        <f>IF(ISNONTEXT(F30)=TRUE,"","X")</f>
        <v/>
      </c>
      <c r="M30" s="1060" t="str">
        <f>IF(F30&gt;=0=TRUE,"","X")</f>
        <v/>
      </c>
      <c r="N30" s="1060" t="str">
        <f>IF(ISBLANK(F30),"X","")</f>
        <v>X</v>
      </c>
      <c r="O30" s="1069"/>
      <c r="P30" s="1059" t="str">
        <f>IF(ISNONTEXT(G30)=TRUE,"","X")</f>
        <v/>
      </c>
      <c r="Q30" s="1060" t="str">
        <f>IF(G30&gt;=0=TRUE,"","X")</f>
        <v/>
      </c>
      <c r="R30" s="1060" t="str">
        <f>IF(ISBLANK(G30),"X","")</f>
        <v>X</v>
      </c>
      <c r="S30" s="1069"/>
    </row>
    <row r="31" spans="2:19" ht="15" customHeight="1">
      <c r="B31" s="908"/>
      <c r="C31" s="1127" t="str">
        <f>IF(C16="","",C16)</f>
        <v/>
      </c>
      <c r="D31" s="1041" t="s">
        <v>39</v>
      </c>
      <c r="E31" s="1121">
        <f t="shared" si="7"/>
        <v>0</v>
      </c>
      <c r="F31" s="1122"/>
      <c r="G31" s="1042"/>
      <c r="I31" s="1204"/>
      <c r="J31" s="1205"/>
      <c r="K31" s="1206"/>
      <c r="L31" s="1053" t="str">
        <f>IF(ISNONTEXT(F31)=TRUE,"","X")</f>
        <v/>
      </c>
      <c r="M31" s="1054" t="str">
        <f>IF(F31&gt;=0=TRUE,"","X")</f>
        <v/>
      </c>
      <c r="N31" s="1070"/>
      <c r="O31" s="1071" t="str">
        <f>IF(AND($C31&lt;&gt;"",LEFT($C31,5)&lt;&gt;"&lt;DNSP",ISBLANK(F31))=TRUE,"X","")</f>
        <v/>
      </c>
      <c r="P31" s="1053" t="str">
        <f>IF(ISNONTEXT(G31)=TRUE,"","X")</f>
        <v/>
      </c>
      <c r="Q31" s="1054" t="str">
        <f>IF(G31&gt;=0=TRUE,"","X")</f>
        <v/>
      </c>
      <c r="R31" s="1070"/>
      <c r="S31" s="1071" t="str">
        <f>IF(AND($C31&lt;&gt;"",LEFT($C31,5)&lt;&gt;"&lt;DNSP",ISBLANK(G31))=TRUE,"X","")</f>
        <v/>
      </c>
    </row>
    <row r="32" spans="2:19" ht="15" customHeight="1">
      <c r="B32" s="908"/>
      <c r="C32" s="1127" t="str">
        <f t="shared" ref="C32:C41" si="8">IF(C17="","",C17)</f>
        <v/>
      </c>
      <c r="D32" s="1041" t="s">
        <v>39</v>
      </c>
      <c r="E32" s="1121">
        <f t="shared" si="7"/>
        <v>0</v>
      </c>
      <c r="F32" s="1122"/>
      <c r="G32" s="1042"/>
      <c r="I32" s="1204"/>
      <c r="J32" s="1205"/>
      <c r="K32" s="1206"/>
      <c r="L32" s="1053" t="str">
        <f t="shared" ref="L32:L41" si="9">IF(ISNONTEXT(F32)=TRUE,"","X")</f>
        <v/>
      </c>
      <c r="M32" s="1054" t="str">
        <f t="shared" ref="M32:M41" si="10">IF(F32&gt;=0=TRUE,"","X")</f>
        <v/>
      </c>
      <c r="N32" s="1070"/>
      <c r="O32" s="1071" t="str">
        <f t="shared" ref="O32:O41" si="11">IF(AND($C32&lt;&gt;"",LEFT($C32,5)&lt;&gt;"&lt;DNSP",ISBLANK(F32))=TRUE,"X","")</f>
        <v/>
      </c>
      <c r="P32" s="1053" t="str">
        <f t="shared" ref="P32:P41" si="12">IF(ISNONTEXT(G32)=TRUE,"","X")</f>
        <v/>
      </c>
      <c r="Q32" s="1054" t="str">
        <f t="shared" ref="Q32:Q41" si="13">IF(G32&gt;=0=TRUE,"","X")</f>
        <v/>
      </c>
      <c r="R32" s="1070"/>
      <c r="S32" s="1071" t="str">
        <f t="shared" ref="S32:S41" si="14">IF(AND($C32&lt;&gt;"",LEFT($C32,5)&lt;&gt;"&lt;DNSP",ISBLANK(G32))=TRUE,"X","")</f>
        <v/>
      </c>
    </row>
    <row r="33" spans="2:19" ht="15" customHeight="1">
      <c r="B33" s="908"/>
      <c r="C33" s="1127" t="str">
        <f t="shared" si="8"/>
        <v/>
      </c>
      <c r="D33" s="1041" t="s">
        <v>39</v>
      </c>
      <c r="E33" s="1121">
        <f t="shared" si="7"/>
        <v>0</v>
      </c>
      <c r="F33" s="1122"/>
      <c r="G33" s="1042"/>
      <c r="I33" s="1204"/>
      <c r="J33" s="1205"/>
      <c r="K33" s="1206"/>
      <c r="L33" s="1053" t="str">
        <f t="shared" si="9"/>
        <v/>
      </c>
      <c r="M33" s="1054" t="str">
        <f t="shared" si="10"/>
        <v/>
      </c>
      <c r="N33" s="1070"/>
      <c r="O33" s="1071" t="str">
        <f t="shared" si="11"/>
        <v/>
      </c>
      <c r="P33" s="1053" t="str">
        <f t="shared" si="12"/>
        <v/>
      </c>
      <c r="Q33" s="1054" t="str">
        <f t="shared" si="13"/>
        <v/>
      </c>
      <c r="R33" s="1070"/>
      <c r="S33" s="1071" t="str">
        <f t="shared" si="14"/>
        <v/>
      </c>
    </row>
    <row r="34" spans="2:19" ht="15" customHeight="1">
      <c r="B34" s="908"/>
      <c r="C34" s="1127" t="str">
        <f t="shared" si="8"/>
        <v/>
      </c>
      <c r="D34" s="1041" t="s">
        <v>39</v>
      </c>
      <c r="E34" s="1121">
        <f t="shared" si="7"/>
        <v>0</v>
      </c>
      <c r="F34" s="1122"/>
      <c r="G34" s="1042"/>
      <c r="I34" s="1204"/>
      <c r="J34" s="1205"/>
      <c r="K34" s="1206"/>
      <c r="L34" s="1053" t="str">
        <f t="shared" si="9"/>
        <v/>
      </c>
      <c r="M34" s="1054" t="str">
        <f t="shared" si="10"/>
        <v/>
      </c>
      <c r="N34" s="1070"/>
      <c r="O34" s="1071" t="str">
        <f t="shared" si="11"/>
        <v/>
      </c>
      <c r="P34" s="1053" t="str">
        <f t="shared" si="12"/>
        <v/>
      </c>
      <c r="Q34" s="1054" t="str">
        <f t="shared" si="13"/>
        <v/>
      </c>
      <c r="R34" s="1070"/>
      <c r="S34" s="1071" t="str">
        <f t="shared" si="14"/>
        <v/>
      </c>
    </row>
    <row r="35" spans="2:19" ht="15" customHeight="1">
      <c r="B35" s="908"/>
      <c r="C35" s="1127" t="str">
        <f t="shared" si="8"/>
        <v/>
      </c>
      <c r="D35" s="1041" t="s">
        <v>39</v>
      </c>
      <c r="E35" s="1121">
        <f t="shared" si="7"/>
        <v>0</v>
      </c>
      <c r="F35" s="1122"/>
      <c r="G35" s="1042"/>
      <c r="I35" s="1204"/>
      <c r="J35" s="1205"/>
      <c r="K35" s="1206"/>
      <c r="L35" s="1053" t="str">
        <f t="shared" si="9"/>
        <v/>
      </c>
      <c r="M35" s="1054" t="str">
        <f t="shared" si="10"/>
        <v/>
      </c>
      <c r="N35" s="1070"/>
      <c r="O35" s="1071" t="str">
        <f t="shared" si="11"/>
        <v/>
      </c>
      <c r="P35" s="1053" t="str">
        <f t="shared" si="12"/>
        <v/>
      </c>
      <c r="Q35" s="1054" t="str">
        <f t="shared" si="13"/>
        <v/>
      </c>
      <c r="R35" s="1070"/>
      <c r="S35" s="1071" t="str">
        <f t="shared" si="14"/>
        <v/>
      </c>
    </row>
    <row r="36" spans="2:19" ht="15" customHeight="1">
      <c r="B36" s="908"/>
      <c r="C36" s="1127" t="str">
        <f t="shared" si="8"/>
        <v/>
      </c>
      <c r="D36" s="1041" t="s">
        <v>39</v>
      </c>
      <c r="E36" s="1121">
        <f t="shared" si="7"/>
        <v>0</v>
      </c>
      <c r="F36" s="1122"/>
      <c r="G36" s="1042"/>
      <c r="I36" s="1204"/>
      <c r="J36" s="1205"/>
      <c r="K36" s="1206"/>
      <c r="L36" s="1053" t="str">
        <f t="shared" si="9"/>
        <v/>
      </c>
      <c r="M36" s="1054" t="str">
        <f t="shared" si="10"/>
        <v/>
      </c>
      <c r="N36" s="1070"/>
      <c r="O36" s="1071" t="str">
        <f t="shared" si="11"/>
        <v/>
      </c>
      <c r="P36" s="1053" t="str">
        <f t="shared" si="12"/>
        <v/>
      </c>
      <c r="Q36" s="1054" t="str">
        <f t="shared" si="13"/>
        <v/>
      </c>
      <c r="R36" s="1070"/>
      <c r="S36" s="1071" t="str">
        <f t="shared" si="14"/>
        <v/>
      </c>
    </row>
    <row r="37" spans="2:19" ht="15" customHeight="1">
      <c r="B37" s="908"/>
      <c r="C37" s="1127" t="str">
        <f t="shared" si="8"/>
        <v/>
      </c>
      <c r="D37" s="1041" t="s">
        <v>39</v>
      </c>
      <c r="E37" s="1121">
        <f t="shared" si="7"/>
        <v>0</v>
      </c>
      <c r="F37" s="1122"/>
      <c r="G37" s="1042"/>
      <c r="I37" s="1204"/>
      <c r="J37" s="1205"/>
      <c r="K37" s="1206"/>
      <c r="L37" s="1053" t="str">
        <f t="shared" si="9"/>
        <v/>
      </c>
      <c r="M37" s="1054" t="str">
        <f t="shared" si="10"/>
        <v/>
      </c>
      <c r="N37" s="1070"/>
      <c r="O37" s="1071" t="str">
        <f t="shared" si="11"/>
        <v/>
      </c>
      <c r="P37" s="1053" t="str">
        <f t="shared" si="12"/>
        <v/>
      </c>
      <c r="Q37" s="1054" t="str">
        <f t="shared" si="13"/>
        <v/>
      </c>
      <c r="R37" s="1070"/>
      <c r="S37" s="1071" t="str">
        <f t="shared" si="14"/>
        <v/>
      </c>
    </row>
    <row r="38" spans="2:19" ht="15" customHeight="1">
      <c r="B38" s="908"/>
      <c r="C38" s="1127" t="str">
        <f t="shared" si="8"/>
        <v/>
      </c>
      <c r="D38" s="1041" t="s">
        <v>39</v>
      </c>
      <c r="E38" s="1121">
        <f t="shared" si="7"/>
        <v>0</v>
      </c>
      <c r="F38" s="1122"/>
      <c r="G38" s="1042"/>
      <c r="I38" s="1204"/>
      <c r="J38" s="1205"/>
      <c r="K38" s="1206"/>
      <c r="L38" s="1053" t="str">
        <f t="shared" si="9"/>
        <v/>
      </c>
      <c r="M38" s="1054" t="str">
        <f t="shared" si="10"/>
        <v/>
      </c>
      <c r="N38" s="1070"/>
      <c r="O38" s="1071" t="str">
        <f t="shared" si="11"/>
        <v/>
      </c>
      <c r="P38" s="1053" t="str">
        <f t="shared" si="12"/>
        <v/>
      </c>
      <c r="Q38" s="1054" t="str">
        <f t="shared" si="13"/>
        <v/>
      </c>
      <c r="R38" s="1070"/>
      <c r="S38" s="1071" t="str">
        <f t="shared" si="14"/>
        <v/>
      </c>
    </row>
    <row r="39" spans="2:19" ht="15" customHeight="1">
      <c r="B39" s="908"/>
      <c r="C39" s="1127" t="str">
        <f t="shared" si="8"/>
        <v/>
      </c>
      <c r="D39" s="1041" t="s">
        <v>39</v>
      </c>
      <c r="E39" s="1121">
        <f t="shared" si="7"/>
        <v>0</v>
      </c>
      <c r="F39" s="1122"/>
      <c r="G39" s="1042"/>
      <c r="I39" s="1204"/>
      <c r="J39" s="1205"/>
      <c r="K39" s="1206"/>
      <c r="L39" s="1053" t="str">
        <f t="shared" si="9"/>
        <v/>
      </c>
      <c r="M39" s="1054" t="str">
        <f t="shared" si="10"/>
        <v/>
      </c>
      <c r="N39" s="1070"/>
      <c r="O39" s="1071" t="str">
        <f t="shared" si="11"/>
        <v/>
      </c>
      <c r="P39" s="1053" t="str">
        <f t="shared" si="12"/>
        <v/>
      </c>
      <c r="Q39" s="1054" t="str">
        <f t="shared" si="13"/>
        <v/>
      </c>
      <c r="R39" s="1070"/>
      <c r="S39" s="1071" t="str">
        <f t="shared" si="14"/>
        <v/>
      </c>
    </row>
    <row r="40" spans="2:19" ht="15" customHeight="1">
      <c r="B40" s="908"/>
      <c r="C40" s="1127" t="str">
        <f t="shared" si="8"/>
        <v/>
      </c>
      <c r="D40" s="1041" t="s">
        <v>39</v>
      </c>
      <c r="E40" s="1121">
        <f t="shared" si="7"/>
        <v>0</v>
      </c>
      <c r="F40" s="1122"/>
      <c r="G40" s="1042"/>
      <c r="I40" s="1204"/>
      <c r="J40" s="1205"/>
      <c r="K40" s="1206"/>
      <c r="L40" s="1072" t="str">
        <f t="shared" si="9"/>
        <v/>
      </c>
      <c r="M40" s="1073" t="str">
        <f t="shared" si="10"/>
        <v/>
      </c>
      <c r="N40" s="1074"/>
      <c r="O40" s="1075" t="str">
        <f t="shared" si="11"/>
        <v/>
      </c>
      <c r="P40" s="1072" t="str">
        <f t="shared" si="12"/>
        <v/>
      </c>
      <c r="Q40" s="1073" t="str">
        <f t="shared" si="13"/>
        <v/>
      </c>
      <c r="R40" s="1074"/>
      <c r="S40" s="1075" t="str">
        <f t="shared" si="14"/>
        <v/>
      </c>
    </row>
    <row r="41" spans="2:19" ht="15" customHeight="1">
      <c r="B41" s="908"/>
      <c r="C41" s="1128" t="str">
        <f t="shared" si="8"/>
        <v/>
      </c>
      <c r="D41" s="1123" t="s">
        <v>39</v>
      </c>
      <c r="E41" s="1124">
        <f t="shared" si="7"/>
        <v>0</v>
      </c>
      <c r="F41" s="1125"/>
      <c r="G41" s="1047"/>
      <c r="I41" s="1207"/>
      <c r="J41" s="1208"/>
      <c r="K41" s="1209"/>
      <c r="L41" s="1076" t="str">
        <f t="shared" si="9"/>
        <v/>
      </c>
      <c r="M41" s="1077" t="str">
        <f t="shared" si="10"/>
        <v/>
      </c>
      <c r="N41" s="1078"/>
      <c r="O41" s="1079" t="str">
        <f t="shared" si="11"/>
        <v/>
      </c>
      <c r="P41" s="1076" t="str">
        <f t="shared" si="12"/>
        <v/>
      </c>
      <c r="Q41" s="1077" t="str">
        <f t="shared" si="13"/>
        <v/>
      </c>
      <c r="R41" s="1078"/>
      <c r="S41" s="1079" t="str">
        <f t="shared" si="14"/>
        <v/>
      </c>
    </row>
    <row r="42" spans="2:19" ht="24.75" customHeight="1">
      <c r="C42" s="954"/>
      <c r="D42" s="954"/>
      <c r="E42" s="954"/>
      <c r="F42" s="954"/>
      <c r="G42" s="954"/>
    </row>
    <row r="43" spans="2:19" s="907" customFormat="1" ht="15.5">
      <c r="C43" s="1027" t="s">
        <v>1174</v>
      </c>
      <c r="D43" s="1027"/>
      <c r="E43" s="1027"/>
      <c r="F43" s="1027"/>
      <c r="G43" s="1027"/>
    </row>
    <row r="44" spans="2:19" s="907" customFormat="1" ht="15.5">
      <c r="C44" s="1028" t="s">
        <v>26</v>
      </c>
      <c r="D44" s="1028"/>
      <c r="E44" s="1028"/>
      <c r="F44" s="1028"/>
      <c r="G44" s="1028"/>
    </row>
    <row r="45" spans="2:19" ht="18" customHeight="1">
      <c r="C45" s="1029" t="s">
        <v>1179</v>
      </c>
      <c r="D45" s="1033"/>
      <c r="E45" s="1034"/>
      <c r="F45" s="1034"/>
      <c r="G45" s="1034"/>
    </row>
    <row r="46" spans="2:19" ht="12.65" customHeight="1">
      <c r="C46" s="954"/>
      <c r="D46" s="954"/>
      <c r="E46" s="954"/>
      <c r="F46" s="954"/>
      <c r="G46" s="954"/>
    </row>
    <row r="47" spans="2:19" ht="26">
      <c r="B47" s="908"/>
      <c r="C47" s="954"/>
      <c r="D47" s="1036"/>
      <c r="E47" s="1086" t="s">
        <v>77</v>
      </c>
      <c r="F47" s="1087"/>
      <c r="G47" s="1088"/>
      <c r="I47" s="1149" t="s">
        <v>82</v>
      </c>
      <c r="J47" s="1150" t="s">
        <v>83</v>
      </c>
      <c r="K47" s="1151" t="s">
        <v>84</v>
      </c>
      <c r="L47" s="1149" t="s">
        <v>82</v>
      </c>
      <c r="M47" s="1150" t="s">
        <v>83</v>
      </c>
      <c r="N47" s="1151" t="s">
        <v>84</v>
      </c>
    </row>
    <row r="48" spans="2:19" ht="21" customHeight="1">
      <c r="B48" s="908"/>
      <c r="C48" s="1063" t="s">
        <v>26</v>
      </c>
      <c r="D48" s="27" t="s">
        <v>92</v>
      </c>
      <c r="E48" s="1135" t="s">
        <v>96</v>
      </c>
      <c r="F48" s="1136" t="s">
        <v>94</v>
      </c>
      <c r="G48" s="1137" t="s">
        <v>95</v>
      </c>
      <c r="I48" s="1210" t="s">
        <v>97</v>
      </c>
      <c r="J48" s="1211"/>
      <c r="K48" s="1212"/>
      <c r="L48" s="1210" t="s">
        <v>98</v>
      </c>
      <c r="M48" s="1211"/>
      <c r="N48" s="1212"/>
    </row>
    <row r="49" spans="2:14" ht="15" customHeight="1">
      <c r="B49" s="908"/>
      <c r="C49" s="1107" t="s">
        <v>80</v>
      </c>
      <c r="D49" s="1108" t="s">
        <v>39</v>
      </c>
      <c r="E49" s="1094">
        <f t="shared" ref="E49:E50" si="15">SUM(F49:G49)</f>
        <v>0</v>
      </c>
      <c r="F49" s="1095"/>
      <c r="G49" s="1096"/>
      <c r="I49" s="1007" t="str">
        <f>IF(ISNONTEXT(F49)=TRUE,"","X")</f>
        <v/>
      </c>
      <c r="J49" s="22" t="str">
        <f>IF(AND(F49&gt;=0)=TRUE,"","X")</f>
        <v/>
      </c>
      <c r="K49" s="1008" t="str">
        <f>IF(AND(F49&lt;&gt;"")=TRUE,"","X")</f>
        <v>X</v>
      </c>
      <c r="L49" s="1007" t="str">
        <f>IF(ISNONTEXT(G49)=TRUE,"","X")</f>
        <v/>
      </c>
      <c r="M49" s="22" t="str">
        <f>IF(AND(G49&gt;=0)=TRUE,"","X")</f>
        <v/>
      </c>
      <c r="N49" s="1008" t="str">
        <f>IF(AND(G49&lt;&gt;"")=TRUE,"","X")</f>
        <v>X</v>
      </c>
    </row>
    <row r="50" spans="2:14" ht="15" customHeight="1">
      <c r="B50" s="908"/>
      <c r="C50" s="1045" t="s">
        <v>81</v>
      </c>
      <c r="D50" s="1109" t="s">
        <v>39</v>
      </c>
      <c r="E50" s="1101">
        <f t="shared" si="15"/>
        <v>0</v>
      </c>
      <c r="F50" s="1102"/>
      <c r="G50" s="1103"/>
      <c r="I50" s="1009" t="str">
        <f>IF(ISNONTEXT(F50)=TRUE,"","X")</f>
        <v/>
      </c>
      <c r="J50" s="1010" t="str">
        <f>IF(AND(F50&gt;=0)=TRUE,"","X")</f>
        <v/>
      </c>
      <c r="K50" s="1011" t="str">
        <f>IF(AND(F50&lt;&gt;"")=TRUE,"","X")</f>
        <v>X</v>
      </c>
      <c r="L50" s="1009" t="str">
        <f>IF(ISNONTEXT(G50)=TRUE,"","X")</f>
        <v/>
      </c>
      <c r="M50" s="1010" t="str">
        <f>IF(AND(G50&gt;=0)=TRUE,"","X")</f>
        <v/>
      </c>
      <c r="N50" s="1011" t="str">
        <f>IF(AND(G50&lt;&gt;"")=TRUE,"","X")</f>
        <v>X</v>
      </c>
    </row>
    <row r="51" spans="2:14" ht="15" customHeight="1">
      <c r="B51" s="12"/>
      <c r="C51" s="954"/>
      <c r="D51" s="954"/>
      <c r="E51" s="954"/>
      <c r="F51" s="954"/>
      <c r="G51" s="954"/>
    </row>
    <row r="52" spans="2:14" ht="18" customHeight="1">
      <c r="C52" s="1029" t="s">
        <v>1198</v>
      </c>
      <c r="D52" s="1084"/>
      <c r="E52" s="1085"/>
      <c r="F52" s="1085"/>
      <c r="G52" s="1085"/>
    </row>
    <row r="53" spans="2:14" ht="18" customHeight="1">
      <c r="C53" s="954" t="s">
        <v>1197</v>
      </c>
      <c r="D53" s="954"/>
      <c r="E53" s="954"/>
      <c r="F53" s="954"/>
      <c r="G53" s="954"/>
    </row>
    <row r="54" spans="2:14" ht="18" customHeight="1">
      <c r="B54" s="12"/>
      <c r="C54" s="1132" t="s">
        <v>1177</v>
      </c>
      <c r="D54" s="1133"/>
      <c r="E54" s="1134"/>
      <c r="F54" s="1134"/>
      <c r="G54" s="1134"/>
    </row>
    <row r="55" spans="2:14" ht="18" customHeight="1">
      <c r="B55" s="12"/>
      <c r="C55" s="1132" t="s">
        <v>1178</v>
      </c>
      <c r="D55" s="1133"/>
      <c r="E55" s="1134"/>
      <c r="F55" s="1134"/>
      <c r="G55" s="1134"/>
    </row>
    <row r="56" spans="2:14" ht="17.25" customHeight="1">
      <c r="B56" s="12"/>
      <c r="C56" s="1036"/>
      <c r="D56" s="954"/>
      <c r="E56" s="954"/>
      <c r="F56" s="954"/>
      <c r="G56" s="954"/>
    </row>
    <row r="57" spans="2:14" ht="28.5" customHeight="1">
      <c r="B57" s="12"/>
      <c r="C57" s="954"/>
      <c r="D57" s="954"/>
      <c r="E57" s="1086" t="s">
        <v>77</v>
      </c>
      <c r="F57" s="1087"/>
      <c r="G57" s="1088"/>
      <c r="I57" s="1149" t="s">
        <v>82</v>
      </c>
      <c r="J57" s="1150" t="s">
        <v>83</v>
      </c>
      <c r="K57" s="1151" t="s">
        <v>84</v>
      </c>
      <c r="L57" s="1149" t="s">
        <v>82</v>
      </c>
      <c r="M57" s="1150" t="s">
        <v>83</v>
      </c>
      <c r="N57" s="1151" t="s">
        <v>84</v>
      </c>
    </row>
    <row r="58" spans="2:14" ht="18.75" customHeight="1">
      <c r="B58" s="12"/>
      <c r="C58" s="1063" t="s">
        <v>41</v>
      </c>
      <c r="D58" s="27" t="s">
        <v>29</v>
      </c>
      <c r="E58" s="1129" t="s">
        <v>96</v>
      </c>
      <c r="F58" s="1130" t="s">
        <v>94</v>
      </c>
      <c r="G58" s="1131" t="s">
        <v>95</v>
      </c>
      <c r="I58" s="1210" t="s">
        <v>97</v>
      </c>
      <c r="J58" s="1211"/>
      <c r="K58" s="1212"/>
      <c r="L58" s="1210" t="s">
        <v>98</v>
      </c>
      <c r="M58" s="1211"/>
      <c r="N58" s="1212"/>
    </row>
    <row r="59" spans="2:14" ht="15" customHeight="1">
      <c r="C59" s="1116" t="s">
        <v>27</v>
      </c>
      <c r="D59" s="1111" t="s">
        <v>39</v>
      </c>
      <c r="E59" s="1094">
        <f t="shared" ref="E59:E60" si="16">SUM(F59:G59)</f>
        <v>0</v>
      </c>
      <c r="F59" s="1095"/>
      <c r="G59" s="1096"/>
      <c r="I59" s="1007" t="str">
        <f>IF(ISNONTEXT(F59)=TRUE,"","X")</f>
        <v/>
      </c>
      <c r="J59" s="22" t="str">
        <f>IF(AND(F59&gt;=0)=TRUE,"","X")</f>
        <v/>
      </c>
      <c r="K59" s="1008" t="str">
        <f>IF(AND(F59&lt;&gt;"")=TRUE,"","X")</f>
        <v>X</v>
      </c>
      <c r="L59" s="1007" t="str">
        <f>IF(ISNONTEXT(G59)=TRUE,"","X")</f>
        <v/>
      </c>
      <c r="M59" s="22" t="str">
        <f>IF(AND(G59&gt;=0)=TRUE,"","X")</f>
        <v/>
      </c>
      <c r="N59" s="1008" t="str">
        <f>IF(AND(G59&lt;&gt;"")=TRUE,"","X")</f>
        <v>X</v>
      </c>
    </row>
    <row r="60" spans="2:14" ht="15" customHeight="1">
      <c r="C60" s="1117" t="s">
        <v>28</v>
      </c>
      <c r="D60" s="1115" t="s">
        <v>39</v>
      </c>
      <c r="E60" s="1101">
        <f t="shared" si="16"/>
        <v>0</v>
      </c>
      <c r="F60" s="1102"/>
      <c r="G60" s="1103"/>
      <c r="I60" s="1009" t="str">
        <f>IF(ISNONTEXT(F60)=TRUE,"","X")</f>
        <v/>
      </c>
      <c r="J60" s="1010" t="str">
        <f>IF(AND(F60&gt;=0)=TRUE,"","X")</f>
        <v/>
      </c>
      <c r="K60" s="1011" t="str">
        <f>IF(AND(F60&lt;&gt;"")=TRUE,"","X")</f>
        <v>X</v>
      </c>
      <c r="L60" s="1009" t="str">
        <f>IF(ISNONTEXT(G60)=TRUE,"","X")</f>
        <v/>
      </c>
      <c r="M60" s="1010" t="str">
        <f>IF(AND(G60&gt;=0)=TRUE,"","X")</f>
        <v/>
      </c>
      <c r="N60" s="1011" t="str">
        <f>IF(AND(G60&lt;&gt;"")=TRUE,"","X")</f>
        <v>X</v>
      </c>
    </row>
    <row r="61" spans="2:14" ht="12.65" customHeight="1">
      <c r="C61" s="954"/>
      <c r="D61" s="954"/>
      <c r="E61" s="954"/>
      <c r="F61" s="954"/>
      <c r="G61" s="954"/>
    </row>
    <row r="62" spans="2:14" ht="18" customHeight="1">
      <c r="B62" s="12"/>
      <c r="C62" s="1029" t="s">
        <v>1180</v>
      </c>
      <c r="D62" s="1033"/>
      <c r="E62" s="1034"/>
      <c r="F62" s="1034"/>
      <c r="G62" s="1034"/>
    </row>
    <row r="63" spans="2:14" ht="12.65" customHeight="1">
      <c r="B63" s="12"/>
      <c r="C63" s="1036"/>
      <c r="D63" s="954"/>
      <c r="E63" s="954"/>
      <c r="F63" s="954"/>
      <c r="G63" s="954"/>
    </row>
    <row r="64" spans="2:14" ht="26">
      <c r="B64" s="12"/>
      <c r="C64" s="954"/>
      <c r="D64" s="954"/>
      <c r="E64" s="1086" t="s">
        <v>77</v>
      </c>
      <c r="F64" s="1087"/>
      <c r="G64" s="1088"/>
      <c r="I64" s="1149" t="s">
        <v>82</v>
      </c>
      <c r="J64" s="1150" t="s">
        <v>83</v>
      </c>
      <c r="K64" s="1151" t="s">
        <v>84</v>
      </c>
      <c r="L64" s="1149" t="s">
        <v>82</v>
      </c>
      <c r="M64" s="1150" t="s">
        <v>83</v>
      </c>
      <c r="N64" s="1151" t="s">
        <v>84</v>
      </c>
    </row>
    <row r="65" spans="2:14" ht="21.75" customHeight="1">
      <c r="B65" s="12"/>
      <c r="C65" s="1138" t="s">
        <v>62</v>
      </c>
      <c r="D65" s="27" t="s">
        <v>92</v>
      </c>
      <c r="E65" s="1135" t="s">
        <v>96</v>
      </c>
      <c r="F65" s="1136" t="s">
        <v>94</v>
      </c>
      <c r="G65" s="1137" t="s">
        <v>95</v>
      </c>
      <c r="I65" s="1210" t="s">
        <v>97</v>
      </c>
      <c r="J65" s="1211"/>
      <c r="K65" s="1212"/>
      <c r="L65" s="1210" t="s">
        <v>98</v>
      </c>
      <c r="M65" s="1211"/>
      <c r="N65" s="1212"/>
    </row>
    <row r="66" spans="2:14" ht="15" customHeight="1">
      <c r="B66" s="12"/>
      <c r="C66" s="1110" t="s">
        <v>34</v>
      </c>
      <c r="D66" s="1111" t="s">
        <v>39</v>
      </c>
      <c r="E66" s="1094">
        <f t="shared" ref="E66:E69" si="17">SUM(F66:G66)</f>
        <v>0</v>
      </c>
      <c r="F66" s="1095"/>
      <c r="G66" s="1096"/>
      <c r="I66" s="1007" t="str">
        <f>IF(ISNONTEXT(F66)=TRUE,"","X")</f>
        <v/>
      </c>
      <c r="J66" s="22" t="str">
        <f>IF(AND(F66&gt;=0)=TRUE,"","X")</f>
        <v/>
      </c>
      <c r="K66" s="1008" t="str">
        <f>IF(AND(F66&lt;&gt;"")=TRUE,"","X")</f>
        <v>X</v>
      </c>
      <c r="L66" s="1007" t="str">
        <f>IF(ISNONTEXT(G66)=TRUE,"","X")</f>
        <v/>
      </c>
      <c r="M66" s="22" t="str">
        <f>IF(AND(G66&gt;=0)=TRUE,"","X")</f>
        <v/>
      </c>
      <c r="N66" s="1008" t="str">
        <f>IF(AND(G66&lt;&gt;"")=TRUE,"","X")</f>
        <v>X</v>
      </c>
    </row>
    <row r="67" spans="2:14" ht="15" customHeight="1">
      <c r="C67" s="1112" t="s">
        <v>35</v>
      </c>
      <c r="D67" s="1104" t="s">
        <v>39</v>
      </c>
      <c r="E67" s="1105">
        <f t="shared" si="17"/>
        <v>0</v>
      </c>
      <c r="F67" s="1106"/>
      <c r="G67" s="1113"/>
      <c r="I67" s="1007" t="str">
        <f t="shared" ref="I67:I69" si="18">IF(ISNONTEXT(F67)=TRUE,"","X")</f>
        <v/>
      </c>
      <c r="J67" s="22" t="str">
        <f t="shared" ref="J67:J69" si="19">IF(AND(F67&gt;=0)=TRUE,"","X")</f>
        <v/>
      </c>
      <c r="K67" s="1008" t="str">
        <f t="shared" ref="K67:K69" si="20">IF(AND(F67&lt;&gt;"")=TRUE,"","X")</f>
        <v>X</v>
      </c>
      <c r="L67" s="1007" t="str">
        <f t="shared" ref="L67:L69" si="21">IF(ISNONTEXT(G67)=TRUE,"","X")</f>
        <v/>
      </c>
      <c r="M67" s="22" t="str">
        <f t="shared" ref="M67:M69" si="22">IF(AND(G67&gt;=0)=TRUE,"","X")</f>
        <v/>
      </c>
      <c r="N67" s="1008" t="str">
        <f t="shared" ref="N67:N69" si="23">IF(AND(G67&lt;&gt;"")=TRUE,"","X")</f>
        <v>X</v>
      </c>
    </row>
    <row r="68" spans="2:14" ht="15" customHeight="1">
      <c r="C68" s="1112" t="s">
        <v>36</v>
      </c>
      <c r="D68" s="1104" t="s">
        <v>39</v>
      </c>
      <c r="E68" s="1090">
        <f t="shared" si="17"/>
        <v>0</v>
      </c>
      <c r="F68" s="1091"/>
      <c r="G68" s="1098"/>
      <c r="I68" s="1007" t="str">
        <f t="shared" si="18"/>
        <v/>
      </c>
      <c r="J68" s="22" t="str">
        <f t="shared" si="19"/>
        <v/>
      </c>
      <c r="K68" s="1008" t="str">
        <f t="shared" si="20"/>
        <v>X</v>
      </c>
      <c r="L68" s="1007" t="str">
        <f t="shared" si="21"/>
        <v/>
      </c>
      <c r="M68" s="22" t="str">
        <f t="shared" si="22"/>
        <v/>
      </c>
      <c r="N68" s="1008" t="str">
        <f t="shared" si="23"/>
        <v>X</v>
      </c>
    </row>
    <row r="69" spans="2:14" ht="15" customHeight="1">
      <c r="C69" s="1114" t="s">
        <v>37</v>
      </c>
      <c r="D69" s="1115" t="s">
        <v>39</v>
      </c>
      <c r="E69" s="1101">
        <f t="shared" si="17"/>
        <v>0</v>
      </c>
      <c r="F69" s="1102"/>
      <c r="G69" s="1103"/>
      <c r="I69" s="1009" t="str">
        <f t="shared" si="18"/>
        <v/>
      </c>
      <c r="J69" s="1010" t="str">
        <f t="shared" si="19"/>
        <v/>
      </c>
      <c r="K69" s="1011" t="str">
        <f t="shared" si="20"/>
        <v>X</v>
      </c>
      <c r="L69" s="1009" t="str">
        <f t="shared" si="21"/>
        <v/>
      </c>
      <c r="M69" s="1010" t="str">
        <f t="shared" si="22"/>
        <v/>
      </c>
      <c r="N69" s="1011" t="str">
        <f t="shared" si="23"/>
        <v>X</v>
      </c>
    </row>
    <row r="70" spans="2:14" ht="18" customHeight="1">
      <c r="C70" s="954"/>
      <c r="D70" s="954"/>
      <c r="E70" s="954"/>
      <c r="F70" s="954"/>
      <c r="G70" s="954"/>
    </row>
    <row r="71" spans="2:14" ht="12.65" customHeight="1">
      <c r="C71" s="954"/>
      <c r="D71" s="954"/>
      <c r="E71" s="954"/>
      <c r="F71" s="954"/>
      <c r="G71" s="954"/>
    </row>
    <row r="72" spans="2:14" ht="12.65" customHeight="1">
      <c r="C72" s="954"/>
      <c r="D72" s="954"/>
      <c r="E72" s="954"/>
      <c r="F72" s="954"/>
      <c r="G72" s="954"/>
    </row>
    <row r="73" spans="2:14" ht="12.65" customHeight="1">
      <c r="C73" s="954"/>
      <c r="D73" s="954"/>
      <c r="E73" s="954"/>
      <c r="F73" s="954"/>
      <c r="G73" s="954"/>
    </row>
    <row r="74" spans="2:14" ht="12.65" customHeight="1">
      <c r="C74" s="954"/>
      <c r="D74" s="954"/>
      <c r="E74" s="954"/>
      <c r="F74" s="954"/>
      <c r="G74" s="954"/>
    </row>
    <row r="75" spans="2:14" ht="12.65" customHeight="1">
      <c r="C75" s="954"/>
      <c r="D75" s="954"/>
      <c r="E75" s="954"/>
      <c r="F75" s="954"/>
      <c r="G75" s="954"/>
    </row>
  </sheetData>
  <sheetProtection formatColumns="0"/>
  <mergeCells count="12">
    <mergeCell ref="P14:S14"/>
    <mergeCell ref="I14:K14"/>
    <mergeCell ref="L14:O14"/>
    <mergeCell ref="L58:N58"/>
    <mergeCell ref="I13:K13"/>
    <mergeCell ref="I15:K26"/>
    <mergeCell ref="I30:K41"/>
    <mergeCell ref="L48:N48"/>
    <mergeCell ref="L65:N65"/>
    <mergeCell ref="I48:K48"/>
    <mergeCell ref="I65:K65"/>
    <mergeCell ref="I58:K58"/>
  </mergeCells>
  <conditionalFormatting sqref="E66:G69">
    <cfRule type="expression" dxfId="18" priority="3">
      <formula>dms_TradingName="Western Power (D)"</formula>
    </cfRule>
  </conditionalFormatting>
  <dataValidations count="4">
    <dataValidation type="whole" operator="greaterThanOrEqual" allowBlank="1" showErrorMessage="1" error="Must be greater than or equal to zero. NULL is valid if no Business Defined Purpose is listed in the row descriptor." prompt="Must be greater than or equal to zero. NULL is valid if no Business Defined Purpose is listed in the row descriptor." sqref="F15:G26 F30:G41" xr:uid="{AA859075-E087-46CE-93A6-3C625BF83589}">
      <formula1>0</formula1>
    </dataValidation>
    <dataValidation allowBlank="1" sqref="I15 I13 I14:K14 O13 N15:O15 N30:O30 S13 R15:S15 O16:O26 I30 S31:S41 S16:S26 R30:S30 O31:O41" xr:uid="{867CB41A-D628-48EB-A05E-2DA55CEEE577}"/>
    <dataValidation allowBlank="1" showErrorMessage="1" sqref="I15 L13:S13 L16:M26 L14 L15:S15 L30:S30 P14 O16:Q26 I30 I65:I69 L31:M41 S16:S26 J49:K50 S31:S41 O31:Q41 C54:C55 I47:N47 C52 L64:N69 J66:K69 L48:N50 I58:I60 L57:N60 J59:K60 I64:K64 C7:C8 C44 I48:I50 I57:K57" xr:uid="{DD9CF42F-0DD5-4CE6-893B-B956126440CE}"/>
    <dataValidation type="textLength" allowBlank="1" showErrorMessage="1" prompt="Categories specified must align with the categories used in the previous relevant year, or an explanation for new categories must be provided" sqref="C14:C41" xr:uid="{CC26C32E-E15D-4756-BB21-95E25571839B}">
      <formula1>0</formula1>
      <formula2>150</formula2>
    </dataValidation>
  </dataValidations>
  <pageMargins left="0.75" right="0.75" top="1" bottom="1" header="0.5" footer="0.5"/>
  <pageSetup paperSize="8" scale="83"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4FA4C-78E8-4110-9360-5161B0467A6D}">
  <sheetPr codeName="Sheet11">
    <tabColor rgb="FF11473A"/>
    <pageSetUpPr autoPageBreaks="0" fitToPage="1"/>
  </sheetPr>
  <dimension ref="B1:Q26"/>
  <sheetViews>
    <sheetView zoomScaleNormal="100" workbookViewId="0">
      <selection activeCell="Q22" sqref="Q22"/>
    </sheetView>
  </sheetViews>
  <sheetFormatPr defaultColWidth="9.1796875" defaultRowHeight="14.5"/>
  <cols>
    <col min="1" max="1" width="5.6328125" style="5" customWidth="1"/>
    <col min="2" max="2" width="10.6328125" style="11" customWidth="1"/>
    <col min="3" max="3" width="74.08984375" style="5" customWidth="1"/>
    <col min="4" max="4" width="10" style="5" customWidth="1"/>
    <col min="5" max="5" width="24.26953125" style="5" customWidth="1"/>
    <col min="6" max="6" width="13.81640625" style="5" customWidth="1"/>
    <col min="7" max="9" width="4.7265625" style="5" customWidth="1"/>
    <col min="10" max="12" width="3.7265625" style="5" customWidth="1"/>
    <col min="13" max="17" width="4.54296875" style="5" customWidth="1"/>
    <col min="18" max="22" width="8.7265625" style="5" customWidth="1"/>
    <col min="23" max="16384" width="9.1796875" style="5"/>
  </cols>
  <sheetData>
    <row r="1" spans="2:17" ht="18.75" customHeight="1">
      <c r="B1" s="5"/>
      <c r="C1" s="904" t="str">
        <f>dms_SheetHeading1</f>
        <v>ANNUAL INFORMATION NOTICE</v>
      </c>
      <c r="D1" s="16"/>
      <c r="E1" s="10"/>
      <c r="G1" s="1015" t="s">
        <v>55</v>
      </c>
      <c r="H1" s="1015"/>
      <c r="I1" s="1015"/>
      <c r="J1" s="1015"/>
      <c r="K1" s="1015"/>
      <c r="L1" s="1015"/>
      <c r="M1" s="1049" t="s">
        <v>54</v>
      </c>
      <c r="N1" s="1015"/>
      <c r="O1" s="1015"/>
      <c r="P1" s="1015"/>
      <c r="Q1" s="1015"/>
    </row>
    <row r="2" spans="2:17" ht="18.75" customHeight="1">
      <c r="B2" s="5"/>
      <c r="C2" s="903" t="str">
        <f>dms_SheetHeading2</f>
        <v>Power and Water</v>
      </c>
      <c r="D2" s="17"/>
      <c r="E2" s="10"/>
      <c r="G2" s="1016" t="s">
        <v>56</v>
      </c>
      <c r="H2" s="1016"/>
      <c r="I2" s="1016"/>
      <c r="J2" s="1016"/>
      <c r="K2" s="1016"/>
      <c r="L2" s="1016"/>
      <c r="M2" s="1024" t="s">
        <v>12</v>
      </c>
      <c r="N2" s="1016"/>
      <c r="O2" s="1016"/>
      <c r="P2" s="1016"/>
      <c r="Q2" s="1016"/>
    </row>
    <row r="3" spans="2:17" ht="18.75" customHeight="1">
      <c r="B3" s="5"/>
      <c r="C3" s="904" t="str">
        <f>dms_SheetHeading3</f>
        <v>REPORTING STATEMENT: 2025-26</v>
      </c>
      <c r="D3" s="16"/>
      <c r="E3" s="1050"/>
      <c r="G3" s="1017" t="s">
        <v>57</v>
      </c>
      <c r="H3" s="1017"/>
      <c r="I3" s="1017"/>
      <c r="J3" s="1017"/>
      <c r="K3" s="1017"/>
      <c r="L3" s="1017"/>
      <c r="M3" s="1025" t="s">
        <v>19</v>
      </c>
      <c r="N3" s="1017"/>
      <c r="O3" s="1017"/>
      <c r="P3" s="1017"/>
      <c r="Q3" s="1017"/>
    </row>
    <row r="4" spans="2:17" ht="18.75" customHeight="1">
      <c r="B4" s="5"/>
      <c r="C4" s="1139" t="s">
        <v>1244</v>
      </c>
      <c r="D4" s="1051"/>
      <c r="E4" s="1051"/>
      <c r="G4" s="1018" t="s">
        <v>59</v>
      </c>
      <c r="H4" s="1019"/>
      <c r="I4" s="1019"/>
      <c r="J4" s="1019"/>
      <c r="K4" s="1019"/>
      <c r="L4" s="1019"/>
      <c r="M4" s="1026" t="s">
        <v>58</v>
      </c>
      <c r="N4" s="1019"/>
      <c r="O4" s="1019"/>
      <c r="P4" s="1019"/>
      <c r="Q4" s="1019"/>
    </row>
    <row r="6" spans="2:17">
      <c r="B6" s="5"/>
      <c r="C6" s="1027" t="s">
        <v>1245</v>
      </c>
      <c r="D6" s="1027"/>
      <c r="E6" s="1027"/>
      <c r="F6" s="954"/>
    </row>
    <row r="7" spans="2:17" ht="19.5" customHeight="1">
      <c r="B7" s="5"/>
      <c r="C7" s="1028" t="s">
        <v>1246</v>
      </c>
      <c r="D7" s="1028"/>
      <c r="E7" s="1028"/>
      <c r="F7" s="954"/>
    </row>
    <row r="8" spans="2:17" ht="18" customHeight="1">
      <c r="B8" s="1062"/>
      <c r="C8" s="1219" t="s">
        <v>1247</v>
      </c>
      <c r="D8" s="1219"/>
      <c r="E8" s="1219"/>
      <c r="F8" s="954"/>
    </row>
    <row r="9" spans="2:17">
      <c r="B9" s="1062"/>
      <c r="C9" s="954"/>
      <c r="D9" s="954"/>
      <c r="E9" s="954"/>
      <c r="F9" s="954"/>
      <c r="G9" s="1012" t="s">
        <v>82</v>
      </c>
      <c r="H9" s="1013" t="s">
        <v>83</v>
      </c>
      <c r="I9" s="1014" t="s">
        <v>84</v>
      </c>
    </row>
    <row r="10" spans="2:17" ht="28" customHeight="1">
      <c r="B10" s="954"/>
      <c r="C10" s="1063" t="s">
        <v>78</v>
      </c>
      <c r="D10" s="27" t="s">
        <v>92</v>
      </c>
      <c r="E10" s="1031" t="s">
        <v>93</v>
      </c>
      <c r="F10" s="954"/>
      <c r="G10" s="1216" t="s">
        <v>39</v>
      </c>
      <c r="H10" s="1217"/>
      <c r="I10" s="1218"/>
    </row>
    <row r="11" spans="2:17">
      <c r="B11" s="1064"/>
      <c r="C11" s="1141" t="s">
        <v>23</v>
      </c>
      <c r="D11" s="1111" t="s">
        <v>39</v>
      </c>
      <c r="E11" s="1096"/>
      <c r="F11" s="954"/>
      <c r="G11" s="1053" t="str">
        <f>IF(ISNONTEXT(E11)=TRUE,"","X")</f>
        <v/>
      </c>
      <c r="H11" s="1054" t="str">
        <f>IF(AND(E11&gt;=0)=TRUE,"","X")</f>
        <v/>
      </c>
      <c r="I11" s="1055"/>
    </row>
    <row r="12" spans="2:17">
      <c r="B12" s="1064"/>
      <c r="C12" s="1142" t="s">
        <v>22</v>
      </c>
      <c r="D12" s="1104" t="s">
        <v>39</v>
      </c>
      <c r="E12" s="1098"/>
      <c r="F12" s="954"/>
      <c r="G12" s="1053" t="str">
        <f>IF(ISNONTEXT(E12)=TRUE,"","X")</f>
        <v/>
      </c>
      <c r="H12" s="1054" t="str">
        <f>IF(AND(E12&gt;=0)=TRUE,"","X")</f>
        <v/>
      </c>
      <c r="I12" s="1055"/>
    </row>
    <row r="13" spans="2:17">
      <c r="B13" s="1064"/>
      <c r="C13" s="1142" t="s">
        <v>64</v>
      </c>
      <c r="D13" s="1104" t="s">
        <v>39</v>
      </c>
      <c r="E13" s="1098"/>
      <c r="F13" s="954"/>
      <c r="G13" s="1053" t="str">
        <f t="shared" ref="G13:G17" si="0">IF(ISNONTEXT(E13)=TRUE,"","X")</f>
        <v/>
      </c>
      <c r="H13" s="1054" t="str">
        <f t="shared" ref="H13:H16" si="1">IF(AND(E13&gt;=0)=TRUE,"","X")</f>
        <v/>
      </c>
      <c r="I13" s="1055"/>
    </row>
    <row r="14" spans="2:17">
      <c r="B14" s="1064"/>
      <c r="C14" s="1142" t="s">
        <v>48</v>
      </c>
      <c r="D14" s="1104" t="s">
        <v>39</v>
      </c>
      <c r="E14" s="1098"/>
      <c r="F14" s="954"/>
      <c r="G14" s="1053" t="str">
        <f t="shared" si="0"/>
        <v/>
      </c>
      <c r="H14" s="1054" t="str">
        <f t="shared" si="1"/>
        <v/>
      </c>
      <c r="I14" s="1055"/>
    </row>
    <row r="15" spans="2:17">
      <c r="B15" s="1064"/>
      <c r="C15" s="1142" t="s">
        <v>65</v>
      </c>
      <c r="D15" s="1104" t="s">
        <v>39</v>
      </c>
      <c r="E15" s="1098"/>
      <c r="F15" s="954"/>
      <c r="G15" s="1053" t="str">
        <f t="shared" si="0"/>
        <v/>
      </c>
      <c r="H15" s="1054" t="str">
        <f t="shared" si="1"/>
        <v/>
      </c>
      <c r="I15" s="1055"/>
    </row>
    <row r="16" spans="2:17">
      <c r="B16" s="1064"/>
      <c r="C16" s="1142" t="s">
        <v>21</v>
      </c>
      <c r="D16" s="1104" t="s">
        <v>39</v>
      </c>
      <c r="E16" s="1098"/>
      <c r="F16" s="954"/>
      <c r="G16" s="1053" t="str">
        <f t="shared" si="0"/>
        <v/>
      </c>
      <c r="H16" s="1054" t="str">
        <f t="shared" si="1"/>
        <v/>
      </c>
      <c r="I16" s="1055"/>
    </row>
    <row r="17" spans="2:9">
      <c r="B17" s="1064"/>
      <c r="C17" s="1142" t="s">
        <v>49</v>
      </c>
      <c r="D17" s="1104" t="s">
        <v>39</v>
      </c>
      <c r="E17" s="1098"/>
      <c r="F17" s="954"/>
      <c r="G17" s="1053" t="str">
        <f t="shared" si="0"/>
        <v/>
      </c>
      <c r="H17" s="1066"/>
      <c r="I17" s="1055"/>
    </row>
    <row r="18" spans="2:9">
      <c r="B18" s="1064"/>
      <c r="C18" s="1143" t="s">
        <v>20</v>
      </c>
      <c r="D18" s="1115" t="s">
        <v>39</v>
      </c>
      <c r="E18" s="1144">
        <f>E11+E12-E13+E14-E15-E16+E17</f>
        <v>0</v>
      </c>
      <c r="F18" s="954"/>
      <c r="G18" s="1056"/>
      <c r="H18" s="1057"/>
      <c r="I18" s="1058"/>
    </row>
    <row r="19" spans="2:9">
      <c r="B19" s="1062"/>
      <c r="C19" s="954"/>
      <c r="D19" s="954"/>
      <c r="E19" s="954"/>
      <c r="F19" s="954"/>
    </row>
    <row r="20" spans="2:9">
      <c r="B20" s="954"/>
      <c r="C20" s="1063" t="s">
        <v>79</v>
      </c>
      <c r="D20" s="27" t="s">
        <v>92</v>
      </c>
      <c r="E20" s="1065"/>
      <c r="F20" s="954"/>
    </row>
    <row r="21" spans="2:9">
      <c r="B21" s="1064"/>
      <c r="C21" s="1141" t="s">
        <v>23</v>
      </c>
      <c r="D21" s="1111" t="s">
        <v>39</v>
      </c>
      <c r="E21" s="1096"/>
      <c r="F21" s="954"/>
      <c r="G21" s="1059" t="str">
        <f>IF(ISNONTEXT(E21)=TRUE,"","X")</f>
        <v/>
      </c>
      <c r="H21" s="1060" t="str">
        <f>IF(AND(E21&gt;=0)=TRUE,"","X")</f>
        <v/>
      </c>
      <c r="I21" s="1061"/>
    </row>
    <row r="22" spans="2:9">
      <c r="B22" s="1064"/>
      <c r="C22" s="1142" t="s">
        <v>66</v>
      </c>
      <c r="D22" s="1104" t="s">
        <v>39</v>
      </c>
      <c r="E22" s="1098"/>
      <c r="F22" s="954"/>
      <c r="G22" s="1053" t="str">
        <f t="shared" ref="G22:G24" si="2">IF(ISNONTEXT(E22)=TRUE,"","X")</f>
        <v/>
      </c>
      <c r="H22" s="1054" t="str">
        <f t="shared" ref="H22:H24" si="3">IF(AND(E22&gt;=0)=TRUE,"","X")</f>
        <v/>
      </c>
      <c r="I22" s="1055"/>
    </row>
    <row r="23" spans="2:9">
      <c r="B23" s="1064"/>
      <c r="C23" s="1142" t="s">
        <v>48</v>
      </c>
      <c r="D23" s="1104" t="s">
        <v>39</v>
      </c>
      <c r="E23" s="1098"/>
      <c r="F23" s="954"/>
      <c r="G23" s="1053" t="str">
        <f t="shared" si="2"/>
        <v/>
      </c>
      <c r="H23" s="1054" t="str">
        <f t="shared" si="3"/>
        <v/>
      </c>
      <c r="I23" s="1055"/>
    </row>
    <row r="24" spans="2:9">
      <c r="B24" s="1064"/>
      <c r="C24" s="1142" t="s">
        <v>21</v>
      </c>
      <c r="D24" s="1104" t="s">
        <v>39</v>
      </c>
      <c r="E24" s="1098"/>
      <c r="F24" s="954"/>
      <c r="G24" s="1053" t="str">
        <f t="shared" si="2"/>
        <v/>
      </c>
      <c r="H24" s="1054" t="str">
        <f t="shared" si="3"/>
        <v/>
      </c>
      <c r="I24" s="1055"/>
    </row>
    <row r="25" spans="2:9">
      <c r="B25" s="1064"/>
      <c r="C25" s="1143" t="s">
        <v>20</v>
      </c>
      <c r="D25" s="1115" t="s">
        <v>39</v>
      </c>
      <c r="E25" s="1144">
        <f>E21-E22+E23-E24</f>
        <v>0</v>
      </c>
      <c r="F25" s="954"/>
      <c r="G25" s="1056"/>
      <c r="H25" s="1057"/>
      <c r="I25" s="1058"/>
    </row>
    <row r="26" spans="2:9">
      <c r="B26" s="1062"/>
      <c r="C26" s="954"/>
      <c r="D26" s="954"/>
      <c r="E26" s="954"/>
      <c r="F26" s="954"/>
    </row>
  </sheetData>
  <mergeCells count="2">
    <mergeCell ref="G10:I10"/>
    <mergeCell ref="C8:E8"/>
  </mergeCells>
  <dataValidations count="1">
    <dataValidation allowBlank="1" showErrorMessage="1" sqref="G21:I25 G9:I19" xr:uid="{9CDB6867-6E79-492B-9829-20396B0734A1}"/>
  </dataValidations>
  <pageMargins left="0.7" right="0.7" top="0.75" bottom="0.75" header="0.3" footer="0.3"/>
  <pageSetup paperSize="8" scale="56"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454D2-C897-4682-BABF-FEDDF56CD711}">
  <sheetPr codeName="Sheet2">
    <tabColor theme="1"/>
  </sheetPr>
  <dimension ref="B1:CM136"/>
  <sheetViews>
    <sheetView zoomScale="40" zoomScaleNormal="40" workbookViewId="0"/>
  </sheetViews>
  <sheetFormatPr defaultColWidth="9.1796875" defaultRowHeight="14.5"/>
  <cols>
    <col min="2" max="2" width="43.54296875" customWidth="1"/>
    <col min="3" max="3" width="19.54296875" customWidth="1"/>
    <col min="4" max="5" width="15.54296875" customWidth="1"/>
    <col min="6" max="6" width="19.453125" customWidth="1"/>
    <col min="7" max="7" width="19.81640625" customWidth="1"/>
    <col min="8" max="8" width="21.54296875" customWidth="1"/>
    <col min="9" max="10" width="22" customWidth="1"/>
    <col min="11" max="11" width="21.54296875" customWidth="1"/>
    <col min="12" max="14" width="22" customWidth="1"/>
    <col min="15" max="15" width="19.81640625" customWidth="1"/>
    <col min="16" max="16" width="18" customWidth="1"/>
    <col min="17" max="17" width="47.1796875" customWidth="1"/>
    <col min="18" max="18" width="17.1796875" customWidth="1"/>
    <col min="19" max="20" width="29" customWidth="1"/>
    <col min="21" max="21" width="31.453125" customWidth="1"/>
    <col min="22" max="22" width="17.7265625" customWidth="1"/>
    <col min="23" max="23" width="53.26953125" customWidth="1"/>
    <col min="24" max="24" width="37" customWidth="1"/>
    <col min="25" max="25" width="17.81640625" customWidth="1"/>
  </cols>
  <sheetData>
    <row r="1" spans="2:25" ht="51" customHeight="1">
      <c r="B1" s="28" t="s">
        <v>99</v>
      </c>
      <c r="C1" s="29"/>
      <c r="D1" s="29"/>
      <c r="E1" s="29"/>
      <c r="F1" s="29"/>
      <c r="G1" s="29"/>
      <c r="H1" s="29"/>
      <c r="I1" s="29"/>
      <c r="J1" s="29"/>
      <c r="K1" s="29"/>
      <c r="L1" s="29"/>
      <c r="M1" s="29"/>
      <c r="N1" s="29"/>
      <c r="O1" s="29"/>
    </row>
    <row r="2" spans="2:25" ht="30" customHeight="1"/>
    <row r="3" spans="2:25">
      <c r="B3" t="s">
        <v>100</v>
      </c>
    </row>
    <row r="4" spans="2:25" ht="19.5" customHeight="1">
      <c r="B4" s="1221" t="s">
        <v>101</v>
      </c>
      <c r="C4" s="1222"/>
      <c r="D4" s="1222"/>
      <c r="E4" s="1222"/>
      <c r="F4" s="1222"/>
      <c r="G4" s="1222"/>
      <c r="H4" s="1222"/>
      <c r="I4" s="1222"/>
      <c r="J4" s="1222"/>
      <c r="K4" s="1222"/>
      <c r="L4" s="1222"/>
      <c r="M4" s="1222"/>
      <c r="N4" s="1222"/>
      <c r="O4" s="1222"/>
      <c r="P4" s="1222"/>
      <c r="Q4" s="1222"/>
      <c r="R4" s="1222"/>
      <c r="S4" s="1222"/>
      <c r="T4" s="1222"/>
      <c r="U4" s="1222"/>
      <c r="V4" s="1222"/>
      <c r="W4" s="1222"/>
    </row>
    <row r="5" spans="2:25" s="37" customFormat="1" ht="19.5" customHeight="1" thickBot="1">
      <c r="B5" s="30"/>
      <c r="C5" s="31"/>
      <c r="D5" s="31"/>
      <c r="E5" s="31"/>
      <c r="F5" s="32" t="s">
        <v>102</v>
      </c>
      <c r="G5" s="33" t="s">
        <v>103</v>
      </c>
      <c r="H5" s="32" t="s">
        <v>104</v>
      </c>
      <c r="I5" s="32" t="s">
        <v>105</v>
      </c>
      <c r="J5" s="32" t="s">
        <v>106</v>
      </c>
      <c r="K5" s="33" t="s">
        <v>107</v>
      </c>
      <c r="L5" s="33" t="s">
        <v>108</v>
      </c>
      <c r="M5" s="33" t="s">
        <v>109</v>
      </c>
      <c r="N5" s="33" t="s">
        <v>110</v>
      </c>
      <c r="O5" s="34" t="s">
        <v>111</v>
      </c>
      <c r="P5" s="32" t="s">
        <v>112</v>
      </c>
      <c r="Q5" s="33" t="s">
        <v>113</v>
      </c>
      <c r="R5" s="33" t="s">
        <v>114</v>
      </c>
      <c r="S5" s="33" t="s">
        <v>115</v>
      </c>
      <c r="T5" s="33" t="s">
        <v>116</v>
      </c>
      <c r="U5" s="33" t="b">
        <f>INDEX(dms_CF_8.1_Neg, MATCH(dms_TradingName,dms_CF_TradingName))="Y"</f>
        <v>1</v>
      </c>
      <c r="V5" s="32" t="s">
        <v>117</v>
      </c>
      <c r="W5" s="35"/>
      <c r="X5" s="36"/>
      <c r="Y5" s="32" t="s">
        <v>118</v>
      </c>
    </row>
    <row r="6" spans="2:25" s="48" customFormat="1" ht="41.25" customHeight="1" thickBot="1">
      <c r="B6" s="38" t="s">
        <v>119</v>
      </c>
      <c r="C6" s="39" t="s">
        <v>120</v>
      </c>
      <c r="D6" s="40" t="s">
        <v>121</v>
      </c>
      <c r="E6" s="40" t="s">
        <v>122</v>
      </c>
      <c r="F6" s="41" t="s">
        <v>123</v>
      </c>
      <c r="G6" s="41" t="s">
        <v>124</v>
      </c>
      <c r="H6" s="41" t="s">
        <v>125</v>
      </c>
      <c r="I6" s="41" t="s">
        <v>126</v>
      </c>
      <c r="J6" s="41" t="s">
        <v>127</v>
      </c>
      <c r="K6" s="41" t="s">
        <v>128</v>
      </c>
      <c r="L6" s="41" t="s">
        <v>129</v>
      </c>
      <c r="M6" s="41" t="s">
        <v>130</v>
      </c>
      <c r="N6" s="41" t="s">
        <v>131</v>
      </c>
      <c r="O6" s="41" t="s">
        <v>132</v>
      </c>
      <c r="P6" s="41" t="s">
        <v>133</v>
      </c>
      <c r="Q6" s="42" t="s">
        <v>134</v>
      </c>
      <c r="R6" s="43" t="s">
        <v>135</v>
      </c>
      <c r="S6" s="44" t="s">
        <v>136</v>
      </c>
      <c r="T6" s="44" t="s">
        <v>137</v>
      </c>
      <c r="U6" s="44" t="s">
        <v>138</v>
      </c>
      <c r="V6" s="45" t="s">
        <v>139</v>
      </c>
      <c r="W6" s="45" t="s">
        <v>140</v>
      </c>
      <c r="X6" s="46" t="s">
        <v>141</v>
      </c>
      <c r="Y6" s="47" t="s">
        <v>142</v>
      </c>
    </row>
    <row r="7" spans="2:25" ht="17.25" customHeight="1">
      <c r="B7" s="49" t="s">
        <v>143</v>
      </c>
      <c r="C7" s="50" t="s">
        <v>144</v>
      </c>
      <c r="D7" s="50" t="s">
        <v>145</v>
      </c>
      <c r="E7" s="50" t="s">
        <v>146</v>
      </c>
      <c r="F7" s="51" t="s">
        <v>147</v>
      </c>
      <c r="G7" s="52" t="s">
        <v>147</v>
      </c>
      <c r="H7" s="52" t="s">
        <v>147</v>
      </c>
      <c r="I7" s="52" t="s">
        <v>147</v>
      </c>
      <c r="J7" s="52" t="s">
        <v>147</v>
      </c>
      <c r="K7" s="52" t="s">
        <v>147</v>
      </c>
      <c r="L7" s="52" t="s">
        <v>147</v>
      </c>
      <c r="M7" s="52" t="s">
        <v>147</v>
      </c>
      <c r="N7" s="52" t="s">
        <v>147</v>
      </c>
      <c r="O7" s="52" t="s">
        <v>147</v>
      </c>
      <c r="P7" s="51" t="s">
        <v>147</v>
      </c>
      <c r="Q7" s="53" t="s">
        <v>147</v>
      </c>
      <c r="R7" s="51" t="s">
        <v>147</v>
      </c>
      <c r="S7" s="51" t="s">
        <v>147</v>
      </c>
      <c r="T7" s="52" t="s">
        <v>147</v>
      </c>
      <c r="U7" s="52" t="s">
        <v>147</v>
      </c>
      <c r="V7" s="51" t="s">
        <v>147</v>
      </c>
      <c r="W7" s="52" t="s">
        <v>147</v>
      </c>
      <c r="X7" s="54" t="s">
        <v>147</v>
      </c>
      <c r="Y7" s="55" t="s">
        <v>147</v>
      </c>
    </row>
    <row r="8" spans="2:25">
      <c r="B8" s="56" t="s">
        <v>148</v>
      </c>
      <c r="C8" s="57" t="s">
        <v>149</v>
      </c>
      <c r="D8" s="57" t="s">
        <v>145</v>
      </c>
      <c r="E8" s="57" t="s">
        <v>146</v>
      </c>
      <c r="F8" s="58" t="s">
        <v>147</v>
      </c>
      <c r="G8" s="59" t="s">
        <v>147</v>
      </c>
      <c r="H8" s="59" t="s">
        <v>147</v>
      </c>
      <c r="I8" s="59" t="s">
        <v>147</v>
      </c>
      <c r="J8" s="59" t="s">
        <v>147</v>
      </c>
      <c r="K8" s="59" t="s">
        <v>147</v>
      </c>
      <c r="L8" s="59" t="s">
        <v>147</v>
      </c>
      <c r="M8" s="59" t="s">
        <v>147</v>
      </c>
      <c r="N8" s="59" t="s">
        <v>147</v>
      </c>
      <c r="O8" s="59" t="s">
        <v>147</v>
      </c>
      <c r="P8" s="58" t="s">
        <v>147</v>
      </c>
      <c r="Q8" s="58" t="s">
        <v>147</v>
      </c>
      <c r="R8" s="58" t="s">
        <v>147</v>
      </c>
      <c r="S8" s="58" t="s">
        <v>147</v>
      </c>
      <c r="T8" s="59" t="s">
        <v>147</v>
      </c>
      <c r="U8" s="59" t="s">
        <v>147</v>
      </c>
      <c r="V8" s="58" t="s">
        <v>147</v>
      </c>
      <c r="W8" s="60" t="s">
        <v>147</v>
      </c>
      <c r="X8" s="61" t="s">
        <v>147</v>
      </c>
      <c r="Y8" s="62" t="s">
        <v>147</v>
      </c>
    </row>
    <row r="9" spans="2:25">
      <c r="B9" s="63" t="s">
        <v>150</v>
      </c>
      <c r="C9" s="64" t="s">
        <v>151</v>
      </c>
      <c r="D9" s="64" t="s">
        <v>152</v>
      </c>
      <c r="E9" s="64" t="s">
        <v>153</v>
      </c>
      <c r="F9" s="65"/>
      <c r="G9" s="60" t="s">
        <v>154</v>
      </c>
      <c r="H9" s="60" t="s">
        <v>155</v>
      </c>
      <c r="I9" s="60" t="s">
        <v>155</v>
      </c>
      <c r="J9" s="60" t="s">
        <v>155</v>
      </c>
      <c r="K9" s="60" t="s">
        <v>155</v>
      </c>
      <c r="L9" s="60" t="s">
        <v>155</v>
      </c>
      <c r="M9" s="60" t="s">
        <v>155</v>
      </c>
      <c r="N9" s="60" t="s">
        <v>154</v>
      </c>
      <c r="O9" s="60" t="s">
        <v>155</v>
      </c>
      <c r="P9" s="65" t="s">
        <v>155</v>
      </c>
      <c r="Q9" s="65" t="str">
        <f t="shared" ref="Q9:Q24" si="0">IFERROR(IF(_xlfn.SINGLE(dms_MAIFI_Flag)="Yes","N","Y"),"Y")</f>
        <v>Y</v>
      </c>
      <c r="R9" s="65" t="s">
        <v>154</v>
      </c>
      <c r="S9" s="65" t="s">
        <v>155</v>
      </c>
      <c r="T9" s="60" t="s">
        <v>154</v>
      </c>
      <c r="U9" s="60" t="s">
        <v>154</v>
      </c>
      <c r="V9" s="65" t="s">
        <v>155</v>
      </c>
      <c r="W9" s="60" t="str">
        <f t="shared" ref="W9:W24" si="1">IFERROR(LEFT(_xlfn.SINGLE(dms_MAIFI_Flag)),"N")</f>
        <v>N</v>
      </c>
      <c r="X9" s="61" t="str">
        <f>IF('AER CF'!$C7="Vic","Y","N")</f>
        <v>N</v>
      </c>
      <c r="Y9" s="62"/>
    </row>
    <row r="10" spans="2:25">
      <c r="B10" s="66" t="s">
        <v>156</v>
      </c>
      <c r="C10" s="67" t="s">
        <v>151</v>
      </c>
      <c r="D10" s="67" t="s">
        <v>152</v>
      </c>
      <c r="E10" s="67" t="s">
        <v>153</v>
      </c>
      <c r="F10" s="65"/>
      <c r="G10" s="60" t="s">
        <v>154</v>
      </c>
      <c r="H10" s="60" t="s">
        <v>155</v>
      </c>
      <c r="I10" s="60" t="s">
        <v>155</v>
      </c>
      <c r="J10" s="60" t="s">
        <v>155</v>
      </c>
      <c r="K10" s="60" t="s">
        <v>155</v>
      </c>
      <c r="L10" s="60" t="s">
        <v>155</v>
      </c>
      <c r="M10" s="60" t="s">
        <v>155</v>
      </c>
      <c r="N10" s="60" t="s">
        <v>154</v>
      </c>
      <c r="O10" s="60" t="s">
        <v>155</v>
      </c>
      <c r="P10" s="65" t="s">
        <v>155</v>
      </c>
      <c r="Q10" s="65" t="str">
        <f t="shared" si="0"/>
        <v>Y</v>
      </c>
      <c r="R10" s="65" t="s">
        <v>154</v>
      </c>
      <c r="S10" s="65" t="s">
        <v>155</v>
      </c>
      <c r="T10" s="60" t="s">
        <v>154</v>
      </c>
      <c r="U10" s="60" t="s">
        <v>154</v>
      </c>
      <c r="V10" s="65" t="s">
        <v>155</v>
      </c>
      <c r="W10" s="60" t="str">
        <f t="shared" si="1"/>
        <v>N</v>
      </c>
      <c r="X10" s="61" t="str">
        <f>IF('AER CF'!$C8="Vic","Y","N")</f>
        <v>Y</v>
      </c>
      <c r="Y10" s="62"/>
    </row>
    <row r="11" spans="2:25">
      <c r="B11" s="66" t="s">
        <v>157</v>
      </c>
      <c r="C11" s="64" t="s">
        <v>149</v>
      </c>
      <c r="D11" s="64" t="s">
        <v>152</v>
      </c>
      <c r="E11" s="64" t="s">
        <v>153</v>
      </c>
      <c r="F11" s="65"/>
      <c r="G11" s="60" t="s">
        <v>155</v>
      </c>
      <c r="H11" s="60" t="s">
        <v>155</v>
      </c>
      <c r="I11" s="60"/>
      <c r="J11" s="60"/>
      <c r="K11" s="60" t="s">
        <v>155</v>
      </c>
      <c r="L11" s="60" t="s">
        <v>155</v>
      </c>
      <c r="M11" s="60" t="s">
        <v>155</v>
      </c>
      <c r="N11" s="60" t="s">
        <v>155</v>
      </c>
      <c r="O11" s="60" t="s">
        <v>155</v>
      </c>
      <c r="P11" s="65" t="s">
        <v>155</v>
      </c>
      <c r="Q11" s="65" t="str">
        <f t="shared" si="0"/>
        <v>Y</v>
      </c>
      <c r="R11" s="65" t="s">
        <v>155</v>
      </c>
      <c r="S11" s="65" t="s">
        <v>155</v>
      </c>
      <c r="T11" s="60" t="s">
        <v>155</v>
      </c>
      <c r="U11" s="60" t="s">
        <v>154</v>
      </c>
      <c r="V11" s="65" t="s">
        <v>155</v>
      </c>
      <c r="W11" s="60" t="str">
        <f t="shared" si="1"/>
        <v>N</v>
      </c>
      <c r="X11" s="61" t="str">
        <f>IF('AER CF'!$C9="Vic","Y","N")</f>
        <v>N</v>
      </c>
      <c r="Y11" s="62"/>
    </row>
    <row r="12" spans="2:25">
      <c r="B12" s="68" t="s">
        <v>158</v>
      </c>
      <c r="C12" s="69" t="s">
        <v>149</v>
      </c>
      <c r="D12" s="69" t="s">
        <v>152</v>
      </c>
      <c r="E12" s="69" t="s">
        <v>146</v>
      </c>
      <c r="F12" s="65"/>
      <c r="G12" s="60" t="s">
        <v>155</v>
      </c>
      <c r="H12" s="60"/>
      <c r="I12" s="60"/>
      <c r="J12" s="60"/>
      <c r="K12" s="60" t="s">
        <v>155</v>
      </c>
      <c r="L12" s="60" t="s">
        <v>155</v>
      </c>
      <c r="M12" s="60" t="s">
        <v>155</v>
      </c>
      <c r="N12" s="60" t="s">
        <v>155</v>
      </c>
      <c r="O12" s="60" t="s">
        <v>155</v>
      </c>
      <c r="P12" s="65" t="s">
        <v>154</v>
      </c>
      <c r="Q12" s="65" t="str">
        <f t="shared" si="0"/>
        <v>Y</v>
      </c>
      <c r="R12" s="65" t="s">
        <v>155</v>
      </c>
      <c r="S12" s="65" t="s">
        <v>155</v>
      </c>
      <c r="T12" s="60" t="s">
        <v>155</v>
      </c>
      <c r="U12" s="60" t="s">
        <v>154</v>
      </c>
      <c r="V12" s="65" t="s">
        <v>155</v>
      </c>
      <c r="W12" s="60" t="str">
        <f t="shared" si="1"/>
        <v>N</v>
      </c>
      <c r="X12" s="61" t="str">
        <f>IF('AER CF'!$C10="Vic","Y","N")</f>
        <v>N</v>
      </c>
      <c r="Y12" s="62"/>
    </row>
    <row r="13" spans="2:25">
      <c r="B13" s="70" t="s">
        <v>0</v>
      </c>
      <c r="C13" s="71" t="s">
        <v>151</v>
      </c>
      <c r="D13" s="71" t="s">
        <v>152</v>
      </c>
      <c r="E13" s="71" t="s">
        <v>153</v>
      </c>
      <c r="F13" s="65" t="s">
        <v>155</v>
      </c>
      <c r="G13" s="60" t="s">
        <v>155</v>
      </c>
      <c r="H13" s="60" t="s">
        <v>155</v>
      </c>
      <c r="I13" s="60" t="s">
        <v>155</v>
      </c>
      <c r="J13" s="60"/>
      <c r="K13" s="60" t="s">
        <v>155</v>
      </c>
      <c r="L13" s="60" t="s">
        <v>155</v>
      </c>
      <c r="M13" s="60" t="s">
        <v>155</v>
      </c>
      <c r="N13" s="60" t="s">
        <v>155</v>
      </c>
      <c r="O13" s="60" t="s">
        <v>155</v>
      </c>
      <c r="P13" s="65" t="s">
        <v>155</v>
      </c>
      <c r="Q13" s="58" t="str">
        <f t="shared" si="0"/>
        <v>Y</v>
      </c>
      <c r="R13" s="65" t="s">
        <v>155</v>
      </c>
      <c r="S13" s="65" t="s">
        <v>155</v>
      </c>
      <c r="T13" s="60" t="s">
        <v>155</v>
      </c>
      <c r="U13" s="60" t="s">
        <v>155</v>
      </c>
      <c r="V13" s="65" t="s">
        <v>155</v>
      </c>
      <c r="W13" s="60" t="str">
        <f t="shared" si="1"/>
        <v>N</v>
      </c>
      <c r="X13" s="61" t="str">
        <f>IF('AER CF'!$C13="Vic","Y","N")</f>
        <v>N</v>
      </c>
      <c r="Y13" s="62"/>
    </row>
    <row r="14" spans="2:25">
      <c r="B14" s="72" t="s">
        <v>159</v>
      </c>
      <c r="C14" s="71" t="s">
        <v>149</v>
      </c>
      <c r="D14" s="71" t="s">
        <v>152</v>
      </c>
      <c r="E14" s="71" t="s">
        <v>153</v>
      </c>
      <c r="F14" s="65" t="s">
        <v>155</v>
      </c>
      <c r="G14" s="60" t="s">
        <v>155</v>
      </c>
      <c r="H14" s="60" t="s">
        <v>155</v>
      </c>
      <c r="I14" s="60" t="s">
        <v>155</v>
      </c>
      <c r="J14" s="60"/>
      <c r="K14" s="60" t="s">
        <v>155</v>
      </c>
      <c r="L14" s="60" t="s">
        <v>155</v>
      </c>
      <c r="M14" s="60" t="s">
        <v>155</v>
      </c>
      <c r="N14" s="60" t="s">
        <v>155</v>
      </c>
      <c r="O14" s="60" t="s">
        <v>155</v>
      </c>
      <c r="P14" s="65" t="s">
        <v>155</v>
      </c>
      <c r="Q14" s="65" t="str">
        <f t="shared" si="0"/>
        <v>Y</v>
      </c>
      <c r="R14" s="65" t="s">
        <v>155</v>
      </c>
      <c r="S14" s="65" t="s">
        <v>155</v>
      </c>
      <c r="T14" s="60" t="s">
        <v>155</v>
      </c>
      <c r="U14" s="60" t="s">
        <v>155</v>
      </c>
      <c r="V14" s="65" t="s">
        <v>155</v>
      </c>
      <c r="W14" s="60" t="str">
        <f t="shared" si="1"/>
        <v>N</v>
      </c>
      <c r="X14" s="61" t="str">
        <f>IF('AER CF'!$C14="Vic","Y","N")</f>
        <v>Y</v>
      </c>
      <c r="Y14" s="62"/>
    </row>
    <row r="15" spans="2:25">
      <c r="B15" s="63" t="s">
        <v>160</v>
      </c>
      <c r="C15" s="64" t="s">
        <v>149</v>
      </c>
      <c r="D15" s="64" t="s">
        <v>152</v>
      </c>
      <c r="E15" s="64" t="s">
        <v>153</v>
      </c>
      <c r="F15" s="65"/>
      <c r="G15" s="60" t="s">
        <v>155</v>
      </c>
      <c r="H15" s="60" t="s">
        <v>155</v>
      </c>
      <c r="I15" s="60"/>
      <c r="J15" s="60"/>
      <c r="K15" s="60" t="s">
        <v>155</v>
      </c>
      <c r="L15" s="60" t="s">
        <v>155</v>
      </c>
      <c r="M15" s="60" t="s">
        <v>155</v>
      </c>
      <c r="N15" s="60" t="s">
        <v>155</v>
      </c>
      <c r="O15" s="60" t="s">
        <v>155</v>
      </c>
      <c r="P15" s="65" t="s">
        <v>155</v>
      </c>
      <c r="Q15" s="65" t="str">
        <f t="shared" si="0"/>
        <v>Y</v>
      </c>
      <c r="R15" s="65" t="s">
        <v>155</v>
      </c>
      <c r="S15" s="65" t="s">
        <v>155</v>
      </c>
      <c r="T15" s="60" t="s">
        <v>155</v>
      </c>
      <c r="U15" s="60" t="s">
        <v>154</v>
      </c>
      <c r="V15" s="65" t="s">
        <v>155</v>
      </c>
      <c r="W15" s="60" t="str">
        <f t="shared" si="1"/>
        <v>N</v>
      </c>
      <c r="X15" s="61" t="str">
        <f>IF('AER CF'!$C15="Vic","Y","N")</f>
        <v>Y</v>
      </c>
      <c r="Y15" s="62"/>
    </row>
    <row r="16" spans="2:25">
      <c r="B16" s="73" t="s">
        <v>161</v>
      </c>
      <c r="C16" s="74" t="s">
        <v>162</v>
      </c>
      <c r="D16" s="74" t="s">
        <v>152</v>
      </c>
      <c r="E16" s="74" t="s">
        <v>146</v>
      </c>
      <c r="F16" s="65"/>
      <c r="G16" s="60" t="s">
        <v>155</v>
      </c>
      <c r="H16" s="60"/>
      <c r="I16" s="60"/>
      <c r="J16" s="60"/>
      <c r="K16" s="60" t="s">
        <v>155</v>
      </c>
      <c r="L16" s="60" t="s">
        <v>155</v>
      </c>
      <c r="M16" s="60" t="s">
        <v>155</v>
      </c>
      <c r="N16" s="60" t="s">
        <v>155</v>
      </c>
      <c r="O16" s="60" t="s">
        <v>155</v>
      </c>
      <c r="P16" s="65" t="s">
        <v>147</v>
      </c>
      <c r="Q16" s="65" t="str">
        <f t="shared" si="0"/>
        <v>Y</v>
      </c>
      <c r="R16" s="65" t="s">
        <v>155</v>
      </c>
      <c r="S16" s="65" t="s">
        <v>155</v>
      </c>
      <c r="T16" s="60" t="s">
        <v>154</v>
      </c>
      <c r="U16" s="60" t="s">
        <v>154</v>
      </c>
      <c r="V16" s="65" t="s">
        <v>155</v>
      </c>
      <c r="W16" s="60" t="str">
        <f t="shared" si="1"/>
        <v>N</v>
      </c>
      <c r="X16" s="61" t="str">
        <f>IF('AER CF'!$C16="Vic","Y","N")</f>
        <v>N</v>
      </c>
      <c r="Y16" s="62"/>
    </row>
    <row r="17" spans="2:25">
      <c r="B17" s="73" t="s">
        <v>163</v>
      </c>
      <c r="C17" s="69" t="s">
        <v>164</v>
      </c>
      <c r="D17" s="69" t="s">
        <v>152</v>
      </c>
      <c r="E17" s="69" t="s">
        <v>146</v>
      </c>
      <c r="F17" s="65"/>
      <c r="G17" s="60" t="s">
        <v>155</v>
      </c>
      <c r="H17" s="60"/>
      <c r="I17" s="60"/>
      <c r="J17" s="60"/>
      <c r="K17" s="60" t="s">
        <v>155</v>
      </c>
      <c r="L17" s="60" t="s">
        <v>155</v>
      </c>
      <c r="M17" s="60" t="s">
        <v>155</v>
      </c>
      <c r="N17" s="60" t="s">
        <v>155</v>
      </c>
      <c r="O17" s="60" t="s">
        <v>155</v>
      </c>
      <c r="P17" s="65" t="s">
        <v>147</v>
      </c>
      <c r="Q17" s="65" t="str">
        <f t="shared" si="0"/>
        <v>Y</v>
      </c>
      <c r="R17" s="65" t="s">
        <v>155</v>
      </c>
      <c r="S17" s="65" t="s">
        <v>155</v>
      </c>
      <c r="T17" s="60" t="s">
        <v>154</v>
      </c>
      <c r="U17" s="60" t="s">
        <v>154</v>
      </c>
      <c r="V17" s="65" t="s">
        <v>155</v>
      </c>
      <c r="W17" s="60" t="str">
        <f t="shared" si="1"/>
        <v>N</v>
      </c>
      <c r="X17" s="61" t="str">
        <f>IF('AER CF'!$C17="Vic","Y","N")</f>
        <v>N</v>
      </c>
      <c r="Y17" s="62"/>
    </row>
    <row r="18" spans="2:25">
      <c r="B18" s="63" t="s">
        <v>165</v>
      </c>
      <c r="C18" s="75" t="s">
        <v>151</v>
      </c>
      <c r="D18" s="75" t="s">
        <v>152</v>
      </c>
      <c r="E18" s="75" t="s">
        <v>153</v>
      </c>
      <c r="F18" s="65"/>
      <c r="G18" s="60" t="s">
        <v>154</v>
      </c>
      <c r="H18" s="60" t="s">
        <v>155</v>
      </c>
      <c r="I18" s="60" t="s">
        <v>154</v>
      </c>
      <c r="J18" s="60" t="s">
        <v>154</v>
      </c>
      <c r="K18" s="60" t="s">
        <v>155</v>
      </c>
      <c r="L18" s="60" t="s">
        <v>155</v>
      </c>
      <c r="M18" s="60" t="s">
        <v>155</v>
      </c>
      <c r="N18" s="60" t="s">
        <v>154</v>
      </c>
      <c r="O18" s="60" t="s">
        <v>155</v>
      </c>
      <c r="P18" s="65" t="s">
        <v>155</v>
      </c>
      <c r="Q18" s="65" t="str">
        <f t="shared" si="0"/>
        <v>Y</v>
      </c>
      <c r="R18" s="65" t="s">
        <v>154</v>
      </c>
      <c r="S18" s="65" t="s">
        <v>155</v>
      </c>
      <c r="T18" s="60" t="s">
        <v>154</v>
      </c>
      <c r="U18" s="60" t="s">
        <v>154</v>
      </c>
      <c r="V18" s="65" t="s">
        <v>154</v>
      </c>
      <c r="W18" s="60" t="str">
        <f t="shared" si="1"/>
        <v>N</v>
      </c>
      <c r="X18" s="61" t="str">
        <f>IF('AER CF'!$C18="Vic","Y","N")</f>
        <v>N</v>
      </c>
      <c r="Y18" s="62"/>
    </row>
    <row r="19" spans="2:25">
      <c r="B19" s="63" t="s">
        <v>166</v>
      </c>
      <c r="C19" s="64" t="s">
        <v>162</v>
      </c>
      <c r="D19" s="64" t="s">
        <v>152</v>
      </c>
      <c r="E19" s="64" t="s">
        <v>153</v>
      </c>
      <c r="F19" s="65"/>
      <c r="G19" s="60" t="s">
        <v>154</v>
      </c>
      <c r="H19" s="60" t="s">
        <v>155</v>
      </c>
      <c r="I19" s="60"/>
      <c r="J19" s="60"/>
      <c r="K19" s="60" t="s">
        <v>155</v>
      </c>
      <c r="L19" s="60" t="s">
        <v>155</v>
      </c>
      <c r="M19" s="60" t="s">
        <v>155</v>
      </c>
      <c r="N19" s="60" t="s">
        <v>155</v>
      </c>
      <c r="O19" s="60" t="s">
        <v>155</v>
      </c>
      <c r="P19" s="65" t="s">
        <v>155</v>
      </c>
      <c r="Q19" s="65" t="str">
        <f t="shared" si="0"/>
        <v>Y</v>
      </c>
      <c r="R19" s="65" t="s">
        <v>154</v>
      </c>
      <c r="S19" s="65" t="s">
        <v>155</v>
      </c>
      <c r="T19" s="60" t="s">
        <v>154</v>
      </c>
      <c r="U19" s="60" t="s">
        <v>154</v>
      </c>
      <c r="V19" s="65" t="s">
        <v>154</v>
      </c>
      <c r="W19" s="60" t="str">
        <f t="shared" si="1"/>
        <v>N</v>
      </c>
      <c r="X19" s="61" t="str">
        <f>IF('AER CF'!$C19="Vic","Y","N")</f>
        <v>N</v>
      </c>
      <c r="Y19" s="62"/>
    </row>
    <row r="20" spans="2:25">
      <c r="B20" s="63" t="s">
        <v>167</v>
      </c>
      <c r="C20" s="75" t="s">
        <v>162</v>
      </c>
      <c r="D20" s="75" t="s">
        <v>152</v>
      </c>
      <c r="E20" s="75" t="s">
        <v>153</v>
      </c>
      <c r="F20" s="65"/>
      <c r="G20" s="60" t="s">
        <v>154</v>
      </c>
      <c r="H20" s="60" t="s">
        <v>155</v>
      </c>
      <c r="I20" s="60" t="s">
        <v>154</v>
      </c>
      <c r="J20" s="60" t="s">
        <v>154</v>
      </c>
      <c r="K20" s="60" t="s">
        <v>155</v>
      </c>
      <c r="L20" s="60" t="s">
        <v>155</v>
      </c>
      <c r="M20" s="60" t="s">
        <v>155</v>
      </c>
      <c r="N20" s="60" t="s">
        <v>155</v>
      </c>
      <c r="O20" s="60" t="s">
        <v>155</v>
      </c>
      <c r="P20" s="65" t="s">
        <v>155</v>
      </c>
      <c r="Q20" s="65" t="str">
        <f t="shared" si="0"/>
        <v>Y</v>
      </c>
      <c r="R20" s="65" t="s">
        <v>154</v>
      </c>
      <c r="S20" s="65" t="s">
        <v>155</v>
      </c>
      <c r="T20" s="60" t="s">
        <v>154</v>
      </c>
      <c r="U20" s="60" t="s">
        <v>154</v>
      </c>
      <c r="V20" s="65" t="s">
        <v>155</v>
      </c>
      <c r="W20" s="60" t="str">
        <f t="shared" si="1"/>
        <v>N</v>
      </c>
      <c r="X20" s="61" t="str">
        <f>IF('AER CF'!$C20="Vic","Y","N")</f>
        <v>N</v>
      </c>
      <c r="Y20" s="62"/>
    </row>
    <row r="21" spans="2:25">
      <c r="B21" s="63" t="s">
        <v>168</v>
      </c>
      <c r="C21" s="64" t="s">
        <v>151</v>
      </c>
      <c r="D21" s="64" t="s">
        <v>152</v>
      </c>
      <c r="E21" s="64" t="s">
        <v>153</v>
      </c>
      <c r="F21" s="65"/>
      <c r="G21" s="60" t="s">
        <v>154</v>
      </c>
      <c r="H21" s="60" t="s">
        <v>155</v>
      </c>
      <c r="I21" s="60" t="s">
        <v>154</v>
      </c>
      <c r="J21" s="60" t="s">
        <v>154</v>
      </c>
      <c r="K21" s="60" t="s">
        <v>155</v>
      </c>
      <c r="L21" s="60" t="s">
        <v>155</v>
      </c>
      <c r="M21" s="60" t="s">
        <v>155</v>
      </c>
      <c r="N21" s="60" t="s">
        <v>154</v>
      </c>
      <c r="O21" s="60" t="s">
        <v>155</v>
      </c>
      <c r="P21" s="65" t="s">
        <v>155</v>
      </c>
      <c r="Q21" s="65" t="str">
        <f t="shared" si="0"/>
        <v>Y</v>
      </c>
      <c r="R21" s="65" t="s">
        <v>154</v>
      </c>
      <c r="S21" s="65" t="s">
        <v>155</v>
      </c>
      <c r="T21" s="60" t="s">
        <v>154</v>
      </c>
      <c r="U21" s="60" t="s">
        <v>154</v>
      </c>
      <c r="V21" s="65" t="s">
        <v>155</v>
      </c>
      <c r="W21" s="60" t="str">
        <f t="shared" si="1"/>
        <v>N</v>
      </c>
      <c r="X21" s="61" t="str">
        <f>IF('AER CF'!$C21="Vic","Y","N")</f>
        <v>N</v>
      </c>
      <c r="Y21" s="62"/>
    </row>
    <row r="22" spans="2:25">
      <c r="B22" s="63" t="s">
        <v>169</v>
      </c>
      <c r="C22" s="64" t="s">
        <v>170</v>
      </c>
      <c r="D22" s="64" t="s">
        <v>152</v>
      </c>
      <c r="E22" s="64" t="s">
        <v>153</v>
      </c>
      <c r="F22" s="65"/>
      <c r="G22" s="60" t="s">
        <v>154</v>
      </c>
      <c r="H22" s="60" t="s">
        <v>155</v>
      </c>
      <c r="I22" s="60" t="s">
        <v>154</v>
      </c>
      <c r="J22" s="60" t="s">
        <v>154</v>
      </c>
      <c r="K22" s="60" t="s">
        <v>154</v>
      </c>
      <c r="L22" s="60" t="s">
        <v>154</v>
      </c>
      <c r="M22" s="60" t="s">
        <v>155</v>
      </c>
      <c r="N22" s="60" t="s">
        <v>154</v>
      </c>
      <c r="O22" s="60" t="s">
        <v>155</v>
      </c>
      <c r="P22" s="65" t="s">
        <v>154</v>
      </c>
      <c r="Q22" s="65" t="str">
        <f t="shared" si="0"/>
        <v>Y</v>
      </c>
      <c r="R22" s="65" t="s">
        <v>154</v>
      </c>
      <c r="S22" s="65" t="s">
        <v>155</v>
      </c>
      <c r="T22" s="60" t="s">
        <v>154</v>
      </c>
      <c r="U22" s="60" t="s">
        <v>154</v>
      </c>
      <c r="V22" s="65" t="s">
        <v>155</v>
      </c>
      <c r="W22" s="60" t="str">
        <f t="shared" si="1"/>
        <v>N</v>
      </c>
      <c r="X22" s="61" t="str">
        <f>IF('AER CF'!$C22="Vic","Y","N")</f>
        <v>N</v>
      </c>
      <c r="Y22" s="62"/>
    </row>
    <row r="23" spans="2:25">
      <c r="B23" s="63" t="s">
        <v>171</v>
      </c>
      <c r="C23" s="64" t="s">
        <v>170</v>
      </c>
      <c r="D23" s="64" t="s">
        <v>152</v>
      </c>
      <c r="E23" s="64" t="s">
        <v>153</v>
      </c>
      <c r="F23" s="65"/>
      <c r="G23" s="60" t="s">
        <v>154</v>
      </c>
      <c r="H23" s="60" t="s">
        <v>155</v>
      </c>
      <c r="I23" s="60" t="s">
        <v>154</v>
      </c>
      <c r="J23" s="60" t="s">
        <v>154</v>
      </c>
      <c r="K23" s="60" t="s">
        <v>154</v>
      </c>
      <c r="L23" s="60" t="s">
        <v>154</v>
      </c>
      <c r="M23" s="60" t="s">
        <v>155</v>
      </c>
      <c r="N23" s="60" t="s">
        <v>154</v>
      </c>
      <c r="O23" s="60" t="s">
        <v>155</v>
      </c>
      <c r="P23" s="65" t="s">
        <v>154</v>
      </c>
      <c r="Q23" s="65" t="str">
        <f t="shared" si="0"/>
        <v>Y</v>
      </c>
      <c r="R23" s="65" t="s">
        <v>154</v>
      </c>
      <c r="S23" s="65" t="s">
        <v>155</v>
      </c>
      <c r="T23" s="60" t="s">
        <v>154</v>
      </c>
      <c r="U23" s="60" t="s">
        <v>154</v>
      </c>
      <c r="V23" s="65" t="s">
        <v>155</v>
      </c>
      <c r="W23" s="60" t="str">
        <f t="shared" si="1"/>
        <v>N</v>
      </c>
      <c r="X23" s="61" t="str">
        <f>IF('AER CF'!$C23="Vic","Y","N")</f>
        <v>N</v>
      </c>
      <c r="Y23" s="62"/>
    </row>
    <row r="24" spans="2:25">
      <c r="B24" s="63" t="s">
        <v>172</v>
      </c>
      <c r="C24" s="75" t="s">
        <v>149</v>
      </c>
      <c r="D24" s="75" t="s">
        <v>152</v>
      </c>
      <c r="E24" s="75" t="s">
        <v>153</v>
      </c>
      <c r="F24" s="65"/>
      <c r="G24" s="60" t="s">
        <v>155</v>
      </c>
      <c r="H24" s="60" t="s">
        <v>155</v>
      </c>
      <c r="I24" s="60"/>
      <c r="J24" s="60"/>
      <c r="K24" s="60" t="s">
        <v>155</v>
      </c>
      <c r="L24" s="60" t="s">
        <v>155</v>
      </c>
      <c r="M24" s="60" t="s">
        <v>155</v>
      </c>
      <c r="N24" s="60" t="s">
        <v>155</v>
      </c>
      <c r="O24" s="60" t="s">
        <v>155</v>
      </c>
      <c r="P24" s="65" t="s">
        <v>155</v>
      </c>
      <c r="Q24" s="65" t="str">
        <f t="shared" si="0"/>
        <v>Y</v>
      </c>
      <c r="R24" s="65" t="s">
        <v>155</v>
      </c>
      <c r="S24" s="65" t="s">
        <v>155</v>
      </c>
      <c r="T24" s="60" t="s">
        <v>155</v>
      </c>
      <c r="U24" s="60" t="s">
        <v>154</v>
      </c>
      <c r="V24" s="65" t="s">
        <v>155</v>
      </c>
      <c r="W24" s="60" t="str">
        <f t="shared" si="1"/>
        <v>N</v>
      </c>
      <c r="X24" s="61" t="str">
        <f>IF('AER CF'!$C25="Vic","Y","N")</f>
        <v>Y</v>
      </c>
      <c r="Y24" s="62"/>
    </row>
    <row r="25" spans="2:25">
      <c r="B25" s="76" t="s">
        <v>173</v>
      </c>
      <c r="C25" s="77" t="s">
        <v>149</v>
      </c>
      <c r="D25" s="77" t="s">
        <v>145</v>
      </c>
      <c r="E25" s="77" t="s">
        <v>153</v>
      </c>
      <c r="F25" s="65" t="s">
        <v>147</v>
      </c>
      <c r="G25" s="60" t="s">
        <v>147</v>
      </c>
      <c r="H25" s="60" t="s">
        <v>147</v>
      </c>
      <c r="I25" s="60" t="s">
        <v>147</v>
      </c>
      <c r="J25" s="60" t="s">
        <v>147</v>
      </c>
      <c r="K25" s="60" t="s">
        <v>147</v>
      </c>
      <c r="L25" s="60" t="s">
        <v>147</v>
      </c>
      <c r="M25" s="60" t="s">
        <v>147</v>
      </c>
      <c r="N25" s="60" t="s">
        <v>147</v>
      </c>
      <c r="O25" s="60" t="s">
        <v>147</v>
      </c>
      <c r="P25" s="65" t="s">
        <v>147</v>
      </c>
      <c r="Q25" s="58" t="s">
        <v>147</v>
      </c>
      <c r="R25" s="65" t="s">
        <v>147</v>
      </c>
      <c r="S25" s="65" t="s">
        <v>147</v>
      </c>
      <c r="T25" s="60" t="s">
        <v>147</v>
      </c>
      <c r="U25" s="60" t="s">
        <v>147</v>
      </c>
      <c r="V25" s="65" t="s">
        <v>147</v>
      </c>
      <c r="W25" s="60" t="s">
        <v>147</v>
      </c>
      <c r="X25" s="61" t="s">
        <v>147</v>
      </c>
      <c r="Y25" s="62" t="s">
        <v>147</v>
      </c>
    </row>
    <row r="26" spans="2:25">
      <c r="B26" s="73" t="s">
        <v>174</v>
      </c>
      <c r="C26" s="69" t="s">
        <v>164</v>
      </c>
      <c r="D26" s="69" t="s">
        <v>152</v>
      </c>
      <c r="E26" s="69" t="s">
        <v>146</v>
      </c>
      <c r="F26" s="65"/>
      <c r="G26" s="60" t="s">
        <v>155</v>
      </c>
      <c r="H26" s="60"/>
      <c r="I26" s="60"/>
      <c r="J26" s="60"/>
      <c r="K26" s="60" t="s">
        <v>155</v>
      </c>
      <c r="L26" s="60" t="s">
        <v>155</v>
      </c>
      <c r="M26" s="60" t="s">
        <v>155</v>
      </c>
      <c r="N26" s="60" t="s">
        <v>155</v>
      </c>
      <c r="O26" s="60" t="s">
        <v>155</v>
      </c>
      <c r="P26" s="65" t="s">
        <v>147</v>
      </c>
      <c r="Q26" s="65" t="str">
        <f>IFERROR(IF(_xlfn.SINGLE(dms_MAIFI_Flag)="Yes","N","Y"),"Y")</f>
        <v>Y</v>
      </c>
      <c r="R26" s="65" t="s">
        <v>155</v>
      </c>
      <c r="S26" s="65" t="s">
        <v>155</v>
      </c>
      <c r="T26" s="60" t="s">
        <v>154</v>
      </c>
      <c r="U26" s="60" t="s">
        <v>154</v>
      </c>
      <c r="V26" s="65" t="s">
        <v>155</v>
      </c>
      <c r="W26" s="60" t="str">
        <f>IFERROR(LEFT(_xlfn.SINGLE(dms_MAIFI_Flag)),"N")</f>
        <v>N</v>
      </c>
      <c r="X26" s="61" t="str">
        <f>IF('AER CF'!$C26="Vic","Y","N")</f>
        <v>N</v>
      </c>
      <c r="Y26" s="62"/>
    </row>
    <row r="27" spans="2:25">
      <c r="B27" s="63" t="s">
        <v>175</v>
      </c>
      <c r="C27" s="64" t="s">
        <v>144</v>
      </c>
      <c r="D27" s="75" t="s">
        <v>152</v>
      </c>
      <c r="E27" s="75" t="s">
        <v>153</v>
      </c>
      <c r="F27" s="65"/>
      <c r="G27" s="60" t="s">
        <v>155</v>
      </c>
      <c r="H27" s="60" t="s">
        <v>155</v>
      </c>
      <c r="I27" s="60"/>
      <c r="J27" s="60"/>
      <c r="K27" s="60" t="s">
        <v>155</v>
      </c>
      <c r="L27" s="60" t="s">
        <v>154</v>
      </c>
      <c r="M27" s="60" t="s">
        <v>155</v>
      </c>
      <c r="N27" s="60" t="s">
        <v>155</v>
      </c>
      <c r="O27" s="60" t="s">
        <v>155</v>
      </c>
      <c r="P27" s="65" t="s">
        <v>154</v>
      </c>
      <c r="Q27" s="65" t="str">
        <f>IFERROR(IF(_xlfn.SINGLE(dms_MAIFI_Flag)="Yes","N","Y"),"Y")</f>
        <v>Y</v>
      </c>
      <c r="R27" s="65" t="s">
        <v>154</v>
      </c>
      <c r="S27" s="65" t="s">
        <v>154</v>
      </c>
      <c r="T27" s="60" t="s">
        <v>154</v>
      </c>
      <c r="U27" s="60" t="s">
        <v>154</v>
      </c>
      <c r="V27" s="65" t="s">
        <v>155</v>
      </c>
      <c r="W27" s="60" t="str">
        <f>IFERROR(LEFT(_xlfn.SINGLE(dms_MAIFI_Flag)),"N")</f>
        <v>N</v>
      </c>
      <c r="X27" s="61" t="str">
        <f>IF('AER CF'!$C27="Vic","Y","N")</f>
        <v>N</v>
      </c>
      <c r="Y27" s="62"/>
    </row>
    <row r="28" spans="2:25">
      <c r="B28" s="63" t="s">
        <v>176</v>
      </c>
      <c r="C28" s="64" t="s">
        <v>149</v>
      </c>
      <c r="D28" s="64" t="s">
        <v>152</v>
      </c>
      <c r="E28" s="64" t="s">
        <v>153</v>
      </c>
      <c r="F28" s="65"/>
      <c r="G28" s="60" t="s">
        <v>155</v>
      </c>
      <c r="H28" s="60" t="s">
        <v>155</v>
      </c>
      <c r="I28" s="60"/>
      <c r="J28" s="60"/>
      <c r="K28" s="60" t="s">
        <v>155</v>
      </c>
      <c r="L28" s="60" t="s">
        <v>155</v>
      </c>
      <c r="M28" s="60" t="s">
        <v>155</v>
      </c>
      <c r="N28" s="60" t="s">
        <v>155</v>
      </c>
      <c r="O28" s="60" t="s">
        <v>155</v>
      </c>
      <c r="P28" s="65" t="s">
        <v>155</v>
      </c>
      <c r="Q28" s="65" t="str">
        <f>IFERROR(IF(_xlfn.SINGLE(dms_MAIFI_Flag)="Yes","N","Y"),"Y")</f>
        <v>Y</v>
      </c>
      <c r="R28" s="65" t="s">
        <v>155</v>
      </c>
      <c r="S28" s="65" t="s">
        <v>155</v>
      </c>
      <c r="T28" s="60" t="s">
        <v>155</v>
      </c>
      <c r="U28" s="60" t="s">
        <v>154</v>
      </c>
      <c r="V28" s="65" t="s">
        <v>155</v>
      </c>
      <c r="W28" s="60" t="str">
        <f>IFERROR(LEFT(_xlfn.SINGLE(dms_MAIFI_Flag)),"N")</f>
        <v>N</v>
      </c>
      <c r="X28" s="61" t="str">
        <f>IF('AER CF'!$C28="Vic","Y","N")</f>
        <v>Y</v>
      </c>
      <c r="Y28" s="62"/>
    </row>
    <row r="29" spans="2:25">
      <c r="B29" s="73" t="s">
        <v>177</v>
      </c>
      <c r="C29" s="74" t="s">
        <v>162</v>
      </c>
      <c r="D29" s="74" t="s">
        <v>152</v>
      </c>
      <c r="E29" s="74" t="s">
        <v>146</v>
      </c>
      <c r="F29" s="65"/>
      <c r="G29" s="60" t="s">
        <v>155</v>
      </c>
      <c r="H29" s="60"/>
      <c r="I29" s="60"/>
      <c r="J29" s="60"/>
      <c r="K29" s="60" t="s">
        <v>155</v>
      </c>
      <c r="L29" s="60" t="s">
        <v>155</v>
      </c>
      <c r="M29" s="60" t="s">
        <v>155</v>
      </c>
      <c r="N29" s="60" t="s">
        <v>155</v>
      </c>
      <c r="O29" s="60" t="s">
        <v>155</v>
      </c>
      <c r="P29" s="65" t="s">
        <v>147</v>
      </c>
      <c r="Q29" s="65" t="str">
        <f>IFERROR(IF(_xlfn.SINGLE(dms_MAIFI_Flag)="Yes","N","Y"),"Y")</f>
        <v>Y</v>
      </c>
      <c r="R29" s="65" t="s">
        <v>155</v>
      </c>
      <c r="S29" s="65" t="s">
        <v>155</v>
      </c>
      <c r="T29" s="60" t="s">
        <v>154</v>
      </c>
      <c r="U29" s="60" t="s">
        <v>154</v>
      </c>
      <c r="V29" s="65" t="s">
        <v>155</v>
      </c>
      <c r="W29" s="60" t="str">
        <f>IFERROR(LEFT(_xlfn.SINGLE(dms_MAIFI_Flag)),"N")</f>
        <v>N</v>
      </c>
      <c r="X29" s="61" t="str">
        <f>IF('AER CF'!$C29="Vic","Y","N")</f>
        <v>N</v>
      </c>
      <c r="Y29" s="62"/>
    </row>
    <row r="30" spans="2:25">
      <c r="B30" s="78" t="s">
        <v>178</v>
      </c>
      <c r="C30" s="79" t="s">
        <v>162</v>
      </c>
      <c r="D30" s="79" t="s">
        <v>145</v>
      </c>
      <c r="E30" s="79" t="s">
        <v>146</v>
      </c>
      <c r="F30" s="80" t="s">
        <v>147</v>
      </c>
      <c r="G30" s="81" t="s">
        <v>147</v>
      </c>
      <c r="H30" s="81" t="s">
        <v>147</v>
      </c>
      <c r="I30" s="81" t="s">
        <v>147</v>
      </c>
      <c r="J30" s="81" t="s">
        <v>147</v>
      </c>
      <c r="K30" s="81" t="s">
        <v>147</v>
      </c>
      <c r="L30" s="81" t="s">
        <v>147</v>
      </c>
      <c r="M30" s="81" t="s">
        <v>147</v>
      </c>
      <c r="N30" s="81" t="s">
        <v>147</v>
      </c>
      <c r="O30" s="81" t="s">
        <v>147</v>
      </c>
      <c r="P30" s="80" t="s">
        <v>147</v>
      </c>
      <c r="Q30" s="80" t="s">
        <v>147</v>
      </c>
      <c r="R30" s="80" t="s">
        <v>147</v>
      </c>
      <c r="S30" s="80" t="s">
        <v>147</v>
      </c>
      <c r="T30" s="81" t="s">
        <v>147</v>
      </c>
      <c r="U30" s="81" t="s">
        <v>147</v>
      </c>
      <c r="V30" s="80" t="s">
        <v>147</v>
      </c>
      <c r="W30" s="81" t="s">
        <v>147</v>
      </c>
      <c r="X30" s="61" t="s">
        <v>147</v>
      </c>
      <c r="Y30" s="62" t="s">
        <v>147</v>
      </c>
    </row>
    <row r="31" spans="2:25">
      <c r="B31" s="82" t="s">
        <v>179</v>
      </c>
      <c r="C31" s="83" t="s">
        <v>164</v>
      </c>
      <c r="D31" s="83" t="s">
        <v>152</v>
      </c>
      <c r="E31" s="83" t="s">
        <v>153</v>
      </c>
      <c r="F31" s="80"/>
      <c r="G31" s="81" t="s">
        <v>154</v>
      </c>
      <c r="H31" s="81" t="s">
        <v>155</v>
      </c>
      <c r="I31" s="81"/>
      <c r="J31" s="81"/>
      <c r="K31" s="81" t="s">
        <v>155</v>
      </c>
      <c r="L31" s="81" t="s">
        <v>155</v>
      </c>
      <c r="M31" s="81" t="s">
        <v>155</v>
      </c>
      <c r="N31" s="81" t="s">
        <v>155</v>
      </c>
      <c r="O31" s="81" t="s">
        <v>155</v>
      </c>
      <c r="P31" s="80" t="s">
        <v>155</v>
      </c>
      <c r="Q31" s="80" t="str">
        <f>IFERROR(IF(_xlfn.SINGLE(dms_MAIFI_Flag)="Yes","N","Y"),"Y")</f>
        <v>Y</v>
      </c>
      <c r="R31" s="80" t="s">
        <v>154</v>
      </c>
      <c r="S31" s="80" t="s">
        <v>155</v>
      </c>
      <c r="T31" s="81" t="s">
        <v>154</v>
      </c>
      <c r="U31" s="81" t="s">
        <v>155</v>
      </c>
      <c r="V31" s="80" t="s">
        <v>155</v>
      </c>
      <c r="W31" s="81" t="str">
        <f>IFERROR(LEFT(_xlfn.SINGLE(dms_MAIFI_Flag)),"N")</f>
        <v>N</v>
      </c>
      <c r="X31" s="61" t="str">
        <f>IF('AER CF'!$C31="Vic","Y","N")</f>
        <v>N</v>
      </c>
      <c r="Y31" s="62"/>
    </row>
    <row r="32" spans="2:25">
      <c r="B32" s="63" t="s">
        <v>180</v>
      </c>
      <c r="C32" s="84" t="s">
        <v>181</v>
      </c>
      <c r="D32" s="84" t="s">
        <v>152</v>
      </c>
      <c r="E32" s="84" t="s">
        <v>153</v>
      </c>
      <c r="F32" s="80"/>
      <c r="G32" s="81" t="s">
        <v>154</v>
      </c>
      <c r="H32" s="81" t="s">
        <v>155</v>
      </c>
      <c r="I32" s="81"/>
      <c r="J32" s="81"/>
      <c r="K32" s="81" t="s">
        <v>155</v>
      </c>
      <c r="L32" s="81" t="s">
        <v>155</v>
      </c>
      <c r="M32" s="81" t="s">
        <v>155</v>
      </c>
      <c r="N32" s="81" t="s">
        <v>155</v>
      </c>
      <c r="O32" s="81" t="s">
        <v>155</v>
      </c>
      <c r="P32" s="80" t="s">
        <v>155</v>
      </c>
      <c r="Q32" s="80" t="str">
        <f>IFERROR(IF(_xlfn.SINGLE(dms_MAIFI_Flag)="Yes","N","Y"),"Y")</f>
        <v>Y</v>
      </c>
      <c r="R32" s="80" t="s">
        <v>154</v>
      </c>
      <c r="S32" s="80" t="s">
        <v>155</v>
      </c>
      <c r="T32" s="81" t="s">
        <v>154</v>
      </c>
      <c r="U32" s="81" t="s">
        <v>154</v>
      </c>
      <c r="V32" s="80" t="s">
        <v>155</v>
      </c>
      <c r="W32" s="81" t="str">
        <f>IFERROR(LEFT(_xlfn.SINGLE(dms_MAIFI_Flag)),"N")</f>
        <v>N</v>
      </c>
      <c r="X32" s="61" t="str">
        <f>IF('AER CF'!$C32="Vic","Y","N")</f>
        <v>N</v>
      </c>
      <c r="Y32" s="62"/>
    </row>
    <row r="33" spans="2:91">
      <c r="B33" s="73" t="s">
        <v>182</v>
      </c>
      <c r="C33" s="74" t="s">
        <v>181</v>
      </c>
      <c r="D33" s="74" t="s">
        <v>152</v>
      </c>
      <c r="E33" s="74" t="s">
        <v>146</v>
      </c>
      <c r="F33" s="65"/>
      <c r="G33" s="60" t="s">
        <v>155</v>
      </c>
      <c r="H33" s="60"/>
      <c r="I33" s="60"/>
      <c r="J33" s="60"/>
      <c r="K33" s="60" t="s">
        <v>155</v>
      </c>
      <c r="L33" s="60" t="s">
        <v>155</v>
      </c>
      <c r="M33" s="60" t="s">
        <v>155</v>
      </c>
      <c r="N33" s="60" t="s">
        <v>155</v>
      </c>
      <c r="O33" s="60" t="s">
        <v>155</v>
      </c>
      <c r="P33" s="65" t="s">
        <v>147</v>
      </c>
      <c r="Q33" s="65" t="str">
        <f>IFERROR(IF(_xlfn.SINGLE(dms_MAIFI_Flag)="Yes","N","Y"),"Y")</f>
        <v>Y</v>
      </c>
      <c r="R33" s="65" t="s">
        <v>155</v>
      </c>
      <c r="S33" s="65" t="s">
        <v>155</v>
      </c>
      <c r="T33" s="60" t="s">
        <v>154</v>
      </c>
      <c r="U33" s="60" t="s">
        <v>154</v>
      </c>
      <c r="V33" s="65" t="s">
        <v>155</v>
      </c>
      <c r="W33" s="60" t="str">
        <f>IFERROR(LEFT(_xlfn.SINGLE(dms_MAIFI_Flag)),"N")</f>
        <v>N</v>
      </c>
      <c r="X33" s="61" t="str">
        <f>IF('AER CF'!$C33="Vic","Y","N")</f>
        <v>N</v>
      </c>
      <c r="Y33" s="62"/>
    </row>
    <row r="34" spans="2:91">
      <c r="B34" s="73" t="s">
        <v>183</v>
      </c>
      <c r="C34" s="69" t="s">
        <v>151</v>
      </c>
      <c r="D34" s="69" t="s">
        <v>152</v>
      </c>
      <c r="E34" s="69" t="s">
        <v>146</v>
      </c>
      <c r="F34" s="65"/>
      <c r="G34" s="60" t="s">
        <v>155</v>
      </c>
      <c r="H34" s="60"/>
      <c r="I34" s="60"/>
      <c r="J34" s="60"/>
      <c r="K34" s="60" t="s">
        <v>155</v>
      </c>
      <c r="L34" s="60" t="s">
        <v>155</v>
      </c>
      <c r="M34" s="60" t="s">
        <v>155</v>
      </c>
      <c r="N34" s="60" t="s">
        <v>155</v>
      </c>
      <c r="O34" s="60" t="s">
        <v>155</v>
      </c>
      <c r="P34" s="65" t="s">
        <v>147</v>
      </c>
      <c r="Q34" s="65" t="str">
        <f>IFERROR(IF(_xlfn.SINGLE(dms_MAIFI_Flag)="Yes","N","Y"),"Y")</f>
        <v>Y</v>
      </c>
      <c r="R34" s="65" t="s">
        <v>155</v>
      </c>
      <c r="S34" s="65" t="s">
        <v>155</v>
      </c>
      <c r="T34" s="60" t="s">
        <v>154</v>
      </c>
      <c r="U34" s="60" t="s">
        <v>154</v>
      </c>
      <c r="V34" s="65" t="s">
        <v>155</v>
      </c>
      <c r="W34" s="60" t="str">
        <f>IFERROR(LEFT(_xlfn.SINGLE(dms_MAIFI_Flag)),"N")</f>
        <v>N</v>
      </c>
      <c r="X34" s="61" t="str">
        <f>IF('AER CF'!$C34="Vic","Y","N")</f>
        <v>N</v>
      </c>
      <c r="Y34" s="62"/>
    </row>
    <row r="35" spans="2:91" ht="15" thickBot="1">
      <c r="B35" s="85" t="s">
        <v>184</v>
      </c>
      <c r="C35" s="86" t="s">
        <v>149</v>
      </c>
      <c r="D35" s="86" t="s">
        <v>152</v>
      </c>
      <c r="E35" s="86" t="s">
        <v>153</v>
      </c>
      <c r="F35" s="87"/>
      <c r="G35" s="88" t="s">
        <v>155</v>
      </c>
      <c r="H35" s="88" t="s">
        <v>155</v>
      </c>
      <c r="I35" s="88"/>
      <c r="J35" s="88"/>
      <c r="K35" s="88" t="s">
        <v>155</v>
      </c>
      <c r="L35" s="88" t="s">
        <v>155</v>
      </c>
      <c r="M35" s="88" t="s">
        <v>155</v>
      </c>
      <c r="N35" s="88" t="s">
        <v>155</v>
      </c>
      <c r="O35" s="88" t="s">
        <v>155</v>
      </c>
      <c r="P35" s="87" t="s">
        <v>155</v>
      </c>
      <c r="Q35" s="87" t="str">
        <f>IFERROR(IF(_xlfn.SINGLE(dms_MAIFI_Flag)="Yes","N","Y"),"Y")</f>
        <v>Y</v>
      </c>
      <c r="R35" s="87" t="s">
        <v>155</v>
      </c>
      <c r="S35" s="87" t="s">
        <v>155</v>
      </c>
      <c r="T35" s="88" t="s">
        <v>155</v>
      </c>
      <c r="U35" s="88" t="s">
        <v>154</v>
      </c>
      <c r="V35" s="87" t="s">
        <v>155</v>
      </c>
      <c r="W35" s="88" t="str">
        <f>IFERROR(LEFT(_xlfn.SINGLE(dms_MAIFI_Flag)),"N")</f>
        <v>N</v>
      </c>
      <c r="X35" s="89" t="str">
        <f>IF('AER CF'!$C35="Vic","Y","N")</f>
        <v>Y</v>
      </c>
      <c r="Y35" s="90"/>
    </row>
    <row r="38" spans="2:91">
      <c r="B38" s="91" t="s">
        <v>12</v>
      </c>
    </row>
    <row r="39" spans="2:91">
      <c r="B39" s="92" t="s">
        <v>19</v>
      </c>
    </row>
    <row r="40" spans="2:91">
      <c r="AM40" s="1220"/>
      <c r="AN40" s="1220"/>
      <c r="AO40" s="1220"/>
      <c r="AP40" s="1220"/>
      <c r="AQ40" s="1220"/>
      <c r="AR40" s="1220"/>
      <c r="AS40" s="1220"/>
      <c r="AT40" s="1220"/>
      <c r="AU40" s="1220"/>
      <c r="AV40" s="1220"/>
      <c r="AW40" s="1220"/>
      <c r="AX40" s="1220"/>
      <c r="AY40" s="1220"/>
      <c r="AZ40" s="1220"/>
      <c r="BA40" s="1220"/>
      <c r="BB40" s="1220"/>
      <c r="BC40" s="1220"/>
      <c r="BD40" s="1220"/>
      <c r="BE40" s="1220"/>
      <c r="BF40" s="1220"/>
      <c r="BG40" s="1220"/>
      <c r="BH40" s="1220"/>
      <c r="BR40" s="1220"/>
      <c r="BS40" s="1220"/>
      <c r="BT40" s="1220"/>
      <c r="BU40" s="1220"/>
      <c r="BV40" s="1220"/>
      <c r="BW40" s="1220"/>
      <c r="BX40" s="1220"/>
      <c r="BY40" s="1220"/>
      <c r="BZ40" s="1220"/>
      <c r="CA40" s="1220"/>
      <c r="CB40" s="1220"/>
      <c r="CC40" s="1220"/>
      <c r="CD40" s="1220"/>
      <c r="CE40" s="1220"/>
      <c r="CF40" s="1220"/>
      <c r="CG40" s="1220"/>
      <c r="CH40" s="1220"/>
      <c r="CI40" s="1220"/>
      <c r="CJ40" s="1220"/>
      <c r="CK40" s="1220"/>
      <c r="CL40" s="1220"/>
      <c r="CM40" s="1220"/>
    </row>
    <row r="41" spans="2:91">
      <c r="B41" s="15" t="s">
        <v>185</v>
      </c>
      <c r="AM41" s="1220"/>
      <c r="AN41" s="1220"/>
      <c r="AO41" s="1220"/>
      <c r="AP41" s="1220"/>
      <c r="AQ41" s="1220"/>
      <c r="AR41" s="1220"/>
      <c r="AS41" s="1220"/>
      <c r="AT41" s="1220"/>
      <c r="AU41" s="1220"/>
      <c r="AV41" s="1220"/>
      <c r="AW41" s="1220"/>
      <c r="AX41" s="1220"/>
      <c r="AY41" s="1220"/>
      <c r="AZ41" s="1220"/>
      <c r="BA41" s="1220"/>
      <c r="BB41" s="1220"/>
      <c r="BC41" s="1220"/>
      <c r="BD41" s="1220"/>
      <c r="BE41" s="1220"/>
      <c r="BF41" s="1220"/>
      <c r="BG41" s="1220"/>
      <c r="BH41" s="1220"/>
      <c r="BR41" s="1220"/>
      <c r="BS41" s="1220"/>
      <c r="BT41" s="1220"/>
      <c r="BU41" s="1220"/>
      <c r="BV41" s="1220"/>
      <c r="BW41" s="1220"/>
      <c r="BX41" s="1220"/>
      <c r="BY41" s="1220"/>
      <c r="BZ41" s="1220"/>
      <c r="CA41" s="1220"/>
      <c r="CB41" s="1220"/>
      <c r="CC41" s="1220"/>
      <c r="CD41" s="1220"/>
      <c r="CE41" s="1220"/>
      <c r="CF41" s="1220"/>
      <c r="CG41" s="1220"/>
      <c r="CH41" s="1220"/>
      <c r="CI41" s="1220"/>
      <c r="CJ41" s="1220"/>
      <c r="CK41" s="1220"/>
      <c r="CL41" s="1220"/>
      <c r="CM41" s="1220"/>
    </row>
    <row r="42" spans="2:91">
      <c r="B42" s="93" t="s">
        <v>186</v>
      </c>
      <c r="C42" s="15"/>
      <c r="D42" s="93"/>
      <c r="E42" s="93"/>
      <c r="F42" s="15" t="s">
        <v>187</v>
      </c>
      <c r="G42" s="15"/>
      <c r="H42" s="15"/>
      <c r="AM42" s="1220"/>
      <c r="AN42" s="1220"/>
      <c r="AO42" s="1220"/>
      <c r="AP42" s="1220"/>
      <c r="AQ42" s="1220"/>
      <c r="AR42" s="1220"/>
      <c r="AS42" s="1220"/>
      <c r="AT42" s="1220"/>
      <c r="AU42" s="1220"/>
      <c r="AV42" s="1220"/>
      <c r="AW42" s="1220"/>
      <c r="AX42" s="1220"/>
      <c r="AY42" s="1220"/>
      <c r="AZ42" s="1220"/>
      <c r="BA42" s="1220"/>
      <c r="BB42" s="1220"/>
      <c r="BC42" s="1220"/>
      <c r="BD42" s="1220"/>
      <c r="BE42" s="1220"/>
      <c r="BF42" s="1220"/>
      <c r="BG42" s="1220"/>
      <c r="BH42" s="1220"/>
      <c r="BR42" s="1220"/>
      <c r="BS42" s="1220"/>
      <c r="BT42" s="1220"/>
      <c r="BU42" s="1220"/>
      <c r="BV42" s="1220"/>
      <c r="BW42" s="1220"/>
      <c r="BX42" s="1220"/>
      <c r="BY42" s="1220"/>
      <c r="BZ42" s="1220"/>
      <c r="CA42" s="1220"/>
      <c r="CB42" s="1220"/>
      <c r="CC42" s="1220"/>
      <c r="CD42" s="1220"/>
      <c r="CE42" s="1220"/>
      <c r="CF42" s="1220"/>
      <c r="CG42" s="1220"/>
      <c r="CH42" s="1220"/>
      <c r="CI42" s="1220"/>
      <c r="CJ42" s="1220"/>
      <c r="CK42" s="1220"/>
      <c r="CL42" s="1220"/>
      <c r="CM42" s="1220"/>
    </row>
    <row r="43" spans="2:91">
      <c r="B43" s="94"/>
      <c r="F43" s="95"/>
    </row>
    <row r="44" spans="2:91">
      <c r="B44" s="94" t="s">
        <v>188</v>
      </c>
      <c r="F44" s="94" t="s">
        <v>189</v>
      </c>
    </row>
    <row r="45" spans="2:91">
      <c r="B45" s="94" t="s">
        <v>190</v>
      </c>
      <c r="F45" s="94" t="s">
        <v>191</v>
      </c>
    </row>
    <row r="46" spans="2:91">
      <c r="B46" s="94" t="s">
        <v>192</v>
      </c>
      <c r="F46" s="94" t="s">
        <v>193</v>
      </c>
    </row>
    <row r="47" spans="2:91">
      <c r="B47" s="94" t="s">
        <v>194</v>
      </c>
      <c r="F47" s="95" t="s">
        <v>195</v>
      </c>
    </row>
    <row r="48" spans="2:91">
      <c r="B48" s="94" t="s">
        <v>196</v>
      </c>
      <c r="F48" s="94" t="s">
        <v>197</v>
      </c>
    </row>
    <row r="49" spans="2:6">
      <c r="B49" s="96" t="s">
        <v>198</v>
      </c>
      <c r="F49" s="96" t="s">
        <v>199</v>
      </c>
    </row>
    <row r="50" spans="2:6">
      <c r="B50" s="94"/>
    </row>
    <row r="52" spans="2:6">
      <c r="B52" s="95" t="s">
        <v>18</v>
      </c>
    </row>
    <row r="53" spans="2:6">
      <c r="B53" s="1" t="s">
        <v>200</v>
      </c>
    </row>
    <row r="54" spans="2:6">
      <c r="B54" s="1" t="s">
        <v>201</v>
      </c>
    </row>
    <row r="57" spans="2:6" ht="20.5" thickBot="1">
      <c r="B57" s="2" t="s">
        <v>202</v>
      </c>
      <c r="C57" s="97"/>
    </row>
    <row r="58" spans="2:6" ht="16" thickBot="1">
      <c r="B58" s="98" t="s">
        <v>203</v>
      </c>
      <c r="C58" s="97" t="s">
        <v>204</v>
      </c>
    </row>
    <row r="59" spans="2:6" ht="15.5">
      <c r="B59" s="99" t="s">
        <v>205</v>
      </c>
      <c r="C59" s="97" t="s">
        <v>206</v>
      </c>
    </row>
    <row r="60" spans="2:6">
      <c r="B60" s="100" t="s">
        <v>207</v>
      </c>
      <c r="C60" s="97" t="s">
        <v>208</v>
      </c>
    </row>
    <row r="61" spans="2:6">
      <c r="B61" s="101" t="s">
        <v>209</v>
      </c>
      <c r="C61" s="97" t="s">
        <v>210</v>
      </c>
    </row>
    <row r="62" spans="2:6">
      <c r="B62" s="102" t="s">
        <v>211</v>
      </c>
      <c r="C62" s="97" t="s">
        <v>212</v>
      </c>
    </row>
    <row r="63" spans="2:6">
      <c r="B63" s="103">
        <v>5.1109999999999998</v>
      </c>
      <c r="C63" s="97" t="s">
        <v>213</v>
      </c>
    </row>
    <row r="64" spans="2:6">
      <c r="B64" s="104">
        <v>5.45E-2</v>
      </c>
      <c r="C64" s="97" t="s">
        <v>214</v>
      </c>
    </row>
    <row r="65" spans="2:3">
      <c r="B65" s="105">
        <v>5.5555000000000003</v>
      </c>
      <c r="C65" s="97" t="s">
        <v>215</v>
      </c>
    </row>
    <row r="66" spans="2:3">
      <c r="B66" s="106" t="s">
        <v>216</v>
      </c>
      <c r="C66" s="97" t="s">
        <v>217</v>
      </c>
    </row>
    <row r="67" spans="2:3">
      <c r="B67" s="107" t="s">
        <v>216</v>
      </c>
      <c r="C67" t="s">
        <v>218</v>
      </c>
    </row>
    <row r="68" spans="2:3" ht="15" thickBot="1">
      <c r="B68" s="108" t="s">
        <v>216</v>
      </c>
      <c r="C68" s="97" t="s">
        <v>219</v>
      </c>
    </row>
    <row r="69" spans="2:3" ht="15" thickBot="1">
      <c r="B69" s="109" t="s">
        <v>220</v>
      </c>
      <c r="C69" s="97" t="s">
        <v>221</v>
      </c>
    </row>
    <row r="70" spans="2:3" ht="15" thickBot="1">
      <c r="B70" s="110" t="s">
        <v>220</v>
      </c>
      <c r="C70" t="s">
        <v>222</v>
      </c>
    </row>
    <row r="71" spans="2:3">
      <c r="B71" s="111" t="s">
        <v>223</v>
      </c>
      <c r="C71" t="s">
        <v>224</v>
      </c>
    </row>
    <row r="72" spans="2:3" ht="15" thickBot="1">
      <c r="B72" s="112">
        <v>2019</v>
      </c>
      <c r="C72" t="s">
        <v>225</v>
      </c>
    </row>
    <row r="73" spans="2:3" ht="15" thickBot="1">
      <c r="B73" s="113">
        <v>2019</v>
      </c>
      <c r="C73" t="s">
        <v>226</v>
      </c>
    </row>
    <row r="74" spans="2:3">
      <c r="B74" s="114" t="s">
        <v>227</v>
      </c>
      <c r="C74" t="s">
        <v>228</v>
      </c>
    </row>
    <row r="75" spans="2:3" ht="15" thickBot="1">
      <c r="B75" s="115">
        <v>2019</v>
      </c>
      <c r="C75" t="s">
        <v>229</v>
      </c>
    </row>
    <row r="76" spans="2:3" ht="15" thickBot="1">
      <c r="B76" s="116">
        <v>2019</v>
      </c>
      <c r="C76" t="s">
        <v>230</v>
      </c>
    </row>
    <row r="135" spans="3:3">
      <c r="C135" s="117"/>
    </row>
    <row r="136" spans="3:3">
      <c r="C136" s="117"/>
    </row>
  </sheetData>
  <mergeCells count="7">
    <mergeCell ref="AM42:BH42"/>
    <mergeCell ref="BR42:CM42"/>
    <mergeCell ref="B4:W4"/>
    <mergeCell ref="AM40:BH40"/>
    <mergeCell ref="BR40:CM40"/>
    <mergeCell ref="AM41:BH41"/>
    <mergeCell ref="BR41:CM41"/>
  </mergeCells>
  <conditionalFormatting sqref="F7:Y35">
    <cfRule type="cellIs" dxfId="17" priority="1" operator="equal">
      <formula>"Y"</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2848-EEBE-47B7-A04A-E605C0C0DCE9}">
  <sheetPr codeName="Sheet4">
    <tabColor theme="1"/>
  </sheetPr>
  <dimension ref="B1:CK252"/>
  <sheetViews>
    <sheetView workbookViewId="0"/>
  </sheetViews>
  <sheetFormatPr defaultColWidth="8.7265625" defaultRowHeight="14.5"/>
  <cols>
    <col min="2" max="2" width="47.26953125" bestFit="1" customWidth="1"/>
    <col min="3" max="3" width="40.7265625" customWidth="1"/>
    <col min="4" max="4" width="31.453125" bestFit="1" customWidth="1"/>
    <col min="5" max="5" width="33.1796875" bestFit="1" customWidth="1"/>
    <col min="6" max="6" width="43.1796875" customWidth="1"/>
    <col min="7" max="7" width="38.7265625" customWidth="1"/>
    <col min="8" max="8" width="27.453125" customWidth="1"/>
    <col min="9" max="9" width="28.1796875" customWidth="1"/>
    <col min="10" max="10" width="35.7265625" customWidth="1"/>
    <col min="11" max="11" width="31.81640625" customWidth="1"/>
    <col min="12" max="12" width="37" customWidth="1"/>
    <col min="13" max="13" width="28.26953125" customWidth="1"/>
    <col min="14" max="14" width="24.54296875" bestFit="1" customWidth="1"/>
    <col min="15" max="15" width="33" customWidth="1"/>
    <col min="16" max="16" width="47" customWidth="1"/>
    <col min="17" max="17" width="40.1796875" customWidth="1"/>
    <col min="18" max="18" width="24.81640625" bestFit="1" customWidth="1"/>
    <col min="19" max="19" width="22.7265625" bestFit="1" customWidth="1"/>
    <col min="20" max="20" width="22" bestFit="1" customWidth="1"/>
    <col min="23" max="23" width="9.1796875" customWidth="1"/>
  </cols>
  <sheetData>
    <row r="1" spans="2:28" ht="51" customHeight="1">
      <c r="B1" s="28" t="s">
        <v>231</v>
      </c>
      <c r="C1" s="29"/>
      <c r="D1" s="29"/>
      <c r="E1" s="29"/>
      <c r="F1" s="29"/>
      <c r="G1" s="29"/>
      <c r="H1" s="29"/>
      <c r="I1" s="29"/>
      <c r="J1" s="29"/>
      <c r="K1" s="29"/>
      <c r="L1" s="29"/>
      <c r="M1" s="29"/>
      <c r="N1" s="29"/>
    </row>
    <row r="2" spans="2:28" ht="30" customHeight="1"/>
    <row r="3" spans="2:28" ht="28.5">
      <c r="B3" s="118" t="s">
        <v>232</v>
      </c>
      <c r="C3" s="118"/>
      <c r="D3" s="118"/>
      <c r="E3" s="118"/>
      <c r="F3" s="118"/>
      <c r="G3" s="118"/>
      <c r="H3" s="118"/>
      <c r="I3" s="118"/>
      <c r="J3" s="118"/>
      <c r="K3" s="118"/>
      <c r="L3" s="118"/>
      <c r="M3" s="118"/>
      <c r="N3" s="118"/>
    </row>
    <row r="4" spans="2:28" ht="30" customHeight="1" thickBot="1"/>
    <row r="5" spans="2:28" ht="29.25" customHeight="1">
      <c r="B5" s="1234" t="s">
        <v>233</v>
      </c>
      <c r="C5" s="119" t="s">
        <v>234</v>
      </c>
      <c r="D5" s="119" t="s">
        <v>235</v>
      </c>
      <c r="E5" s="120"/>
      <c r="W5" s="18"/>
      <c r="X5" s="18"/>
      <c r="AA5" s="121"/>
      <c r="AB5" s="121"/>
    </row>
    <row r="6" spans="2:28" ht="15" customHeight="1">
      <c r="B6" s="1234"/>
      <c r="C6" s="122" t="s">
        <v>236</v>
      </c>
      <c r="D6" s="122" t="s">
        <v>236</v>
      </c>
      <c r="E6" s="120"/>
      <c r="W6" s="18"/>
      <c r="X6" s="18"/>
      <c r="AA6" s="121"/>
      <c r="AB6" s="121"/>
    </row>
    <row r="7" spans="2:28" ht="15" customHeight="1">
      <c r="B7" s="1234"/>
      <c r="C7" s="123" t="s">
        <v>237</v>
      </c>
      <c r="D7" s="124" t="s">
        <v>3</v>
      </c>
      <c r="E7" s="125"/>
      <c r="S7" s="18"/>
      <c r="T7" s="18"/>
      <c r="U7" s="18"/>
      <c r="V7" s="18"/>
      <c r="W7" s="18"/>
      <c r="X7" s="18"/>
    </row>
    <row r="8" spans="2:28" ht="15" customHeight="1">
      <c r="B8" s="1234"/>
      <c r="C8" s="126" t="s">
        <v>238</v>
      </c>
      <c r="D8" s="127" t="s">
        <v>12</v>
      </c>
      <c r="E8" s="125"/>
      <c r="S8" s="18"/>
      <c r="T8" s="18"/>
      <c r="U8" s="18"/>
      <c r="V8" s="18"/>
      <c r="W8" s="18"/>
      <c r="X8" s="18"/>
    </row>
    <row r="9" spans="2:28" ht="15" customHeight="1">
      <c r="B9" s="1234"/>
      <c r="C9" s="126" t="s">
        <v>2</v>
      </c>
      <c r="D9" s="127" t="s">
        <v>1228</v>
      </c>
      <c r="E9" s="125"/>
      <c r="S9" s="18"/>
      <c r="T9" s="18"/>
      <c r="U9" s="18"/>
      <c r="V9" s="18"/>
      <c r="W9" s="18"/>
      <c r="X9" s="18"/>
    </row>
    <row r="10" spans="2:28" ht="15.75" customHeight="1" thickBot="1">
      <c r="B10" s="1234"/>
      <c r="C10" s="128"/>
      <c r="D10" s="129"/>
      <c r="E10" s="125"/>
      <c r="S10" s="18"/>
      <c r="T10" s="18"/>
      <c r="U10" s="18"/>
      <c r="V10" s="18"/>
      <c r="W10" s="18"/>
      <c r="X10" s="18"/>
    </row>
    <row r="11" spans="2:28" ht="15" thickBot="1">
      <c r="B11" s="1234"/>
      <c r="C11" s="97"/>
      <c r="D11" s="130"/>
      <c r="E11" s="125"/>
      <c r="S11" s="18"/>
      <c r="T11" s="18"/>
      <c r="U11" s="18"/>
      <c r="V11" s="18"/>
      <c r="W11" s="18"/>
      <c r="X11" s="18"/>
    </row>
    <row r="12" spans="2:28" ht="84.5" thickBot="1">
      <c r="B12" s="1234"/>
      <c r="C12" s="131" t="s">
        <v>239</v>
      </c>
      <c r="D12" s="131" t="s">
        <v>240</v>
      </c>
      <c r="S12" s="18"/>
      <c r="T12" s="18"/>
      <c r="U12" s="18"/>
      <c r="V12" s="18"/>
      <c r="W12" s="18"/>
      <c r="X12" s="18"/>
    </row>
    <row r="13" spans="2:28" ht="24" customHeight="1" thickBot="1">
      <c r="B13" s="1234"/>
      <c r="C13" s="119" t="s">
        <v>241</v>
      </c>
      <c r="D13" s="119" t="s">
        <v>242</v>
      </c>
      <c r="G13" s="125"/>
      <c r="H13" s="1"/>
      <c r="S13" s="18"/>
      <c r="T13" s="18"/>
      <c r="U13" s="18"/>
      <c r="V13" s="18"/>
      <c r="W13" s="18"/>
      <c r="X13" s="18"/>
    </row>
    <row r="14" spans="2:28">
      <c r="B14" s="1234"/>
      <c r="C14" s="132" t="s">
        <v>236</v>
      </c>
      <c r="D14" s="133" t="s">
        <v>243</v>
      </c>
      <c r="G14" s="125"/>
      <c r="S14" s="18"/>
      <c r="T14" s="18"/>
      <c r="U14" s="18"/>
      <c r="V14" s="18"/>
      <c r="W14" s="18"/>
      <c r="X14" s="18"/>
    </row>
    <row r="15" spans="2:28">
      <c r="B15" s="1234"/>
      <c r="C15" s="127" t="s">
        <v>244</v>
      </c>
      <c r="D15" s="134" t="s">
        <v>245</v>
      </c>
      <c r="H15" s="1"/>
      <c r="S15" s="18"/>
      <c r="T15" s="18"/>
      <c r="U15" s="18"/>
      <c r="V15" s="18"/>
      <c r="W15" s="18"/>
      <c r="X15" s="18"/>
    </row>
    <row r="16" spans="2:28">
      <c r="B16" s="1234"/>
      <c r="C16" s="127" t="s">
        <v>246</v>
      </c>
      <c r="D16" s="134" t="s">
        <v>247</v>
      </c>
      <c r="H16" s="1"/>
      <c r="S16" s="18"/>
      <c r="T16" s="18"/>
      <c r="U16" s="18"/>
      <c r="V16" s="18"/>
      <c r="W16" s="18"/>
      <c r="X16" s="18"/>
    </row>
    <row r="17" spans="2:24" ht="15" thickBot="1">
      <c r="B17" s="1234"/>
      <c r="C17" s="127" t="s">
        <v>248</v>
      </c>
      <c r="D17" s="135" t="s">
        <v>249</v>
      </c>
      <c r="H17" s="1"/>
      <c r="S17" s="18"/>
      <c r="T17" s="18"/>
      <c r="U17" s="18"/>
      <c r="V17" s="18"/>
      <c r="W17" s="18"/>
      <c r="X17" s="18"/>
    </row>
    <row r="18" spans="2:24">
      <c r="B18" s="1234"/>
      <c r="C18" s="127" t="s">
        <v>250</v>
      </c>
      <c r="D18" s="97"/>
      <c r="S18" s="18"/>
      <c r="T18" s="18"/>
      <c r="U18" s="18"/>
      <c r="V18" s="18"/>
      <c r="W18" s="18"/>
      <c r="X18" s="18"/>
    </row>
    <row r="19" spans="2:24">
      <c r="B19" s="1234"/>
      <c r="C19" s="127" t="s">
        <v>251</v>
      </c>
      <c r="D19" s="97"/>
      <c r="S19" s="18"/>
      <c r="T19" s="18"/>
      <c r="U19" s="18"/>
      <c r="V19" s="18"/>
      <c r="W19" s="18"/>
      <c r="X19" s="18"/>
    </row>
    <row r="20" spans="2:24">
      <c r="B20" s="1234"/>
      <c r="C20" s="127" t="s">
        <v>252</v>
      </c>
      <c r="D20" s="97"/>
      <c r="J20" s="97"/>
      <c r="L20" s="136"/>
      <c r="O20" s="18"/>
      <c r="P20" s="18"/>
      <c r="Q20" s="18"/>
      <c r="R20" s="18"/>
      <c r="S20" s="18"/>
      <c r="T20" s="18"/>
      <c r="U20" s="18"/>
      <c r="V20" s="18"/>
      <c r="W20" s="18"/>
      <c r="X20" s="18"/>
    </row>
    <row r="21" spans="2:24">
      <c r="B21" s="1234"/>
      <c r="C21" s="127" t="s">
        <v>253</v>
      </c>
      <c r="D21" s="97"/>
      <c r="J21" s="97"/>
      <c r="L21" s="136"/>
      <c r="O21" s="18"/>
      <c r="P21" s="18"/>
      <c r="Q21" s="18"/>
      <c r="R21" s="18"/>
      <c r="S21" s="18"/>
      <c r="T21" s="18"/>
      <c r="U21" s="18"/>
      <c r="V21" s="18"/>
      <c r="W21" s="18"/>
      <c r="X21" s="18"/>
    </row>
    <row r="22" spans="2:24">
      <c r="B22" s="1234"/>
      <c r="C22" s="127" t="s">
        <v>254</v>
      </c>
      <c r="D22" s="97"/>
      <c r="J22" s="97"/>
      <c r="L22" s="136"/>
      <c r="O22" s="18"/>
      <c r="P22" s="18"/>
      <c r="Q22" s="18"/>
      <c r="R22" s="18"/>
      <c r="S22" s="18"/>
      <c r="T22" s="18"/>
      <c r="U22" s="18"/>
      <c r="V22" s="18"/>
      <c r="W22" s="18"/>
    </row>
    <row r="23" spans="2:24">
      <c r="B23" s="1234"/>
      <c r="C23" s="127" t="s">
        <v>255</v>
      </c>
      <c r="D23" s="97"/>
      <c r="J23" s="97"/>
      <c r="L23" s="136"/>
      <c r="O23" s="18"/>
      <c r="P23" s="18"/>
      <c r="Q23" s="18"/>
      <c r="R23" s="18"/>
      <c r="S23" s="18"/>
      <c r="T23" s="18"/>
      <c r="U23" s="18"/>
      <c r="V23" s="18"/>
      <c r="W23" s="18"/>
    </row>
    <row r="24" spans="2:24">
      <c r="B24" s="1234"/>
      <c r="C24" s="127" t="s">
        <v>256</v>
      </c>
      <c r="D24" s="97"/>
      <c r="J24" s="97"/>
      <c r="L24" s="136"/>
      <c r="O24" s="18"/>
      <c r="P24" s="18"/>
      <c r="Q24" s="18"/>
      <c r="R24" s="18"/>
      <c r="S24" s="18"/>
      <c r="T24" s="18"/>
      <c r="U24" s="18"/>
      <c r="V24" s="18"/>
      <c r="W24" s="18"/>
    </row>
    <row r="25" spans="2:24">
      <c r="B25" s="1234"/>
      <c r="C25" s="127" t="s">
        <v>257</v>
      </c>
      <c r="D25" s="97"/>
      <c r="J25" s="97"/>
      <c r="L25" s="136"/>
      <c r="O25" s="18"/>
      <c r="P25" s="18"/>
      <c r="Q25" s="18"/>
      <c r="R25" s="18"/>
      <c r="S25" s="18"/>
      <c r="T25" s="18"/>
      <c r="U25" s="18"/>
      <c r="V25" s="18"/>
      <c r="W25" s="18"/>
    </row>
    <row r="26" spans="2:24">
      <c r="B26" s="1234"/>
      <c r="C26" s="127" t="s">
        <v>258</v>
      </c>
      <c r="D26" s="97"/>
      <c r="J26" s="97"/>
      <c r="L26" s="136"/>
      <c r="O26" s="18"/>
      <c r="P26" s="18"/>
      <c r="Q26" s="18"/>
      <c r="R26" s="18"/>
      <c r="S26" s="18"/>
      <c r="T26" s="18"/>
      <c r="U26" s="18"/>
      <c r="V26" s="18"/>
      <c r="W26" s="18"/>
    </row>
    <row r="27" spans="2:24">
      <c r="B27" s="1234"/>
      <c r="C27" s="127" t="s">
        <v>259</v>
      </c>
      <c r="D27" s="97"/>
      <c r="G27" s="125"/>
      <c r="J27" s="97"/>
      <c r="L27" s="136"/>
      <c r="O27" s="18"/>
      <c r="P27" s="18"/>
      <c r="Q27" s="18"/>
      <c r="R27" s="18"/>
      <c r="S27" s="18"/>
      <c r="T27" s="18"/>
      <c r="U27" s="18"/>
      <c r="V27" s="18"/>
      <c r="W27" s="18"/>
    </row>
    <row r="28" spans="2:24">
      <c r="B28" s="1234"/>
      <c r="C28" s="127" t="s">
        <v>4</v>
      </c>
      <c r="D28" s="97"/>
      <c r="G28" s="125"/>
      <c r="J28" s="97"/>
      <c r="L28" s="136"/>
      <c r="O28" s="18"/>
      <c r="P28" s="18"/>
      <c r="Q28" s="18"/>
      <c r="R28" s="18"/>
      <c r="S28" s="18"/>
      <c r="T28" s="18"/>
      <c r="U28" s="18"/>
      <c r="V28" s="18"/>
      <c r="W28" s="18"/>
    </row>
    <row r="29" spans="2:24" ht="15" thickBot="1">
      <c r="B29" s="1234"/>
      <c r="C29" s="137" t="s">
        <v>260</v>
      </c>
      <c r="D29" s="97"/>
      <c r="G29" s="125"/>
      <c r="J29" s="97"/>
      <c r="L29" s="136"/>
      <c r="O29" s="18"/>
      <c r="P29" s="18"/>
      <c r="Q29" s="18"/>
      <c r="R29" s="18"/>
      <c r="S29" s="18"/>
      <c r="T29" s="18"/>
      <c r="U29" s="18"/>
      <c r="V29" s="18"/>
      <c r="W29" s="18"/>
    </row>
    <row r="30" spans="2:24" ht="15" customHeight="1">
      <c r="B30" s="138"/>
      <c r="G30" s="125"/>
      <c r="I30" s="1"/>
      <c r="J30" s="97"/>
      <c r="K30" s="1"/>
      <c r="L30" s="136"/>
      <c r="O30" s="18"/>
      <c r="P30" s="18"/>
      <c r="Q30" s="18"/>
      <c r="R30" s="18"/>
      <c r="S30" s="18"/>
      <c r="T30" s="18"/>
      <c r="U30" s="18"/>
      <c r="V30" s="18"/>
      <c r="W30" s="18"/>
    </row>
    <row r="31" spans="2:24" ht="28.5">
      <c r="B31" s="138"/>
    </row>
    <row r="32" spans="2:24" ht="29" thickBot="1">
      <c r="B32" s="138"/>
      <c r="D32" s="97"/>
      <c r="G32" s="125"/>
      <c r="K32" s="139" t="s">
        <v>261</v>
      </c>
      <c r="M32" s="136"/>
      <c r="N32" t="s">
        <v>262</v>
      </c>
      <c r="P32" s="18"/>
      <c r="Q32" s="18"/>
      <c r="R32" s="18"/>
      <c r="S32" s="18"/>
      <c r="T32" s="18"/>
      <c r="U32" s="18"/>
      <c r="V32" s="18"/>
      <c r="W32" s="18"/>
      <c r="X32" s="18"/>
    </row>
    <row r="33" spans="2:89" ht="30.75" customHeight="1" thickBot="1">
      <c r="B33" s="1235" t="s">
        <v>263</v>
      </c>
      <c r="C33" s="140" t="s">
        <v>264</v>
      </c>
      <c r="D33" s="141" t="s">
        <v>265</v>
      </c>
      <c r="E33" s="140" t="s">
        <v>266</v>
      </c>
      <c r="F33" s="141" t="s">
        <v>267</v>
      </c>
      <c r="G33" s="140" t="s">
        <v>268</v>
      </c>
      <c r="H33" s="142" t="s">
        <v>269</v>
      </c>
      <c r="I33" s="143" t="s">
        <v>270</v>
      </c>
      <c r="J33" s="144" t="s">
        <v>271</v>
      </c>
      <c r="K33" s="145" t="s">
        <v>272</v>
      </c>
      <c r="L33" s="146"/>
      <c r="N33" s="143" t="s">
        <v>273</v>
      </c>
      <c r="R33" s="18"/>
      <c r="S33" s="18"/>
      <c r="T33" s="18"/>
      <c r="U33" s="18"/>
      <c r="V33" s="18"/>
      <c r="W33" s="18"/>
    </row>
    <row r="34" spans="2:89" ht="15" customHeight="1">
      <c r="B34" s="1235"/>
      <c r="C34" s="147" t="s">
        <v>274</v>
      </c>
      <c r="D34" s="148" t="s">
        <v>275</v>
      </c>
      <c r="E34" s="149" t="s">
        <v>276</v>
      </c>
      <c r="F34" s="150" t="s">
        <v>277</v>
      </c>
      <c r="G34" s="151" t="s">
        <v>276</v>
      </c>
      <c r="H34" s="152" t="s">
        <v>278</v>
      </c>
      <c r="I34" s="153" t="s">
        <v>279</v>
      </c>
      <c r="J34" s="154" t="s">
        <v>280</v>
      </c>
      <c r="K34" s="1236" t="s">
        <v>279</v>
      </c>
      <c r="L34" s="155" t="s">
        <v>280</v>
      </c>
      <c r="N34" s="156" t="s">
        <v>281</v>
      </c>
      <c r="R34" s="18"/>
      <c r="S34" s="18"/>
      <c r="T34" s="18"/>
      <c r="U34" s="18"/>
      <c r="V34" s="18"/>
      <c r="W34" s="18"/>
      <c r="AK34" s="1220"/>
      <c r="AL34" s="1220"/>
      <c r="AM34" s="1220"/>
      <c r="AN34" s="1220"/>
      <c r="AO34" s="1220"/>
      <c r="AP34" s="1220"/>
      <c r="AQ34" s="1220"/>
      <c r="AR34" s="1220"/>
      <c r="AS34" s="1220"/>
      <c r="AT34" s="1220"/>
      <c r="AU34" s="1220"/>
      <c r="AV34" s="1220"/>
      <c r="AW34" s="1220"/>
      <c r="AX34" s="1220"/>
      <c r="AY34" s="1220"/>
      <c r="AZ34" s="1220"/>
      <c r="BA34" s="1220"/>
      <c r="BB34" s="1220"/>
      <c r="BC34" s="1220"/>
      <c r="BD34" s="1220"/>
      <c r="BE34" s="1220"/>
      <c r="BF34" s="1220"/>
      <c r="BP34" s="1220"/>
      <c r="BQ34" s="1220"/>
      <c r="BR34" s="1220"/>
      <c r="BS34" s="1220"/>
      <c r="BT34" s="1220"/>
      <c r="BU34" s="1220"/>
      <c r="BV34" s="1220"/>
      <c r="BW34" s="1220"/>
      <c r="BX34" s="1220"/>
      <c r="BY34" s="1220"/>
      <c r="BZ34" s="1220"/>
      <c r="CA34" s="1220"/>
      <c r="CB34" s="1220"/>
      <c r="CC34" s="1220"/>
      <c r="CD34" s="1220"/>
      <c r="CE34" s="1220"/>
      <c r="CF34" s="1220"/>
      <c r="CG34" s="1220"/>
      <c r="CH34" s="1220"/>
      <c r="CI34" s="1220"/>
      <c r="CJ34" s="1220"/>
      <c r="CK34" s="1220"/>
    </row>
    <row r="35" spans="2:89" ht="15" customHeight="1">
      <c r="B35" s="1235"/>
      <c r="C35" s="157" t="s">
        <v>282</v>
      </c>
      <c r="D35" s="158" t="s">
        <v>283</v>
      </c>
      <c r="E35" s="159" t="s">
        <v>284</v>
      </c>
      <c r="F35" s="159" t="s">
        <v>285</v>
      </c>
      <c r="G35" s="160" t="s">
        <v>284</v>
      </c>
      <c r="H35" s="161" t="s">
        <v>286</v>
      </c>
      <c r="I35" s="162" t="s">
        <v>287</v>
      </c>
      <c r="J35" s="163" t="s">
        <v>288</v>
      </c>
      <c r="K35" s="1237"/>
      <c r="L35" s="164" t="s">
        <v>288</v>
      </c>
      <c r="N35" s="165" t="s">
        <v>289</v>
      </c>
      <c r="R35" s="18"/>
      <c r="S35" s="18"/>
      <c r="T35" s="18"/>
      <c r="U35" s="18"/>
      <c r="V35" s="18"/>
      <c r="W35" s="18"/>
      <c r="AK35" s="1220"/>
      <c r="AL35" s="1220"/>
      <c r="AM35" s="1220"/>
      <c r="AN35" s="1220"/>
      <c r="AO35" s="1220"/>
      <c r="AP35" s="1220"/>
      <c r="AQ35" s="1220"/>
      <c r="AR35" s="1220"/>
      <c r="AS35" s="1220"/>
      <c r="AT35" s="1220"/>
      <c r="AU35" s="1220"/>
      <c r="AV35" s="1220"/>
      <c r="AW35" s="1220"/>
      <c r="AX35" s="1220"/>
      <c r="AY35" s="1220"/>
      <c r="AZ35" s="1220"/>
      <c r="BA35" s="1220"/>
      <c r="BB35" s="1220"/>
      <c r="BC35" s="1220"/>
      <c r="BD35" s="1220"/>
      <c r="BE35" s="1220"/>
      <c r="BF35" s="1220"/>
      <c r="BP35" s="1220"/>
      <c r="BQ35" s="1220"/>
      <c r="BR35" s="1220"/>
      <c r="BS35" s="1220"/>
      <c r="BT35" s="1220"/>
      <c r="BU35" s="1220"/>
      <c r="BV35" s="1220"/>
      <c r="BW35" s="1220"/>
      <c r="BX35" s="1220"/>
      <c r="BY35" s="1220"/>
      <c r="BZ35" s="1220"/>
      <c r="CA35" s="1220"/>
      <c r="CB35" s="1220"/>
      <c r="CC35" s="1220"/>
      <c r="CD35" s="1220"/>
      <c r="CE35" s="1220"/>
      <c r="CF35" s="1220"/>
      <c r="CG35" s="1220"/>
      <c r="CH35" s="1220"/>
      <c r="CI35" s="1220"/>
      <c r="CJ35" s="1220"/>
      <c r="CK35" s="1220"/>
    </row>
    <row r="36" spans="2:89" ht="15.75" customHeight="1">
      <c r="B36" s="1235"/>
      <c r="C36" s="157" t="s">
        <v>290</v>
      </c>
      <c r="D36" s="158" t="s">
        <v>291</v>
      </c>
      <c r="E36" s="166" t="s">
        <v>292</v>
      </c>
      <c r="F36" s="159" t="s">
        <v>293</v>
      </c>
      <c r="G36" s="167" t="s">
        <v>292</v>
      </c>
      <c r="H36" s="161" t="s">
        <v>294</v>
      </c>
      <c r="I36" s="162" t="s">
        <v>295</v>
      </c>
      <c r="J36" s="168" t="s">
        <v>295</v>
      </c>
      <c r="K36" s="1238"/>
      <c r="L36" s="169" t="s">
        <v>295</v>
      </c>
      <c r="N36" s="165" t="s">
        <v>296</v>
      </c>
      <c r="R36" s="18"/>
      <c r="S36" s="18"/>
      <c r="T36" s="18"/>
      <c r="U36" s="18"/>
      <c r="V36" s="18"/>
      <c r="W36" s="18"/>
      <c r="AK36" s="1220"/>
      <c r="AL36" s="1220"/>
      <c r="AM36" s="1220"/>
      <c r="AN36" s="1220"/>
      <c r="AO36" s="1220"/>
      <c r="AP36" s="1220"/>
      <c r="AQ36" s="1220"/>
      <c r="AR36" s="1220"/>
      <c r="AS36" s="1220"/>
      <c r="AT36" s="1220"/>
      <c r="AU36" s="1220"/>
      <c r="AV36" s="1220"/>
      <c r="AW36" s="1220"/>
      <c r="AX36" s="1220"/>
      <c r="AY36" s="1220"/>
      <c r="AZ36" s="1220"/>
      <c r="BA36" s="1220"/>
      <c r="BB36" s="1220"/>
      <c r="BC36" s="1220"/>
      <c r="BD36" s="1220"/>
      <c r="BE36" s="1220"/>
      <c r="BF36" s="1220"/>
      <c r="BP36" s="1220"/>
      <c r="BQ36" s="1220"/>
      <c r="BR36" s="1220"/>
      <c r="BS36" s="1220"/>
      <c r="BT36" s="1220"/>
      <c r="BU36" s="1220"/>
      <c r="BV36" s="1220"/>
      <c r="BW36" s="1220"/>
      <c r="BX36" s="1220"/>
      <c r="BY36" s="1220"/>
      <c r="BZ36" s="1220"/>
      <c r="CA36" s="1220"/>
      <c r="CB36" s="1220"/>
      <c r="CC36" s="1220"/>
      <c r="CD36" s="1220"/>
      <c r="CE36" s="1220"/>
      <c r="CF36" s="1220"/>
      <c r="CG36" s="1220"/>
      <c r="CH36" s="1220"/>
      <c r="CI36" s="1220"/>
      <c r="CJ36" s="1220"/>
      <c r="CK36" s="1220"/>
    </row>
    <row r="37" spans="2:89" ht="15.75" customHeight="1">
      <c r="B37" s="1235"/>
      <c r="C37" s="157" t="s">
        <v>295</v>
      </c>
      <c r="D37" s="158" t="s">
        <v>295</v>
      </c>
      <c r="E37" s="166" t="s">
        <v>297</v>
      </c>
      <c r="F37" s="159" t="s">
        <v>298</v>
      </c>
      <c r="G37" s="167" t="s">
        <v>297</v>
      </c>
      <c r="H37" s="161" t="s">
        <v>299</v>
      </c>
      <c r="I37" s="162" t="s">
        <v>300</v>
      </c>
      <c r="J37" s="170" t="s">
        <v>301</v>
      </c>
      <c r="K37" s="1239" t="s">
        <v>287</v>
      </c>
      <c r="L37" s="171" t="s">
        <v>301</v>
      </c>
      <c r="N37" s="165" t="s">
        <v>302</v>
      </c>
      <c r="R37" s="18"/>
      <c r="S37" s="18"/>
      <c r="T37" s="18"/>
      <c r="U37" s="18"/>
      <c r="V37" s="18"/>
      <c r="W37" s="18"/>
    </row>
    <row r="38" spans="2:89" ht="15" customHeight="1">
      <c r="B38" s="1235"/>
      <c r="C38" s="172"/>
      <c r="D38" s="173"/>
      <c r="E38" s="166" t="s">
        <v>303</v>
      </c>
      <c r="F38" s="159" t="s">
        <v>304</v>
      </c>
      <c r="G38" s="167" t="s">
        <v>305</v>
      </c>
      <c r="H38" s="161" t="s">
        <v>306</v>
      </c>
      <c r="I38" s="162" t="s">
        <v>307</v>
      </c>
      <c r="J38" s="174" t="s">
        <v>308</v>
      </c>
      <c r="K38" s="1237"/>
      <c r="L38" s="164" t="s">
        <v>308</v>
      </c>
      <c r="N38" s="165" t="s">
        <v>309</v>
      </c>
      <c r="R38" s="18"/>
      <c r="S38" s="18"/>
      <c r="T38" s="18"/>
      <c r="U38" s="18"/>
      <c r="V38" s="18"/>
      <c r="W38" s="18"/>
    </row>
    <row r="39" spans="2:89" ht="15" customHeight="1">
      <c r="B39" s="1235"/>
      <c r="C39" s="172"/>
      <c r="D39" s="173"/>
      <c r="E39" s="166" t="s">
        <v>310</v>
      </c>
      <c r="F39" s="159" t="s">
        <v>311</v>
      </c>
      <c r="G39" s="167" t="s">
        <v>303</v>
      </c>
      <c r="H39" s="161" t="s">
        <v>312</v>
      </c>
      <c r="I39" s="162" t="s">
        <v>313</v>
      </c>
      <c r="J39" s="174" t="s">
        <v>314</v>
      </c>
      <c r="K39" s="1237"/>
      <c r="L39" s="164" t="s">
        <v>314</v>
      </c>
      <c r="N39" s="165" t="s">
        <v>315</v>
      </c>
      <c r="U39" s="18"/>
      <c r="V39" s="18"/>
      <c r="W39" s="18"/>
    </row>
    <row r="40" spans="2:89" ht="15" customHeight="1">
      <c r="B40" s="1235"/>
      <c r="C40" s="172"/>
      <c r="D40" s="173"/>
      <c r="E40" s="166" t="s">
        <v>316</v>
      </c>
      <c r="F40" s="159" t="s">
        <v>317</v>
      </c>
      <c r="G40" s="167" t="s">
        <v>310</v>
      </c>
      <c r="H40" s="161" t="s">
        <v>318</v>
      </c>
      <c r="I40" s="162" t="s">
        <v>319</v>
      </c>
      <c r="J40" s="174" t="s">
        <v>282</v>
      </c>
      <c r="K40" s="1237"/>
      <c r="L40" s="164" t="s">
        <v>282</v>
      </c>
      <c r="N40" s="165" t="s">
        <v>320</v>
      </c>
      <c r="R40" s="18"/>
      <c r="S40" s="18"/>
      <c r="T40" s="18"/>
      <c r="U40" s="18"/>
      <c r="V40" s="18"/>
      <c r="W40" s="18"/>
    </row>
    <row r="41" spans="2:89" ht="15.75" customHeight="1">
      <c r="B41" s="1235"/>
      <c r="C41" s="172"/>
      <c r="D41" s="173"/>
      <c r="E41" s="175"/>
      <c r="F41" s="159" t="s">
        <v>321</v>
      </c>
      <c r="G41" s="167" t="s">
        <v>316</v>
      </c>
      <c r="H41" s="161" t="s">
        <v>322</v>
      </c>
      <c r="I41" s="162" t="s">
        <v>323</v>
      </c>
      <c r="J41" s="176" t="s">
        <v>324</v>
      </c>
      <c r="K41" s="1238"/>
      <c r="L41" s="169" t="s">
        <v>324</v>
      </c>
      <c r="N41" s="165" t="s">
        <v>325</v>
      </c>
      <c r="R41" s="18"/>
      <c r="S41" s="18"/>
      <c r="T41" s="18"/>
      <c r="U41" s="18"/>
      <c r="V41" s="18"/>
      <c r="W41" s="18"/>
    </row>
    <row r="42" spans="2:89" ht="15" customHeight="1">
      <c r="B42" s="1235"/>
      <c r="C42" s="172"/>
      <c r="D42" s="173"/>
      <c r="E42" s="175"/>
      <c r="F42" s="159" t="s">
        <v>326</v>
      </c>
      <c r="G42" s="177"/>
      <c r="H42" s="161" t="s">
        <v>327</v>
      </c>
      <c r="I42" s="162" t="s">
        <v>299</v>
      </c>
      <c r="J42" s="178" t="s">
        <v>328</v>
      </c>
      <c r="K42" s="179" t="s">
        <v>295</v>
      </c>
      <c r="L42" s="180" t="s">
        <v>328</v>
      </c>
      <c r="N42" s="165" t="s">
        <v>329</v>
      </c>
      <c r="R42" s="18"/>
      <c r="S42" s="18"/>
      <c r="T42" s="18"/>
      <c r="U42" s="18"/>
      <c r="V42" s="18"/>
      <c r="W42" s="18"/>
    </row>
    <row r="43" spans="2:89" ht="15.75" customHeight="1">
      <c r="B43" s="1235"/>
      <c r="C43" s="172"/>
      <c r="D43" s="181"/>
      <c r="E43" s="175"/>
      <c r="F43" s="159" t="s">
        <v>330</v>
      </c>
      <c r="G43" s="177"/>
      <c r="H43" s="161" t="s">
        <v>295</v>
      </c>
      <c r="I43" s="162" t="s">
        <v>278</v>
      </c>
      <c r="J43" s="182" t="s">
        <v>331</v>
      </c>
      <c r="K43" s="183" t="s">
        <v>300</v>
      </c>
      <c r="L43" s="184"/>
      <c r="N43" s="165" t="s">
        <v>332</v>
      </c>
      <c r="R43" s="18"/>
      <c r="S43" s="18"/>
      <c r="T43" s="18"/>
      <c r="U43" s="18"/>
      <c r="V43" s="18"/>
      <c r="W43" s="18"/>
    </row>
    <row r="44" spans="2:89" ht="15.75" customHeight="1" thickBot="1">
      <c r="B44" s="1235"/>
      <c r="C44" s="172"/>
      <c r="D44" s="181"/>
      <c r="E44" s="175"/>
      <c r="F44" s="159" t="s">
        <v>333</v>
      </c>
      <c r="G44" s="177"/>
      <c r="H44" s="172"/>
      <c r="I44" s="162" t="s">
        <v>334</v>
      </c>
      <c r="J44" s="163" t="s">
        <v>335</v>
      </c>
      <c r="K44" s="183" t="s">
        <v>307</v>
      </c>
      <c r="L44" s="184"/>
      <c r="N44" s="165" t="s">
        <v>295</v>
      </c>
      <c r="R44" s="18"/>
      <c r="S44" s="18"/>
      <c r="T44" s="18"/>
      <c r="U44" s="18"/>
      <c r="V44" s="18"/>
      <c r="W44" s="18"/>
    </row>
    <row r="45" spans="2:89" ht="15" customHeight="1">
      <c r="B45" s="1235"/>
      <c r="C45" s="172"/>
      <c r="D45" s="181"/>
      <c r="E45" s="175"/>
      <c r="F45" s="159" t="s">
        <v>336</v>
      </c>
      <c r="G45" s="177"/>
      <c r="H45" s="172"/>
      <c r="I45" s="162" t="s">
        <v>337</v>
      </c>
      <c r="J45" s="185" t="s">
        <v>338</v>
      </c>
      <c r="K45" s="1239" t="s">
        <v>313</v>
      </c>
      <c r="L45" s="186" t="s">
        <v>331</v>
      </c>
      <c r="N45" s="173"/>
      <c r="R45" s="18"/>
      <c r="S45" s="18"/>
      <c r="T45" s="18"/>
      <c r="U45" s="18"/>
      <c r="V45" s="18"/>
      <c r="W45" s="18"/>
    </row>
    <row r="46" spans="2:89" ht="15.75" customHeight="1">
      <c r="B46" s="1235"/>
      <c r="C46" s="172"/>
      <c r="D46" s="181"/>
      <c r="E46" s="175"/>
      <c r="F46" s="159" t="s">
        <v>295</v>
      </c>
      <c r="G46" s="177"/>
      <c r="H46" s="172"/>
      <c r="I46" s="162" t="s">
        <v>339</v>
      </c>
      <c r="J46" s="174" t="s">
        <v>295</v>
      </c>
      <c r="K46" s="1238"/>
      <c r="L46" s="187" t="s">
        <v>335</v>
      </c>
      <c r="N46" s="173"/>
      <c r="R46" s="18"/>
      <c r="S46" s="18"/>
      <c r="T46" s="18"/>
      <c r="U46" s="18"/>
      <c r="V46" s="18"/>
      <c r="W46" s="18"/>
    </row>
    <row r="47" spans="2:89">
      <c r="B47" s="1235"/>
      <c r="C47" s="172"/>
      <c r="D47" s="173"/>
      <c r="E47" s="173"/>
      <c r="F47" s="173"/>
      <c r="G47" s="177"/>
      <c r="H47" s="172"/>
      <c r="I47" s="162" t="s">
        <v>340</v>
      </c>
      <c r="J47" s="174" t="s">
        <v>341</v>
      </c>
      <c r="K47" s="188" t="s">
        <v>319</v>
      </c>
      <c r="L47" s="189" t="s">
        <v>338</v>
      </c>
      <c r="N47" s="173"/>
    </row>
    <row r="48" spans="2:89">
      <c r="B48" s="1235"/>
      <c r="C48" s="172"/>
      <c r="D48" s="173"/>
      <c r="E48" s="173"/>
      <c r="F48" s="173"/>
      <c r="G48" s="177"/>
      <c r="H48" s="172"/>
      <c r="I48" s="162" t="s">
        <v>342</v>
      </c>
      <c r="J48" s="174" t="s">
        <v>343</v>
      </c>
      <c r="K48" s="188"/>
      <c r="L48" s="190" t="s">
        <v>295</v>
      </c>
      <c r="N48" s="173"/>
    </row>
    <row r="49" spans="2:23">
      <c r="B49" s="1235"/>
      <c r="C49" s="172"/>
      <c r="D49" s="173"/>
      <c r="E49" s="173"/>
      <c r="F49" s="173"/>
      <c r="G49" s="177"/>
      <c r="H49" s="172"/>
      <c r="I49" s="162" t="s">
        <v>344</v>
      </c>
      <c r="J49" s="163" t="s">
        <v>345</v>
      </c>
      <c r="K49" s="188"/>
      <c r="L49" s="190" t="s">
        <v>341</v>
      </c>
      <c r="N49" s="173"/>
    </row>
    <row r="50" spans="2:23">
      <c r="B50" s="1235"/>
      <c r="C50" s="172"/>
      <c r="D50" s="173"/>
      <c r="E50" s="173"/>
      <c r="F50" s="173"/>
      <c r="G50" s="177"/>
      <c r="H50" s="172"/>
      <c r="I50" s="173"/>
      <c r="J50" s="178" t="s">
        <v>323</v>
      </c>
      <c r="K50" s="188"/>
      <c r="L50" s="190" t="s">
        <v>343</v>
      </c>
      <c r="N50" s="173"/>
    </row>
    <row r="51" spans="2:23">
      <c r="B51" s="1235"/>
      <c r="C51" s="172"/>
      <c r="D51" s="173"/>
      <c r="E51" s="173"/>
      <c r="F51" s="173"/>
      <c r="G51" s="177"/>
      <c r="H51" s="172"/>
      <c r="I51" s="173"/>
      <c r="J51" s="182" t="s">
        <v>346</v>
      </c>
      <c r="K51" s="179"/>
      <c r="L51" s="187" t="s">
        <v>345</v>
      </c>
      <c r="N51" s="173"/>
    </row>
    <row r="52" spans="2:23">
      <c r="B52" s="1235"/>
      <c r="C52" s="172"/>
      <c r="D52" s="173"/>
      <c r="E52" s="173"/>
      <c r="F52" s="173"/>
      <c r="G52" s="177"/>
      <c r="H52" s="172"/>
      <c r="I52" s="173"/>
      <c r="J52" s="174" t="s">
        <v>347</v>
      </c>
      <c r="K52" s="179" t="s">
        <v>323</v>
      </c>
      <c r="L52" s="191" t="s">
        <v>323</v>
      </c>
      <c r="N52" s="173"/>
    </row>
    <row r="53" spans="2:23">
      <c r="B53" s="1235"/>
      <c r="C53" s="172"/>
      <c r="D53" s="173"/>
      <c r="E53" s="173"/>
      <c r="F53" s="173"/>
      <c r="G53" s="177"/>
      <c r="H53" s="172"/>
      <c r="I53" s="192"/>
      <c r="J53" s="174" t="s">
        <v>348</v>
      </c>
      <c r="K53" s="193" t="s">
        <v>299</v>
      </c>
      <c r="L53" s="194" t="s">
        <v>346</v>
      </c>
      <c r="N53" s="192"/>
      <c r="Q53" s="18"/>
      <c r="R53" s="18"/>
      <c r="S53" s="18"/>
      <c r="T53" s="18"/>
      <c r="U53" s="18"/>
      <c r="V53" s="18"/>
    </row>
    <row r="54" spans="2:23">
      <c r="B54" s="1235"/>
      <c r="C54" s="172"/>
      <c r="D54" s="173"/>
      <c r="E54" s="173"/>
      <c r="F54" s="173"/>
      <c r="G54" s="177"/>
      <c r="H54" s="172"/>
      <c r="I54" s="192"/>
      <c r="J54" s="174" t="s">
        <v>349</v>
      </c>
      <c r="K54" s="193"/>
      <c r="L54" s="190" t="s">
        <v>347</v>
      </c>
      <c r="N54" s="192"/>
      <c r="Q54" s="18"/>
      <c r="R54" s="18"/>
      <c r="S54" s="18"/>
      <c r="T54" s="18"/>
      <c r="U54" s="18"/>
      <c r="V54" s="18"/>
    </row>
    <row r="55" spans="2:23">
      <c r="B55" s="1235"/>
      <c r="C55" s="172"/>
      <c r="D55" s="173"/>
      <c r="E55" s="173"/>
      <c r="F55" s="173"/>
      <c r="G55" s="177"/>
      <c r="H55" s="172"/>
      <c r="I55" s="192"/>
      <c r="J55" s="195"/>
      <c r="K55" s="193"/>
      <c r="L55" s="190" t="s">
        <v>348</v>
      </c>
      <c r="N55" s="192"/>
      <c r="Q55" s="18"/>
      <c r="R55" s="18"/>
      <c r="S55" s="18"/>
      <c r="T55" s="18"/>
      <c r="U55" s="18"/>
      <c r="V55" s="18"/>
    </row>
    <row r="56" spans="2:23" ht="15" thickBot="1">
      <c r="B56" s="1235"/>
      <c r="C56" s="196"/>
      <c r="D56" s="197"/>
      <c r="E56" s="197"/>
      <c r="F56" s="197"/>
      <c r="G56" s="198"/>
      <c r="H56" s="196"/>
      <c r="I56" s="199"/>
      <c r="J56" s="200"/>
      <c r="K56" s="201"/>
      <c r="L56" s="187" t="s">
        <v>349</v>
      </c>
      <c r="N56" s="199"/>
      <c r="Q56" s="18"/>
      <c r="R56" s="18"/>
      <c r="S56" s="18"/>
      <c r="T56" s="18"/>
      <c r="U56" s="18"/>
      <c r="V56" s="18"/>
    </row>
    <row r="57" spans="2:23">
      <c r="I57" s="18"/>
      <c r="K57" s="179" t="s">
        <v>278</v>
      </c>
      <c r="L57" s="184"/>
      <c r="Q57" s="18"/>
      <c r="R57" s="18"/>
      <c r="S57" s="18"/>
      <c r="T57" s="18"/>
      <c r="U57" s="18"/>
      <c r="V57" s="18"/>
    </row>
    <row r="58" spans="2:23">
      <c r="I58" s="18"/>
      <c r="K58" s="202" t="s">
        <v>334</v>
      </c>
      <c r="L58" s="184"/>
      <c r="Q58" s="18"/>
      <c r="R58" s="18"/>
      <c r="S58" s="18"/>
      <c r="T58" s="18"/>
      <c r="U58" s="18"/>
      <c r="V58" s="18"/>
    </row>
    <row r="59" spans="2:23" ht="15.75" customHeight="1">
      <c r="I59" s="18"/>
      <c r="K59" s="203" t="s">
        <v>337</v>
      </c>
      <c r="L59" s="184"/>
      <c r="Q59" s="18"/>
      <c r="R59" s="18"/>
      <c r="S59" s="18"/>
      <c r="T59" s="18"/>
      <c r="U59" s="18"/>
      <c r="V59" s="18"/>
    </row>
    <row r="60" spans="2:23">
      <c r="I60" s="18"/>
      <c r="K60" s="203" t="s">
        <v>339</v>
      </c>
      <c r="L60" s="184"/>
      <c r="Q60" s="18"/>
      <c r="R60" s="18"/>
      <c r="S60" s="18"/>
      <c r="T60" s="18"/>
      <c r="U60" s="18"/>
      <c r="V60" s="18"/>
    </row>
    <row r="61" spans="2:23">
      <c r="I61" s="18"/>
      <c r="K61" s="203" t="s">
        <v>340</v>
      </c>
      <c r="L61" s="184"/>
      <c r="Q61" s="18"/>
      <c r="R61" s="18"/>
      <c r="S61" s="18"/>
      <c r="T61" s="18"/>
      <c r="U61" s="18"/>
      <c r="V61" s="18"/>
    </row>
    <row r="62" spans="2:23">
      <c r="I62" s="18"/>
      <c r="K62" s="203" t="s">
        <v>342</v>
      </c>
      <c r="L62" s="184"/>
      <c r="Q62" s="18"/>
      <c r="R62" s="18"/>
      <c r="S62" s="18"/>
      <c r="T62" s="18"/>
      <c r="U62" s="18"/>
      <c r="V62" s="18"/>
    </row>
    <row r="63" spans="2:23" ht="15" thickBot="1">
      <c r="I63" s="18"/>
      <c r="K63" s="204" t="s">
        <v>344</v>
      </c>
      <c r="L63" s="205"/>
      <c r="Q63" s="18"/>
      <c r="R63" s="18"/>
      <c r="S63" s="18"/>
      <c r="T63" s="18"/>
      <c r="U63" s="18"/>
      <c r="V63" s="18"/>
    </row>
    <row r="64" spans="2:23">
      <c r="I64" s="18"/>
      <c r="J64" s="18"/>
      <c r="K64" s="18"/>
      <c r="R64" s="18"/>
      <c r="S64" s="18"/>
      <c r="T64" s="18"/>
      <c r="U64" s="18"/>
      <c r="V64" s="18"/>
      <c r="W64" s="18"/>
    </row>
    <row r="65" spans="2:23" ht="29" thickBot="1">
      <c r="B65" s="138"/>
      <c r="K65" s="97"/>
      <c r="L65" s="136"/>
      <c r="O65" s="18"/>
      <c r="P65" s="18"/>
      <c r="Q65" s="18"/>
      <c r="R65" s="18"/>
      <c r="S65" s="18"/>
      <c r="T65" s="18"/>
      <c r="U65" s="18"/>
      <c r="V65" s="18"/>
      <c r="W65" s="18"/>
    </row>
    <row r="66" spans="2:23" ht="28.5" thickBot="1">
      <c r="B66" s="1240" t="s">
        <v>350</v>
      </c>
      <c r="C66" s="140" t="s">
        <v>351</v>
      </c>
      <c r="D66" s="141" t="s">
        <v>352</v>
      </c>
      <c r="E66" s="140" t="s">
        <v>353</v>
      </c>
      <c r="F66" s="141" t="s">
        <v>354</v>
      </c>
      <c r="G66" s="140" t="s">
        <v>355</v>
      </c>
      <c r="J66" s="97"/>
      <c r="K66" s="97"/>
      <c r="L66" s="136"/>
      <c r="O66" s="18"/>
      <c r="P66" s="18"/>
      <c r="Q66" s="18"/>
      <c r="R66" s="18"/>
      <c r="S66" s="18"/>
      <c r="T66" s="18"/>
      <c r="U66" s="18"/>
      <c r="V66" s="18"/>
      <c r="W66" s="18"/>
    </row>
    <row r="67" spans="2:23">
      <c r="B67" s="1235"/>
      <c r="C67" s="147" t="s">
        <v>356</v>
      </c>
      <c r="D67" s="148" t="s">
        <v>275</v>
      </c>
      <c r="E67" s="149" t="s">
        <v>276</v>
      </c>
      <c r="F67" s="150" t="s">
        <v>277</v>
      </c>
      <c r="G67" s="206" t="s">
        <v>276</v>
      </c>
    </row>
    <row r="68" spans="2:23">
      <c r="B68" s="1235"/>
      <c r="C68" s="157" t="s">
        <v>290</v>
      </c>
      <c r="D68" s="158" t="s">
        <v>357</v>
      </c>
      <c r="E68" s="159" t="s">
        <v>284</v>
      </c>
      <c r="F68" s="159" t="s">
        <v>285</v>
      </c>
      <c r="G68" s="207" t="s">
        <v>284</v>
      </c>
    </row>
    <row r="69" spans="2:23">
      <c r="B69" s="1235"/>
      <c r="C69" s="157" t="s">
        <v>358</v>
      </c>
      <c r="D69" s="158" t="s">
        <v>359</v>
      </c>
      <c r="E69" s="166" t="s">
        <v>292</v>
      </c>
      <c r="F69" s="159" t="s">
        <v>293</v>
      </c>
      <c r="G69" s="208" t="s">
        <v>292</v>
      </c>
    </row>
    <row r="70" spans="2:23">
      <c r="B70" s="1235"/>
      <c r="C70" s="157" t="s">
        <v>295</v>
      </c>
      <c r="D70" s="158" t="s">
        <v>295</v>
      </c>
      <c r="E70" s="166" t="s">
        <v>297</v>
      </c>
      <c r="F70" s="159" t="s">
        <v>298</v>
      </c>
      <c r="G70" s="208" t="s">
        <v>297</v>
      </c>
    </row>
    <row r="71" spans="2:23">
      <c r="B71" s="1235"/>
      <c r="C71" s="172"/>
      <c r="D71" s="173"/>
      <c r="E71" s="166" t="s">
        <v>360</v>
      </c>
      <c r="F71" s="159" t="s">
        <v>304</v>
      </c>
      <c r="G71" s="208" t="s">
        <v>305</v>
      </c>
    </row>
    <row r="72" spans="2:23">
      <c r="B72" s="1235"/>
      <c r="C72" s="172"/>
      <c r="D72" s="173"/>
      <c r="E72" s="166" t="s">
        <v>303</v>
      </c>
      <c r="F72" s="159" t="s">
        <v>311</v>
      </c>
      <c r="G72" s="208" t="s">
        <v>303</v>
      </c>
    </row>
    <row r="73" spans="2:23">
      <c r="B73" s="1235"/>
      <c r="C73" s="172"/>
      <c r="D73" s="173"/>
      <c r="E73" s="166" t="s">
        <v>310</v>
      </c>
      <c r="F73" s="159" t="s">
        <v>317</v>
      </c>
      <c r="G73" s="208" t="s">
        <v>310</v>
      </c>
    </row>
    <row r="74" spans="2:23">
      <c r="B74" s="1235"/>
      <c r="C74" s="172"/>
      <c r="D74" s="173"/>
      <c r="E74" s="166" t="s">
        <v>316</v>
      </c>
      <c r="F74" s="159" t="s">
        <v>321</v>
      </c>
      <c r="G74" s="208" t="s">
        <v>316</v>
      </c>
    </row>
    <row r="75" spans="2:23">
      <c r="B75" s="1235"/>
      <c r="C75" s="172"/>
      <c r="D75" s="173"/>
      <c r="E75" s="173"/>
      <c r="F75" s="159" t="s">
        <v>326</v>
      </c>
      <c r="G75" s="209"/>
    </row>
    <row r="76" spans="2:23">
      <c r="B76" s="1235"/>
      <c r="C76" s="172"/>
      <c r="D76" s="173"/>
      <c r="E76" s="173"/>
      <c r="F76" s="159" t="s">
        <v>330</v>
      </c>
      <c r="G76" s="209"/>
    </row>
    <row r="77" spans="2:23">
      <c r="B77" s="1235"/>
      <c r="C77" s="172"/>
      <c r="D77" s="173"/>
      <c r="E77" s="173"/>
      <c r="F77" s="159" t="s">
        <v>333</v>
      </c>
      <c r="G77" s="209"/>
    </row>
    <row r="78" spans="2:23">
      <c r="B78" s="1235"/>
      <c r="C78" s="172"/>
      <c r="D78" s="173"/>
      <c r="E78" s="173"/>
      <c r="F78" s="159" t="s">
        <v>336</v>
      </c>
      <c r="G78" s="209"/>
    </row>
    <row r="79" spans="2:23" ht="15" thickBot="1">
      <c r="B79" s="1235"/>
      <c r="C79" s="196"/>
      <c r="D79" s="197"/>
      <c r="E79" s="197"/>
      <c r="F79" s="210" t="s">
        <v>295</v>
      </c>
      <c r="G79" s="211"/>
    </row>
    <row r="82" spans="2:21" ht="28.5">
      <c r="B82" s="138"/>
    </row>
    <row r="83" spans="2:21" ht="31">
      <c r="B83" s="212" t="s">
        <v>361</v>
      </c>
      <c r="C83" s="213"/>
      <c r="D83" s="213"/>
      <c r="E83" s="213"/>
      <c r="F83" s="213"/>
      <c r="G83" s="213"/>
      <c r="H83" s="213"/>
      <c r="I83" s="213"/>
      <c r="J83" s="213"/>
      <c r="K83" s="213"/>
      <c r="L83" s="213"/>
      <c r="M83" s="213"/>
      <c r="N83" s="213"/>
      <c r="O83" s="213"/>
      <c r="P83" s="213"/>
      <c r="Q83" s="213"/>
    </row>
    <row r="84" spans="2:21" ht="30.75" customHeight="1" thickBot="1">
      <c r="B84" s="138"/>
      <c r="C84" s="18"/>
      <c r="D84" s="214"/>
      <c r="E84" s="214"/>
      <c r="F84" s="214"/>
      <c r="G84" s="214"/>
      <c r="H84" s="18"/>
      <c r="I84" s="18"/>
      <c r="J84" s="18"/>
      <c r="K84" s="18"/>
      <c r="L84" s="18"/>
      <c r="M84" s="215" t="s">
        <v>362</v>
      </c>
      <c r="N84" s="216"/>
      <c r="O84" s="216"/>
      <c r="P84" s="216"/>
      <c r="Q84" s="216"/>
      <c r="U84" s="18"/>
    </row>
    <row r="85" spans="2:21" s="222" customFormat="1" ht="42" customHeight="1" thickBot="1">
      <c r="B85" s="1240" t="s">
        <v>363</v>
      </c>
      <c r="C85" s="217" t="s">
        <v>364</v>
      </c>
      <c r="D85" s="218" t="s">
        <v>365</v>
      </c>
      <c r="E85" s="219" t="s">
        <v>366</v>
      </c>
      <c r="F85" s="218" t="s">
        <v>367</v>
      </c>
      <c r="G85" s="218" t="s">
        <v>368</v>
      </c>
      <c r="H85" s="218" t="s">
        <v>369</v>
      </c>
      <c r="I85" s="218" t="s">
        <v>370</v>
      </c>
      <c r="J85" s="218" t="s">
        <v>371</v>
      </c>
      <c r="K85" s="220" t="s">
        <v>372</v>
      </c>
      <c r="L85" s="221" t="s">
        <v>373</v>
      </c>
      <c r="M85" s="218" t="s">
        <v>374</v>
      </c>
      <c r="N85" s="218" t="s">
        <v>375</v>
      </c>
      <c r="O85" s="218" t="s">
        <v>376</v>
      </c>
      <c r="P85" s="218" t="s">
        <v>377</v>
      </c>
      <c r="Q85" s="218"/>
      <c r="U85" s="223"/>
    </row>
    <row r="86" spans="2:21" ht="15" customHeight="1">
      <c r="B86" s="1235"/>
      <c r="C86" s="224" t="s">
        <v>378</v>
      </c>
      <c r="D86" s="225" t="s">
        <v>379</v>
      </c>
      <c r="E86" s="225" t="s">
        <v>379</v>
      </c>
      <c r="F86" s="225" t="s">
        <v>379</v>
      </c>
      <c r="G86" s="225" t="s">
        <v>379</v>
      </c>
      <c r="H86" s="226" t="s">
        <v>380</v>
      </c>
      <c r="I86" s="226" t="s">
        <v>380</v>
      </c>
      <c r="J86" s="226" t="s">
        <v>381</v>
      </c>
      <c r="K86" s="227" t="s">
        <v>379</v>
      </c>
      <c r="L86" s="228" t="s">
        <v>382</v>
      </c>
      <c r="M86" s="229" t="s">
        <v>383</v>
      </c>
      <c r="N86" s="230" t="s">
        <v>384</v>
      </c>
      <c r="O86" s="226" t="s">
        <v>385</v>
      </c>
      <c r="P86" s="226" t="s">
        <v>386</v>
      </c>
      <c r="Q86" s="226"/>
      <c r="U86" s="18"/>
    </row>
    <row r="87" spans="2:21" ht="15" customHeight="1">
      <c r="B87" s="1235"/>
      <c r="C87" s="231" t="s">
        <v>378</v>
      </c>
      <c r="D87" s="232" t="s">
        <v>379</v>
      </c>
      <c r="E87" s="232" t="s">
        <v>379</v>
      </c>
      <c r="F87" s="232" t="s">
        <v>379</v>
      </c>
      <c r="G87" s="232" t="s">
        <v>379</v>
      </c>
      <c r="H87" s="233" t="s">
        <v>379</v>
      </c>
      <c r="I87" s="233" t="s">
        <v>379</v>
      </c>
      <c r="J87" s="233" t="s">
        <v>387</v>
      </c>
      <c r="K87" s="234" t="s">
        <v>379</v>
      </c>
      <c r="L87" s="235" t="s">
        <v>379</v>
      </c>
      <c r="M87" s="236" t="s">
        <v>383</v>
      </c>
      <c r="N87" s="237" t="s">
        <v>383</v>
      </c>
      <c r="O87" s="233" t="s">
        <v>388</v>
      </c>
      <c r="P87" s="233" t="s">
        <v>389</v>
      </c>
      <c r="Q87" s="233"/>
      <c r="U87" s="18"/>
    </row>
    <row r="88" spans="2:21" ht="15" customHeight="1">
      <c r="B88" s="1235"/>
      <c r="C88" s="231" t="s">
        <v>378</v>
      </c>
      <c r="D88" s="232" t="s">
        <v>390</v>
      </c>
      <c r="E88" s="232" t="s">
        <v>390</v>
      </c>
      <c r="F88" s="232" t="s">
        <v>390</v>
      </c>
      <c r="G88" s="232" t="s">
        <v>390</v>
      </c>
      <c r="H88" s="233" t="s">
        <v>380</v>
      </c>
      <c r="I88" s="233" t="s">
        <v>380</v>
      </c>
      <c r="J88" s="233" t="s">
        <v>391</v>
      </c>
      <c r="K88" s="234" t="s">
        <v>379</v>
      </c>
      <c r="L88" s="235" t="s">
        <v>392</v>
      </c>
      <c r="M88" s="236" t="s">
        <v>383</v>
      </c>
      <c r="N88" s="237" t="s">
        <v>383</v>
      </c>
      <c r="O88" s="233" t="s">
        <v>389</v>
      </c>
      <c r="P88" s="233" t="s">
        <v>389</v>
      </c>
      <c r="Q88" s="233"/>
      <c r="U88" s="18"/>
    </row>
    <row r="89" spans="2:21" ht="15" customHeight="1">
      <c r="B89" s="1235"/>
      <c r="C89" s="231" t="s">
        <v>378</v>
      </c>
      <c r="D89" s="232" t="s">
        <v>379</v>
      </c>
      <c r="E89" s="232" t="s">
        <v>379</v>
      </c>
      <c r="F89" s="232" t="s">
        <v>379</v>
      </c>
      <c r="G89" s="232" t="s">
        <v>379</v>
      </c>
      <c r="H89" s="233" t="s">
        <v>380</v>
      </c>
      <c r="I89" s="233" t="s">
        <v>380</v>
      </c>
      <c r="J89" s="233" t="s">
        <v>393</v>
      </c>
      <c r="K89" s="234" t="s">
        <v>392</v>
      </c>
      <c r="L89" s="235" t="s">
        <v>379</v>
      </c>
      <c r="M89" s="236" t="s">
        <v>380</v>
      </c>
      <c r="N89" s="238"/>
      <c r="O89" s="239"/>
      <c r="U89" s="18"/>
    </row>
    <row r="90" spans="2:21" ht="15" customHeight="1">
      <c r="B90" s="1235"/>
      <c r="C90" s="231" t="s">
        <v>394</v>
      </c>
      <c r="D90" s="232" t="s">
        <v>395</v>
      </c>
      <c r="E90" s="232" t="s">
        <v>395</v>
      </c>
      <c r="F90" s="232" t="s">
        <v>395</v>
      </c>
      <c r="G90" s="232" t="s">
        <v>395</v>
      </c>
      <c r="H90" s="233" t="s">
        <v>379</v>
      </c>
      <c r="I90" s="233" t="s">
        <v>379</v>
      </c>
      <c r="J90" s="233" t="s">
        <v>396</v>
      </c>
      <c r="K90" s="240"/>
      <c r="L90" s="241"/>
      <c r="M90" s="242"/>
      <c r="N90" s="238"/>
      <c r="O90" s="239"/>
      <c r="P90" s="239"/>
      <c r="Q90" s="239"/>
      <c r="U90" s="18"/>
    </row>
    <row r="91" spans="2:21" ht="15" customHeight="1">
      <c r="B91" s="1235"/>
      <c r="C91" s="231" t="s">
        <v>394</v>
      </c>
      <c r="D91" s="232" t="s">
        <v>397</v>
      </c>
      <c r="E91" s="232" t="s">
        <v>397</v>
      </c>
      <c r="F91" s="232" t="s">
        <v>397</v>
      </c>
      <c r="G91" s="232" t="s">
        <v>397</v>
      </c>
      <c r="H91" s="233" t="s">
        <v>398</v>
      </c>
      <c r="I91" s="233" t="s">
        <v>398</v>
      </c>
      <c r="J91" s="233" t="s">
        <v>399</v>
      </c>
      <c r="K91" s="240"/>
      <c r="L91" s="241"/>
      <c r="M91" s="242"/>
      <c r="N91" s="238"/>
      <c r="O91" s="239"/>
      <c r="P91" s="239"/>
      <c r="Q91" s="239"/>
      <c r="U91" s="18"/>
    </row>
    <row r="92" spans="2:21" ht="15" customHeight="1">
      <c r="B92" s="1235"/>
      <c r="C92" s="231" t="s">
        <v>394</v>
      </c>
      <c r="D92" s="232" t="s">
        <v>395</v>
      </c>
      <c r="E92" s="232" t="s">
        <v>395</v>
      </c>
      <c r="F92" s="232" t="s">
        <v>395</v>
      </c>
      <c r="G92" s="232" t="s">
        <v>395</v>
      </c>
      <c r="H92" s="243"/>
      <c r="I92" s="243"/>
      <c r="J92" s="243"/>
      <c r="K92" s="240"/>
      <c r="L92" s="241"/>
      <c r="M92" s="242"/>
      <c r="N92" s="238"/>
      <c r="O92" s="239"/>
      <c r="P92" s="239"/>
      <c r="Q92" s="239"/>
      <c r="U92" s="18"/>
    </row>
    <row r="93" spans="2:21" ht="15.75" customHeight="1">
      <c r="B93" s="1235"/>
      <c r="C93" s="244"/>
      <c r="D93" s="232" t="s">
        <v>397</v>
      </c>
      <c r="E93" s="232" t="s">
        <v>397</v>
      </c>
      <c r="F93" s="232" t="s">
        <v>397</v>
      </c>
      <c r="G93" s="232" t="s">
        <v>397</v>
      </c>
      <c r="H93" s="243"/>
      <c r="I93" s="243"/>
      <c r="J93" s="243"/>
      <c r="K93" s="240"/>
      <c r="L93" s="241"/>
      <c r="M93" s="242"/>
      <c r="N93" s="238"/>
      <c r="O93" s="239"/>
      <c r="P93" s="239"/>
      <c r="Q93" s="239"/>
      <c r="U93" s="18"/>
    </row>
    <row r="94" spans="2:21" ht="15" customHeight="1">
      <c r="B94" s="1235"/>
      <c r="C94" s="244"/>
      <c r="D94" s="232" t="s">
        <v>395</v>
      </c>
      <c r="E94" s="232" t="s">
        <v>395</v>
      </c>
      <c r="F94" s="232" t="s">
        <v>395</v>
      </c>
      <c r="G94" s="232" t="s">
        <v>395</v>
      </c>
      <c r="H94" s="243"/>
      <c r="I94" s="243"/>
      <c r="J94" s="243"/>
      <c r="K94" s="240"/>
      <c r="L94" s="241"/>
      <c r="M94" s="242"/>
      <c r="N94" s="238"/>
      <c r="O94" s="239"/>
      <c r="P94" s="239"/>
      <c r="Q94" s="239"/>
      <c r="U94" s="18"/>
    </row>
    <row r="95" spans="2:21" ht="15" customHeight="1">
      <c r="B95" s="1235"/>
      <c r="C95" s="244"/>
      <c r="D95" s="232" t="s">
        <v>379</v>
      </c>
      <c r="E95" s="243"/>
      <c r="F95" s="232" t="s">
        <v>392</v>
      </c>
      <c r="G95" s="243"/>
      <c r="H95" s="243"/>
      <c r="I95" s="243"/>
      <c r="J95" s="243"/>
      <c r="K95" s="240"/>
      <c r="L95" s="241"/>
      <c r="M95" s="242"/>
      <c r="N95" s="238"/>
      <c r="O95" s="239"/>
      <c r="P95" s="239"/>
      <c r="Q95" s="239"/>
      <c r="U95" s="18"/>
    </row>
    <row r="96" spans="2:21" ht="15" customHeight="1">
      <c r="B96" s="1235"/>
      <c r="C96" s="244"/>
      <c r="D96" s="232" t="s">
        <v>379</v>
      </c>
      <c r="E96" s="243"/>
      <c r="F96" s="243"/>
      <c r="G96" s="243"/>
      <c r="H96" s="243"/>
      <c r="I96" s="243"/>
      <c r="J96" s="243"/>
      <c r="K96" s="240"/>
      <c r="L96" s="241"/>
      <c r="M96" s="242"/>
      <c r="N96" s="238"/>
      <c r="O96" s="239"/>
      <c r="P96" s="239"/>
      <c r="Q96" s="239"/>
      <c r="U96" s="18"/>
    </row>
    <row r="97" spans="2:23" ht="15" customHeight="1">
      <c r="B97" s="1235"/>
      <c r="C97" s="244"/>
      <c r="D97" s="232" t="s">
        <v>379</v>
      </c>
      <c r="E97" s="243"/>
      <c r="F97" s="243"/>
      <c r="G97" s="243"/>
      <c r="H97" s="243"/>
      <c r="I97" s="243"/>
      <c r="J97" s="243"/>
      <c r="K97" s="240"/>
      <c r="L97" s="241"/>
      <c r="M97" s="242"/>
      <c r="N97" s="238"/>
      <c r="O97" s="239"/>
      <c r="P97" s="239"/>
      <c r="Q97" s="239"/>
      <c r="U97" s="18"/>
    </row>
    <row r="98" spans="2:23" ht="15" thickBot="1">
      <c r="B98" s="1235"/>
      <c r="C98" s="245"/>
      <c r="D98" s="246" t="s">
        <v>392</v>
      </c>
      <c r="E98" s="247"/>
      <c r="F98" s="247"/>
      <c r="G98" s="247"/>
      <c r="H98" s="247"/>
      <c r="I98" s="247"/>
      <c r="J98" s="247"/>
      <c r="K98" s="248"/>
      <c r="L98" s="249"/>
      <c r="M98" s="250"/>
      <c r="N98" s="251"/>
      <c r="O98" s="252"/>
      <c r="P98" s="252"/>
      <c r="Q98" s="252"/>
      <c r="U98" s="18"/>
    </row>
    <row r="99" spans="2:23" ht="28.5">
      <c r="B99" s="138"/>
      <c r="E99" s="120"/>
      <c r="F99" s="18"/>
      <c r="G99" s="18"/>
      <c r="H99" s="253"/>
      <c r="I99" s="18"/>
      <c r="J99" s="18"/>
      <c r="K99" s="18"/>
      <c r="L99" s="18"/>
      <c r="M99" s="18"/>
      <c r="W99" s="18"/>
    </row>
    <row r="100" spans="2:23" ht="29" thickBot="1">
      <c r="B100" s="254"/>
    </row>
    <row r="101" spans="2:23" ht="25.5" customHeight="1" thickBot="1">
      <c r="B101" s="1235" t="s">
        <v>400</v>
      </c>
      <c r="C101" s="255" t="s">
        <v>369</v>
      </c>
    </row>
    <row r="102" spans="2:23" ht="15" customHeight="1">
      <c r="B102" s="1235"/>
      <c r="C102" s="256" t="s">
        <v>380</v>
      </c>
    </row>
    <row r="103" spans="2:23" ht="15" customHeight="1">
      <c r="B103" s="1235"/>
      <c r="C103" s="257" t="s">
        <v>379</v>
      </c>
    </row>
    <row r="104" spans="2:23" ht="15" customHeight="1">
      <c r="B104" s="1235"/>
      <c r="C104" s="257" t="s">
        <v>380</v>
      </c>
    </row>
    <row r="105" spans="2:23" ht="15" customHeight="1">
      <c r="B105" s="1235"/>
      <c r="C105" s="257" t="s">
        <v>379</v>
      </c>
    </row>
    <row r="106" spans="2:23" ht="15" customHeight="1">
      <c r="B106" s="1235"/>
      <c r="C106" s="257" t="s">
        <v>380</v>
      </c>
    </row>
    <row r="107" spans="2:23" ht="15" customHeight="1">
      <c r="B107" s="1235"/>
      <c r="C107" s="257" t="s">
        <v>401</v>
      </c>
    </row>
    <row r="108" spans="2:23" ht="15.75" customHeight="1" thickBot="1">
      <c r="B108" s="1235"/>
      <c r="C108" s="258" t="s">
        <v>398</v>
      </c>
    </row>
    <row r="109" spans="2:23" ht="15" customHeight="1"/>
    <row r="110" spans="2:23" ht="15" customHeight="1" thickBot="1"/>
    <row r="111" spans="2:23" ht="15" customHeight="1" thickBot="1">
      <c r="B111" s="1235" t="s">
        <v>402</v>
      </c>
      <c r="C111" s="259" t="s">
        <v>403</v>
      </c>
    </row>
    <row r="112" spans="2:23" ht="15" customHeight="1">
      <c r="B112" s="1235"/>
      <c r="C112" s="260" t="s">
        <v>379</v>
      </c>
    </row>
    <row r="113" spans="2:7" ht="15" customHeight="1">
      <c r="B113" s="1235"/>
      <c r="C113" s="261" t="s">
        <v>379</v>
      </c>
    </row>
    <row r="114" spans="2:7" ht="15" customHeight="1">
      <c r="B114" s="1235"/>
      <c r="C114" s="261" t="s">
        <v>379</v>
      </c>
    </row>
    <row r="115" spans="2:7" ht="15" customHeight="1">
      <c r="B115" s="1235"/>
      <c r="C115" s="261" t="s">
        <v>379</v>
      </c>
    </row>
    <row r="116" spans="2:7" ht="15" customHeight="1" thickBot="1">
      <c r="B116" s="1235"/>
      <c r="C116" s="262" t="s">
        <v>404</v>
      </c>
    </row>
    <row r="117" spans="2:7" ht="15" customHeight="1"/>
    <row r="118" spans="2:7" ht="28.5">
      <c r="B118" s="254"/>
    </row>
    <row r="119" spans="2:7" ht="15.75" customHeight="1" thickBot="1">
      <c r="B119" s="1232" t="s">
        <v>405</v>
      </c>
      <c r="C119" s="263" t="s">
        <v>406</v>
      </c>
      <c r="D119" s="264" t="s">
        <v>407</v>
      </c>
      <c r="E119" s="264" t="s">
        <v>408</v>
      </c>
      <c r="F119" s="264" t="s">
        <v>409</v>
      </c>
      <c r="G119" s="265" t="s">
        <v>410</v>
      </c>
    </row>
    <row r="120" spans="2:7" ht="26.25" customHeight="1">
      <c r="B120" s="1233"/>
      <c r="C120" s="266" t="s">
        <v>411</v>
      </c>
      <c r="D120" s="267" t="s">
        <v>411</v>
      </c>
      <c r="E120" s="268" t="s">
        <v>412</v>
      </c>
      <c r="F120" s="268" t="s">
        <v>413</v>
      </c>
      <c r="G120" s="269" t="s">
        <v>380</v>
      </c>
    </row>
    <row r="121" spans="2:7" ht="15.75" customHeight="1">
      <c r="B121" s="1233"/>
      <c r="C121" s="270" t="s">
        <v>411</v>
      </c>
      <c r="D121" s="271" t="s">
        <v>411</v>
      </c>
      <c r="E121" s="271" t="s">
        <v>414</v>
      </c>
      <c r="F121" s="271" t="s">
        <v>415</v>
      </c>
      <c r="G121" s="272"/>
    </row>
    <row r="122" spans="2:7" ht="15" customHeight="1">
      <c r="B122" s="1233"/>
      <c r="C122" s="270" t="s">
        <v>416</v>
      </c>
      <c r="D122" s="271" t="s">
        <v>416</v>
      </c>
      <c r="E122" s="271" t="s">
        <v>417</v>
      </c>
      <c r="F122" s="271" t="s">
        <v>415</v>
      </c>
      <c r="G122" s="272"/>
    </row>
    <row r="123" spans="2:7" ht="15" customHeight="1">
      <c r="B123" s="1233"/>
      <c r="C123" s="270" t="s">
        <v>416</v>
      </c>
      <c r="D123" s="271" t="s">
        <v>416</v>
      </c>
      <c r="E123" s="173"/>
      <c r="F123" s="271" t="s">
        <v>415</v>
      </c>
      <c r="G123" s="272"/>
    </row>
    <row r="124" spans="2:7" ht="15" customHeight="1">
      <c r="B124" s="1233"/>
      <c r="C124" s="273"/>
      <c r="D124" s="173"/>
      <c r="E124" s="173"/>
      <c r="F124" s="271" t="s">
        <v>415</v>
      </c>
      <c r="G124" s="272"/>
    </row>
    <row r="125" spans="2:7" ht="15" customHeight="1">
      <c r="B125" s="1233"/>
      <c r="C125" s="273"/>
      <c r="D125" s="173"/>
      <c r="E125" s="173"/>
      <c r="F125" s="271" t="s">
        <v>418</v>
      </c>
      <c r="G125" s="272"/>
    </row>
    <row r="126" spans="2:7" ht="15" customHeight="1">
      <c r="B126" s="1233"/>
      <c r="C126" s="273"/>
      <c r="D126" s="173"/>
      <c r="E126" s="173"/>
      <c r="F126" s="271" t="s">
        <v>418</v>
      </c>
      <c r="G126" s="272"/>
    </row>
    <row r="127" spans="2:7" ht="15" customHeight="1">
      <c r="B127" s="1233"/>
      <c r="C127" s="172"/>
      <c r="D127" s="173"/>
      <c r="E127" s="173"/>
      <c r="F127" s="271" t="s">
        <v>419</v>
      </c>
      <c r="G127" s="272"/>
    </row>
    <row r="128" spans="2:7" ht="15" customHeight="1">
      <c r="B128" s="1233"/>
      <c r="C128" s="172"/>
      <c r="D128" s="173"/>
      <c r="E128" s="173"/>
      <c r="F128" s="271" t="s">
        <v>419</v>
      </c>
      <c r="G128" s="272"/>
    </row>
    <row r="129" spans="2:7" ht="15.75" customHeight="1">
      <c r="B129" s="1233"/>
      <c r="C129" s="172"/>
      <c r="D129" s="173"/>
      <c r="E129" s="173"/>
      <c r="F129" s="271" t="s">
        <v>420</v>
      </c>
      <c r="G129" s="272"/>
    </row>
    <row r="130" spans="2:7" ht="15" customHeight="1">
      <c r="B130" s="1233"/>
      <c r="C130" s="172"/>
      <c r="D130" s="173"/>
      <c r="E130" s="173"/>
      <c r="F130" s="271" t="s">
        <v>420</v>
      </c>
      <c r="G130" s="272"/>
    </row>
    <row r="131" spans="2:7" ht="15" customHeight="1">
      <c r="B131" s="1233"/>
      <c r="C131" s="172"/>
      <c r="D131" s="173"/>
      <c r="E131" s="173"/>
      <c r="F131" s="271" t="s">
        <v>421</v>
      </c>
      <c r="G131" s="272"/>
    </row>
    <row r="132" spans="2:7" ht="15" customHeight="1">
      <c r="B132" s="1233"/>
      <c r="C132" s="172"/>
      <c r="D132" s="173"/>
      <c r="E132" s="173"/>
      <c r="F132" s="271" t="s">
        <v>380</v>
      </c>
      <c r="G132" s="272"/>
    </row>
    <row r="133" spans="2:7" ht="15.75" customHeight="1" thickBot="1">
      <c r="B133" s="1233"/>
      <c r="C133" s="196"/>
      <c r="D133" s="197"/>
      <c r="E133" s="197"/>
      <c r="F133" s="274" t="s">
        <v>421</v>
      </c>
      <c r="G133" s="275"/>
    </row>
    <row r="134" spans="2:7" ht="28.5">
      <c r="B134" s="276"/>
      <c r="G134" s="277"/>
    </row>
    <row r="135" spans="2:7" ht="29" thickBot="1">
      <c r="B135" s="276"/>
      <c r="C135" s="278" t="s">
        <v>422</v>
      </c>
      <c r="D135" s="278"/>
      <c r="E135" s="278"/>
      <c r="F135" s="278"/>
      <c r="G135" s="277"/>
    </row>
    <row r="136" spans="2:7" ht="15.75" customHeight="1" thickBot="1">
      <c r="B136" s="1224" t="s">
        <v>423</v>
      </c>
      <c r="C136" s="279" t="s">
        <v>406</v>
      </c>
      <c r="D136" s="280"/>
      <c r="E136" s="280" t="s">
        <v>408</v>
      </c>
      <c r="F136" s="281" t="s">
        <v>409</v>
      </c>
      <c r="G136" s="277"/>
    </row>
    <row r="137" spans="2:7" ht="15" customHeight="1">
      <c r="B137" s="1225"/>
      <c r="C137" s="282" t="s">
        <v>413</v>
      </c>
      <c r="D137" s="283"/>
      <c r="E137" s="268" t="s">
        <v>415</v>
      </c>
      <c r="F137" s="284" t="s">
        <v>380</v>
      </c>
      <c r="G137" s="277"/>
    </row>
    <row r="138" spans="2:7" ht="15" customHeight="1">
      <c r="B138" s="1225"/>
      <c r="C138" s="285" t="s">
        <v>383</v>
      </c>
      <c r="D138" s="173"/>
      <c r="E138" s="271" t="s">
        <v>418</v>
      </c>
      <c r="F138" s="286" t="s">
        <v>413</v>
      </c>
      <c r="G138" s="277"/>
    </row>
    <row r="139" spans="2:7" ht="15" customHeight="1">
      <c r="B139" s="1225"/>
      <c r="C139" s="285" t="s">
        <v>383</v>
      </c>
      <c r="D139" s="173"/>
      <c r="E139" s="271" t="s">
        <v>419</v>
      </c>
      <c r="F139" s="286" t="s">
        <v>380</v>
      </c>
      <c r="G139" s="277"/>
    </row>
    <row r="140" spans="2:7" ht="15" customHeight="1">
      <c r="B140" s="1225"/>
      <c r="C140" s="285" t="s">
        <v>413</v>
      </c>
      <c r="D140" s="173"/>
      <c r="E140" s="271" t="s">
        <v>420</v>
      </c>
      <c r="F140" s="286" t="s">
        <v>383</v>
      </c>
      <c r="G140" s="277"/>
    </row>
    <row r="141" spans="2:7" ht="15" customHeight="1">
      <c r="B141" s="1225"/>
      <c r="C141" s="285" t="s">
        <v>383</v>
      </c>
      <c r="D141" s="173"/>
      <c r="E141" s="271" t="s">
        <v>415</v>
      </c>
      <c r="F141" s="287"/>
      <c r="G141" s="277"/>
    </row>
    <row r="142" spans="2:7" ht="15.75" customHeight="1">
      <c r="B142" s="1225"/>
      <c r="C142" s="285" t="s">
        <v>383</v>
      </c>
      <c r="D142" s="173"/>
      <c r="E142" s="271" t="s">
        <v>380</v>
      </c>
      <c r="F142" s="287"/>
      <c r="G142" s="277"/>
    </row>
    <row r="143" spans="2:7" ht="15" customHeight="1">
      <c r="B143" s="1225"/>
      <c r="C143" s="285" t="s">
        <v>413</v>
      </c>
      <c r="D143" s="173"/>
      <c r="E143" s="271" t="s">
        <v>380</v>
      </c>
      <c r="F143" s="287"/>
      <c r="G143" s="277"/>
    </row>
    <row r="144" spans="2:7" ht="15" customHeight="1">
      <c r="B144" s="1225"/>
      <c r="C144" s="285" t="s">
        <v>383</v>
      </c>
      <c r="D144" s="173"/>
      <c r="E144" s="271" t="s">
        <v>415</v>
      </c>
      <c r="F144" s="287"/>
      <c r="G144" s="277"/>
    </row>
    <row r="145" spans="2:7" ht="15" customHeight="1">
      <c r="B145" s="1225"/>
      <c r="C145" s="285" t="s">
        <v>383</v>
      </c>
      <c r="D145" s="173"/>
      <c r="E145" s="173"/>
      <c r="F145" s="287"/>
      <c r="G145" s="277"/>
    </row>
    <row r="146" spans="2:7" ht="15" customHeight="1">
      <c r="B146" s="1225"/>
      <c r="C146" s="285" t="s">
        <v>413</v>
      </c>
      <c r="D146" s="173"/>
      <c r="E146" s="173"/>
      <c r="F146" s="287"/>
      <c r="G146" s="277"/>
    </row>
    <row r="147" spans="2:7" ht="15" customHeight="1">
      <c r="B147" s="1225"/>
      <c r="C147" s="285" t="s">
        <v>383</v>
      </c>
      <c r="D147" s="173"/>
      <c r="E147" s="173"/>
      <c r="F147" s="287"/>
      <c r="G147" s="277"/>
    </row>
    <row r="148" spans="2:7" ht="15" customHeight="1">
      <c r="B148" s="1225"/>
      <c r="C148" s="285" t="s">
        <v>413</v>
      </c>
      <c r="D148" s="173"/>
      <c r="E148" s="173"/>
      <c r="F148" s="287"/>
      <c r="G148" s="277"/>
    </row>
    <row r="149" spans="2:7" ht="15" customHeight="1">
      <c r="B149" s="1225"/>
      <c r="C149" s="285" t="s">
        <v>383</v>
      </c>
      <c r="D149" s="173"/>
      <c r="E149" s="173"/>
      <c r="F149" s="287"/>
      <c r="G149" s="277"/>
    </row>
    <row r="150" spans="2:7" ht="15" customHeight="1">
      <c r="B150" s="1225"/>
      <c r="C150" s="285" t="s">
        <v>413</v>
      </c>
      <c r="D150" s="173"/>
      <c r="E150" s="173"/>
      <c r="F150" s="287"/>
      <c r="G150" s="277"/>
    </row>
    <row r="151" spans="2:7" ht="27" customHeight="1">
      <c r="B151" s="1226"/>
      <c r="C151" s="288" t="s">
        <v>383</v>
      </c>
      <c r="D151" s="289"/>
      <c r="E151" s="289"/>
      <c r="F151" s="290"/>
      <c r="G151" s="291"/>
    </row>
    <row r="152" spans="2:7" ht="29" thickBot="1">
      <c r="B152" s="138"/>
    </row>
    <row r="153" spans="2:7" ht="15.75" customHeight="1" thickBot="1">
      <c r="B153" s="1227" t="s">
        <v>424</v>
      </c>
      <c r="C153" s="292" t="s">
        <v>425</v>
      </c>
    </row>
    <row r="154" spans="2:7" ht="15" customHeight="1">
      <c r="B154" s="1227"/>
      <c r="C154" s="293" t="s">
        <v>426</v>
      </c>
    </row>
    <row r="155" spans="2:7" ht="15" customHeight="1">
      <c r="B155" s="1227"/>
      <c r="C155" s="293" t="s">
        <v>427</v>
      </c>
    </row>
    <row r="156" spans="2:7" ht="15" customHeight="1">
      <c r="B156" s="1227"/>
      <c r="C156" s="293" t="s">
        <v>427</v>
      </c>
    </row>
    <row r="157" spans="2:7" ht="15" customHeight="1">
      <c r="B157" s="1227"/>
      <c r="C157" s="293" t="s">
        <v>427</v>
      </c>
    </row>
    <row r="158" spans="2:7" ht="15" customHeight="1">
      <c r="B158" s="1227"/>
      <c r="C158" s="293" t="s">
        <v>427</v>
      </c>
    </row>
    <row r="159" spans="2:7" ht="15.75" customHeight="1" thickBot="1">
      <c r="B159" s="1227"/>
      <c r="C159" s="294" t="s">
        <v>427</v>
      </c>
    </row>
    <row r="160" spans="2:7" ht="29" thickBot="1">
      <c r="B160" s="138"/>
    </row>
    <row r="161" spans="2:6" ht="15" thickBot="1">
      <c r="B161" s="1228" t="s">
        <v>428</v>
      </c>
      <c r="C161" s="295" t="s">
        <v>429</v>
      </c>
      <c r="D161" s="296" t="s">
        <v>430</v>
      </c>
      <c r="E161" s="296" t="s">
        <v>431</v>
      </c>
      <c r="F161" s="297" t="s">
        <v>432</v>
      </c>
    </row>
    <row r="162" spans="2:6">
      <c r="B162" s="1229"/>
      <c r="C162" s="298" t="s">
        <v>383</v>
      </c>
      <c r="D162" s="299" t="s">
        <v>383</v>
      </c>
      <c r="E162" s="300" t="s">
        <v>433</v>
      </c>
      <c r="F162" s="301"/>
    </row>
    <row r="163" spans="2:6" ht="15" customHeight="1">
      <c r="B163" s="1229"/>
      <c r="C163" s="302" t="s">
        <v>383</v>
      </c>
      <c r="D163" s="303" t="s">
        <v>383</v>
      </c>
      <c r="E163" s="173" t="s">
        <v>434</v>
      </c>
      <c r="F163" s="304"/>
    </row>
    <row r="164" spans="2:6" ht="15" customHeight="1">
      <c r="B164" s="1229"/>
      <c r="C164" s="302" t="s">
        <v>383</v>
      </c>
      <c r="D164" s="303" t="s">
        <v>383</v>
      </c>
      <c r="E164" s="173"/>
      <c r="F164" s="304"/>
    </row>
    <row r="165" spans="2:6" ht="15" customHeight="1">
      <c r="B165" s="1229"/>
      <c r="C165" s="302" t="s">
        <v>383</v>
      </c>
      <c r="D165" s="303" t="s">
        <v>383</v>
      </c>
      <c r="E165" s="173"/>
      <c r="F165" s="304"/>
    </row>
    <row r="166" spans="2:6" ht="15" customHeight="1">
      <c r="B166" s="1229"/>
      <c r="C166" s="302" t="s">
        <v>383</v>
      </c>
      <c r="D166" s="303" t="s">
        <v>404</v>
      </c>
      <c r="E166" s="173"/>
      <c r="F166" s="304"/>
    </row>
    <row r="167" spans="2:6" ht="15" customHeight="1">
      <c r="B167" s="1229"/>
      <c r="C167" s="302" t="s">
        <v>383</v>
      </c>
      <c r="D167" s="173"/>
      <c r="E167" s="173"/>
      <c r="F167" s="304"/>
    </row>
    <row r="168" spans="2:6" ht="15" customHeight="1">
      <c r="B168" s="1229"/>
      <c r="C168" s="302" t="s">
        <v>383</v>
      </c>
      <c r="D168" s="173"/>
      <c r="E168" s="173"/>
      <c r="F168" s="304"/>
    </row>
    <row r="169" spans="2:6" ht="15" customHeight="1">
      <c r="B169" s="1229"/>
      <c r="C169" s="302" t="s">
        <v>383</v>
      </c>
      <c r="D169" s="173"/>
      <c r="E169" s="173"/>
      <c r="F169" s="304"/>
    </row>
    <row r="170" spans="2:6" ht="15" customHeight="1">
      <c r="B170" s="1229"/>
      <c r="C170" s="302" t="s">
        <v>383</v>
      </c>
      <c r="D170" s="173"/>
      <c r="E170" s="173"/>
      <c r="F170" s="304"/>
    </row>
    <row r="171" spans="2:6" ht="15" customHeight="1">
      <c r="B171" s="1229"/>
      <c r="C171" s="302" t="s">
        <v>383</v>
      </c>
      <c r="D171" s="173"/>
      <c r="E171" s="173"/>
      <c r="F171" s="304"/>
    </row>
    <row r="172" spans="2:6" ht="15" customHeight="1">
      <c r="B172" s="1229"/>
      <c r="C172" s="302" t="s">
        <v>383</v>
      </c>
      <c r="D172" s="173"/>
      <c r="E172" s="173"/>
      <c r="F172" s="304"/>
    </row>
    <row r="173" spans="2:6" ht="15" customHeight="1">
      <c r="B173" s="1229"/>
      <c r="C173" s="302" t="s">
        <v>383</v>
      </c>
      <c r="D173" s="173"/>
      <c r="E173" s="173"/>
      <c r="F173" s="304"/>
    </row>
    <row r="174" spans="2:6" ht="15" customHeight="1">
      <c r="B174" s="1229"/>
      <c r="C174" s="302" t="s">
        <v>404</v>
      </c>
      <c r="D174" s="173"/>
      <c r="E174" s="173"/>
      <c r="F174" s="304"/>
    </row>
    <row r="175" spans="2:6" ht="15.75" customHeight="1" thickBot="1">
      <c r="B175" s="1229"/>
      <c r="C175" s="305" t="s">
        <v>404</v>
      </c>
      <c r="D175" s="197" t="s">
        <v>435</v>
      </c>
      <c r="E175" s="197"/>
      <c r="F175" s="306"/>
    </row>
    <row r="176" spans="2:6" ht="29" thickBot="1">
      <c r="B176" s="138"/>
    </row>
    <row r="177" spans="2:23" ht="15.75" customHeight="1" thickBot="1">
      <c r="B177" s="1230" t="s">
        <v>436</v>
      </c>
      <c r="C177" s="307" t="s">
        <v>437</v>
      </c>
      <c r="D177" s="308" t="s">
        <v>438</v>
      </c>
      <c r="E177" s="309" t="s">
        <v>439</v>
      </c>
    </row>
    <row r="178" spans="2:23" ht="15.75" customHeight="1" thickBot="1">
      <c r="B178" s="1231"/>
      <c r="C178" s="310" t="s">
        <v>426</v>
      </c>
      <c r="D178" s="311" t="s">
        <v>440</v>
      </c>
      <c r="E178" s="312" t="s">
        <v>441</v>
      </c>
    </row>
    <row r="179" spans="2:23" ht="29" thickBot="1">
      <c r="B179" s="138"/>
      <c r="C179" s="313"/>
      <c r="D179" s="18"/>
      <c r="E179" s="314"/>
    </row>
    <row r="180" spans="2:23" ht="15.75" customHeight="1" thickBot="1">
      <c r="B180" s="1230" t="s">
        <v>442</v>
      </c>
      <c r="C180" s="315" t="s">
        <v>443</v>
      </c>
      <c r="D180" s="316" t="s">
        <v>444</v>
      </c>
      <c r="E180" s="317" t="s">
        <v>445</v>
      </c>
    </row>
    <row r="181" spans="2:23" ht="15" customHeight="1">
      <c r="B181" s="1230"/>
      <c r="C181" s="318" t="s">
        <v>426</v>
      </c>
      <c r="D181" s="319" t="s">
        <v>426</v>
      </c>
      <c r="E181" s="320" t="s">
        <v>446</v>
      </c>
    </row>
    <row r="182" spans="2:23" ht="26.25" customHeight="1">
      <c r="B182" s="1230"/>
      <c r="C182" s="321" t="s">
        <v>427</v>
      </c>
      <c r="D182" s="322" t="s">
        <v>427</v>
      </c>
      <c r="E182" s="323"/>
    </row>
    <row r="183" spans="2:23" ht="26.25" customHeight="1">
      <c r="B183" s="1230"/>
      <c r="C183" s="321" t="s">
        <v>427</v>
      </c>
      <c r="D183" s="322" t="s">
        <v>427</v>
      </c>
      <c r="E183" s="323"/>
    </row>
    <row r="184" spans="2:23" ht="26.25" customHeight="1">
      <c r="B184" s="1230"/>
      <c r="C184" s="321" t="s">
        <v>427</v>
      </c>
      <c r="D184" s="322" t="s">
        <v>427</v>
      </c>
      <c r="E184" s="323"/>
    </row>
    <row r="185" spans="2:23" ht="27" customHeight="1" thickBot="1">
      <c r="B185" s="1230"/>
      <c r="C185" s="324" t="s">
        <v>427</v>
      </c>
      <c r="D185" s="325"/>
      <c r="E185" s="326"/>
    </row>
    <row r="186" spans="2:23" ht="28.5">
      <c r="B186" s="138"/>
    </row>
    <row r="187" spans="2:23" ht="28.5">
      <c r="B187" s="138"/>
    </row>
    <row r="188" spans="2:23" ht="31">
      <c r="B188" s="212" t="s">
        <v>447</v>
      </c>
      <c r="C188" s="213"/>
      <c r="D188" s="213"/>
      <c r="E188" s="213"/>
      <c r="F188" s="213"/>
      <c r="G188" s="213"/>
      <c r="H188" s="213"/>
      <c r="I188" s="213"/>
      <c r="J188" s="213"/>
      <c r="K188" s="213"/>
      <c r="L188" s="213"/>
      <c r="M188" s="213"/>
      <c r="N188" s="213"/>
      <c r="O188" s="213"/>
    </row>
    <row r="189" spans="2:23" ht="15" thickBot="1"/>
    <row r="190" spans="2:23" ht="15" thickBot="1">
      <c r="B190" s="327" t="s">
        <v>448</v>
      </c>
      <c r="C190" s="328"/>
      <c r="D190" s="328"/>
      <c r="E190" s="328"/>
      <c r="F190" s="329"/>
      <c r="R190" s="18"/>
      <c r="S190" s="18"/>
      <c r="T190" s="18"/>
      <c r="U190" s="18"/>
      <c r="V190" s="18"/>
      <c r="W190" s="18"/>
    </row>
    <row r="191" spans="2:23" ht="15" thickBot="1">
      <c r="D191" s="330"/>
      <c r="E191" s="331"/>
      <c r="F191" s="18"/>
      <c r="Q191" s="18"/>
      <c r="R191" s="18"/>
      <c r="S191" s="18"/>
      <c r="T191" s="18"/>
      <c r="U191" s="18"/>
      <c r="V191" s="18"/>
      <c r="W191" s="18"/>
    </row>
    <row r="192" spans="2:23" ht="30.75" customHeight="1" thickBot="1">
      <c r="B192" s="1223" t="s">
        <v>449</v>
      </c>
      <c r="C192" s="332" t="s">
        <v>450</v>
      </c>
      <c r="D192" s="333" t="s">
        <v>451</v>
      </c>
      <c r="E192" s="333" t="s">
        <v>452</v>
      </c>
      <c r="F192" s="334" t="s">
        <v>453</v>
      </c>
      <c r="G192" s="335"/>
      <c r="Q192" s="18"/>
      <c r="R192" s="18"/>
      <c r="S192" s="18"/>
      <c r="T192" s="18"/>
      <c r="U192" s="18"/>
      <c r="V192" s="18"/>
      <c r="W192" s="18"/>
    </row>
    <row r="193" spans="2:23" ht="45.75" customHeight="1" thickBot="1">
      <c r="B193" s="1223"/>
      <c r="C193" s="336" t="s">
        <v>454</v>
      </c>
      <c r="D193" s="337" t="s">
        <v>455</v>
      </c>
      <c r="E193" s="338" t="s">
        <v>456</v>
      </c>
      <c r="F193" s="339" t="s">
        <v>457</v>
      </c>
      <c r="G193" s="18"/>
      <c r="Q193" s="18"/>
      <c r="R193" s="18"/>
      <c r="S193" s="18"/>
      <c r="T193" s="18"/>
      <c r="U193" s="18"/>
      <c r="V193" s="18"/>
      <c r="W193" s="18"/>
    </row>
    <row r="194" spans="2:23">
      <c r="C194" s="18"/>
      <c r="D194" s="18"/>
      <c r="E194" s="120"/>
      <c r="F194" s="18"/>
      <c r="G194" s="18"/>
      <c r="Q194" s="18"/>
      <c r="R194" s="18"/>
      <c r="S194" s="18"/>
      <c r="T194" s="18"/>
      <c r="U194" s="18"/>
      <c r="V194" s="18"/>
      <c r="W194" s="18"/>
    </row>
    <row r="195" spans="2:23" ht="15" thickBot="1">
      <c r="G195" s="18"/>
      <c r="Q195" s="18"/>
      <c r="R195" s="18"/>
      <c r="S195" s="18"/>
      <c r="T195" s="18"/>
      <c r="U195" s="18"/>
      <c r="V195" s="18"/>
      <c r="W195" s="18"/>
    </row>
    <row r="196" spans="2:23" ht="30" customHeight="1" thickBot="1">
      <c r="B196" s="1223" t="s">
        <v>458</v>
      </c>
      <c r="C196" s="340" t="s">
        <v>459</v>
      </c>
      <c r="D196" s="341" t="s">
        <v>460</v>
      </c>
      <c r="E196" s="342" t="s">
        <v>461</v>
      </c>
      <c r="G196" s="18"/>
      <c r="Q196" s="18"/>
      <c r="R196" s="18"/>
      <c r="S196" s="18"/>
      <c r="T196" s="18"/>
      <c r="U196" s="18"/>
      <c r="V196" s="18"/>
      <c r="W196" s="18"/>
    </row>
    <row r="197" spans="2:23" ht="39.5" thickBot="1">
      <c r="B197" s="1223"/>
      <c r="C197" s="343" t="s">
        <v>462</v>
      </c>
      <c r="D197" s="344" t="s">
        <v>463</v>
      </c>
      <c r="E197" s="345" t="e">
        <f ca="1">dms_060701_StartDateTxt</f>
        <v>#REF!</v>
      </c>
      <c r="Q197" s="18"/>
      <c r="R197" s="18"/>
      <c r="S197" s="18"/>
      <c r="T197" s="18"/>
      <c r="U197" s="18"/>
      <c r="V197" s="18"/>
      <c r="W197" s="18"/>
    </row>
    <row r="198" spans="2:23">
      <c r="C198" s="18"/>
      <c r="D198" s="18"/>
      <c r="E198" s="120"/>
      <c r="G198" s="18"/>
      <c r="Q198" s="18"/>
      <c r="R198" s="18"/>
      <c r="S198" s="18"/>
      <c r="T198" s="18"/>
      <c r="U198" s="18"/>
      <c r="V198" s="18"/>
      <c r="W198" s="18"/>
    </row>
    <row r="199" spans="2:23" ht="15" thickBot="1">
      <c r="C199" s="18"/>
      <c r="P199" s="18"/>
      <c r="Q199" s="18"/>
      <c r="R199" s="18"/>
      <c r="S199" s="18"/>
      <c r="T199" s="18"/>
      <c r="U199" s="18"/>
      <c r="V199" s="18"/>
      <c r="W199" s="18"/>
    </row>
    <row r="200" spans="2:23" ht="22.5" customHeight="1" thickBot="1">
      <c r="B200" s="1223" t="s">
        <v>464</v>
      </c>
      <c r="C200" s="346" t="s">
        <v>465</v>
      </c>
      <c r="D200" s="347" t="s">
        <v>466</v>
      </c>
      <c r="E200" s="347" t="s">
        <v>467</v>
      </c>
      <c r="F200" s="348" t="s">
        <v>468</v>
      </c>
      <c r="Q200" s="18"/>
      <c r="R200" s="18"/>
      <c r="S200" s="18"/>
      <c r="T200" s="18"/>
      <c r="U200" s="18"/>
      <c r="V200" s="18"/>
      <c r="W200" s="18"/>
    </row>
    <row r="201" spans="2:23" ht="22.5" customHeight="1" thickBot="1">
      <c r="B201" s="1223"/>
      <c r="C201" s="343" t="s">
        <v>469</v>
      </c>
      <c r="D201" s="344" t="s">
        <v>470</v>
      </c>
      <c r="E201" s="349" t="s">
        <v>471</v>
      </c>
      <c r="F201" s="350" t="s">
        <v>472</v>
      </c>
      <c r="Q201" s="18"/>
      <c r="R201" s="18"/>
      <c r="S201" s="18"/>
      <c r="T201" s="18"/>
      <c r="U201" s="18"/>
      <c r="V201" s="18"/>
      <c r="W201" s="18"/>
    </row>
    <row r="202" spans="2:23">
      <c r="B202" s="18"/>
      <c r="C202" s="18"/>
      <c r="D202" s="18"/>
      <c r="E202" s="120"/>
      <c r="F202" s="18"/>
      <c r="Q202" s="18"/>
      <c r="R202" s="18"/>
      <c r="S202" s="18"/>
      <c r="T202" s="18"/>
      <c r="U202" s="18"/>
      <c r="V202" s="18"/>
      <c r="W202" s="18"/>
    </row>
    <row r="203" spans="2:23" ht="15" thickBot="1">
      <c r="C203" s="18"/>
      <c r="Q203" s="18"/>
      <c r="R203" s="18"/>
      <c r="S203" s="18"/>
      <c r="T203" s="18"/>
      <c r="U203" s="18"/>
      <c r="V203" s="18"/>
      <c r="W203" s="18"/>
    </row>
    <row r="204" spans="2:23" ht="36" customHeight="1" thickBot="1">
      <c r="B204" s="351" t="s">
        <v>473</v>
      </c>
      <c r="C204" s="352" t="s">
        <v>474</v>
      </c>
      <c r="D204" s="353" t="s">
        <v>475</v>
      </c>
      <c r="E204" s="354" t="s">
        <v>476</v>
      </c>
      <c r="Q204" s="18"/>
      <c r="R204" s="18"/>
      <c r="S204" s="18"/>
      <c r="T204" s="18"/>
      <c r="U204" s="18"/>
      <c r="V204" s="18"/>
      <c r="W204" s="18"/>
    </row>
    <row r="206" spans="2:23">
      <c r="C206" s="18"/>
      <c r="P206" s="18"/>
      <c r="Q206" s="18"/>
      <c r="R206" s="18"/>
      <c r="S206" s="18"/>
      <c r="T206" s="18"/>
      <c r="U206" s="18"/>
      <c r="V206" s="18"/>
      <c r="W206" s="18"/>
    </row>
    <row r="207" spans="2:23" s="18" customFormat="1" ht="21.75" customHeight="1">
      <c r="B207" s="355" t="s">
        <v>477</v>
      </c>
      <c r="C207" s="356"/>
      <c r="D207" s="356"/>
      <c r="E207" s="356"/>
      <c r="F207" s="356"/>
      <c r="G207" s="356"/>
      <c r="H207" s="356"/>
      <c r="I207" s="356"/>
      <c r="J207" s="356"/>
      <c r="K207" s="356"/>
      <c r="L207" s="356"/>
      <c r="M207" s="356"/>
      <c r="N207" s="356"/>
      <c r="O207" s="356"/>
    </row>
    <row r="208" spans="2:23" ht="15" thickBot="1">
      <c r="B208" s="357"/>
      <c r="C208" s="18"/>
      <c r="F208" s="125"/>
      <c r="K208" s="1"/>
      <c r="P208" s="18"/>
      <c r="Q208" s="18"/>
      <c r="R208" s="18"/>
      <c r="S208" s="18"/>
      <c r="T208" s="18"/>
      <c r="U208" s="18"/>
      <c r="V208" s="18"/>
      <c r="W208" s="18"/>
    </row>
    <row r="209" spans="2:23" ht="15" customHeight="1" thickBot="1">
      <c r="B209" s="1223" t="s">
        <v>478</v>
      </c>
      <c r="C209" s="358" t="s">
        <v>479</v>
      </c>
      <c r="D209" s="359" t="str">
        <f>INDEX(dms_FeederName_1,MATCH(dms_TradingName,dms_TradingName_List))</f>
        <v>CBD</v>
      </c>
      <c r="E209" s="360" t="str">
        <f>INDEX(dms_FeederName_1,MATCH(dms_TradingName,dms_TradingName_List))</f>
        <v>CBD</v>
      </c>
      <c r="F209" s="361" t="str">
        <f>INDEX(dms_FeederName_2,MATCH(dms_TradingName,dms_TradingName_List))</f>
        <v>Urban</v>
      </c>
      <c r="G209" s="362" t="str">
        <f>INDEX(dms_FeederName_2,MATCH(dms_TradingName,dms_TradingName_List))</f>
        <v>Urban</v>
      </c>
      <c r="H209" s="360" t="str">
        <f>INDEX(dms_FeederName_3,MATCH(dms_TradingName,dms_TradingName_List))</f>
        <v>Short rural</v>
      </c>
      <c r="I209" s="360" t="str">
        <f>INDEX(dms_FeederName_3,MATCH(dms_TradingName,dms_TradingName_List))</f>
        <v>Short rural</v>
      </c>
      <c r="J209" s="362" t="str">
        <f>INDEX(dms_FeederName_4,MATCH(dms_TradingName,dms_TradingName_List))</f>
        <v>Long rural</v>
      </c>
      <c r="K209" s="362" t="str">
        <f>INDEX(dms_FeederName_4,MATCH(dms_TradingName,dms_TradingName_List))</f>
        <v>Long rural</v>
      </c>
      <c r="L209" s="360" t="str">
        <f>IF((INDEX(dms_FeederName_5,MATCH(dms_TradingName,dms_TradingName_List))=0),"Network",(INDEX(dms_FeederName_5,MATCH(dms_TradingName,dms_TradingName_List))))</f>
        <v>Network</v>
      </c>
      <c r="M209" s="360" t="str">
        <f>IF((INDEX(dms_FeederName_5,MATCH(dms_TradingName,dms_TradingName_List))=0),"Network",(INDEX(dms_FeederName_5,MATCH(dms_TradingName,dms_TradingName_List))))</f>
        <v>Network</v>
      </c>
      <c r="N209" s="360" t="s">
        <v>480</v>
      </c>
      <c r="O209" s="360" t="s">
        <v>480</v>
      </c>
      <c r="P209" s="18"/>
      <c r="Q209" s="18"/>
      <c r="R209" s="18"/>
      <c r="S209" s="18"/>
      <c r="T209" s="18"/>
      <c r="U209" s="18"/>
      <c r="V209" s="18"/>
      <c r="W209" s="18"/>
    </row>
    <row r="210" spans="2:23" ht="15" thickBot="1">
      <c r="B210" s="1223"/>
      <c r="C210" s="363"/>
      <c r="D210" s="364"/>
      <c r="F210" s="125"/>
      <c r="N210" s="365"/>
      <c r="P210" s="18"/>
      <c r="Q210" s="18"/>
      <c r="R210" s="18"/>
      <c r="S210" s="18"/>
      <c r="T210" s="18"/>
      <c r="U210" s="18"/>
      <c r="V210" s="18"/>
      <c r="W210" s="18"/>
    </row>
    <row r="211" spans="2:23" ht="26.5" thickBot="1">
      <c r="B211" s="1223"/>
      <c r="C211" s="358" t="s">
        <v>481</v>
      </c>
      <c r="D211" s="366" t="s">
        <v>482</v>
      </c>
      <c r="E211" s="367" t="s">
        <v>483</v>
      </c>
      <c r="F211" s="368" t="s">
        <v>482</v>
      </c>
      <c r="G211" s="367" t="s">
        <v>483</v>
      </c>
      <c r="H211" s="367" t="s">
        <v>482</v>
      </c>
      <c r="I211" s="367" t="s">
        <v>483</v>
      </c>
      <c r="J211" s="367" t="s">
        <v>482</v>
      </c>
      <c r="K211" s="367" t="s">
        <v>483</v>
      </c>
      <c r="L211" s="367" t="s">
        <v>482</v>
      </c>
      <c r="M211" s="369" t="s">
        <v>483</v>
      </c>
      <c r="N211" s="367" t="s">
        <v>482</v>
      </c>
      <c r="O211" s="369" t="s">
        <v>483</v>
      </c>
      <c r="P211" s="18"/>
      <c r="Q211" s="18"/>
      <c r="R211" s="18"/>
      <c r="S211" s="18"/>
      <c r="T211" s="18"/>
      <c r="U211" s="18"/>
      <c r="V211" s="18"/>
      <c r="W211" s="18"/>
    </row>
    <row r="212" spans="2:23">
      <c r="B212" s="1223"/>
      <c r="C212" s="18"/>
      <c r="D212" s="370" t="s">
        <v>484</v>
      </c>
      <c r="F212" s="125"/>
      <c r="P212" s="18"/>
      <c r="Q212" s="18"/>
      <c r="R212" s="18"/>
      <c r="S212" s="18"/>
      <c r="T212" s="18"/>
      <c r="U212" s="18"/>
      <c r="V212" s="18"/>
      <c r="W212" s="18"/>
    </row>
    <row r="213" spans="2:23">
      <c r="B213" s="1223"/>
      <c r="C213" s="18"/>
      <c r="F213" s="125"/>
      <c r="P213" s="18"/>
      <c r="Q213" s="18"/>
      <c r="R213" s="18"/>
      <c r="S213" s="18"/>
      <c r="T213" s="18"/>
      <c r="U213" s="18"/>
      <c r="V213" s="18"/>
      <c r="W213" s="18"/>
    </row>
    <row r="214" spans="2:23">
      <c r="B214" s="1223"/>
      <c r="C214" s="371" t="s">
        <v>485</v>
      </c>
      <c r="D214" s="372" t="str">
        <f>INDEX(dms_FeederName_1,MATCH(dms_TradingName,dms_TradingName_List))</f>
        <v>CBD</v>
      </c>
      <c r="E214" s="372" t="str">
        <f>INDEX(dms_FeederName_2,MATCH(dms_TradingName,dms_TradingName_List))</f>
        <v>Urban</v>
      </c>
      <c r="F214" s="372" t="str">
        <f>INDEX(dms_FeederName_3,MATCH(dms_TradingName,dms_TradingName_List))</f>
        <v>Short rural</v>
      </c>
      <c r="G214" s="372" t="str">
        <f>INDEX(dms_FeederName_4,MATCH(dms_TradingName,dms_TradingName_List))</f>
        <v>Long rural</v>
      </c>
      <c r="H214" s="373" t="str">
        <f>IF(INDEX(dms_FeederName_5,MATCH(dms_TradingName,dms_TradingName_List))=0," ",INDEX(dms_FeederName_5,MATCH(dms_TradingName,dms_TradingName_List)))</f>
        <v xml:space="preserve"> </v>
      </c>
      <c r="Q214" s="18"/>
      <c r="R214" s="18"/>
      <c r="S214" s="18"/>
      <c r="T214" s="18"/>
      <c r="U214" s="18"/>
      <c r="V214" s="18"/>
      <c r="W214" s="18"/>
    </row>
    <row r="215" spans="2:23">
      <c r="I215" s="374"/>
      <c r="J215" s="94"/>
      <c r="Q215" s="18"/>
      <c r="R215" s="18"/>
      <c r="S215" s="18"/>
      <c r="T215" s="18"/>
      <c r="U215" s="18"/>
      <c r="V215" s="18"/>
      <c r="W215" s="18"/>
    </row>
    <row r="216" spans="2:23">
      <c r="D216" t="str" cm="1">
        <f t="array" ref="D216:D220">TRANSPOSE(dms_0603_FeederList)</f>
        <v>CBD</v>
      </c>
      <c r="I216" s="374"/>
      <c r="J216" s="94"/>
      <c r="Q216" s="18"/>
      <c r="R216" s="18"/>
      <c r="S216" s="18"/>
      <c r="T216" s="18"/>
      <c r="U216" s="18"/>
      <c r="V216" s="18"/>
      <c r="W216" s="18"/>
    </row>
    <row r="217" spans="2:23">
      <c r="D217" t="str">
        <v>Urban</v>
      </c>
      <c r="I217" s="374"/>
      <c r="J217" s="94"/>
      <c r="Q217" s="18"/>
      <c r="R217" s="18"/>
      <c r="S217" s="18"/>
      <c r="T217" s="18"/>
      <c r="U217" s="18"/>
      <c r="V217" s="18"/>
      <c r="W217" s="18"/>
    </row>
    <row r="218" spans="2:23">
      <c r="D218" t="str">
        <v>Short rural</v>
      </c>
      <c r="I218" s="374"/>
      <c r="J218" s="94"/>
      <c r="Q218" s="18"/>
      <c r="R218" s="18"/>
      <c r="S218" s="18"/>
      <c r="T218" s="18"/>
      <c r="U218" s="18"/>
      <c r="V218" s="18"/>
      <c r="W218" s="18"/>
    </row>
    <row r="219" spans="2:23">
      <c r="D219" t="str">
        <v>Long rural</v>
      </c>
      <c r="I219" s="374"/>
      <c r="J219" s="94"/>
      <c r="Q219" s="18"/>
      <c r="R219" s="18"/>
      <c r="S219" s="18"/>
      <c r="T219" s="18"/>
      <c r="U219" s="18"/>
      <c r="V219" s="18"/>
      <c r="W219" s="18"/>
    </row>
    <row r="220" spans="2:23">
      <c r="D220" t="str">
        <v xml:space="preserve"> </v>
      </c>
      <c r="E220" s="125"/>
      <c r="Q220" s="18"/>
      <c r="R220" s="18"/>
      <c r="S220" s="18"/>
      <c r="T220" s="18"/>
      <c r="U220" s="18"/>
      <c r="V220" s="18"/>
      <c r="W220" s="18"/>
    </row>
    <row r="221" spans="2:23" ht="29.25" customHeight="1">
      <c r="B221" s="355" t="s">
        <v>486</v>
      </c>
      <c r="C221" s="355" t="s">
        <v>486</v>
      </c>
      <c r="D221" s="355"/>
      <c r="E221" s="355"/>
      <c r="F221" s="355"/>
      <c r="G221" s="355"/>
      <c r="H221" s="355"/>
      <c r="I221" s="355"/>
      <c r="J221" s="355"/>
      <c r="K221" s="355"/>
      <c r="L221" s="355"/>
      <c r="M221" s="355"/>
      <c r="Q221" s="18"/>
      <c r="R221" s="18"/>
      <c r="S221" s="18"/>
      <c r="T221" s="18"/>
      <c r="U221" s="18"/>
      <c r="V221" s="18"/>
      <c r="W221" s="18"/>
    </row>
    <row r="222" spans="2:23" ht="15.75" customHeight="1">
      <c r="B222" s="375"/>
      <c r="E222" s="125"/>
      <c r="Q222" s="18"/>
      <c r="R222" s="18"/>
      <c r="S222" s="18"/>
      <c r="T222" s="18"/>
      <c r="U222" s="18"/>
      <c r="V222" s="18"/>
      <c r="W222" s="18"/>
    </row>
    <row r="223" spans="2:23" ht="15.5">
      <c r="B223" s="375"/>
      <c r="E223" s="125"/>
      <c r="Q223" s="18"/>
      <c r="R223" s="18"/>
      <c r="S223" s="18"/>
      <c r="T223" s="18"/>
      <c r="U223" s="18"/>
      <c r="V223" s="18"/>
      <c r="W223" s="18"/>
    </row>
    <row r="224" spans="2:23">
      <c r="B224" s="376" t="s">
        <v>487</v>
      </c>
      <c r="C224" t="s">
        <v>488</v>
      </c>
      <c r="D224" t="s">
        <v>489</v>
      </c>
      <c r="E224" s="125" t="s">
        <v>490</v>
      </c>
      <c r="Q224" s="18"/>
      <c r="R224" s="18"/>
      <c r="S224" s="18"/>
      <c r="T224" s="18"/>
      <c r="U224" s="18"/>
      <c r="V224" s="18"/>
      <c r="W224" s="18"/>
    </row>
    <row r="225" spans="2:23" ht="15.5">
      <c r="B225" s="377"/>
      <c r="C225" t="s">
        <v>491</v>
      </c>
      <c r="E225" s="125"/>
      <c r="Q225" s="18"/>
      <c r="R225" s="18"/>
      <c r="S225" s="18"/>
      <c r="T225" s="18"/>
      <c r="U225" s="18"/>
      <c r="V225" s="18"/>
      <c r="W225" s="18"/>
    </row>
    <row r="226" spans="2:23" ht="15.5">
      <c r="B226" s="375"/>
      <c r="E226" s="125"/>
      <c r="Q226" s="18"/>
      <c r="R226" s="18"/>
      <c r="S226" s="18"/>
      <c r="T226" s="18"/>
      <c r="U226" s="18"/>
      <c r="V226" s="18"/>
      <c r="W226" s="18"/>
    </row>
    <row r="227" spans="2:23" ht="15.5">
      <c r="B227" s="375"/>
      <c r="D227" s="121"/>
      <c r="E227" s="378"/>
      <c r="F227" s="121"/>
      <c r="G227" s="121"/>
      <c r="H227" s="121"/>
      <c r="I227" s="121"/>
      <c r="J227" s="121"/>
      <c r="K227" s="121"/>
      <c r="L227" s="121"/>
      <c r="M227" s="379"/>
      <c r="Q227" s="18"/>
      <c r="R227" s="18"/>
      <c r="S227" s="18"/>
      <c r="T227" s="18"/>
      <c r="U227" s="18"/>
      <c r="V227" s="18"/>
      <c r="W227" s="18"/>
    </row>
    <row r="228" spans="2:23">
      <c r="B228" s="380" t="s">
        <v>492</v>
      </c>
      <c r="C228" s="121" t="s">
        <v>493</v>
      </c>
      <c r="D228" s="121" t="s">
        <v>494</v>
      </c>
      <c r="E228" s="378" t="s">
        <v>495</v>
      </c>
      <c r="F228" s="121" t="s">
        <v>496</v>
      </c>
      <c r="G228" s="121" t="s">
        <v>497</v>
      </c>
      <c r="H228" s="121" t="s">
        <v>498</v>
      </c>
      <c r="I228" s="121" t="s">
        <v>499</v>
      </c>
      <c r="J228" s="121" t="s">
        <v>500</v>
      </c>
      <c r="K228" s="121" t="s">
        <v>501</v>
      </c>
      <c r="L228" s="121" t="s">
        <v>502</v>
      </c>
      <c r="M228" s="379"/>
      <c r="Q228" s="18"/>
      <c r="R228" s="18"/>
      <c r="S228" s="18"/>
      <c r="T228" s="18"/>
      <c r="U228" s="18"/>
      <c r="V228" s="18"/>
      <c r="W228" s="18"/>
    </row>
    <row r="229" spans="2:23" ht="15.5">
      <c r="B229" s="377"/>
      <c r="C229" t="s">
        <v>503</v>
      </c>
      <c r="E229" s="125"/>
      <c r="Q229" s="18"/>
      <c r="R229" s="18"/>
      <c r="S229" s="18"/>
      <c r="T229" s="18"/>
      <c r="U229" s="18"/>
      <c r="V229" s="18"/>
      <c r="W229" s="18"/>
    </row>
    <row r="230" spans="2:23" ht="15.5">
      <c r="B230" s="375"/>
      <c r="C230" s="97"/>
      <c r="E230" s="125"/>
      <c r="H230" s="97"/>
      <c r="I230" s="381"/>
      <c r="J230" s="97"/>
      <c r="K230" s="97"/>
      <c r="L230" s="136"/>
      <c r="Q230" s="18"/>
      <c r="R230" s="18"/>
      <c r="S230" s="18"/>
      <c r="T230" s="18"/>
      <c r="U230" s="18"/>
      <c r="V230" s="18"/>
      <c r="W230" s="18"/>
    </row>
    <row r="231" spans="2:23">
      <c r="B231" s="382"/>
      <c r="E231" s="125"/>
      <c r="Q231" s="18"/>
      <c r="R231" s="18"/>
      <c r="S231" s="18"/>
      <c r="T231" s="18"/>
      <c r="U231" s="18"/>
      <c r="V231" s="18"/>
      <c r="W231" s="18"/>
    </row>
    <row r="232" spans="2:23">
      <c r="B232" s="380" t="s">
        <v>504</v>
      </c>
      <c r="C232" t="s">
        <v>505</v>
      </c>
      <c r="D232" t="s">
        <v>506</v>
      </c>
      <c r="E232" s="125" t="s">
        <v>507</v>
      </c>
      <c r="F232" t="s">
        <v>508</v>
      </c>
      <c r="G232" t="s">
        <v>509</v>
      </c>
      <c r="H232" t="s">
        <v>510</v>
      </c>
      <c r="I232" t="s">
        <v>511</v>
      </c>
      <c r="J232" t="s">
        <v>512</v>
      </c>
      <c r="K232" t="s">
        <v>513</v>
      </c>
      <c r="L232" t="s">
        <v>514</v>
      </c>
      <c r="M232" t="s">
        <v>515</v>
      </c>
      <c r="Q232" s="18"/>
      <c r="R232" s="18"/>
      <c r="S232" s="18"/>
      <c r="T232" s="18"/>
      <c r="U232" s="18"/>
      <c r="V232" s="18"/>
      <c r="W232" s="18"/>
    </row>
    <row r="233" spans="2:23">
      <c r="B233" s="18"/>
      <c r="E233" s="125"/>
      <c r="Q233" s="18"/>
      <c r="R233" s="18"/>
      <c r="S233" s="18"/>
      <c r="T233" s="18"/>
      <c r="U233" s="18"/>
      <c r="V233" s="18"/>
      <c r="W233" s="18"/>
    </row>
    <row r="234" spans="2:23">
      <c r="Q234" s="18"/>
      <c r="R234" s="18"/>
      <c r="S234" s="18"/>
      <c r="T234" s="18"/>
      <c r="U234" s="18"/>
      <c r="V234" s="18"/>
      <c r="W234" s="18"/>
    </row>
    <row r="235" spans="2:23">
      <c r="Q235" s="18"/>
      <c r="R235" s="18"/>
      <c r="S235" s="18"/>
      <c r="T235" s="18"/>
      <c r="U235" s="18"/>
      <c r="V235" s="18"/>
      <c r="W235" s="18"/>
    </row>
    <row r="236" spans="2:23">
      <c r="B236" s="380" t="s">
        <v>516</v>
      </c>
      <c r="C236" t="s">
        <v>517</v>
      </c>
      <c r="D236" t="s">
        <v>518</v>
      </c>
      <c r="E236" s="383" t="s">
        <v>519</v>
      </c>
      <c r="F236" s="381" t="s">
        <v>520</v>
      </c>
      <c r="G236" s="97" t="s">
        <v>521</v>
      </c>
      <c r="H236" s="97" t="s">
        <v>522</v>
      </c>
      <c r="I236" s="136" t="s">
        <v>523</v>
      </c>
      <c r="L236" s="18"/>
      <c r="M236" s="18"/>
      <c r="N236" s="18"/>
      <c r="Q236" s="18"/>
      <c r="R236" s="18"/>
      <c r="S236" s="18"/>
      <c r="T236" s="18"/>
      <c r="U236" s="18"/>
      <c r="V236" s="18"/>
      <c r="W236" s="18"/>
    </row>
    <row r="237" spans="2:23">
      <c r="B237" s="97"/>
      <c r="C237" s="97"/>
      <c r="E237" s="125"/>
      <c r="H237" s="97"/>
      <c r="I237" s="381"/>
      <c r="J237" s="97"/>
      <c r="K237" s="97"/>
      <c r="L237" s="136"/>
      <c r="Q237" s="18"/>
      <c r="R237" s="18"/>
      <c r="S237" s="18"/>
      <c r="T237" s="18"/>
      <c r="U237" s="18"/>
      <c r="V237" s="18"/>
      <c r="W237" s="18"/>
    </row>
    <row r="238" spans="2:23">
      <c r="B238" s="97"/>
      <c r="C238" s="97"/>
      <c r="E238" s="125"/>
      <c r="H238" s="97"/>
      <c r="I238" s="381"/>
      <c r="J238" s="97"/>
      <c r="K238" s="97"/>
      <c r="L238" s="136"/>
      <c r="O238" s="18"/>
      <c r="P238" s="18"/>
      <c r="Q238" s="18"/>
      <c r="R238" s="18"/>
      <c r="S238" s="18"/>
      <c r="T238" s="18"/>
      <c r="U238" s="18"/>
      <c r="V238" s="18"/>
      <c r="W238" s="18"/>
    </row>
    <row r="239" spans="2:23">
      <c r="B239" s="97"/>
      <c r="C239" s="97"/>
      <c r="E239" s="125"/>
      <c r="H239" s="97"/>
      <c r="I239" s="381"/>
      <c r="J239" s="97"/>
      <c r="K239" s="97"/>
      <c r="L239" s="136"/>
      <c r="O239" s="18"/>
      <c r="P239" s="18"/>
      <c r="Q239" s="18"/>
      <c r="R239" s="18"/>
      <c r="S239" s="18"/>
      <c r="T239" s="18"/>
      <c r="U239" s="18"/>
      <c r="V239" s="18"/>
      <c r="W239" s="18"/>
    </row>
    <row r="240" spans="2:23">
      <c r="B240" s="97"/>
      <c r="C240" s="97"/>
      <c r="E240" s="125"/>
      <c r="H240" s="97"/>
      <c r="I240" s="381"/>
      <c r="J240" s="97"/>
      <c r="K240" s="97"/>
      <c r="L240" s="136"/>
      <c r="O240" s="18"/>
      <c r="P240" s="18"/>
      <c r="Q240" s="18"/>
      <c r="R240" s="18"/>
      <c r="S240" s="18"/>
      <c r="T240" s="18"/>
      <c r="U240" s="18"/>
      <c r="V240" s="18"/>
      <c r="W240" s="18"/>
    </row>
    <row r="241" spans="2:23">
      <c r="B241" s="97"/>
      <c r="C241" s="97"/>
      <c r="E241" s="125"/>
      <c r="H241" s="97"/>
      <c r="I241" s="381"/>
      <c r="J241" s="97"/>
      <c r="K241" s="97"/>
      <c r="L241" s="136"/>
      <c r="O241" s="18"/>
      <c r="P241" s="18"/>
      <c r="Q241" s="18"/>
      <c r="R241" s="18"/>
      <c r="S241" s="18"/>
      <c r="T241" s="18"/>
      <c r="U241" s="18"/>
      <c r="V241" s="18"/>
      <c r="W241" s="18"/>
    </row>
    <row r="242" spans="2:23">
      <c r="B242" s="97"/>
      <c r="C242" s="97"/>
      <c r="E242" s="125"/>
      <c r="H242" s="97"/>
      <c r="I242" s="381"/>
      <c r="J242" s="97"/>
      <c r="K242" s="97"/>
      <c r="L242" s="136"/>
      <c r="O242" s="18"/>
      <c r="P242" s="18"/>
      <c r="Q242" s="18"/>
      <c r="R242" s="18"/>
      <c r="S242" s="18"/>
      <c r="T242" s="18"/>
      <c r="U242" s="18"/>
      <c r="V242" s="18"/>
      <c r="W242" s="18"/>
    </row>
    <row r="243" spans="2:23">
      <c r="B243" s="97"/>
      <c r="C243" s="97"/>
      <c r="E243" s="125"/>
      <c r="H243" s="97"/>
      <c r="I243" s="381"/>
      <c r="J243" s="97"/>
      <c r="K243" s="97"/>
      <c r="L243" s="136"/>
      <c r="O243" s="18"/>
      <c r="P243" s="18"/>
      <c r="Q243" s="18"/>
      <c r="R243" s="18"/>
      <c r="S243" s="18"/>
      <c r="T243" s="18"/>
      <c r="U243" s="18"/>
      <c r="V243" s="18"/>
      <c r="W243" s="18"/>
    </row>
    <row r="244" spans="2:23">
      <c r="D244" s="384"/>
    </row>
    <row r="246" spans="2:23">
      <c r="D246" s="1"/>
    </row>
    <row r="252" spans="2:23">
      <c r="D252" s="1"/>
    </row>
  </sheetData>
  <mergeCells count="25">
    <mergeCell ref="BP34:CK34"/>
    <mergeCell ref="AK35:BF35"/>
    <mergeCell ref="BP35:CK35"/>
    <mergeCell ref="AK36:BF36"/>
    <mergeCell ref="BP36:CK36"/>
    <mergeCell ref="B119:B133"/>
    <mergeCell ref="B5:B29"/>
    <mergeCell ref="B33:B56"/>
    <mergeCell ref="K34:K36"/>
    <mergeCell ref="AK34:BF34"/>
    <mergeCell ref="K37:K41"/>
    <mergeCell ref="K45:K46"/>
    <mergeCell ref="B66:B79"/>
    <mergeCell ref="B85:B98"/>
    <mergeCell ref="B101:B108"/>
    <mergeCell ref="B111:B116"/>
    <mergeCell ref="B196:B197"/>
    <mergeCell ref="B200:B201"/>
    <mergeCell ref="B209:B214"/>
    <mergeCell ref="B136:B151"/>
    <mergeCell ref="B153:B159"/>
    <mergeCell ref="B161:B175"/>
    <mergeCell ref="B177:B178"/>
    <mergeCell ref="B180:B185"/>
    <mergeCell ref="B192:B19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356</vt:i4>
      </vt:variant>
    </vt:vector>
  </HeadingPairs>
  <TitlesOfParts>
    <vt:vector size="363" baseType="lpstr">
      <vt:lpstr>CONTENTS</vt:lpstr>
      <vt:lpstr>Concepts</vt:lpstr>
      <vt:lpstr>Business &amp; other details</vt:lpstr>
      <vt:lpstr>Assurance requirements by table</vt:lpstr>
      <vt:lpstr>8.1LM Income statement</vt:lpstr>
      <vt:lpstr>8.4LM Operating expenditure</vt:lpstr>
      <vt:lpstr>8.6LM Ind Asset Base Roll Fwd</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CRCP_y17</vt:lpstr>
      <vt:lpstr>CRCP_y18</vt:lpstr>
      <vt:lpstr>CRCP_y19</vt:lpstr>
      <vt:lpstr>CRCP_y2</vt:lpstr>
      <vt:lpstr>CRCP_y20</vt:lpstr>
      <vt:lpstr>CRCP_y21</vt:lpstr>
      <vt:lpstr>CRCP_y22</vt:lpstr>
      <vt:lpstr>CRCP_y23</vt:lpstr>
      <vt:lpstr>CRCP_y24</vt:lpstr>
      <vt:lpstr>CRCP_y25</vt:lpstr>
      <vt:lpstr>CRCP_y3</vt:lpstr>
      <vt:lpstr>CRCP_y4</vt:lpstr>
      <vt:lpstr>CRCP_y5</vt:lpstr>
      <vt:lpstr>CRCP_y6</vt:lpstr>
      <vt:lpstr>CRCP_y7</vt:lpstr>
      <vt:lpstr>CRCP_y8</vt:lpstr>
      <vt:lpstr>CRCP_y9</vt:lpstr>
      <vt:lpstr>CRY</vt:lpstr>
      <vt:lpstr>dms_020303_01_UOM</vt:lpstr>
      <vt:lpstr>dms_020501_01_UOM</vt:lpstr>
      <vt:lpstr>dms_020501_02_UOM</vt:lpstr>
      <vt:lpstr>dms_020501_03_UOM</vt:lpstr>
      <vt:lpstr>dms_020501_04_UOM</vt:lpstr>
      <vt:lpstr>dms_020603_01_UOM</vt:lpstr>
      <vt:lpstr>dms_020701_01_Rows</vt:lpstr>
      <vt:lpstr>dms_020701_01_UOM</vt:lpstr>
      <vt:lpstr>dms_020701_02_UOM</vt:lpstr>
      <vt:lpstr>dms_0306_Year</vt:lpstr>
      <vt:lpstr>dms_030601_01_UOM</vt:lpstr>
      <vt:lpstr>dms_030601_02_UOM</vt:lpstr>
      <vt:lpstr>dms_030605_UOM</vt:lpstr>
      <vt:lpstr>dms_03060703_UOM</vt:lpstr>
      <vt:lpstr>dms_030701_01_UOM</vt:lpstr>
      <vt:lpstr>dms_030702_01_UOM</vt:lpstr>
      <vt:lpstr>dms_030703_01_UOM</vt:lpstr>
      <vt:lpstr>dms_040102_01_UOM</vt:lpstr>
      <vt:lpstr>dms_040102_04_UOM</vt:lpstr>
      <vt:lpstr>dms_0502_Inst_Year</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dms_070904_01_Rows</vt:lpstr>
      <vt:lpstr>dms_070904_Start_Year</vt:lpstr>
      <vt:lpstr>dms_663</vt:lpstr>
      <vt:lpstr>dms_663_List</vt:lpstr>
      <vt:lpstr>dms_ABN_List</vt:lpstr>
      <vt:lpstr>dms_Addr1_List</vt:lpstr>
      <vt:lpstr>dms_Addr2_List</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dms_CF_3.6.6.1</vt:lpstr>
      <vt:lpstr>dms_CF_3.6.6.2</vt:lpstr>
      <vt:lpstr>dms_CF_3.6.6.3</vt:lpstr>
      <vt:lpstr>dms_CF_3.6.7.1</vt:lpstr>
      <vt:lpstr>dms_CF_3.6.7.2</vt:lpstr>
      <vt:lpstr>dms_CF_3.6.7.3</vt:lpstr>
      <vt:lpstr>dms_CF_3.6.7.4</vt:lpstr>
      <vt:lpstr>dms_CF_3.6.8</vt:lpstr>
      <vt:lpstr>dms_CF_4.1</vt:lpstr>
      <vt:lpstr>dms_CF_4.4.1</vt:lpstr>
      <vt:lpstr>dms_CF_6.8</vt:lpstr>
      <vt:lpstr>dms_CF_7.12</vt:lpstr>
      <vt:lpstr>dms_CF_8.1_A</vt:lpstr>
      <vt:lpstr>dms_CF_8.1_B</vt:lpstr>
      <vt:lpstr>dms_CF_8.1_Neg</vt:lpstr>
      <vt:lpstr>dms_CF_F10</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dms_CRY_start_year</vt:lpstr>
      <vt:lpstr>dms_DataQuality</vt:lpstr>
      <vt:lpstr>dms_DataQuality_List</vt:lpstr>
      <vt:lpstr>dms_Defined_Names_Used</vt:lpstr>
      <vt:lpstr>dms_DISCARD</vt:lpstr>
      <vt:lpstr>dms_DNSP_020301_ProjectTrigger</vt:lpstr>
      <vt:lpstr>dms_DNSP_020301_ProjectType</vt:lpstr>
      <vt:lpstr>dms_DNSP_020301_SubstationType</vt:lpstr>
      <vt:lpstr>dms_DNSP_020302_ProjectTrigger</vt:lpstr>
      <vt:lpstr>dms_DNSP_020302_ProjectType</vt:lpstr>
      <vt:lpstr>dms_DollarReal</vt:lpstr>
      <vt:lpstr>dms_DollarReal_Prev</vt:lpstr>
      <vt:lpstr>dms_DollarReal_year</vt:lpstr>
      <vt:lpstr>dms_DQ_1</vt:lpstr>
      <vt:lpstr>dms_DQ_2</vt:lpstr>
      <vt:lpstr>dms_E020202_UOM</vt:lpstr>
      <vt:lpstr>dms_E050201_UOM</vt:lpstr>
      <vt:lpstr>dms_E050202_UOM</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dms_PAddr1_List</vt:lpstr>
      <vt:lpstr>dms_PAddr2_List</vt:lpstr>
      <vt:lpstr>dms_Partial</vt:lpstr>
      <vt:lpstr>dms_PostCode_List</vt:lpstr>
      <vt:lpstr>dms_PPostCode_List</vt:lpstr>
      <vt:lpstr>dms_PRCP_start_row</vt:lpstr>
      <vt:lpstr>dms_PRCPlength_List</vt:lpstr>
      <vt:lpstr>dms_PRCPlength_Num</vt:lpstr>
      <vt:lpstr>dms_Previous_DollarReal_year</vt:lpstr>
      <vt:lpstr>dms_PState_List</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dms_State_List</vt:lpstr>
      <vt:lpstr>dms_STPIS_Exclusion_List</vt:lpstr>
      <vt:lpstr>dms_SubmissionDate</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dms_TradingName</vt:lpstr>
      <vt:lpstr>dms_TradingName_List</vt:lpstr>
      <vt:lpstr>dms_TradingNameFull</vt:lpstr>
      <vt:lpstr>dms_TradingNameFull_List</vt:lpstr>
      <vt:lpstr>dms_Typed_Submission_Date</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dms_y17</vt:lpstr>
      <vt:lpstr>dms_y18</vt:lpstr>
      <vt:lpstr>dms_y19</vt:lpstr>
      <vt:lpstr>dms_y2</vt:lpstr>
      <vt:lpstr>dms_y20</vt:lpstr>
      <vt:lpstr>dms_y21</vt:lpstr>
      <vt:lpstr>dms_y22</vt:lpstr>
      <vt:lpstr>dms_y23</vt:lpstr>
      <vt:lpstr>dms_y24</vt:lpstr>
      <vt:lpstr>dms_y25</vt:lpstr>
      <vt:lpstr>dms_y26</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FRCP_y17</vt:lpstr>
      <vt:lpstr>FRCP_y18</vt:lpstr>
      <vt:lpstr>FRCP_y19</vt:lpstr>
      <vt:lpstr>FRCP_y2</vt:lpstr>
      <vt:lpstr>FRCP_y20</vt:lpstr>
      <vt:lpstr>FRCP_y21</vt:lpstr>
      <vt:lpstr>FRCP_y22</vt:lpstr>
      <vt:lpstr>FRCP_y23</vt:lpstr>
      <vt:lpstr>FRCP_y24</vt:lpstr>
      <vt:lpstr>FRCP_y25</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PRCP_y17</vt:lpstr>
      <vt:lpstr>PRCP_y18</vt:lpstr>
      <vt:lpstr>PRCP_y19</vt:lpstr>
      <vt:lpstr>PRCP_y2</vt:lpstr>
      <vt:lpstr>PRCP_y20</vt:lpstr>
      <vt:lpstr>PRCP_y21</vt:lpstr>
      <vt:lpstr>PRCP_y22</vt:lpstr>
      <vt:lpstr>PRCP_y23</vt:lpstr>
      <vt:lpstr>PRCP_y24</vt:lpstr>
      <vt:lpstr>PRCP_y25</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Reset_outputs</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
  <cp:keywords/>
  <dc:description/>
  <cp:lastModifiedBy/>
  <dcterms:created xsi:type="dcterms:W3CDTF">2026-05-06T04:43:30Z</dcterms:created>
  <dcterms:modified xsi:type="dcterms:W3CDTF">2026-05-06T04:43:48Z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2026-05-06T04:43:45Z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03b31d6f-3dff-48ea-9384-ab8fb91295bf</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