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6" documentId="8_{DA82F1A8-DA32-44FB-9559-CDA59A15CA75}" xr6:coauthVersionLast="47" xr6:coauthVersionMax="47" xr10:uidLastSave="{F5BC4E77-94BE-4A11-A9CC-C6C921DA6EC7}"/>
  <bookViews>
    <workbookView xWindow="-120" yWindow="-120" windowWidth="38640" windowHeight="15720" tabRatio="799" activeTab="2" xr2:uid="{AC832A05-9AF7-4823-8F42-DA4E6118CE34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Input | Final year Capex" sheetId="14" r:id="rId5"/>
    <sheet name="Calc | CESS Revenue Increments" sheetId="4" r:id="rId6"/>
    <sheet name="Output | Models" sheetId="10" r:id="rId7"/>
    <sheet name="Output | CESS true-up" sheetId="15" r:id="rId8"/>
  </sheets>
  <definedNames>
    <definedName name="anscount" hidden="1">1</definedName>
    <definedName name="Cash_Timing">#REF!</definedName>
    <definedName name="dollars" localSheetId="4">#REF!</definedName>
    <definedName name="dollars">#REF!</definedName>
    <definedName name="factor" localSheetId="4">#REF!</definedName>
    <definedName name="factor">#REF!</definedName>
    <definedName name="Gap">ROUND((#REF!-#REF!)/30,0)/12</definedName>
    <definedName name="Mid_Period">#REF!</definedName>
    <definedName name="millions" localSheetId="4">#REF!</definedName>
    <definedName name="millions">#REF!</definedName>
    <definedName name="Nominal">#REF!</definedName>
    <definedName name="Nominal_to_Real">#REF!</definedName>
    <definedName name="number">#REF!</definedName>
    <definedName name="percent" localSheetId="6">#REF!</definedName>
    <definedName name="percent">#REF!</definedName>
    <definedName name="Quarter">OFFSET(#REF!,1,,COUNTA(#REF!)-1,)</definedName>
    <definedName name="thousands">#REF!</definedName>
    <definedName name="Timing_Adj">#REF!</definedName>
    <definedName name="unit">#REF!</definedName>
    <definedName name="Year">OFFSET(#REF!,1,,COUNTA(#REF!)-1,)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3" l="1"/>
  <c r="L19" i="3"/>
  <c r="L21" i="3"/>
  <c r="L22" i="3"/>
  <c r="L18" i="3"/>
  <c r="K11" i="14" l="1"/>
  <c r="L24" i="3" l="1"/>
  <c r="K24" i="3"/>
  <c r="J24" i="3"/>
  <c r="I24" i="3"/>
  <c r="H24" i="3"/>
  <c r="I16" i="14" l="1"/>
  <c r="H16" i="14" l="1"/>
  <c r="D18" i="4" l="1"/>
  <c r="D8" i="4" l="1"/>
  <c r="H15" i="2" l="1"/>
  <c r="I7" i="14"/>
  <c r="D30" i="3"/>
  <c r="D10" i="13"/>
  <c r="D9" i="13"/>
  <c r="D8" i="13"/>
  <c r="L2" i="14"/>
  <c r="C30" i="15"/>
  <c r="D8" i="15"/>
  <c r="D7" i="15"/>
  <c r="D6" i="15"/>
  <c r="S1" i="15" l="1"/>
  <c r="J2" i="3"/>
  <c r="K2" i="14"/>
  <c r="J1" i="2"/>
  <c r="K13" i="14" l="1"/>
  <c r="K12" i="14"/>
  <c r="H22" i="15"/>
  <c r="K14" i="14"/>
  <c r="K10" i="14"/>
  <c r="K16" i="14" s="1"/>
  <c r="J39" i="4"/>
  <c r="D20" i="2"/>
  <c r="L7" i="13" s="1"/>
  <c r="L19" i="13" s="1"/>
  <c r="D41" i="4"/>
  <c r="E41" i="4" s="1"/>
  <c r="L22" i="13"/>
  <c r="D25" i="4" s="1"/>
  <c r="D27" i="4" s="1"/>
  <c r="G22" i="13"/>
  <c r="D9" i="4" s="1"/>
  <c r="H22" i="13"/>
  <c r="E9" i="4" s="1"/>
  <c r="I22" i="13"/>
  <c r="F9" i="4" s="1"/>
  <c r="J22" i="13"/>
  <c r="G9" i="4" s="1"/>
  <c r="K22" i="13"/>
  <c r="H9" i="4" s="1"/>
  <c r="G19" i="4" s="1"/>
  <c r="H8" i="4"/>
  <c r="M14" i="13"/>
  <c r="M22" i="13" s="1"/>
  <c r="E25" i="4" s="1"/>
  <c r="M9" i="13"/>
  <c r="N9" i="13" s="1"/>
  <c r="O9" i="13" s="1"/>
  <c r="P9" i="13" s="1"/>
  <c r="G8" i="4"/>
  <c r="F8" i="4"/>
  <c r="E8" i="4"/>
  <c r="B1" i="2"/>
  <c r="E27" i="4" l="1"/>
  <c r="B1" i="5"/>
  <c r="B1" i="15"/>
  <c r="B1" i="14"/>
  <c r="D40" i="4"/>
  <c r="J6" i="10" s="1"/>
  <c r="F8" i="10" s="1"/>
  <c r="C42" i="4" s="1"/>
  <c r="H28" i="3"/>
  <c r="D24" i="4"/>
  <c r="E20" i="2"/>
  <c r="I5" i="15" s="1"/>
  <c r="H5" i="15"/>
  <c r="G15" i="2"/>
  <c r="F15" i="2" s="1"/>
  <c r="C3" i="14"/>
  <c r="C2" i="14"/>
  <c r="D13" i="15"/>
  <c r="F12" i="15"/>
  <c r="F13" i="15" s="1"/>
  <c r="F15" i="15" s="1"/>
  <c r="D12" i="15"/>
  <c r="H7" i="4"/>
  <c r="L6" i="3"/>
  <c r="K7" i="13"/>
  <c r="K19" i="13" s="1"/>
  <c r="H8" i="14"/>
  <c r="F19" i="4"/>
  <c r="E19" i="4" s="1"/>
  <c r="D19" i="4" s="1"/>
  <c r="D21" i="4" s="1"/>
  <c r="F41" i="4"/>
  <c r="K41" i="4"/>
  <c r="J41" i="4"/>
  <c r="N14" i="13"/>
  <c r="B1" i="13"/>
  <c r="B1" i="3"/>
  <c r="B1" i="4"/>
  <c r="B1" i="10"/>
  <c r="J40" i="4" l="1"/>
  <c r="C45" i="4"/>
  <c r="K6" i="3"/>
  <c r="K12" i="3" s="1"/>
  <c r="J7" i="13"/>
  <c r="J19" i="13" s="1"/>
  <c r="G7" i="4"/>
  <c r="I28" i="3"/>
  <c r="M7" i="13"/>
  <c r="M19" i="13" s="1"/>
  <c r="F20" i="2"/>
  <c r="J5" i="15" s="1"/>
  <c r="E24" i="4"/>
  <c r="E40" i="4"/>
  <c r="K40" i="4" s="1"/>
  <c r="I8" i="14"/>
  <c r="J6" i="3"/>
  <c r="E15" i="2"/>
  <c r="F7" i="4"/>
  <c r="I7" i="13"/>
  <c r="I19" i="13" s="1"/>
  <c r="L16" i="3"/>
  <c r="H11" i="4" s="1"/>
  <c r="L12" i="3"/>
  <c r="L41" i="4"/>
  <c r="G41" i="4"/>
  <c r="O14" i="13"/>
  <c r="N22" i="13"/>
  <c r="F25" i="4" s="1"/>
  <c r="F27" i="4" s="1"/>
  <c r="K6" i="10" l="1"/>
  <c r="F40" i="4"/>
  <c r="L40" i="4" s="1"/>
  <c r="J28" i="3"/>
  <c r="N7" i="13"/>
  <c r="N19" i="13" s="1"/>
  <c r="K16" i="3"/>
  <c r="G11" i="4" s="1"/>
  <c r="G20" i="2"/>
  <c r="K5" i="15" s="1"/>
  <c r="F24" i="4"/>
  <c r="J16" i="3"/>
  <c r="F11" i="4" s="1"/>
  <c r="J12" i="3"/>
  <c r="E7" i="4"/>
  <c r="D15" i="2"/>
  <c r="H7" i="13"/>
  <c r="H19" i="13" s="1"/>
  <c r="I6" i="3"/>
  <c r="K8" i="14"/>
  <c r="M41" i="4"/>
  <c r="H41" i="4"/>
  <c r="N41" i="4" s="1"/>
  <c r="O22" i="13"/>
  <c r="G25" i="4" s="1"/>
  <c r="G27" i="4" s="1"/>
  <c r="P14" i="13"/>
  <c r="P22" i="13" s="1"/>
  <c r="H25" i="4" s="1"/>
  <c r="H27" i="4" s="1"/>
  <c r="L6" i="10" l="1"/>
  <c r="G7" i="13"/>
  <c r="G15" i="13" s="1"/>
  <c r="H15" i="13" s="1"/>
  <c r="I15" i="13" s="1"/>
  <c r="J15" i="13" s="1"/>
  <c r="D7" i="4"/>
  <c r="H6" i="3"/>
  <c r="G40" i="4"/>
  <c r="M6" i="10" s="1"/>
  <c r="O7" i="13"/>
  <c r="O19" i="13" s="1"/>
  <c r="G24" i="4"/>
  <c r="K28" i="3"/>
  <c r="H20" i="2"/>
  <c r="I12" i="3"/>
  <c r="I16" i="3"/>
  <c r="E11" i="4" s="1"/>
  <c r="F7" i="13" l="1"/>
  <c r="F31" i="3" s="1"/>
  <c r="G19" i="13"/>
  <c r="G10" i="13"/>
  <c r="H10" i="13" s="1"/>
  <c r="I10" i="13" s="1"/>
  <c r="J10" i="13" s="1"/>
  <c r="K10" i="13" s="1"/>
  <c r="H12" i="3"/>
  <c r="D10" i="4" s="1"/>
  <c r="H16" i="3"/>
  <c r="D11" i="4" s="1"/>
  <c r="H24" i="4"/>
  <c r="D23" i="2"/>
  <c r="M40" i="4"/>
  <c r="F33" i="15"/>
  <c r="C33" i="15" s="1"/>
  <c r="L5" i="15"/>
  <c r="H40" i="4"/>
  <c r="N40" i="4" s="1"/>
  <c r="P7" i="13"/>
  <c r="P19" i="13" s="1"/>
  <c r="L28" i="3"/>
  <c r="K15" i="13"/>
  <c r="G10" i="4"/>
  <c r="G12" i="4" s="1"/>
  <c r="E10" i="4"/>
  <c r="E12" i="4" s="1"/>
  <c r="F10" i="4"/>
  <c r="F12" i="4" s="1"/>
  <c r="H31" i="3" l="1"/>
  <c r="H32" i="3" s="1"/>
  <c r="D26" i="4" s="1"/>
  <c r="D28" i="4" s="1"/>
  <c r="L10" i="13"/>
  <c r="M10" i="13" s="1"/>
  <c r="F12" i="3"/>
  <c r="F8" i="3"/>
  <c r="F9" i="3"/>
  <c r="C15" i="13"/>
  <c r="F10" i="3"/>
  <c r="C10" i="13"/>
  <c r="N6" i="10"/>
  <c r="D12" i="4"/>
  <c r="E23" i="2"/>
  <c r="M5" i="15"/>
  <c r="H30" i="15" s="1"/>
  <c r="G15" i="4"/>
  <c r="H15" i="4"/>
  <c r="F20" i="4"/>
  <c r="G20" i="4"/>
  <c r="H16" i="4"/>
  <c r="H10" i="4"/>
  <c r="H12" i="4" s="1"/>
  <c r="H20" i="4" s="1"/>
  <c r="L15" i="13"/>
  <c r="M15" i="13" s="1"/>
  <c r="N15" i="13" s="1"/>
  <c r="O15" i="13" s="1"/>
  <c r="P15" i="13" s="1"/>
  <c r="H14" i="4"/>
  <c r="F14" i="4"/>
  <c r="E20" i="4"/>
  <c r="G14" i="4"/>
  <c r="I31" i="3" l="1"/>
  <c r="I32" i="3" s="1"/>
  <c r="E26" i="4" s="1"/>
  <c r="E28" i="4" s="1"/>
  <c r="D20" i="4"/>
  <c r="G13" i="4"/>
  <c r="G18" i="4" s="1"/>
  <c r="G21" i="4" s="1"/>
  <c r="E13" i="4"/>
  <c r="E18" i="4" s="1"/>
  <c r="E21" i="4" s="1"/>
  <c r="F13" i="4"/>
  <c r="F18" i="4" s="1"/>
  <c r="F21" i="4" s="1"/>
  <c r="H13" i="4"/>
  <c r="H18" i="4" s="1"/>
  <c r="H21" i="4" s="1"/>
  <c r="F23" i="2"/>
  <c r="N5" i="15"/>
  <c r="I30" i="15" s="1"/>
  <c r="N10" i="13"/>
  <c r="J31" i="3"/>
  <c r="J32" i="3" s="1"/>
  <c r="F26" i="4" s="1"/>
  <c r="F28" i="4" s="1"/>
  <c r="I10" i="15"/>
  <c r="J10" i="15"/>
  <c r="D35" i="4" l="1"/>
  <c r="G23" i="2"/>
  <c r="O5" i="15"/>
  <c r="J30" i="15" s="1"/>
  <c r="O10" i="13"/>
  <c r="K31" i="3"/>
  <c r="K32" i="3" s="1"/>
  <c r="G26" i="4" s="1"/>
  <c r="G28" i="4" s="1"/>
  <c r="H13" i="15"/>
  <c r="H9" i="15"/>
  <c r="H10" i="15"/>
  <c r="H23" i="2" l="1"/>
  <c r="Q5" i="15" s="1"/>
  <c r="L30" i="15" s="1"/>
  <c r="P5" i="15"/>
  <c r="K30" i="15" s="1"/>
  <c r="P10" i="13"/>
  <c r="L31" i="3"/>
  <c r="L32" i="3" s="1"/>
  <c r="H26" i="4" s="1"/>
  <c r="H28" i="4" s="1"/>
  <c r="D31" i="4" s="1"/>
  <c r="I13" i="15"/>
  <c r="I9" i="15"/>
  <c r="D33" i="4" l="1"/>
  <c r="D34" i="4"/>
  <c r="D36" i="4" s="1"/>
  <c r="D42" i="4" s="1"/>
  <c r="E42" i="4" s="1"/>
  <c r="F42" i="4" s="1"/>
  <c r="G42" i="4" s="1"/>
  <c r="H42" i="4" s="1"/>
  <c r="J13" i="15"/>
  <c r="J9" i="15"/>
  <c r="J43" i="4" l="1"/>
  <c r="K43" i="4" s="1"/>
  <c r="L43" i="4" s="1"/>
  <c r="M43" i="4" s="1"/>
  <c r="N43" i="4" s="1"/>
  <c r="K13" i="15"/>
  <c r="K9" i="15"/>
  <c r="J8" i="10" l="1"/>
  <c r="H12" i="15"/>
  <c r="H15" i="15" s="1"/>
  <c r="H16" i="15" s="1"/>
  <c r="K17" i="15" s="1"/>
  <c r="L13" i="15"/>
  <c r="J45" i="4"/>
  <c r="L9" i="15"/>
  <c r="L10" i="15"/>
  <c r="K24" i="15" s="1"/>
  <c r="K10" i="15"/>
  <c r="L17" i="15" l="1"/>
  <c r="I17" i="15"/>
  <c r="I22" i="15" s="1"/>
  <c r="J17" i="15"/>
  <c r="K8" i="10"/>
  <c r="I12" i="15"/>
  <c r="I15" i="15" s="1"/>
  <c r="I16" i="15" s="1"/>
  <c r="J24" i="15"/>
  <c r="L8" i="10" l="1"/>
  <c r="J12" i="15"/>
  <c r="J15" i="15" s="1"/>
  <c r="J16" i="15" s="1"/>
  <c r="J18" i="15"/>
  <c r="J22" i="15" s="1"/>
  <c r="J26" i="15" s="1"/>
  <c r="K18" i="15"/>
  <c r="L18" i="15"/>
  <c r="I24" i="15"/>
  <c r="L19" i="15" l="1"/>
  <c r="K19" i="15"/>
  <c r="K22" i="15" s="1"/>
  <c r="K26" i="15" s="1"/>
  <c r="M8" i="10"/>
  <c r="K12" i="15"/>
  <c r="K15" i="15" s="1"/>
  <c r="K16" i="15" s="1"/>
  <c r="D45" i="4"/>
  <c r="J47" i="4" s="1"/>
  <c r="J25" i="15"/>
  <c r="H24" i="15"/>
  <c r="I26" i="15"/>
  <c r="I25" i="15"/>
  <c r="N8" i="10" l="1"/>
  <c r="O8" i="10" s="1"/>
  <c r="L12" i="15"/>
  <c r="L15" i="15" s="1"/>
  <c r="L16" i="15" s="1"/>
  <c r="L25" i="15" s="1"/>
  <c r="L20" i="15"/>
  <c r="L22" i="15" s="1"/>
  <c r="L26" i="15" s="1"/>
  <c r="K25" i="15"/>
  <c r="H26" i="15"/>
  <c r="H25" i="15"/>
  <c r="L27" i="15" l="1"/>
  <c r="H31" i="15" l="1"/>
  <c r="I31" i="15" l="1"/>
  <c r="J31" i="15" l="1"/>
  <c r="K31" i="15" s="1"/>
  <c r="L31" i="15" l="1"/>
  <c r="H33" i="15" s="1"/>
  <c r="I33" i="15" l="1"/>
  <c r="J33" i="15" s="1"/>
  <c r="K33" i="15" s="1"/>
  <c r="L33" i="15" s="1"/>
  <c r="M33" i="15" l="1"/>
</calcChain>
</file>

<file path=xl/sharedStrings.xml><?xml version="1.0" encoding="utf-8"?>
<sst xmlns="http://schemas.openxmlformats.org/spreadsheetml/2006/main" count="292" uniqueCount="131">
  <si>
    <t>Index</t>
  </si>
  <si>
    <t>Model index</t>
  </si>
  <si>
    <t>Sheet Name</t>
  </si>
  <si>
    <t>Sheet Description</t>
  </si>
  <si>
    <t>Input | General</t>
  </si>
  <si>
    <t>Inputs NSP name, regulatory years for the prior and forecast regulatory control period etc.</t>
  </si>
  <si>
    <t>Input | Inflation and Disc Rate</t>
  </si>
  <si>
    <t>Inputs the inflation and discount rate</t>
  </si>
  <si>
    <t>Input | Reported Capex</t>
  </si>
  <si>
    <t>Inputs the reported capital expenditure from the prior regulatory control period as well as the AER's forecast etc.</t>
  </si>
  <si>
    <t>Calc | CESS Revenue Increments</t>
  </si>
  <si>
    <t>Calculates the CESS payments from the prior regulatory control period</t>
  </si>
  <si>
    <t>Output | Models</t>
  </si>
  <si>
    <t>Outputs the CESS revenue increments needed as a post tax revenue model input</t>
  </si>
  <si>
    <t>End</t>
  </si>
  <si>
    <t>Key:</t>
  </si>
  <si>
    <t>Input</t>
  </si>
  <si>
    <t>Internal Link</t>
  </si>
  <si>
    <t>Determination stage</t>
  </si>
  <si>
    <t>Determination years</t>
  </si>
  <si>
    <t>Base regulatory year</t>
  </si>
  <si>
    <t>Forecast period years</t>
  </si>
  <si>
    <t>Regulatory control period details</t>
  </si>
  <si>
    <t>Year 1</t>
  </si>
  <si>
    <t>Year 2</t>
  </si>
  <si>
    <t>Year 3</t>
  </si>
  <si>
    <t>Year 4</t>
  </si>
  <si>
    <t>Year 5</t>
  </si>
  <si>
    <t>Regulatory control period CESS applied in (regulatory years)</t>
  </si>
  <si>
    <t>CESS to apply to this year's expenditure (Yes/No)</t>
  </si>
  <si>
    <t>Yes</t>
  </si>
  <si>
    <t>Actual or estimate year</t>
  </si>
  <si>
    <t>Actual</t>
  </si>
  <si>
    <t>Estimate</t>
  </si>
  <si>
    <t>Regulatory control period CESS revenue increment applied in (regulatory years)</t>
  </si>
  <si>
    <t>AER Final Decision</t>
  </si>
  <si>
    <t>Input | Inflation and Discount rate</t>
  </si>
  <si>
    <t>Input | Inflation</t>
  </si>
  <si>
    <t>Source</t>
  </si>
  <si>
    <t>Unit</t>
  </si>
  <si>
    <t>Actual CPI Inflation Rate</t>
  </si>
  <si>
    <t>Per cent</t>
  </si>
  <si>
    <t>Forecast CPI Inflation Rate</t>
  </si>
  <si>
    <t>AER</t>
  </si>
  <si>
    <t>Input | Discount rate</t>
  </si>
  <si>
    <t>Real Vanilla WACC</t>
  </si>
  <si>
    <t>Forecast Real Vanilla WACC</t>
  </si>
  <si>
    <t>Nominal Vanilla WACC (fixed, real, time varying)</t>
  </si>
  <si>
    <t>Calculated</t>
  </si>
  <si>
    <t>Data sources:</t>
  </si>
  <si>
    <t>Input | Actual / Estimate Capex</t>
  </si>
  <si>
    <t>Final Year Difference</t>
  </si>
  <si>
    <t>Basis</t>
  </si>
  <si>
    <t>Total capex</t>
  </si>
  <si>
    <t>$millions</t>
  </si>
  <si>
    <t>nominal</t>
  </si>
  <si>
    <t>Customer Contributions</t>
  </si>
  <si>
    <t>Asset Disposals</t>
  </si>
  <si>
    <t>Other excludable capex</t>
  </si>
  <si>
    <t>Total actual capex applicable to CESS</t>
  </si>
  <si>
    <t>Input | Capex</t>
  </si>
  <si>
    <t>Input | Capex Allowance</t>
  </si>
  <si>
    <t>Total capex allowance</t>
  </si>
  <si>
    <t>Total capex allowance applicable to CESS</t>
  </si>
  <si>
    <t>Ñ</t>
  </si>
  <si>
    <t>Input | Capex Deferred to following regulatory period</t>
  </si>
  <si>
    <t>Capex deferred and re-proposed</t>
  </si>
  <si>
    <t>Input | CESS Payments</t>
  </si>
  <si>
    <t>Calc | NPV of CESS payments</t>
  </si>
  <si>
    <t>Regulatory period 1</t>
  </si>
  <si>
    <t>Year</t>
  </si>
  <si>
    <t>Discount rate (Real WACC)</t>
  </si>
  <si>
    <t>Discount rate (Nominal, fixed real WACC)</t>
  </si>
  <si>
    <t>Capex allowance</t>
  </si>
  <si>
    <t>Actual capex</t>
  </si>
  <si>
    <t>Underspend</t>
  </si>
  <si>
    <t>Year 1 benefit</t>
  </si>
  <si>
    <t>Year 2 benefit</t>
  </si>
  <si>
    <t>Year 3 benefit</t>
  </si>
  <si>
    <t>Year 4 benefit</t>
  </si>
  <si>
    <t>Year 5 benefit</t>
  </si>
  <si>
    <t>Total financing benefit</t>
  </si>
  <si>
    <t>Discount factor (end of year)</t>
  </si>
  <si>
    <t>NPV financing benefit</t>
  </si>
  <si>
    <t>Regulatory period 2</t>
  </si>
  <si>
    <t>Discount rate:</t>
  </si>
  <si>
    <t>Increase in forecast capex in regulatory period 2 attributable to capex deferred in regulatory period 1</t>
  </si>
  <si>
    <t>Discount factor (middle of year 5)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</si>
  <si>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</si>
  <si>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</si>
  <si>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</si>
  <si>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</si>
  <si>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</si>
  <si>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</si>
  <si>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Calc | Total CESS Payments</t>
  </si>
  <si>
    <t>Discount factor</t>
  </si>
  <si>
    <t>Difference</t>
  </si>
  <si>
    <t>Inputs for Post Tax Revenue Model</t>
  </si>
  <si>
    <t>Note. The dollar base should be consistent with the post tax revenue model</t>
  </si>
  <si>
    <t>Revenue Adjustments</t>
  </si>
  <si>
    <t>Total</t>
  </si>
  <si>
    <t>CESS increments as per NER 6A.5.4(a)(5)</t>
  </si>
  <si>
    <t>Calc | NPV of CESS adjustments</t>
  </si>
  <si>
    <t>Real vanilla WACC</t>
  </si>
  <si>
    <t>Forecast real vanilla WACC</t>
  </si>
  <si>
    <t xml:space="preserve">Actual CPI </t>
  </si>
  <si>
    <t xml:space="preserve">Cumulative Actual CPI </t>
  </si>
  <si>
    <t>Nominal vanilla WACC (fixed real time varying)</t>
  </si>
  <si>
    <t>Difference in CESS increment amounts</t>
  </si>
  <si>
    <t>NPV Difference in CESS increment amounts</t>
  </si>
  <si>
    <t>NPV of CESS payment adjustments</t>
  </si>
  <si>
    <t>Inputs the capex expenditure for the final year estimate and actual</t>
  </si>
  <si>
    <t>Output | FY19 CESS adjustment</t>
  </si>
  <si>
    <t>Outputs the CESS final year true-up revenue increment after accounting for the final year capex adjustment</t>
  </si>
  <si>
    <t>Network Service Provider Name</t>
  </si>
  <si>
    <t>Select which capex data to test in 'Input|Reported Capex'! tab, Cell L17</t>
  </si>
  <si>
    <t>Sector</t>
  </si>
  <si>
    <t>Forecast regulatory control period</t>
  </si>
  <si>
    <t>Input | Final year Capex</t>
  </si>
  <si>
    <t>AusNet Services</t>
  </si>
  <si>
    <t>2026-31</t>
  </si>
  <si>
    <t>TNSP</t>
  </si>
  <si>
    <t>FY22 True-up</t>
  </si>
  <si>
    <t>2022-27</t>
  </si>
  <si>
    <t>2022-23</t>
  </si>
  <si>
    <t>NPV underspend (30 June 2022)</t>
  </si>
  <si>
    <t>NPV financing benefit (30 June 2022)</t>
  </si>
  <si>
    <t>NPV of increase in forecast capex from deferred capex (30 June 2022)</t>
  </si>
  <si>
    <t>NPV of CESS payments (post-adjustment) as at (30 June 2022)</t>
  </si>
  <si>
    <t>Capiatlised Leases</t>
  </si>
  <si>
    <t>Capitalised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</si>
</sst>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$&quot;#,##0.00"/>
    <numFmt numFmtId="170" formatCode="_-* #,##0_-;\-* #,##0_-;_-* &quot;-&quot;??_-;_-@_-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0.000"/>
    <numFmt numFmtId="191" formatCode="_(* #,##0.0_);_(* \(#,##0.0\);_(* &quot;-&quot;?_);_(@_)"/>
    <numFmt numFmtId="192" formatCode="_-* #,##0.00000_-;\-* #,##0.00000_-;_-* &quot;-&quot;??_-;_-@_-"/>
    <numFmt numFmtId="193" formatCode="_-* #,##0.000_-;\-* #,##0.000_-;_-* &quot;-&quot;??_-;_-@_-"/>
  </numFmts>
  <fonts count="109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Symbol"/>
      <family val="1"/>
      <charset val="2"/>
    </font>
  </fonts>
  <fills count="6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8">
      <alignment horizontal="right" vertical="center"/>
      <protection locked="0"/>
    </xf>
    <xf numFmtId="165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9" applyNumberFormat="0" applyAlignment="0" applyProtection="0"/>
    <xf numFmtId="173" fontId="34" fillId="0" borderId="10">
      <alignment horizontal="center"/>
    </xf>
    <xf numFmtId="0" fontId="35" fillId="30" borderId="11" applyNumberFormat="0" applyAlignment="0" applyProtection="0"/>
    <xf numFmtId="0" fontId="36" fillId="31" borderId="6">
      <alignment horizontal="center" vertical="center"/>
    </xf>
    <xf numFmtId="16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9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2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3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4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9" applyNumberFormat="0" applyAlignment="0" applyProtection="0"/>
    <xf numFmtId="178" fontId="17" fillId="37" borderId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0" fontId="32" fillId="40" borderId="0"/>
    <xf numFmtId="0" fontId="23" fillId="3" borderId="15" applyNumberFormat="0" applyFont="0" applyAlignment="0"/>
    <xf numFmtId="0" fontId="24" fillId="28" borderId="0"/>
    <xf numFmtId="0" fontId="59" fillId="0" borderId="16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7" applyNumberFormat="0" applyFont="0" applyAlignment="0" applyProtection="0"/>
    <xf numFmtId="0" fontId="64" fillId="37" borderId="18" applyNumberFormat="0"/>
    <xf numFmtId="0" fontId="65" fillId="11" borderId="19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0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9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1" applyNumberFormat="0" applyFill="0" applyAlignment="0" applyProtection="0"/>
    <xf numFmtId="0" fontId="18" fillId="3" borderId="15" applyNumberFormat="0" applyAlignment="0"/>
    <xf numFmtId="0" fontId="34" fillId="0" borderId="0" applyNumberFormat="0" applyFill="0" applyBorder="0"/>
    <xf numFmtId="0" fontId="85" fillId="46" borderId="15" applyNumberFormat="0">
      <protection locked="0"/>
    </xf>
    <xf numFmtId="0" fontId="86" fillId="0" borderId="0" applyNumberFormat="0" applyFill="0" applyBorder="0" applyAlignment="0" applyProtection="0"/>
    <xf numFmtId="188" fontId="23" fillId="0" borderId="20" applyBorder="0" applyProtection="0">
      <alignment horizontal="right"/>
    </xf>
    <xf numFmtId="188" fontId="23" fillId="0" borderId="20" applyBorder="0" applyProtection="0">
      <alignment horizontal="right"/>
    </xf>
    <xf numFmtId="188" fontId="23" fillId="0" borderId="20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7">
      <alignment horizontal="right" vertical="center"/>
      <protection locked="0"/>
    </xf>
    <xf numFmtId="168" fontId="15" fillId="0" borderId="0" applyFont="0" applyFill="0" applyBorder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173" fontId="34" fillId="0" borderId="32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1" fontId="23" fillId="39" borderId="0" applyFont="0" applyBorder="0">
      <alignment horizontal="right"/>
    </xf>
    <xf numFmtId="177" fontId="23" fillId="39" borderId="0" applyFont="0" applyBorder="0" applyAlignment="0"/>
    <xf numFmtId="191" fontId="23" fillId="39" borderId="0" applyFont="0" applyBorder="0">
      <alignment horizontal="right"/>
    </xf>
    <xf numFmtId="166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6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1" fontId="97" fillId="28" borderId="35" applyFont="0" applyBorder="0" applyAlignment="0"/>
    <xf numFmtId="177" fontId="51" fillId="28" borderId="0" applyFont="0" applyBorder="0" applyAlignment="0"/>
    <xf numFmtId="168" fontId="11" fillId="0" borderId="0" applyFont="0" applyFill="0" applyBorder="0" applyAlignment="0" applyProtection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168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8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48" borderId="0" applyFont="0" applyBorder="0" applyAlignment="0">
      <alignment horizontal="right"/>
      <protection locked="0"/>
    </xf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</cellStyleXfs>
  <cellXfs count="226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9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5" fillId="3" borderId="22" xfId="3" applyFill="1" applyBorder="1"/>
    <xf numFmtId="0" fontId="16" fillId="3" borderId="22" xfId="3" applyFont="1" applyFill="1" applyBorder="1" applyAlignment="1">
      <alignment horizontal="left"/>
    </xf>
    <xf numFmtId="0" fontId="16" fillId="3" borderId="22" xfId="3" applyFont="1" applyFill="1" applyBorder="1" applyAlignment="1">
      <alignment horizontal="left" indent="9"/>
    </xf>
    <xf numFmtId="0" fontId="12" fillId="3" borderId="23" xfId="3" applyFont="1" applyFill="1" applyBorder="1"/>
    <xf numFmtId="0" fontId="88" fillId="3" borderId="23" xfId="3" applyFont="1" applyFill="1" applyBorder="1" applyAlignment="1">
      <alignment horizontal="center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4" fillId="6" borderId="2" xfId="3" applyFont="1" applyFill="1" applyBorder="1"/>
    <xf numFmtId="167" fontId="18" fillId="6" borderId="2" xfId="3" applyNumberFormat="1" applyFont="1" applyFill="1" applyBorder="1" applyAlignment="1">
      <alignment horizontal="center" wrapText="1"/>
    </xf>
    <xf numFmtId="0" fontId="15" fillId="6" borderId="2" xfId="3" applyFill="1" applyBorder="1" applyAlignment="1">
      <alignment wrapText="1"/>
    </xf>
    <xf numFmtId="0" fontId="15" fillId="0" borderId="0" xfId="3"/>
    <xf numFmtId="170" fontId="17" fillId="0" borderId="0" xfId="3" applyNumberFormat="1" applyFont="1"/>
    <xf numFmtId="170" fontId="19" fillId="0" borderId="0" xfId="3" applyNumberFormat="1" applyFont="1" applyAlignment="1">
      <alignment horizontal="center"/>
    </xf>
    <xf numFmtId="170" fontId="17" fillId="0" borderId="0" xfId="3" applyNumberFormat="1" applyFont="1" applyAlignment="1">
      <alignment horizontal="center"/>
    </xf>
    <xf numFmtId="170" fontId="22" fillId="0" borderId="0" xfId="3" applyNumberFormat="1" applyFont="1"/>
    <xf numFmtId="170" fontId="21" fillId="0" borderId="0" xfId="3" applyNumberFormat="1" applyFont="1" applyAlignment="1">
      <alignment horizontal="center"/>
    </xf>
    <xf numFmtId="170" fontId="22" fillId="0" borderId="20" xfId="3" applyNumberFormat="1" applyFont="1" applyBorder="1" applyAlignment="1">
      <alignment horizontal="center"/>
    </xf>
    <xf numFmtId="170" fontId="17" fillId="0" borderId="0" xfId="3" applyNumberFormat="1" applyFont="1" applyAlignment="1">
      <alignment horizontal="left" indent="1"/>
    </xf>
    <xf numFmtId="170" fontId="13" fillId="0" borderId="0" xfId="263" applyNumberFormat="1" applyFont="1" applyAlignment="1" applyProtection="1">
      <alignment horizontal="center"/>
    </xf>
    <xf numFmtId="189" fontId="20" fillId="0" borderId="24" xfId="55" applyNumberFormat="1" applyFont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70" fontId="19" fillId="3" borderId="0" xfId="0" applyNumberFormat="1" applyFont="1" applyFill="1" applyAlignment="1">
      <alignment horizontal="center" vertical="center"/>
    </xf>
    <xf numFmtId="2" fontId="24" fillId="3" borderId="2" xfId="1" applyNumberFormat="1" applyFont="1" applyFill="1" applyBorder="1" applyAlignment="1">
      <alignment horizontal="center" vertical="center"/>
    </xf>
    <xf numFmtId="0" fontId="9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70" fontId="19" fillId="3" borderId="2" xfId="0" applyNumberFormat="1" applyFont="1" applyFill="1" applyBorder="1" applyAlignment="1">
      <alignment horizontal="center" vertical="center"/>
    </xf>
    <xf numFmtId="170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0" fontId="15" fillId="3" borderId="0" xfId="0" applyNumberFormat="1" applyFont="1" applyFill="1" applyAlignment="1">
      <alignment horizontal="center" vertical="center"/>
    </xf>
    <xf numFmtId="190" fontId="15" fillId="0" borderId="26" xfId="268" applyNumberFormat="1" applyFont="1" applyFill="1" applyBorder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2" fontId="15" fillId="0" borderId="33" xfId="0" applyNumberFormat="1" applyFont="1" applyBorder="1" applyAlignment="1">
      <alignment horizontal="right"/>
    </xf>
    <xf numFmtId="2" fontId="15" fillId="0" borderId="20" xfId="0" applyNumberFormat="1" applyFont="1" applyBorder="1" applyAlignment="1">
      <alignment horizontal="right"/>
    </xf>
    <xf numFmtId="2" fontId="15" fillId="0" borderId="36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9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2" fontId="15" fillId="0" borderId="4" xfId="0" applyNumberFormat="1" applyFont="1" applyBorder="1"/>
    <xf numFmtId="2" fontId="15" fillId="0" borderId="38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3" fillId="3" borderId="0" xfId="2" quotePrefix="1" applyFont="1" applyFill="1" applyBorder="1" applyAlignment="1">
      <alignment horizontal="left"/>
    </xf>
    <xf numFmtId="169" fontId="24" fillId="0" borderId="2" xfId="0" applyNumberFormat="1" applyFont="1" applyBorder="1" applyAlignment="1">
      <alignment horizontal="right" vertical="center"/>
    </xf>
    <xf numFmtId="0" fontId="12" fillId="0" borderId="34" xfId="0" applyFont="1" applyBorder="1"/>
    <xf numFmtId="0" fontId="15" fillId="0" borderId="38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3" xfId="0" applyFont="1" applyBorder="1" applyAlignment="1">
      <alignment horizontal="left" indent="1"/>
    </xf>
    <xf numFmtId="0" fontId="15" fillId="0" borderId="34" xfId="0" applyFont="1" applyBorder="1" applyAlignment="1">
      <alignment horizontal="left" indent="1"/>
    </xf>
    <xf numFmtId="0" fontId="15" fillId="0" borderId="39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4" xfId="0" applyFont="1" applyFill="1" applyBorder="1"/>
    <xf numFmtId="0" fontId="98" fillId="3" borderId="33" xfId="0" applyFont="1" applyFill="1" applyBorder="1"/>
    <xf numFmtId="0" fontId="98" fillId="3" borderId="20" xfId="0" applyFont="1" applyFill="1" applyBorder="1"/>
    <xf numFmtId="0" fontId="12" fillId="0" borderId="37" xfId="0" applyFont="1" applyBorder="1"/>
    <xf numFmtId="0" fontId="99" fillId="3" borderId="0" xfId="2" applyFont="1" applyFill="1" applyBorder="1" applyAlignment="1" applyProtection="1">
      <alignment horizontal="left" vertical="center"/>
    </xf>
    <xf numFmtId="190" fontId="15" fillId="3" borderId="26" xfId="268" applyNumberFormat="1" applyFont="1" applyFill="1" applyBorder="1" applyAlignment="1">
      <alignment horizontal="center" vertical="center"/>
    </xf>
    <xf numFmtId="2" fontId="15" fillId="3" borderId="0" xfId="0" applyNumberFormat="1" applyFont="1" applyFill="1" applyAlignment="1">
      <alignment horizontal="right"/>
    </xf>
    <xf numFmtId="2" fontId="15" fillId="3" borderId="35" xfId="0" applyNumberFormat="1" applyFont="1" applyFill="1" applyBorder="1" applyAlignment="1">
      <alignment horizontal="right"/>
    </xf>
    <xf numFmtId="10" fontId="15" fillId="3" borderId="40" xfId="0" applyNumberFormat="1" applyFont="1" applyFill="1" applyBorder="1" applyAlignment="1">
      <alignment horizontal="center" vertical="center"/>
    </xf>
    <xf numFmtId="10" fontId="15" fillId="3" borderId="41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1" xfId="0" applyNumberFormat="1" applyFont="1" applyFill="1" applyBorder="1" applyAlignment="1">
      <alignment horizontal="center" vertical="center"/>
    </xf>
    <xf numFmtId="2" fontId="24" fillId="3" borderId="24" xfId="1" applyNumberFormat="1" applyFont="1" applyFill="1" applyBorder="1" applyAlignment="1">
      <alignment horizontal="center" vertical="center"/>
    </xf>
    <xf numFmtId="192" fontId="17" fillId="0" borderId="0" xfId="3" applyNumberFormat="1" applyFont="1"/>
    <xf numFmtId="170" fontId="22" fillId="0" borderId="0" xfId="3" applyNumberFormat="1" applyFont="1" applyAlignment="1">
      <alignment horizontal="center"/>
    </xf>
    <xf numFmtId="189" fontId="20" fillId="0" borderId="0" xfId="55" applyNumberFormat="1" applyFont="1" applyBorder="1" applyAlignment="1" applyProtection="1">
      <alignment horizontal="center" vertical="center"/>
    </xf>
    <xf numFmtId="190" fontId="24" fillId="3" borderId="26" xfId="0" applyNumberFormat="1" applyFont="1" applyFill="1" applyBorder="1" applyAlignment="1">
      <alignment horizontal="center" vertical="center"/>
    </xf>
    <xf numFmtId="168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0" fontId="24" fillId="0" borderId="26" xfId="0" applyNumberFormat="1" applyFont="1" applyBorder="1" applyAlignment="1">
      <alignment horizontal="center" vertical="center"/>
    </xf>
    <xf numFmtId="10" fontId="15" fillId="0" borderId="2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169" fontId="24" fillId="0" borderId="37" xfId="0" applyNumberFormat="1" applyFont="1" applyBorder="1" applyAlignment="1">
      <alignment horizontal="right" vertical="center"/>
    </xf>
    <xf numFmtId="2" fontId="24" fillId="0" borderId="24" xfId="1" applyNumberFormat="1" applyFont="1" applyFill="1" applyBorder="1" applyAlignment="1">
      <alignment horizontal="center" vertical="center"/>
    </xf>
    <xf numFmtId="2" fontId="15" fillId="0" borderId="35" xfId="0" applyNumberFormat="1" applyFont="1" applyBorder="1" applyAlignment="1">
      <alignment horizontal="right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169" fontId="24" fillId="3" borderId="6" xfId="0" applyNumberFormat="1" applyFont="1" applyFill="1" applyBorder="1" applyAlignment="1">
      <alignment horizontal="right" vertical="center"/>
    </xf>
    <xf numFmtId="0" fontId="101" fillId="53" borderId="0" xfId="265" applyFont="1" applyFill="1" applyAlignment="1">
      <alignment horizontal="center" vertical="center"/>
    </xf>
    <xf numFmtId="0" fontId="24" fillId="53" borderId="24" xfId="1" applyFont="1" applyFill="1" applyBorder="1" applyAlignment="1">
      <alignment horizontal="center" vertical="center"/>
    </xf>
    <xf numFmtId="10" fontId="24" fillId="53" borderId="26" xfId="0" applyNumberFormat="1" applyFont="1" applyFill="1" applyBorder="1" applyAlignment="1">
      <alignment horizontal="center" vertical="center"/>
    </xf>
    <xf numFmtId="2" fontId="24" fillId="53" borderId="24" xfId="1" applyNumberFormat="1" applyFont="1" applyFill="1" applyBorder="1" applyAlignment="1">
      <alignment horizontal="center" vertical="center"/>
    </xf>
    <xf numFmtId="2" fontId="24" fillId="54" borderId="24" xfId="1" applyNumberFormat="1" applyFont="1" applyFill="1" applyBorder="1" applyAlignment="1">
      <alignment horizontal="center" vertical="center"/>
    </xf>
    <xf numFmtId="0" fontId="101" fillId="55" borderId="0" xfId="265" applyFont="1" applyFill="1" applyAlignment="1">
      <alignment horizontal="center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7" xfId="268" applyNumberFormat="1" applyFont="1" applyFill="1" applyBorder="1" applyAlignment="1" applyProtection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2" xfId="268" applyNumberFormat="1" applyFont="1" applyFill="1" applyBorder="1" applyAlignment="1" applyProtection="1">
      <alignment horizontal="right" vertical="center"/>
    </xf>
    <xf numFmtId="168" fontId="24" fillId="0" borderId="2" xfId="304" applyFont="1" applyFill="1" applyBorder="1" applyAlignment="1">
      <alignment horizontal="right" vertical="center"/>
    </xf>
    <xf numFmtId="168" fontId="24" fillId="0" borderId="37" xfId="304" applyFont="1" applyFill="1" applyBorder="1" applyAlignment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3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0" borderId="2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24" fillId="0" borderId="24" xfId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168" fontId="24" fillId="0" borderId="34" xfId="304" applyFont="1" applyFill="1" applyBorder="1" applyAlignment="1">
      <alignment horizontal="right" vertical="center"/>
    </xf>
    <xf numFmtId="169" fontId="24" fillId="0" borderId="34" xfId="0" applyNumberFormat="1" applyFont="1" applyBorder="1" applyAlignment="1">
      <alignment horizontal="right" vertical="center"/>
    </xf>
    <xf numFmtId="169" fontId="15" fillId="3" borderId="6" xfId="0" applyNumberFormat="1" applyFont="1" applyFill="1" applyBorder="1" applyAlignment="1">
      <alignment horizontal="right" vertical="center" wrapText="1"/>
    </xf>
    <xf numFmtId="0" fontId="0" fillId="0" borderId="44" xfId="0" applyBorder="1"/>
    <xf numFmtId="10" fontId="0" fillId="0" borderId="44" xfId="268" applyNumberFormat="1" applyFont="1" applyFill="1" applyBorder="1"/>
    <xf numFmtId="193" fontId="0" fillId="0" borderId="44" xfId="304" applyNumberFormat="1" applyFont="1" applyBorder="1"/>
    <xf numFmtId="10" fontId="0" fillId="0" borderId="44" xfId="268" applyNumberFormat="1" applyFont="1" applyBorder="1"/>
    <xf numFmtId="170" fontId="22" fillId="3" borderId="0" xfId="0" applyNumberFormat="1" applyFont="1" applyFill="1" applyAlignment="1">
      <alignment horizontal="left" vertical="center"/>
    </xf>
    <xf numFmtId="168" fontId="107" fillId="3" borderId="2" xfId="304" applyFont="1" applyFill="1" applyBorder="1" applyAlignment="1" applyProtection="1">
      <alignment horizontal="left" vertical="center"/>
    </xf>
    <xf numFmtId="0" fontId="105" fillId="3" borderId="0" xfId="0" applyFont="1" applyFill="1"/>
    <xf numFmtId="0" fontId="0" fillId="3" borderId="0" xfId="0" applyFill="1" applyAlignment="1">
      <alignment horizontal="right"/>
    </xf>
    <xf numFmtId="170" fontId="22" fillId="3" borderId="0" xfId="3" applyNumberFormat="1" applyFont="1" applyFill="1"/>
    <xf numFmtId="170" fontId="17" fillId="3" borderId="0" xfId="3" applyNumberFormat="1" applyFont="1" applyFill="1" applyAlignment="1">
      <alignment horizontal="left" indent="1"/>
    </xf>
    <xf numFmtId="0" fontId="0" fillId="3" borderId="44" xfId="0" applyFill="1" applyBorder="1"/>
    <xf numFmtId="10" fontId="0" fillId="3" borderId="0" xfId="268" applyNumberFormat="1" applyFont="1" applyFill="1"/>
    <xf numFmtId="190" fontId="0" fillId="3" borderId="0" xfId="0" applyNumberFormat="1" applyFill="1"/>
    <xf numFmtId="168" fontId="0" fillId="3" borderId="44" xfId="304" applyFont="1" applyFill="1" applyBorder="1"/>
    <xf numFmtId="170" fontId="19" fillId="3" borderId="0" xfId="3" applyNumberFormat="1" applyFont="1" applyFill="1" applyAlignment="1">
      <alignment horizontal="center"/>
    </xf>
    <xf numFmtId="168" fontId="106" fillId="3" borderId="44" xfId="304" applyFont="1" applyFill="1" applyBorder="1"/>
    <xf numFmtId="168" fontId="0" fillId="3" borderId="45" xfId="304" applyFont="1" applyFill="1" applyBorder="1"/>
    <xf numFmtId="0" fontId="19" fillId="3" borderId="25" xfId="0" applyFont="1" applyFill="1" applyBorder="1" applyAlignment="1" applyProtection="1">
      <alignment horizontal="center" vertical="center"/>
      <protection locked="0"/>
    </xf>
    <xf numFmtId="0" fontId="19" fillId="3" borderId="25" xfId="0" applyFont="1" applyFill="1" applyBorder="1" applyAlignment="1">
      <alignment horizontal="center" vertical="center"/>
    </xf>
    <xf numFmtId="164" fontId="0" fillId="3" borderId="0" xfId="0" applyNumberFormat="1" applyFill="1"/>
    <xf numFmtId="168" fontId="0" fillId="3" borderId="0" xfId="0" applyNumberFormat="1" applyFill="1"/>
    <xf numFmtId="170" fontId="22" fillId="3" borderId="0" xfId="3" applyNumberFormat="1" applyFont="1" applyFill="1" applyAlignment="1">
      <alignment horizontal="left" indent="1"/>
    </xf>
    <xf numFmtId="168" fontId="0" fillId="3" borderId="0" xfId="304" applyFont="1" applyFill="1"/>
    <xf numFmtId="168" fontId="105" fillId="3" borderId="2" xfId="304" applyFont="1" applyFill="1" applyBorder="1"/>
    <xf numFmtId="0" fontId="15" fillId="4" borderId="2" xfId="3" applyFill="1" applyBorder="1"/>
    <xf numFmtId="0" fontId="12" fillId="4" borderId="2" xfId="3" applyFont="1" applyFill="1" applyBorder="1"/>
    <xf numFmtId="167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8" fontId="0" fillId="3" borderId="0" xfId="304" applyFont="1" applyFill="1" applyBorder="1"/>
    <xf numFmtId="0" fontId="108" fillId="3" borderId="0" xfId="0" applyFont="1" applyFill="1" applyAlignment="1">
      <alignment vertical="center"/>
    </xf>
    <xf numFmtId="2" fontId="15" fillId="3" borderId="26" xfId="268" applyNumberFormat="1" applyFont="1" applyFill="1" applyBorder="1" applyAlignment="1">
      <alignment horizontal="center" vertical="center"/>
    </xf>
    <xf numFmtId="169" fontId="24" fillId="53" borderId="34" xfId="0" applyNumberFormat="1" applyFont="1" applyFill="1" applyBorder="1" applyAlignment="1">
      <alignment horizontal="right" vertical="center"/>
    </xf>
    <xf numFmtId="169" fontId="24" fillId="53" borderId="2" xfId="0" applyNumberFormat="1" applyFont="1" applyFill="1" applyBorder="1" applyAlignment="1">
      <alignment horizontal="right" vertical="center"/>
    </xf>
    <xf numFmtId="169" fontId="24" fillId="53" borderId="37" xfId="0" applyNumberFormat="1" applyFont="1" applyFill="1" applyBorder="1" applyAlignment="1">
      <alignment horizontal="right" vertical="center"/>
    </xf>
    <xf numFmtId="0" fontId="24" fillId="57" borderId="24" xfId="1" applyFont="1" applyFill="1" applyBorder="1" applyAlignment="1">
      <alignment horizontal="center" vertical="center"/>
    </xf>
    <xf numFmtId="0" fontId="100" fillId="57" borderId="0" xfId="0" applyFont="1" applyFill="1" applyAlignment="1">
      <alignment horizontal="center" vertical="center"/>
    </xf>
    <xf numFmtId="10" fontId="0" fillId="57" borderId="44" xfId="268" applyNumberFormat="1" applyFont="1" applyFill="1" applyBorder="1"/>
    <xf numFmtId="2" fontId="24" fillId="57" borderId="24" xfId="1" applyNumberFormat="1" applyFont="1" applyFill="1" applyBorder="1" applyAlignment="1">
      <alignment horizontal="center" vertical="center"/>
    </xf>
    <xf numFmtId="0" fontId="15" fillId="57" borderId="0" xfId="0" applyFont="1" applyFill="1" applyAlignment="1">
      <alignment horizontal="left" vertical="center"/>
    </xf>
    <xf numFmtId="0" fontId="10" fillId="57" borderId="0" xfId="0" applyFont="1" applyFill="1" applyAlignment="1">
      <alignment horizontal="center" vertical="center"/>
    </xf>
    <xf numFmtId="0" fontId="101" fillId="58" borderId="0" xfId="265" applyFont="1" applyFill="1" applyAlignment="1">
      <alignment horizontal="center" vertical="center"/>
    </xf>
    <xf numFmtId="2" fontId="24" fillId="58" borderId="2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01" fillId="56" borderId="0" xfId="265" applyFont="1" applyFill="1" applyAlignment="1">
      <alignment horizontal="center" vertical="center" wrapText="1"/>
    </xf>
    <xf numFmtId="2" fontId="24" fillId="56" borderId="24" xfId="1" applyNumberFormat="1" applyFont="1" applyFill="1" applyBorder="1" applyAlignment="1">
      <alignment horizontal="center" vertical="center"/>
    </xf>
    <xf numFmtId="0" fontId="15" fillId="57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0" fontId="17" fillId="55" borderId="34" xfId="268" applyNumberFormat="1" applyFont="1" applyFill="1" applyBorder="1" applyAlignment="1" applyProtection="1">
      <alignment horizontal="right" vertical="center"/>
    </xf>
    <xf numFmtId="2" fontId="17" fillId="55" borderId="43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24" fillId="57" borderId="26" xfId="0" applyNumberFormat="1" applyFont="1" applyFill="1" applyBorder="1" applyAlignment="1">
      <alignment horizontal="center" vertical="center"/>
    </xf>
    <xf numFmtId="0" fontId="15" fillId="59" borderId="5" xfId="0" applyFont="1" applyFill="1" applyBorder="1" applyAlignment="1">
      <alignment horizontal="left" indent="1"/>
    </xf>
    <xf numFmtId="0" fontId="15" fillId="59" borderId="33" xfId="0" applyFont="1" applyFill="1" applyBorder="1" applyAlignment="1">
      <alignment horizontal="left" indent="1"/>
    </xf>
    <xf numFmtId="0" fontId="15" fillId="59" borderId="38" xfId="0" applyFont="1" applyFill="1" applyBorder="1" applyAlignment="1">
      <alignment horizontal="left" indent="1"/>
    </xf>
    <xf numFmtId="10" fontId="24" fillId="60" borderId="26" xfId="0" applyNumberFormat="1" applyFont="1" applyFill="1" applyBorder="1" applyAlignment="1">
      <alignment horizontal="center" vertical="center"/>
    </xf>
    <xf numFmtId="0" fontId="88" fillId="3" borderId="23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D8E4BC"/>
      <color rgb="FFCCCCFF"/>
      <color rgb="FFFFFF99"/>
      <color rgb="FFFFCC99"/>
      <color rgb="FF8DB4E2"/>
      <color rgb="FFFFCCFF"/>
      <color rgb="FFDAEEF3"/>
      <color rgb="FFFF00FF"/>
      <color rgb="FF0000FF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5"/>
  <sheetViews>
    <sheetView workbookViewId="0"/>
  </sheetViews>
  <sheetFormatPr defaultColWidth="0" defaultRowHeight="18" customHeight="1" zeroHeight="1"/>
  <cols>
    <col min="1" max="2" width="1.28515625" style="2" customWidth="1"/>
    <col min="3" max="3" width="26.42578125" style="1" customWidth="1"/>
    <col min="4" max="4" width="79.28515625" style="1" customWidth="1"/>
    <col min="5" max="5" width="2.7109375" style="1" customWidth="1"/>
    <col min="6" max="6" width="2.7109375" style="2" customWidth="1"/>
    <col min="7" max="28" width="12.7109375" style="2" customWidth="1"/>
    <col min="29" max="16384" width="9.28515625" style="2" hidden="1"/>
  </cols>
  <sheetData>
    <row r="1" spans="2:6" s="5" customFormat="1" ht="18" customHeight="1">
      <c r="B1" s="3" t="str">
        <f>'Input | General'!$B$1</f>
        <v>AusNet Services 2022-27 FY22 True-up - Capital expenditure sharing scheme model</v>
      </c>
      <c r="D1" s="4"/>
      <c r="E1" s="4"/>
    </row>
    <row r="2" spans="2:6" ht="18" customHeight="1">
      <c r="B2" s="27" t="s">
        <v>0</v>
      </c>
    </row>
    <row r="3" spans="2:6" ht="3" customHeight="1">
      <c r="C3" s="2"/>
    </row>
    <row r="4" spans="2:6" s="8" customFormat="1" ht="12.75" customHeight="1">
      <c r="C4" s="23" t="s">
        <v>1</v>
      </c>
      <c r="D4" s="7"/>
      <c r="E4" s="7"/>
    </row>
    <row r="5" spans="2:6" ht="11.25" customHeight="1"/>
    <row r="6" spans="2:6" ht="11.25" customHeight="1">
      <c r="C6" s="25" t="s">
        <v>2</v>
      </c>
      <c r="D6" s="25" t="s">
        <v>3</v>
      </c>
      <c r="E6" s="25"/>
    </row>
    <row r="7" spans="2:6" ht="11.25" customHeight="1">
      <c r="C7" s="94" t="s">
        <v>4</v>
      </c>
      <c r="D7" s="26" t="s">
        <v>5</v>
      </c>
      <c r="E7" s="26"/>
      <c r="F7" s="24"/>
    </row>
    <row r="8" spans="2:6" ht="11.25" customHeight="1">
      <c r="C8" s="94" t="s">
        <v>6</v>
      </c>
      <c r="D8" s="26" t="s">
        <v>7</v>
      </c>
      <c r="E8" s="26"/>
      <c r="F8" s="24"/>
    </row>
    <row r="9" spans="2:6" ht="11.25" customHeight="1">
      <c r="C9" s="94" t="s">
        <v>118</v>
      </c>
      <c r="D9" s="26" t="s">
        <v>111</v>
      </c>
      <c r="E9" s="26"/>
      <c r="F9" s="24"/>
    </row>
    <row r="10" spans="2:6" ht="11.25" customHeight="1">
      <c r="C10" s="94" t="s">
        <v>8</v>
      </c>
      <c r="D10" s="26" t="s">
        <v>9</v>
      </c>
      <c r="E10" s="26"/>
      <c r="F10" s="24"/>
    </row>
    <row r="11" spans="2:6" ht="11.25" customHeight="1">
      <c r="C11" s="94" t="s">
        <v>10</v>
      </c>
      <c r="D11" s="26" t="s">
        <v>11</v>
      </c>
      <c r="E11" s="26"/>
      <c r="F11" s="24"/>
    </row>
    <row r="12" spans="2:6" ht="11.25" customHeight="1">
      <c r="C12" s="94" t="s">
        <v>12</v>
      </c>
      <c r="D12" s="26" t="s">
        <v>13</v>
      </c>
      <c r="E12" s="26"/>
      <c r="F12" s="24"/>
    </row>
    <row r="13" spans="2:6" ht="11.25" customHeight="1">
      <c r="C13" s="94" t="s">
        <v>112</v>
      </c>
      <c r="D13" s="26" t="s">
        <v>113</v>
      </c>
      <c r="E13" s="26"/>
      <c r="F13" s="24"/>
    </row>
    <row r="14" spans="2:6" ht="11.25" customHeight="1">
      <c r="C14" s="94"/>
      <c r="D14" s="26"/>
      <c r="E14" s="26"/>
      <c r="F14" s="24"/>
    </row>
    <row r="15" spans="2:6" s="8" customFormat="1" ht="12.75" customHeight="1">
      <c r="C15" s="23" t="s">
        <v>14</v>
      </c>
      <c r="D15" s="7"/>
      <c r="E15" s="7"/>
    </row>
  </sheetData>
  <hyperlinks>
    <hyperlink ref="C7" location="'Input | General'!A1" display="Input | General" xr:uid="{00000000-0004-0000-0000-000000000000}"/>
    <hyperlink ref="C10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1" location="'Calc | CESS Revenue Increments'!A1" display="Calc | CESS Revenue Increments" xr:uid="{00000000-0004-0000-0000-000003000000}"/>
    <hyperlink ref="C12" location="'Output | Models'!A1" display="Output | Models" xr:uid="{00000000-0004-0000-0000-000004000000}"/>
    <hyperlink ref="C13" location="'Output | CESS true-up'!A1" display="Output | FY19 CESS adjustment" xr:uid="{A8238593-1FB0-4367-B84E-A6B95D0C81BC}"/>
    <hyperlink ref="C9" location="'Input | Final year Capex'!A1" display="Input | Final year Capex" xr:uid="{C1005E81-C00D-4D83-A157-0D398C2CC9AB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6"/>
  <sheetViews>
    <sheetView workbookViewId="0">
      <selection activeCell="J1" sqref="J1"/>
    </sheetView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8" width="12.7109375" style="11" customWidth="1"/>
    <col min="9" max="9" width="9.42578125" style="11" customWidth="1"/>
    <col min="10" max="10" width="10.5703125" style="11" bestFit="1" customWidth="1"/>
    <col min="11" max="12" width="2.7109375" style="11" customWidth="1"/>
    <col min="13" max="22" width="9.28515625" style="11" customWidth="1"/>
    <col min="23" max="16384" width="12.7109375" style="11" hidden="1"/>
  </cols>
  <sheetData>
    <row r="1" spans="1:12" s="2" customFormat="1" ht="18" customHeight="1">
      <c r="B1" s="3" t="str">
        <f>$D$6&amp;" "&amp;$D$9&amp;" "&amp;D8&amp;" - "&amp;"Capital expenditure sharing scheme model"</f>
        <v>AusNet Services 2022-27 FY22 True-up - Capital expenditure sharing scheme model</v>
      </c>
      <c r="F1" s="92"/>
      <c r="G1" s="93" t="s">
        <v>15</v>
      </c>
      <c r="H1" s="136" t="s">
        <v>16</v>
      </c>
      <c r="I1" s="141" t="s">
        <v>17</v>
      </c>
      <c r="J1" s="205" t="str">
        <f>$D$8</f>
        <v>FY22 True-up</v>
      </c>
    </row>
    <row r="2" spans="1:12" s="2" customFormat="1" ht="18" customHeight="1">
      <c r="B2" s="10" t="s">
        <v>4</v>
      </c>
    </row>
    <row r="3" spans="1:12" s="2" customFormat="1" ht="3" customHeight="1">
      <c r="B3" s="1"/>
    </row>
    <row r="4" spans="1:12" s="52" customFormat="1" ht="12.75" customHeight="1">
      <c r="A4" s="8"/>
      <c r="B4" s="23" t="s">
        <v>4</v>
      </c>
    </row>
    <row r="5" spans="1:12" s="24" customFormat="1" ht="11.25" customHeight="1">
      <c r="C5" s="25"/>
    </row>
    <row r="6" spans="1:12" s="60" customFormat="1" ht="11.25" customHeight="1">
      <c r="C6" s="59" t="s">
        <v>114</v>
      </c>
      <c r="D6" s="137" t="s">
        <v>119</v>
      </c>
      <c r="J6" s="69"/>
      <c r="K6" s="69"/>
      <c r="L6" s="69"/>
    </row>
    <row r="7" spans="1:12" s="60" customFormat="1" ht="11.25" customHeight="1">
      <c r="C7" s="59" t="s">
        <v>116</v>
      </c>
      <c r="D7" s="137" t="s">
        <v>121</v>
      </c>
      <c r="J7" s="69"/>
      <c r="K7" s="69"/>
      <c r="L7" s="69"/>
    </row>
    <row r="8" spans="1:12" s="60" customFormat="1" ht="11.25" customHeight="1">
      <c r="C8" s="59" t="s">
        <v>18</v>
      </c>
      <c r="D8" s="204" t="s">
        <v>122</v>
      </c>
      <c r="I8" s="69"/>
      <c r="J8" s="69"/>
      <c r="K8" s="69"/>
      <c r="L8" s="69"/>
    </row>
    <row r="9" spans="1:12" s="60" customFormat="1" ht="11.25" customHeight="1">
      <c r="C9" s="59" t="s">
        <v>19</v>
      </c>
      <c r="D9" s="137" t="s">
        <v>123</v>
      </c>
      <c r="J9" s="69"/>
      <c r="K9" s="69"/>
      <c r="L9" s="69"/>
    </row>
    <row r="10" spans="1:12" s="60" customFormat="1" ht="11.25" customHeight="1">
      <c r="C10" s="163" t="s">
        <v>20</v>
      </c>
      <c r="D10" s="137" t="s">
        <v>124</v>
      </c>
      <c r="J10" s="69"/>
      <c r="K10" s="69"/>
      <c r="L10" s="69"/>
    </row>
    <row r="11" spans="1:12" s="60" customFormat="1" ht="11.25" customHeight="1">
      <c r="C11" s="59" t="s">
        <v>21</v>
      </c>
      <c r="D11" s="137" t="s">
        <v>120</v>
      </c>
      <c r="J11" s="69"/>
      <c r="K11" s="69"/>
      <c r="L11" s="69"/>
    </row>
    <row r="12" spans="1:12" s="60" customFormat="1" ht="11.25" customHeight="1">
      <c r="C12" s="59"/>
      <c r="J12" s="69"/>
      <c r="K12" s="69"/>
      <c r="L12" s="69"/>
    </row>
    <row r="13" spans="1:12" s="60" customFormat="1" ht="11.25" customHeight="1">
      <c r="C13" s="81" t="s">
        <v>22</v>
      </c>
      <c r="J13" s="69"/>
      <c r="K13" s="69"/>
      <c r="L13" s="69"/>
    </row>
    <row r="14" spans="1:12" s="60" customFormat="1" ht="11.25" customHeight="1">
      <c r="C14" s="59"/>
      <c r="D14" s="61" t="s">
        <v>23</v>
      </c>
      <c r="E14" s="61" t="s">
        <v>24</v>
      </c>
      <c r="F14" s="61" t="s">
        <v>25</v>
      </c>
      <c r="G14" s="61" t="s">
        <v>26</v>
      </c>
      <c r="H14" s="61" t="s">
        <v>27</v>
      </c>
      <c r="J14" s="69"/>
      <c r="K14" s="69"/>
      <c r="L14" s="69"/>
    </row>
    <row r="15" spans="1:12" s="60" customFormat="1" ht="11.25" customHeight="1">
      <c r="C15" s="59" t="s">
        <v>28</v>
      </c>
      <c r="D15" s="162" t="str">
        <f>IF(LEN(E15)&gt;4,CONCATENATE(LEFT(E15,4)-1&amp;"–"&amp;IF(RIGHT(E15,2)="00","99",IF(RIGHT(E15,2)-1&lt;10,"0","")&amp;RIGHT(E15,2)-1)),E15-1)</f>
        <v>2017–18</v>
      </c>
      <c r="E15" s="162" t="str">
        <f>IF(LEN(F15)&gt;4,CONCATENATE(LEFT(F15,4)-1&amp;"–"&amp;IF(RIGHT(F15,2)="00","99",IF(RIGHT(F15,2)-1&lt;10,"0","")&amp;RIGHT(F15,2)-1)),F15-1)</f>
        <v>2018–19</v>
      </c>
      <c r="F15" s="162" t="str">
        <f>IF(LEN(G15)&gt;4,CONCATENATE(LEFT(G15,4)-1&amp;"–"&amp;IF(RIGHT(G15,2)="00","99",IF(RIGHT(G15,2)-1&lt;10,"0","")&amp;RIGHT(G15,2)-1)),G15-1)</f>
        <v>2019–20</v>
      </c>
      <c r="G15" s="162" t="str">
        <f>IF(LEN(H15)&gt;4,CONCATENATE(LEFT(H15,4)-1&amp;"–"&amp;IF(RIGHT(H15,2)="00","99",IF(RIGHT(H15,2)-1&lt;10,"0","")&amp;RIGHT(H15,2)-1)),H15-1)</f>
        <v>2020–21</v>
      </c>
      <c r="H15" s="162" t="str">
        <f>IF(LEN(D10)&gt;4,CONCATENATE(LEFT(D10,4)-1&amp;"–"&amp;IF(RIGHT(D10,2)="00","99",IF(RIGHT(D10,2)-1&lt;10,"0","")&amp;RIGHT(D10,2)-1)),D10-1)</f>
        <v>2021–22</v>
      </c>
      <c r="J15" s="69"/>
      <c r="K15" s="69"/>
      <c r="L15" s="69"/>
    </row>
    <row r="16" spans="1:12" s="60" customFormat="1" ht="11.25" customHeight="1">
      <c r="C16" s="59" t="s">
        <v>29</v>
      </c>
      <c r="D16" s="137" t="s">
        <v>30</v>
      </c>
      <c r="E16" s="137" t="s">
        <v>30</v>
      </c>
      <c r="F16" s="137" t="s">
        <v>30</v>
      </c>
      <c r="G16" s="137" t="s">
        <v>30</v>
      </c>
      <c r="H16" s="137" t="s">
        <v>30</v>
      </c>
      <c r="J16" s="69"/>
      <c r="K16" s="69"/>
      <c r="L16" s="69"/>
    </row>
    <row r="17" spans="1:12" s="60" customFormat="1" ht="11.25" customHeight="1">
      <c r="C17" s="59" t="s">
        <v>31</v>
      </c>
      <c r="D17" s="137" t="s">
        <v>32</v>
      </c>
      <c r="E17" s="137" t="s">
        <v>32</v>
      </c>
      <c r="F17" s="137" t="s">
        <v>32</v>
      </c>
      <c r="G17" s="137" t="s">
        <v>32</v>
      </c>
      <c r="H17" s="137" t="s">
        <v>33</v>
      </c>
      <c r="J17" s="69"/>
      <c r="K17" s="69"/>
      <c r="L17" s="69"/>
    </row>
    <row r="18" spans="1:12" s="60" customFormat="1" ht="11.25" customHeight="1">
      <c r="C18" s="59"/>
      <c r="D18" s="69"/>
      <c r="E18" s="69"/>
      <c r="F18" s="69"/>
      <c r="G18" s="69"/>
      <c r="H18" s="69"/>
      <c r="J18" s="69"/>
      <c r="K18" s="69"/>
      <c r="L18" s="69"/>
    </row>
    <row r="19" spans="1:12" s="60" customFormat="1" ht="11.25" customHeight="1">
      <c r="C19" s="59"/>
      <c r="D19" s="61" t="s">
        <v>23</v>
      </c>
      <c r="E19" s="61" t="s">
        <v>24</v>
      </c>
      <c r="F19" s="61" t="s">
        <v>25</v>
      </c>
      <c r="G19" s="61" t="s">
        <v>26</v>
      </c>
      <c r="H19" s="61" t="s">
        <v>27</v>
      </c>
      <c r="J19" s="69"/>
      <c r="K19" s="69"/>
      <c r="L19" s="69"/>
    </row>
    <row r="20" spans="1:12" s="60" customFormat="1" ht="11.25" customHeight="1">
      <c r="C20" s="59" t="s">
        <v>34</v>
      </c>
      <c r="D20" s="162" t="str">
        <f>D10</f>
        <v>2022-23</v>
      </c>
      <c r="E20" s="162" t="str">
        <f>IF(LEN(D20)&gt;4,CONCATENATE(LEFT(D20,4)+1&amp;"–"&amp;IF(RIGHT(D20,2)+1&gt;9,"","0")&amp;RIGHT(D20,2)+1),D20+1)</f>
        <v>2023–24</v>
      </c>
      <c r="F20" s="162" t="str">
        <f>IF(LEN(E20)&gt;4,CONCATENATE(LEFT(E20,4)+1&amp;"–"&amp;IF(RIGHT(E20,2)+1&gt;9,"","0")&amp;RIGHT(E20,2)+1),E20+1)</f>
        <v>2024–25</v>
      </c>
      <c r="G20" s="162" t="str">
        <f>IF(LEN(F20)&gt;4,CONCATENATE(LEFT(F20,4)+1&amp;"–"&amp;IF(RIGHT(F20,2)+1&gt;9,"","0")&amp;RIGHT(F20,2)+1),F20+1)</f>
        <v>2025–26</v>
      </c>
      <c r="H20" s="162" t="str">
        <f>IF(LEN(G20)&gt;4,CONCATENATE(LEFT(G20,4)+1&amp;"–"&amp;IF(RIGHT(G20,2)+1&gt;9,"","0")&amp;RIGHT(G20,2)+1),G20+1)</f>
        <v>2026–27</v>
      </c>
      <c r="J20" s="69"/>
      <c r="K20" s="69"/>
      <c r="L20" s="69"/>
    </row>
    <row r="21" spans="1:12" s="60" customFormat="1" ht="11.25" customHeight="1">
      <c r="C21" s="69"/>
      <c r="D21" s="69"/>
      <c r="E21" s="69"/>
      <c r="F21" s="69"/>
      <c r="G21" s="69"/>
      <c r="H21" s="69"/>
      <c r="J21" s="69"/>
      <c r="K21" s="69"/>
      <c r="L21" s="69"/>
    </row>
    <row r="22" spans="1:12" s="60" customFormat="1" ht="11.25" customHeight="1">
      <c r="C22" s="69"/>
      <c r="D22" s="61" t="s">
        <v>23</v>
      </c>
      <c r="E22" s="61" t="s">
        <v>24</v>
      </c>
      <c r="F22" s="61" t="s">
        <v>25</v>
      </c>
      <c r="G22" s="61" t="s">
        <v>26</v>
      </c>
      <c r="H22" s="61" t="s">
        <v>27</v>
      </c>
      <c r="J22" s="69"/>
      <c r="K22" s="69"/>
      <c r="L22" s="69"/>
    </row>
    <row r="23" spans="1:12" s="60" customFormat="1" ht="11.25" customHeight="1">
      <c r="C23" s="59" t="s">
        <v>117</v>
      </c>
      <c r="D23" s="162" t="str">
        <f>IF(LEN(H20)&gt;4,CONCATENATE(LEFT(H20,4)+1&amp;"–"&amp;IF(RIGHT(H20,2)+1&gt;9,"","0")&amp;RIGHT(H20,2)+1),H20+1)</f>
        <v>2027–28</v>
      </c>
      <c r="E23" s="162" t="str">
        <f>IF(LEN(D23)&gt;4,CONCATENATE(LEFT(D23,4)+1&amp;"–"&amp;IF(RIGHT(D23,2)+1&gt;9,"","0")&amp;RIGHT(D23,2)+1),D23+1)</f>
        <v>2028–29</v>
      </c>
      <c r="F23" s="162" t="str">
        <f>IF(LEN(E23)&gt;4,CONCATENATE(LEFT(E23,4)+1&amp;"–"&amp;IF(RIGHT(E23,2)+1&gt;9,"","0")&amp;RIGHT(E23,2)+1),E23+1)</f>
        <v>2029–30</v>
      </c>
      <c r="G23" s="162" t="str">
        <f>IF(LEN(F23)&gt;4,CONCATENATE(LEFT(F23,4)+1&amp;"–"&amp;IF(RIGHT(F23,2)+1&gt;9,"","0")&amp;RIGHT(F23,2)+1),F23+1)</f>
        <v>2030–31</v>
      </c>
      <c r="H23" s="162" t="str">
        <f>IF(LEN(G23)&gt;4,CONCATENATE(LEFT(G23,4)+1&amp;"–"&amp;IF(RIGHT(G23,2)+1&gt;9,"","0")&amp;RIGHT(G23,2)+1),G23+1)</f>
        <v>2031–32</v>
      </c>
      <c r="J23" s="69"/>
      <c r="K23" s="69"/>
      <c r="L23" s="69"/>
    </row>
    <row r="24" spans="1:12" s="60" customFormat="1" ht="11.25" customHeight="1">
      <c r="J24" s="69"/>
      <c r="K24" s="69"/>
      <c r="L24" s="69"/>
    </row>
    <row r="25" spans="1:12" s="52" customFormat="1" ht="12.75" customHeight="1">
      <c r="A25" s="8"/>
      <c r="B25" s="23" t="s">
        <v>14</v>
      </c>
    </row>
    <row r="26" spans="1:12" ht="18" customHeight="1">
      <c r="C26" s="11"/>
    </row>
  </sheetData>
  <dataValidations count="3">
    <dataValidation type="list" allowBlank="1" showInputMessage="1" showErrorMessage="1" sqref="D16:H16" xr:uid="{00000000-0002-0000-0100-000000000000}">
      <formula1>"Yes, No, N/A"</formula1>
    </dataValidation>
    <dataValidation type="list" allowBlank="1" showInputMessage="1" showErrorMessage="1" sqref="D17:H17" xr:uid="{00000000-0002-0000-0100-000001000000}">
      <formula1>"Actual, Estimate, N/A"</formula1>
    </dataValidation>
    <dataValidation type="list" allowBlank="1" showInputMessage="1" showErrorMessage="1" sqref="D7" xr:uid="{F8156B90-E1FF-49E4-A217-B2DFF2BBE306}">
      <formula1>"DNSP,TNSP"</formula1>
    </dataValidation>
  </dataValidation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G108"/>
  <sheetViews>
    <sheetView tabSelected="1" zoomScale="130" zoomScaleNormal="130" workbookViewId="0">
      <selection activeCell="J28" sqref="J28"/>
    </sheetView>
  </sheetViews>
  <sheetFormatPr defaultColWidth="0" defaultRowHeight="0" customHeight="1" zeroHeight="1"/>
  <cols>
    <col min="1" max="2" width="1.28515625" style="19" customWidth="1"/>
    <col min="3" max="3" width="36.7109375" style="19" customWidth="1"/>
    <col min="4" max="5" width="22.7109375" style="19" customWidth="1"/>
    <col min="6" max="6" width="12.7109375" style="19" customWidth="1"/>
    <col min="7" max="10" width="12.7109375" style="2" customWidth="1"/>
    <col min="11" max="11" width="20.5703125" style="2" bestFit="1" customWidth="1"/>
    <col min="12" max="12" width="12.7109375" style="2" customWidth="1"/>
    <col min="13" max="13" width="12.5703125" style="17" customWidth="1"/>
    <col min="14" max="16" width="12.7109375" style="19" customWidth="1"/>
    <col min="17" max="18" width="2.7109375" style="19" customWidth="1"/>
    <col min="19" max="32" width="12.7109375" style="19" customWidth="1"/>
    <col min="33" max="33" width="0" style="19" hidden="1" customWidth="1"/>
    <col min="34" max="16384" width="9.28515625" style="19" hidden="1"/>
  </cols>
  <sheetData>
    <row r="1" spans="1:18" s="2" customFormat="1" ht="18" customHeight="1">
      <c r="B1" s="3" t="str">
        <f>'Input | General'!$B$1</f>
        <v>AusNet Services 2022-27 FY22 True-up - Capital expenditure sharing scheme model</v>
      </c>
      <c r="D1" s="3"/>
      <c r="E1" s="3"/>
      <c r="F1" s="3"/>
      <c r="G1" s="92"/>
      <c r="H1" s="93" t="s">
        <v>15</v>
      </c>
      <c r="I1" s="136" t="s">
        <v>16</v>
      </c>
      <c r="J1" s="141" t="s">
        <v>17</v>
      </c>
      <c r="K1" s="220" t="str">
        <f>'Input | General'!$D$8</f>
        <v>FY22 True-up</v>
      </c>
      <c r="O1" s="69"/>
      <c r="P1" s="69"/>
      <c r="Q1" s="69"/>
      <c r="R1" s="69"/>
    </row>
    <row r="2" spans="1:18" s="2" customFormat="1" ht="18" customHeight="1">
      <c r="C2" s="10" t="s">
        <v>36</v>
      </c>
      <c r="D2" s="10"/>
      <c r="E2" s="10"/>
      <c r="F2" s="10"/>
    </row>
    <row r="3" spans="1:18" s="2" customFormat="1" ht="3" customHeight="1">
      <c r="C3" s="1"/>
      <c r="D3" s="1"/>
      <c r="E3" s="1"/>
      <c r="F3" s="1"/>
      <c r="M3" s="17"/>
    </row>
    <row r="4" spans="1:18" s="71" customFormat="1" ht="12.75" customHeight="1">
      <c r="C4" s="23" t="s">
        <v>37</v>
      </c>
      <c r="D4" s="72"/>
      <c r="E4" s="72"/>
      <c r="F4" s="72"/>
      <c r="M4" s="73"/>
    </row>
    <row r="5" spans="1:18" ht="11.25" customHeight="1">
      <c r="A5" s="2"/>
      <c r="B5" s="2"/>
      <c r="C5" s="13"/>
      <c r="D5" s="69"/>
      <c r="E5" s="69"/>
      <c r="F5" s="69"/>
      <c r="N5" s="2"/>
    </row>
    <row r="6" spans="1:18" ht="11.25" customHeight="1">
      <c r="A6" s="2"/>
      <c r="B6" s="2"/>
      <c r="C6" s="13"/>
      <c r="D6" s="65" t="s">
        <v>38</v>
      </c>
      <c r="E6" s="65" t="s">
        <v>39</v>
      </c>
      <c r="F6" s="65"/>
      <c r="N6" s="2"/>
    </row>
    <row r="7" spans="1:18" ht="11.25" customHeight="1">
      <c r="A7" s="2"/>
      <c r="B7" s="2"/>
      <c r="C7" s="13"/>
      <c r="D7" s="69"/>
      <c r="E7" s="69"/>
      <c r="F7" s="151" t="str">
        <f>IF(LEN(G7)&gt;4,CONCATENATE(LEFT(G7,4)-1&amp;"–"&amp;IF(RIGHT(G7,2)="00","99",IF(RIGHT(G7,2)-1&lt;10,"0","")&amp;RIGHT(G7,2)-1)),G7-1)</f>
        <v>2016–17</v>
      </c>
      <c r="G7" s="150" t="str">
        <f>'Input | General'!D15</f>
        <v>2017–18</v>
      </c>
      <c r="H7" s="150" t="str">
        <f>'Input | General'!E15</f>
        <v>2018–19</v>
      </c>
      <c r="I7" s="150" t="str">
        <f>'Input | General'!F15</f>
        <v>2019–20</v>
      </c>
      <c r="J7" s="150" t="str">
        <f>'Input | General'!G15</f>
        <v>2020–21</v>
      </c>
      <c r="K7" s="150" t="str">
        <f>'Input | General'!H15</f>
        <v>2021–22</v>
      </c>
      <c r="L7" s="150" t="str">
        <f>'Input | General'!D20</f>
        <v>2022-23</v>
      </c>
      <c r="M7" s="150" t="str">
        <f>'Input | General'!E20</f>
        <v>2023–24</v>
      </c>
      <c r="N7" s="150" t="str">
        <f>'Input | General'!F20</f>
        <v>2024–25</v>
      </c>
      <c r="O7" s="150" t="str">
        <f>'Input | General'!G20</f>
        <v>2025–26</v>
      </c>
      <c r="P7" s="150" t="str">
        <f>'Input | General'!H20</f>
        <v>2026–27</v>
      </c>
    </row>
    <row r="8" spans="1:18" ht="11.25" customHeight="1">
      <c r="A8" s="2"/>
      <c r="B8" s="2"/>
      <c r="C8" s="70" t="s">
        <v>40</v>
      </c>
      <c r="D8" s="68" t="str">
        <f>'Input | General'!$D$7</f>
        <v>TNSP</v>
      </c>
      <c r="E8" s="68" t="s">
        <v>41</v>
      </c>
      <c r="F8" s="68"/>
      <c r="G8" s="138">
        <v>1.8281535648994485E-2</v>
      </c>
      <c r="H8" s="138">
        <v>1.8850987432674993E-2</v>
      </c>
      <c r="I8" s="138">
        <v>1.6740088105726914E-2</v>
      </c>
      <c r="J8" s="138">
        <v>6.9324090121316573E-3</v>
      </c>
      <c r="K8" s="138">
        <v>2.9833620195065969E-2</v>
      </c>
      <c r="L8" s="75"/>
      <c r="M8" s="75"/>
      <c r="N8" s="75"/>
      <c r="O8" s="75"/>
      <c r="P8" s="75"/>
    </row>
    <row r="9" spans="1:18" ht="11.25" customHeight="1">
      <c r="A9" s="2"/>
      <c r="B9" s="2"/>
      <c r="C9" s="70" t="s">
        <v>42</v>
      </c>
      <c r="D9" s="68" t="str">
        <f>'Input | General'!$D$7</f>
        <v>TNSP</v>
      </c>
      <c r="E9" s="68" t="s">
        <v>41</v>
      </c>
      <c r="F9" s="68"/>
      <c r="G9" s="112"/>
      <c r="H9" s="112"/>
      <c r="I9" s="112"/>
      <c r="J9" s="112"/>
      <c r="K9" s="112"/>
      <c r="L9" s="138">
        <v>2.2496597515569983E-2</v>
      </c>
      <c r="M9" s="124">
        <f>L9</f>
        <v>2.2496597515569983E-2</v>
      </c>
      <c r="N9" s="124">
        <f>M9</f>
        <v>2.2496597515569983E-2</v>
      </c>
      <c r="O9" s="124">
        <f>N9</f>
        <v>2.2496597515569983E-2</v>
      </c>
      <c r="P9" s="124">
        <f>O9</f>
        <v>2.2496597515569983E-2</v>
      </c>
    </row>
    <row r="10" spans="1:18" ht="11.25" customHeight="1">
      <c r="A10" s="2"/>
      <c r="B10" s="2"/>
      <c r="C10" s="121" t="str">
        <f>"CPI Index (base year "&amp;F7&amp;")"</f>
        <v>CPI Index (base year 2016–17)</v>
      </c>
      <c r="D10" s="68" t="str">
        <f>'Input | General'!$D$7</f>
        <v>TNSP</v>
      </c>
      <c r="E10" s="68" t="s">
        <v>0</v>
      </c>
      <c r="F10" s="119">
        <v>1</v>
      </c>
      <c r="G10" s="108">
        <f t="shared" ref="G10:K10" si="0">IF(G7&lt;&gt;"",(F10*(1+G8)),"")</f>
        <v>1.0182815356489945</v>
      </c>
      <c r="H10" s="108">
        <f t="shared" si="0"/>
        <v>1.0374771480804388</v>
      </c>
      <c r="I10" s="108">
        <f t="shared" si="0"/>
        <v>1.0548446069469837</v>
      </c>
      <c r="J10" s="108">
        <f t="shared" si="0"/>
        <v>1.0621572212065815</v>
      </c>
      <c r="K10" s="108">
        <f t="shared" si="0"/>
        <v>1.0938452163315053</v>
      </c>
      <c r="L10" s="76">
        <f>IF(L7&lt;&gt;"",(K10*(1+L9)),"")</f>
        <v>1.1184530119076468</v>
      </c>
      <c r="M10" s="76">
        <f>IF(M7&lt;&gt;"",(L10*(1+M9)),"")</f>
        <v>1.1436143991566101</v>
      </c>
      <c r="N10" s="76">
        <f>IF(N7&lt;&gt;"",(M10*(1+N9)),"")</f>
        <v>1.1693418320074467</v>
      </c>
      <c r="O10" s="76">
        <f>IF(O7&lt;&gt;"",(N10*(1+O9)),"")</f>
        <v>1.1956480445602375</v>
      </c>
      <c r="P10" s="76">
        <f>IF(P7&lt;&gt;"",(O10*(1+P9)),"")</f>
        <v>1.2225460573889875</v>
      </c>
    </row>
    <row r="11" spans="1:18" ht="11.25" customHeight="1">
      <c r="A11" s="2"/>
      <c r="B11" s="2"/>
      <c r="C11" s="70"/>
      <c r="D11" s="68"/>
      <c r="E11" s="68"/>
      <c r="F11" s="68"/>
      <c r="G11" s="75"/>
      <c r="H11" s="75"/>
      <c r="I11" s="75"/>
      <c r="J11" s="75"/>
      <c r="K11" s="113"/>
      <c r="L11" s="113"/>
      <c r="M11" s="113"/>
      <c r="N11" s="113"/>
      <c r="O11" s="113"/>
      <c r="P11" s="113"/>
    </row>
    <row r="12" spans="1:18" ht="11.25" customHeight="1">
      <c r="A12" s="2"/>
      <c r="B12" s="2"/>
      <c r="C12" s="70"/>
      <c r="D12" s="68"/>
      <c r="E12" s="68"/>
      <c r="F12" s="68"/>
      <c r="G12" s="111"/>
      <c r="H12" s="111"/>
      <c r="I12" s="111"/>
      <c r="J12" s="111"/>
      <c r="K12" s="19"/>
      <c r="L12" s="19"/>
      <c r="M12" s="19"/>
    </row>
    <row r="13" spans="1:18" ht="11.25" customHeight="1">
      <c r="A13" s="2"/>
      <c r="B13" s="2"/>
      <c r="C13" s="70" t="s">
        <v>40</v>
      </c>
      <c r="D13" s="68" t="s">
        <v>43</v>
      </c>
      <c r="E13" s="68" t="s">
        <v>41</v>
      </c>
      <c r="F13" s="68"/>
      <c r="G13" s="138">
        <v>1.8281535648994485E-2</v>
      </c>
      <c r="H13" s="138">
        <v>1.8850987432674993E-2</v>
      </c>
      <c r="I13" s="138">
        <v>1.6740088105726914E-2</v>
      </c>
      <c r="J13" s="138">
        <v>6.9324090121316573E-3</v>
      </c>
      <c r="K13" s="224">
        <v>3.0120481927710774E-2</v>
      </c>
      <c r="L13" s="111"/>
      <c r="M13" s="111"/>
      <c r="N13" s="111"/>
      <c r="O13" s="111"/>
      <c r="P13" s="111"/>
    </row>
    <row r="14" spans="1:18" ht="11.25" customHeight="1">
      <c r="A14" s="2"/>
      <c r="B14" s="2"/>
      <c r="C14" s="70" t="s">
        <v>42</v>
      </c>
      <c r="D14" s="68" t="s">
        <v>43</v>
      </c>
      <c r="E14" s="68" t="s">
        <v>41</v>
      </c>
      <c r="F14" s="68"/>
      <c r="G14" s="75"/>
      <c r="H14" s="75"/>
      <c r="I14" s="75"/>
      <c r="J14" s="75"/>
      <c r="K14" s="75"/>
      <c r="L14" s="220">
        <v>2.4499511480039926E-2</v>
      </c>
      <c r="M14" s="124">
        <f>L14</f>
        <v>2.4499511480039926E-2</v>
      </c>
      <c r="N14" s="124">
        <f>M14</f>
        <v>2.4499511480039926E-2</v>
      </c>
      <c r="O14" s="124">
        <f>N14</f>
        <v>2.4499511480039926E-2</v>
      </c>
      <c r="P14" s="124">
        <f>O14</f>
        <v>2.4499511480039926E-2</v>
      </c>
    </row>
    <row r="15" spans="1:18" ht="11.25" customHeight="1">
      <c r="A15" s="2"/>
      <c r="B15" s="2"/>
      <c r="C15" s="121" t="str">
        <f>"CPI Index (base year "&amp;F7&amp;")"</f>
        <v>CPI Index (base year 2016–17)</v>
      </c>
      <c r="D15" s="68" t="s">
        <v>43</v>
      </c>
      <c r="E15" s="68" t="s">
        <v>0</v>
      </c>
      <c r="F15" s="119">
        <v>1</v>
      </c>
      <c r="G15" s="108">
        <f t="shared" ref="G15:K15" si="1">IF(G7&lt;&gt;"",(F15*(1+G13)),"")</f>
        <v>1.0182815356489945</v>
      </c>
      <c r="H15" s="108">
        <f t="shared" si="1"/>
        <v>1.0374771480804388</v>
      </c>
      <c r="I15" s="108">
        <f t="shared" si="1"/>
        <v>1.0548446069469837</v>
      </c>
      <c r="J15" s="108">
        <f t="shared" si="1"/>
        <v>1.0621572212065815</v>
      </c>
      <c r="K15" s="76">
        <f t="shared" si="1"/>
        <v>1.0941499085923219</v>
      </c>
      <c r="L15" s="76">
        <f>IF(L7&lt;&gt;"",(K15*(1+L14)),"")</f>
        <v>1.120956046838764</v>
      </c>
      <c r="M15" s="76">
        <f>IF(M7&lt;&gt;"",(L15*(1+M14)),"")</f>
        <v>1.1484189223769106</v>
      </c>
      <c r="N15" s="76">
        <f>IF(N7&lt;&gt;"",(M15*(1+N14)),"")</f>
        <v>1.1765546249495789</v>
      </c>
      <c r="O15" s="76">
        <f>IF(O7&lt;&gt;"",(N15*(1+O14)),"")</f>
        <v>1.2053796384904252</v>
      </c>
      <c r="P15" s="76">
        <f>IF(P7&lt;&gt;"",(O15*(1+P14)),"")</f>
        <v>1.2349108507814277</v>
      </c>
    </row>
    <row r="16" spans="1:18" ht="11.25" customHeight="1">
      <c r="A16" s="2"/>
      <c r="B16" s="2"/>
      <c r="C16" s="70"/>
      <c r="D16" s="68"/>
      <c r="E16" s="68"/>
      <c r="F16" s="68"/>
      <c r="G16" s="75"/>
      <c r="H16" s="75"/>
      <c r="I16" s="75"/>
      <c r="J16" s="75"/>
      <c r="K16" s="114"/>
      <c r="L16" s="114"/>
      <c r="M16" s="114"/>
      <c r="N16" s="114"/>
      <c r="O16" s="114"/>
      <c r="P16" s="114"/>
    </row>
    <row r="17" spans="1:16" s="71" customFormat="1" ht="12.75" customHeight="1">
      <c r="C17" s="23" t="s">
        <v>44</v>
      </c>
      <c r="D17" s="72"/>
      <c r="E17" s="72"/>
      <c r="F17" s="72"/>
      <c r="M17" s="73"/>
    </row>
    <row r="18" spans="1:16" ht="11.25" customHeight="1">
      <c r="A18" s="13"/>
      <c r="B18" s="69"/>
      <c r="C18" s="69"/>
      <c r="D18" s="69"/>
      <c r="E18" s="69"/>
      <c r="F18" s="65"/>
      <c r="N18" s="2"/>
    </row>
    <row r="19" spans="1:16" ht="11.25" customHeight="1">
      <c r="C19" s="13"/>
      <c r="D19" s="65" t="s">
        <v>38</v>
      </c>
      <c r="E19" s="65" t="s">
        <v>39</v>
      </c>
      <c r="F19" s="69"/>
      <c r="G19" s="150" t="str">
        <f>G7</f>
        <v>2017–18</v>
      </c>
      <c r="H19" s="150" t="str">
        <f t="shared" ref="H19:P19" si="2">H7</f>
        <v>2018–19</v>
      </c>
      <c r="I19" s="150" t="str">
        <f t="shared" si="2"/>
        <v>2019–20</v>
      </c>
      <c r="J19" s="150" t="str">
        <f t="shared" si="2"/>
        <v>2020–21</v>
      </c>
      <c r="K19" s="150" t="str">
        <f t="shared" si="2"/>
        <v>2021–22</v>
      </c>
      <c r="L19" s="150" t="str">
        <f t="shared" si="2"/>
        <v>2022-23</v>
      </c>
      <c r="M19" s="150" t="str">
        <f t="shared" si="2"/>
        <v>2023–24</v>
      </c>
      <c r="N19" s="150" t="str">
        <f t="shared" si="2"/>
        <v>2024–25</v>
      </c>
      <c r="O19" s="150" t="str">
        <f t="shared" si="2"/>
        <v>2025–26</v>
      </c>
      <c r="P19" s="150" t="str">
        <f t="shared" si="2"/>
        <v>2026–27</v>
      </c>
    </row>
    <row r="20" spans="1:16" ht="11.25" customHeight="1">
      <c r="C20" s="70" t="s">
        <v>45</v>
      </c>
      <c r="D20" s="68" t="s">
        <v>43</v>
      </c>
      <c r="E20" s="68" t="s">
        <v>41</v>
      </c>
      <c r="F20" s="69"/>
      <c r="G20" s="138">
        <v>3.3220820087888514E-2</v>
      </c>
      <c r="H20" s="138">
        <v>3.3279987102855291E-2</v>
      </c>
      <c r="I20" s="138">
        <v>3.3176000712503706E-2</v>
      </c>
      <c r="J20" s="138">
        <v>3.2328199973441274E-2</v>
      </c>
      <c r="K20" s="138">
        <v>3.1048962640370714E-2</v>
      </c>
      <c r="L20" s="75"/>
      <c r="M20" s="75"/>
      <c r="N20" s="75"/>
      <c r="O20" s="75"/>
      <c r="P20" s="75"/>
    </row>
    <row r="21" spans="1:16" ht="11.25" customHeight="1">
      <c r="C21" s="133" t="s">
        <v>46</v>
      </c>
      <c r="D21" s="68" t="s">
        <v>43</v>
      </c>
      <c r="E21" s="68" t="s">
        <v>41</v>
      </c>
      <c r="F21" s="69"/>
      <c r="G21" s="69"/>
      <c r="H21" s="69"/>
      <c r="I21" s="69"/>
      <c r="J21" s="69"/>
      <c r="K21" s="69"/>
      <c r="L21" s="220">
        <v>2.2166468541862459E-2</v>
      </c>
      <c r="M21" s="220">
        <v>2.1002000116499532E-2</v>
      </c>
      <c r="N21" s="220">
        <v>1.9837531691136601E-2</v>
      </c>
      <c r="O21" s="220">
        <v>1.8673063265773671E-2</v>
      </c>
      <c r="P21" s="220">
        <v>1.7508594840410743E-2</v>
      </c>
    </row>
    <row r="22" spans="1:16" ht="11.25" customHeight="1">
      <c r="C22" s="70" t="s">
        <v>47</v>
      </c>
      <c r="D22" s="68" t="s">
        <v>48</v>
      </c>
      <c r="E22" s="68" t="s">
        <v>41</v>
      </c>
      <c r="F22" s="69"/>
      <c r="G22" s="125">
        <f t="shared" ref="G22:K22" si="3">IF(AND(G13&lt;&gt;"",G20&lt;&gt;""),((1+G20)*(1+G13)-1),"")</f>
        <v>5.2109683343608548E-2</v>
      </c>
      <c r="H22" s="125">
        <f t="shared" si="3"/>
        <v>5.2758335154165836E-2</v>
      </c>
      <c r="I22" s="125">
        <f t="shared" si="3"/>
        <v>5.0471457993153557E-2</v>
      </c>
      <c r="J22" s="125">
        <f t="shared" si="3"/>
        <v>3.9484721290414804E-2</v>
      </c>
      <c r="K22" s="125">
        <f t="shared" si="3"/>
        <v>6.2104654286164962E-2</v>
      </c>
      <c r="L22" s="125">
        <f>IF(AND(L14&lt;&gt;"",L21&lt;&gt;""),((1+L21)*(1+L14)-1),"")</f>
        <v>4.7209047672415849E-2</v>
      </c>
      <c r="M22" s="125">
        <f>IF(AND(M14&lt;&gt;"",M21&lt;&gt;""),((1+M21)*(1+M14)-1),"")</f>
        <v>4.6016050339497294E-2</v>
      </c>
      <c r="N22" s="125">
        <f>IF(AND(N14&lt;&gt;"",N21&lt;&gt;""),((1+N21)*(1+N14)-1),"")</f>
        <v>4.4823053006579183E-2</v>
      </c>
      <c r="O22" s="125">
        <f>IF(AND(O14&lt;&gt;"",O21&lt;&gt;""),((1+O21)*(1+O14)-1),"")</f>
        <v>4.363005567366085E-2</v>
      </c>
      <c r="P22" s="125">
        <f>IF(AND(P14&lt;&gt;"",P21&lt;&gt;""),((1+P21)*(1+P14)-1),"")</f>
        <v>4.2437058340742739E-2</v>
      </c>
    </row>
    <row r="23" spans="1:16" ht="11.25" customHeight="1">
      <c r="A23" s="2"/>
      <c r="B23" s="2"/>
      <c r="C23" s="70"/>
      <c r="D23" s="68"/>
      <c r="E23" s="68"/>
      <c r="F23" s="69"/>
      <c r="G23" s="75"/>
      <c r="H23" s="16"/>
      <c r="I23" s="16"/>
      <c r="J23" s="16"/>
      <c r="K23" s="16"/>
      <c r="N23" s="2"/>
    </row>
    <row r="24" spans="1:16" s="52" customFormat="1" ht="12.75" customHeight="1">
      <c r="A24" s="8"/>
      <c r="B24" s="23" t="s">
        <v>14</v>
      </c>
      <c r="D24" s="53"/>
      <c r="E24" s="53"/>
    </row>
    <row r="25" spans="1:16" ht="18" customHeight="1">
      <c r="G25" s="19"/>
      <c r="H25" s="19"/>
      <c r="I25" s="19"/>
      <c r="J25" s="19"/>
      <c r="K25" s="19"/>
      <c r="L25" s="19"/>
      <c r="M25" s="19"/>
    </row>
    <row r="26" spans="1:16" ht="18" customHeight="1"/>
    <row r="27" spans="1:16" ht="18" customHeight="1"/>
    <row r="28" spans="1:16" ht="18" customHeight="1"/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65"/>
  <sheetViews>
    <sheetView workbookViewId="0">
      <selection activeCell="J2" sqref="J2"/>
    </sheetView>
  </sheetViews>
  <sheetFormatPr defaultColWidth="0" defaultRowHeight="18" customHeight="1" zeroHeight="1"/>
  <cols>
    <col min="1" max="2" width="1.28515625" style="2" customWidth="1"/>
    <col min="3" max="3" width="49.7109375" style="13" customWidth="1"/>
    <col min="4" max="4" width="23.7109375" style="13" customWidth="1"/>
    <col min="5" max="5" width="13.42578125" style="13" customWidth="1"/>
    <col min="6" max="6" width="9.28515625" style="13" customWidth="1"/>
    <col min="7" max="7" width="2.7109375" style="13" customWidth="1"/>
    <col min="8" max="12" width="13.7109375" style="2" bestFit="1" customWidth="1"/>
    <col min="13" max="14" width="2.7109375" style="2" customWidth="1"/>
    <col min="15" max="23" width="8.7109375" style="2" customWidth="1"/>
    <col min="24" max="16384" width="12.7109375" style="2" hidden="1"/>
  </cols>
  <sheetData>
    <row r="1" spans="2:14" ht="18" customHeight="1">
      <c r="B1" s="3" t="str">
        <f>'Input | General'!$B$1</f>
        <v>AusNet Services 2022-27 FY22 True-up - Capital expenditure sharing scheme model</v>
      </c>
      <c r="D1" s="3"/>
      <c r="E1" s="3"/>
      <c r="F1" s="3"/>
      <c r="G1" s="3"/>
      <c r="H1" s="92"/>
      <c r="I1" s="93" t="s">
        <v>15</v>
      </c>
      <c r="J1" s="136" t="s">
        <v>16</v>
      </c>
      <c r="K1" s="210" t="s">
        <v>17</v>
      </c>
    </row>
    <row r="2" spans="2:14" ht="18" customHeight="1">
      <c r="B2" s="10" t="s">
        <v>60</v>
      </c>
      <c r="D2" s="10"/>
      <c r="E2" s="10"/>
      <c r="F2" s="10"/>
      <c r="G2" s="10"/>
      <c r="J2" s="205" t="str">
        <f>'Input | General'!$D$8</f>
        <v>FY22 True-up</v>
      </c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61</v>
      </c>
      <c r="D4" s="6"/>
      <c r="E4" s="6"/>
      <c r="F4" s="6"/>
      <c r="G4" s="6"/>
    </row>
    <row r="5" spans="2:14" ht="10.5" customHeight="1">
      <c r="D5" s="58"/>
      <c r="E5" s="58"/>
      <c r="F5" s="58"/>
      <c r="G5" s="58"/>
    </row>
    <row r="6" spans="2:14" s="58" customFormat="1" ht="10.5" customHeight="1">
      <c r="D6" s="65" t="s">
        <v>38</v>
      </c>
      <c r="E6" s="65" t="s">
        <v>39</v>
      </c>
      <c r="F6" s="65" t="s">
        <v>52</v>
      </c>
      <c r="G6" s="54"/>
      <c r="H6" s="152" t="str">
        <f>IF('Input | General'!D16="Yes",'Input | General'!D15,"n/a")</f>
        <v>2017–18</v>
      </c>
      <c r="I6" s="152" t="str">
        <f>IF('Input | General'!E16="Yes",'Input | General'!E15,"n/a")</f>
        <v>2018–19</v>
      </c>
      <c r="J6" s="152" t="str">
        <f>IF('Input | General'!F16="Yes",'Input | General'!F15,"n/a")</f>
        <v>2019–20</v>
      </c>
      <c r="K6" s="152" t="str">
        <f>IF('Input | General'!G16="Yes",'Input | General'!G15,"n/a")</f>
        <v>2020–21</v>
      </c>
      <c r="L6" s="152" t="str">
        <f>IF('Input | General'!H16="Yes",'Input | General'!H15,"n/a")</f>
        <v>2021–22</v>
      </c>
    </row>
    <row r="7" spans="2:14" s="58" customFormat="1" ht="10.5" customHeight="1"/>
    <row r="8" spans="2:14" ht="10.5" customHeight="1">
      <c r="C8" s="70" t="s">
        <v>62</v>
      </c>
      <c r="D8" s="68" t="s">
        <v>43</v>
      </c>
      <c r="E8" s="68" t="s">
        <v>54</v>
      </c>
      <c r="F8" s="68" t="str">
        <f>'Input | Inflation and Disc Rate'!$F$7</f>
        <v>2016–17</v>
      </c>
      <c r="G8" s="58"/>
      <c r="H8" s="139">
        <v>180.24860099364153</v>
      </c>
      <c r="I8" s="139">
        <v>157.41756010216841</v>
      </c>
      <c r="J8" s="139">
        <v>153.38146235424443</v>
      </c>
      <c r="K8" s="139">
        <v>142.77332554459289</v>
      </c>
      <c r="L8" s="139">
        <v>107.2881742431224</v>
      </c>
    </row>
    <row r="9" spans="2:14" ht="10.5" customHeight="1">
      <c r="C9" s="70" t="s">
        <v>56</v>
      </c>
      <c r="D9" s="68" t="s">
        <v>43</v>
      </c>
      <c r="E9" s="68" t="s">
        <v>54</v>
      </c>
      <c r="F9" s="68" t="str">
        <f>'Input | Inflation and Disc Rate'!$F$7</f>
        <v>2016–17</v>
      </c>
      <c r="G9" s="58"/>
      <c r="H9" s="139"/>
      <c r="I9" s="139"/>
      <c r="J9" s="139"/>
      <c r="K9" s="139"/>
      <c r="L9" s="139"/>
    </row>
    <row r="10" spans="2:14" ht="10.5" customHeight="1">
      <c r="C10" s="70" t="s">
        <v>57</v>
      </c>
      <c r="D10" s="68" t="s">
        <v>43</v>
      </c>
      <c r="E10" s="68" t="s">
        <v>54</v>
      </c>
      <c r="F10" s="68" t="str">
        <f>'Input | Inflation and Disc Rate'!$F$7</f>
        <v>2016–17</v>
      </c>
      <c r="G10" s="58"/>
      <c r="H10" s="139">
        <v>0.218</v>
      </c>
      <c r="I10" s="139">
        <v>0.17100000000000001</v>
      </c>
      <c r="J10" s="139">
        <v>0.23899999999999999</v>
      </c>
      <c r="K10" s="139">
        <v>0.20300000000000001</v>
      </c>
      <c r="L10" s="139">
        <v>0.20799999999999999</v>
      </c>
    </row>
    <row r="11" spans="2:14" s="58" customFormat="1" ht="10.5" customHeight="1">
      <c r="H11" s="57"/>
      <c r="I11" s="57"/>
      <c r="J11" s="57"/>
      <c r="K11" s="57"/>
      <c r="L11" s="57"/>
    </row>
    <row r="12" spans="2:14" ht="10.5" customHeight="1">
      <c r="C12" s="67" t="s">
        <v>63</v>
      </c>
      <c r="D12" s="66" t="s">
        <v>48</v>
      </c>
      <c r="E12" s="153" t="s">
        <v>54</v>
      </c>
      <c r="F12" s="154" t="str">
        <f>'Input | Inflation and Disc Rate'!$F$7</f>
        <v>2016–17</v>
      </c>
      <c r="G12" s="58"/>
      <c r="H12" s="56">
        <f>IF(H6="", "", H8-H9-H10)</f>
        <v>180.03060099364154</v>
      </c>
      <c r="I12" s="56">
        <f>IF(I6="", "", I8-I9-I10)</f>
        <v>157.24656010216842</v>
      </c>
      <c r="J12" s="56">
        <f>IF(J6="", "", J8-J9-J10)</f>
        <v>153.14246235424443</v>
      </c>
      <c r="K12" s="56">
        <f>IF(K6="", "", K8-K9-K10)</f>
        <v>142.57032554459289</v>
      </c>
      <c r="L12" s="56">
        <f>IF(L6="", "", L8-L9-L10)</f>
        <v>107.0801742431224</v>
      </c>
    </row>
    <row r="13" spans="2:14" ht="10.5" customHeight="1">
      <c r="D13" s="58"/>
      <c r="E13" s="58"/>
      <c r="F13" s="58"/>
      <c r="G13" s="58"/>
      <c r="M13" s="62"/>
      <c r="N13" s="62"/>
    </row>
    <row r="14" spans="2:14" s="8" customFormat="1" ht="12.75" customHeight="1">
      <c r="B14" s="64" t="s">
        <v>50</v>
      </c>
      <c r="D14" s="15"/>
      <c r="E14" s="15"/>
      <c r="F14" s="15"/>
      <c r="G14" s="15"/>
    </row>
    <row r="15" spans="2:14" ht="10.5" customHeight="1">
      <c r="B15" s="63"/>
      <c r="C15" s="2"/>
    </row>
    <row r="16" spans="2:14" ht="10.5" customHeight="1">
      <c r="B16" s="63"/>
      <c r="C16" s="58"/>
      <c r="D16" s="65" t="s">
        <v>38</v>
      </c>
      <c r="E16" s="65" t="s">
        <v>39</v>
      </c>
      <c r="F16" s="65" t="s">
        <v>52</v>
      </c>
      <c r="G16" s="54"/>
      <c r="H16" s="152" t="str">
        <f>H6</f>
        <v>2017–18</v>
      </c>
      <c r="I16" s="152" t="str">
        <f>I6</f>
        <v>2018–19</v>
      </c>
      <c r="J16" s="152" t="str">
        <f>J6</f>
        <v>2019–20</v>
      </c>
      <c r="K16" s="152" t="str">
        <f>K6</f>
        <v>2020–21</v>
      </c>
      <c r="L16" s="152" t="str">
        <f>L6</f>
        <v>2021–22</v>
      </c>
      <c r="M16" s="58"/>
      <c r="N16" s="58"/>
    </row>
    <row r="17" spans="2:14" ht="10.5" customHeight="1"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215" t="s">
        <v>35</v>
      </c>
      <c r="M17" s="199" t="s">
        <v>64</v>
      </c>
      <c r="N17" s="58"/>
    </row>
    <row r="18" spans="2:14" ht="10.5" customHeight="1">
      <c r="B18" s="63"/>
      <c r="C18" s="70" t="s">
        <v>53</v>
      </c>
      <c r="D18" s="68" t="s">
        <v>43</v>
      </c>
      <c r="E18" s="68" t="s">
        <v>54</v>
      </c>
      <c r="F18" s="68" t="s">
        <v>55</v>
      </c>
      <c r="G18" s="58"/>
      <c r="H18" s="139">
        <v>133.7206228094602</v>
      </c>
      <c r="I18" s="139">
        <v>144.46882316614159</v>
      </c>
      <c r="J18" s="139">
        <v>155.27520369416771</v>
      </c>
      <c r="K18" s="139">
        <v>141.68553545872189</v>
      </c>
      <c r="L18" s="211">
        <f>IF($L$17="AER Final Decision",'Input | Final year Capex'!H10,'Input | Final year Capex'!I10)</f>
        <v>133.9472011475037</v>
      </c>
    </row>
    <row r="19" spans="2:14" ht="10.5" customHeight="1">
      <c r="B19" s="63"/>
      <c r="C19" s="70" t="s">
        <v>129</v>
      </c>
      <c r="D19" s="68" t="s">
        <v>43</v>
      </c>
      <c r="E19" s="68" t="s">
        <v>54</v>
      </c>
      <c r="F19" s="68" t="s">
        <v>55</v>
      </c>
      <c r="G19" s="58"/>
      <c r="H19" s="139"/>
      <c r="I19" s="139"/>
      <c r="J19" s="139">
        <v>44.323</v>
      </c>
      <c r="K19" s="139">
        <v>0.88269325395363563</v>
      </c>
      <c r="L19" s="211">
        <f>IF($L$17="AER Final Decision",'Input | Final year Capex'!H11,'Input | Final year Capex'!I11)</f>
        <v>0</v>
      </c>
    </row>
    <row r="20" spans="2:14" ht="10.5" customHeight="1">
      <c r="B20" s="63"/>
      <c r="C20" s="70" t="s">
        <v>56</v>
      </c>
      <c r="D20" s="68" t="s">
        <v>43</v>
      </c>
      <c r="E20" s="68" t="s">
        <v>54</v>
      </c>
      <c r="F20" s="68" t="s">
        <v>55</v>
      </c>
      <c r="G20" s="123"/>
      <c r="H20" s="140"/>
      <c r="I20" s="139"/>
      <c r="J20" s="139"/>
      <c r="K20" s="139"/>
      <c r="L20" s="211"/>
    </row>
    <row r="21" spans="2:14" ht="10.5" customHeight="1">
      <c r="B21" s="63"/>
      <c r="C21" s="122" t="s">
        <v>57</v>
      </c>
      <c r="D21" s="68" t="s">
        <v>43</v>
      </c>
      <c r="E21" s="68" t="s">
        <v>54</v>
      </c>
      <c r="F21" s="68" t="s">
        <v>55</v>
      </c>
      <c r="G21" s="123"/>
      <c r="H21" s="140">
        <v>5.9979069300000001</v>
      </c>
      <c r="I21" s="139">
        <v>0.62382812999999993</v>
      </c>
      <c r="J21" s="139">
        <v>2.6018094370554201</v>
      </c>
      <c r="K21" s="139">
        <v>0.11489252000000001</v>
      </c>
      <c r="L21" s="211">
        <f>IF($L$17="AER Final Decision",'Input | Final year Capex'!H13,'Input | Final year Capex'!I13)</f>
        <v>0.22379259259259254</v>
      </c>
    </row>
    <row r="22" spans="2:14" ht="10.5" customHeight="1">
      <c r="B22" s="63"/>
      <c r="C22" s="134" t="s">
        <v>58</v>
      </c>
      <c r="D22" s="68" t="s">
        <v>43</v>
      </c>
      <c r="E22" s="68" t="s">
        <v>54</v>
      </c>
      <c r="F22" s="68" t="s">
        <v>55</v>
      </c>
      <c r="G22" s="58"/>
      <c r="H22" s="140">
        <v>-6.3574499999999997E-3</v>
      </c>
      <c r="I22" s="139">
        <v>2.4998475</v>
      </c>
      <c r="J22" s="139">
        <v>4.9189038900000002</v>
      </c>
      <c r="K22" s="139">
        <v>7.5536621399999992</v>
      </c>
      <c r="L22" s="211">
        <f>IF($L$17="AER Final Decision",'Input | Final year Capex'!H14,'Input | Final year Capex'!I14)</f>
        <v>0</v>
      </c>
    </row>
    <row r="23" spans="2:14" ht="10.5" customHeight="1">
      <c r="B23" s="63"/>
      <c r="C23" s="58"/>
      <c r="D23" s="58"/>
      <c r="E23" s="58"/>
      <c r="F23" s="58"/>
      <c r="G23" s="58"/>
      <c r="H23" s="57"/>
      <c r="I23" s="57"/>
      <c r="J23" s="57"/>
      <c r="K23" s="57"/>
      <c r="L23" s="57"/>
      <c r="M23" s="58"/>
      <c r="N23" s="58"/>
    </row>
    <row r="24" spans="2:14" ht="10.5" customHeight="1">
      <c r="B24" s="63"/>
      <c r="C24" s="67" t="s">
        <v>59</v>
      </c>
      <c r="D24" s="66" t="s">
        <v>48</v>
      </c>
      <c r="E24" s="155" t="s">
        <v>54</v>
      </c>
      <c r="F24" s="155" t="s">
        <v>55</v>
      </c>
      <c r="G24" s="58"/>
      <c r="H24" s="56">
        <f>IF(H16="", "", H18+H19-H20-H21-H22)</f>
        <v>127.72907332946019</v>
      </c>
      <c r="I24" s="56">
        <f t="shared" ref="I24:L24" si="0">IF(I16="", "", I18+I19-I20-I21-I22)</f>
        <v>141.34514753614161</v>
      </c>
      <c r="J24" s="56">
        <f t="shared" si="0"/>
        <v>192.07749036711232</v>
      </c>
      <c r="K24" s="56">
        <f t="shared" si="0"/>
        <v>134.89967405267552</v>
      </c>
      <c r="L24" s="56">
        <f t="shared" si="0"/>
        <v>133.72340855491112</v>
      </c>
    </row>
    <row r="25" spans="2:14" ht="10.5" customHeight="1">
      <c r="B25" s="63"/>
      <c r="C25" s="2"/>
      <c r="M25" s="62"/>
      <c r="N25" s="62"/>
    </row>
    <row r="26" spans="2:14" s="8" customFormat="1" ht="12.75" customHeight="1">
      <c r="B26" s="64" t="s">
        <v>65</v>
      </c>
      <c r="D26" s="15"/>
      <c r="E26" s="15"/>
      <c r="F26" s="15"/>
      <c r="G26" s="15"/>
    </row>
    <row r="27" spans="2:14" ht="10.5" customHeight="1">
      <c r="D27" s="58"/>
      <c r="E27" s="58"/>
      <c r="F27" s="58"/>
      <c r="G27" s="58"/>
    </row>
    <row r="28" spans="2:14" ht="10.5" customHeight="1">
      <c r="D28" s="58"/>
      <c r="E28" s="58"/>
      <c r="F28" s="58"/>
      <c r="G28" s="58"/>
      <c r="H28" s="152" t="str">
        <f>'Input | General'!D20</f>
        <v>2022-23</v>
      </c>
      <c r="I28" s="152" t="str">
        <f>'Input | General'!E20</f>
        <v>2023–24</v>
      </c>
      <c r="J28" s="152" t="str">
        <f>'Input | General'!F20</f>
        <v>2024–25</v>
      </c>
      <c r="K28" s="152" t="str">
        <f>'Input | General'!G20</f>
        <v>2025–26</v>
      </c>
      <c r="L28" s="152" t="str">
        <f>'Input | General'!H20</f>
        <v>2026–27</v>
      </c>
    </row>
    <row r="29" spans="2:14" s="14" customFormat="1" ht="10.5" customHeight="1">
      <c r="C29" s="13"/>
      <c r="D29" s="58"/>
      <c r="E29" s="58"/>
      <c r="F29" s="58"/>
      <c r="G29" s="58"/>
    </row>
    <row r="30" spans="2:14" ht="11.25" customHeight="1">
      <c r="C30" s="74" t="s">
        <v>66</v>
      </c>
      <c r="D30" s="68" t="str">
        <f>'Input | General'!$D$7</f>
        <v>TNSP</v>
      </c>
      <c r="E30" s="68" t="s">
        <v>54</v>
      </c>
      <c r="F30" s="68" t="s">
        <v>55</v>
      </c>
      <c r="G30" s="58"/>
      <c r="H30" s="139">
        <v>0</v>
      </c>
      <c r="I30" s="139">
        <v>0</v>
      </c>
      <c r="J30" s="139">
        <v>0</v>
      </c>
      <c r="K30" s="139">
        <v>0</v>
      </c>
      <c r="L30" s="139">
        <v>0</v>
      </c>
    </row>
    <row r="31" spans="2:14" ht="11.25" customHeight="1">
      <c r="C31" s="74" t="s">
        <v>66</v>
      </c>
      <c r="D31" s="55" t="s">
        <v>48</v>
      </c>
      <c r="E31" s="68" t="s">
        <v>54</v>
      </c>
      <c r="F31" s="68" t="str">
        <f>'Input | Inflation and Disc Rate'!$F$7</f>
        <v>2016–17</v>
      </c>
      <c r="G31" s="58"/>
      <c r="H31" s="130">
        <f>IF(H30&lt;&gt;"",H30/('Input | Inflation and Disc Rate'!K10*(1+'Input | Inflation and Disc Rate'!L9)^0.5),"")</f>
        <v>0</v>
      </c>
      <c r="I31" s="130">
        <f>IF(I30&lt;&gt;"",I30/('Input | Inflation and Disc Rate'!L10*(1+'Input | Inflation and Disc Rate'!M9)^0.5),"")</f>
        <v>0</v>
      </c>
      <c r="J31" s="130">
        <f>IF(J30&lt;&gt;"",J30/('Input | Inflation and Disc Rate'!M10*(1+'Input | Inflation and Disc Rate'!N9)^0.5),"")</f>
        <v>0</v>
      </c>
      <c r="K31" s="130">
        <f>IF(K30&lt;&gt;"",K30/('Input | Inflation and Disc Rate'!N10*(1+'Input | Inflation and Disc Rate'!O9)^0.5),"")</f>
        <v>0</v>
      </c>
      <c r="L31" s="130">
        <f>IF(L30&lt;&gt;"",L30/('Input | Inflation and Disc Rate'!O10*(1+'Input | Inflation and Disc Rate'!P9)^0.5),"")</f>
        <v>0</v>
      </c>
    </row>
    <row r="32" spans="2:14" ht="11.25" customHeight="1">
      <c r="C32" s="74" t="s">
        <v>66</v>
      </c>
      <c r="D32" s="55" t="s">
        <v>43</v>
      </c>
      <c r="E32" s="68" t="s">
        <v>54</v>
      </c>
      <c r="F32" s="68" t="s">
        <v>55</v>
      </c>
      <c r="G32" s="58"/>
      <c r="H32" s="130">
        <f>IF(H30&lt;&gt;"",H31*'Input | Inflation and Disc Rate'!K15*(1+'Input | Inflation and Disc Rate'!L14)^0.5,"")</f>
        <v>0</v>
      </c>
      <c r="I32" s="130">
        <f>IF(I30&lt;&gt;"",I31*'Input | Inflation and Disc Rate'!L15*(1+'Input | Inflation and Disc Rate'!M14)^0.5,"")</f>
        <v>0</v>
      </c>
      <c r="J32" s="130">
        <f>IF(J30&lt;&gt;"",J31*'Input | Inflation and Disc Rate'!M15*(1+'Input | Inflation and Disc Rate'!N14)^0.5,"")</f>
        <v>0</v>
      </c>
      <c r="K32" s="130">
        <f>IF(K30&lt;&gt;"",K31*'Input | Inflation and Disc Rate'!N15*(1+'Input | Inflation and Disc Rate'!O14)^0.5,"")</f>
        <v>0</v>
      </c>
      <c r="L32" s="130">
        <f>IF(L30&lt;&gt;"",L31*'Input | Inflation and Disc Rate'!O15*(1+'Input | Inflation and Disc Rate'!P14)^0.5,"")</f>
        <v>0</v>
      </c>
    </row>
    <row r="33" spans="1:14" ht="10.5" customHeight="1">
      <c r="D33" s="58"/>
      <c r="E33" s="58"/>
      <c r="F33" s="58"/>
      <c r="G33" s="58"/>
      <c r="M33" s="62"/>
      <c r="N33" s="62"/>
    </row>
    <row r="34" spans="1:14" s="52" customFormat="1" ht="12.75" customHeight="1">
      <c r="A34" s="8"/>
      <c r="B34" s="23" t="s">
        <v>14</v>
      </c>
      <c r="D34" s="53"/>
      <c r="E34" s="53"/>
      <c r="F34" s="53"/>
    </row>
    <row r="35" spans="1:14" ht="10.5" customHeight="1">
      <c r="C35" s="2"/>
      <c r="D35" s="2"/>
      <c r="E35" s="2"/>
      <c r="F35" s="2"/>
      <c r="G35" s="2"/>
    </row>
    <row r="36" spans="1:14" ht="18" customHeight="1"/>
    <row r="37" spans="1:14" ht="18" customHeight="1"/>
    <row r="38" spans="1:14" ht="18" customHeight="1"/>
    <row r="39" spans="1:14" ht="18" customHeight="1"/>
    <row r="40" spans="1:14" s="14" customFormat="1" ht="18" customHeight="1">
      <c r="A40" s="2"/>
      <c r="B40" s="2"/>
      <c r="C40" s="13"/>
      <c r="D40" s="13"/>
      <c r="E40" s="13"/>
      <c r="F40" s="13"/>
      <c r="G40" s="13"/>
      <c r="H40" s="2"/>
      <c r="I40" s="2"/>
      <c r="J40" s="2"/>
      <c r="K40" s="2"/>
      <c r="L40" s="2"/>
      <c r="M40" s="2"/>
      <c r="N40" s="2"/>
    </row>
    <row r="41" spans="1:14" ht="18" customHeight="1"/>
    <row r="42" spans="1:14" ht="18" customHeight="1"/>
    <row r="43" spans="1:14" ht="18" customHeight="1"/>
    <row r="44" spans="1:14" ht="18" customHeight="1"/>
    <row r="45" spans="1:14" s="14" customFormat="1" ht="18" customHeight="1">
      <c r="A45" s="2"/>
      <c r="B45" s="2"/>
      <c r="C45" s="13"/>
      <c r="D45" s="13"/>
      <c r="E45" s="13"/>
      <c r="F45" s="13"/>
      <c r="G45" s="13"/>
      <c r="H45" s="2"/>
      <c r="I45" s="2"/>
      <c r="J45" s="2"/>
      <c r="K45" s="2"/>
      <c r="L45" s="2"/>
      <c r="M45" s="2"/>
      <c r="N45" s="2"/>
    </row>
    <row r="46" spans="1:14" ht="18" customHeight="1"/>
    <row r="47" spans="1:14" ht="18" customHeight="1"/>
    <row r="48" spans="1:14" ht="18" customHeight="1"/>
    <row r="49" spans="1:14" ht="18" customHeight="1"/>
    <row r="50" spans="1:14" ht="18" customHeight="1"/>
    <row r="51" spans="1:14" ht="18" customHeight="1"/>
    <row r="52" spans="1:14" ht="18" customHeight="1"/>
    <row r="53" spans="1:14" ht="18" customHeight="1"/>
    <row r="54" spans="1:14" ht="18" customHeight="1"/>
    <row r="55" spans="1:14" ht="18" customHeight="1"/>
    <row r="56" spans="1:14" s="14" customFormat="1" ht="18" customHeight="1">
      <c r="A56" s="2"/>
      <c r="B56" s="2"/>
      <c r="C56" s="13"/>
      <c r="D56" s="13"/>
      <c r="E56" s="13"/>
      <c r="F56" s="13"/>
      <c r="G56" s="13"/>
      <c r="H56" s="2"/>
      <c r="I56" s="2"/>
      <c r="J56" s="2"/>
      <c r="K56" s="2"/>
      <c r="L56" s="2"/>
      <c r="M56" s="2"/>
      <c r="N56" s="2"/>
    </row>
    <row r="57" spans="1:14" ht="18" customHeight="1"/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  <row r="63" spans="1:14" ht="18" customHeight="1"/>
    <row r="64" spans="1:14" ht="18" customHeight="1"/>
    <row r="65" ht="18" customHeight="1"/>
  </sheetData>
  <conditionalFormatting sqref="H20:H22">
    <cfRule type="expression" dxfId="6" priority="5">
      <formula>IF($H$6&lt;&gt;"","FALSE","TRUE")</formula>
    </cfRule>
  </conditionalFormatting>
  <conditionalFormatting sqref="H8:L10">
    <cfRule type="expression" dxfId="5" priority="3">
      <formula>IF($H$6&lt;&gt;"","FALSE","TRUE")</formula>
    </cfRule>
  </conditionalFormatting>
  <conditionalFormatting sqref="H18:L18 H19:K19 L19:L22">
    <cfRule type="expression" dxfId="4" priority="1">
      <formula>IF($H$6&lt;&gt;"","FALSE","TRUE")</formula>
    </cfRule>
  </conditionalFormatting>
  <conditionalFormatting sqref="H30:L30">
    <cfRule type="expression" dxfId="3" priority="6">
      <formula>IF($H$6&lt;&gt;"","FALSE","TRUE")</formula>
    </cfRule>
  </conditionalFormatting>
  <conditionalFormatting sqref="I20:K22">
    <cfRule type="expression" dxfId="2" priority="4">
      <formula>IF($H$6&lt;&gt;"","FALSE","TRUE")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402CAA-05A6-4BF8-AAFE-11C7E023AAFB}">
          <x14:formula1>
            <xm:f>'Input | Final year Capex'!$H$7:$I$7</xm:f>
          </x14:formula1>
          <xm:sqref>L17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687C-C686-4793-8F87-28B473B7970F}">
  <sheetPr>
    <tabColor rgb="FFFFFF99"/>
  </sheetPr>
  <dimension ref="A1:V19"/>
  <sheetViews>
    <sheetView zoomScale="120" zoomScaleNormal="120" workbookViewId="0">
      <selection activeCell="I16" sqref="I16"/>
    </sheetView>
  </sheetViews>
  <sheetFormatPr defaultColWidth="0" defaultRowHeight="15" zeroHeight="1"/>
  <cols>
    <col min="1" max="1" width="2.42578125" customWidth="1"/>
    <col min="2" max="2" width="15.5703125" customWidth="1"/>
    <col min="3" max="3" width="30" bestFit="1" customWidth="1"/>
    <col min="4" max="4" width="22.85546875" customWidth="1"/>
    <col min="5" max="5" width="14" customWidth="1"/>
    <col min="6" max="6" width="13.5703125" customWidth="1"/>
    <col min="7" max="7" width="11.28515625" customWidth="1"/>
    <col min="8" max="8" width="14.7109375" customWidth="1"/>
    <col min="9" max="9" width="13.42578125" customWidth="1"/>
    <col min="10" max="10" width="3.42578125" customWidth="1"/>
    <col min="11" max="11" width="9.140625" customWidth="1"/>
    <col min="12" max="12" width="11.5703125" customWidth="1"/>
    <col min="13" max="22" width="9.140625" customWidth="1"/>
    <col min="23" max="16384" width="9.140625" hidden="1"/>
  </cols>
  <sheetData>
    <row r="1" spans="1:22" ht="15.75">
      <c r="A1" s="69"/>
      <c r="B1" s="3" t="str">
        <f>'Input | General'!$B$1</f>
        <v>AusNet Services 2022-27 FY22 True-up - Capital expenditure sharing scheme model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8">
      <c r="A2" s="69"/>
      <c r="B2" s="69" t="s">
        <v>49</v>
      </c>
      <c r="C2" s="69" t="str">
        <f>"Column H is from the AER Final Decision CESS model for the "&amp;'Input | General'!$D$9&amp;" period, which was based on forecast "&amp;'Input | General'!$H$15&amp;" Capex"</f>
        <v>Column H is from the AER Final Decision CESS model for the 2022-27 period, which was based on forecast 2021–22 Capex</v>
      </c>
      <c r="D2" s="69"/>
      <c r="E2" s="69"/>
      <c r="F2" s="69"/>
      <c r="G2" s="69"/>
      <c r="H2" s="69"/>
      <c r="I2" s="69"/>
      <c r="J2" s="69"/>
      <c r="K2" s="205" t="str">
        <f>'Input | General'!$D$8</f>
        <v>FY22 True-up</v>
      </c>
      <c r="L2" s="213" t="str">
        <f>"AER Final Decision "&amp;'Input | General'!$D$9</f>
        <v>AER Final Decision 2022-27</v>
      </c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>
      <c r="A3" s="69"/>
      <c r="B3" s="69"/>
      <c r="C3" s="69" t="str">
        <f>"Column I is Actual "&amp;'Input | General'!$H$15&amp;" capex, rolled into RFM model for the "&amp;'Input | General'!$D$11&amp;" period"</f>
        <v>Column I is Actual 2021–22 capex, rolled into RFM model for the 2026-31 period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>
      <c r="A4" s="69"/>
      <c r="B4" s="69"/>
      <c r="C4" s="69" t="s">
        <v>115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>
      <c r="A6" s="8"/>
      <c r="B6" s="64" t="s">
        <v>50</v>
      </c>
      <c r="C6" s="8"/>
      <c r="D6" s="15"/>
      <c r="E6" s="15"/>
      <c r="F6" s="15"/>
      <c r="G6" s="15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2.5">
      <c r="A7" s="2"/>
      <c r="B7" s="63"/>
      <c r="C7" s="2"/>
      <c r="D7" s="13"/>
      <c r="E7" s="13"/>
      <c r="F7" s="13"/>
      <c r="G7" s="65"/>
      <c r="H7" s="68" t="s">
        <v>35</v>
      </c>
      <c r="I7" s="212" t="str">
        <f>'Input | General'!$D$6&amp;" Actual"</f>
        <v>AusNet Services Actual</v>
      </c>
      <c r="J7" s="69"/>
      <c r="K7" s="68" t="s">
        <v>51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>
      <c r="A8" s="2"/>
      <c r="B8" s="63"/>
      <c r="C8" s="58"/>
      <c r="D8" s="65" t="s">
        <v>38</v>
      </c>
      <c r="E8" s="65" t="s">
        <v>39</v>
      </c>
      <c r="F8" s="65" t="s">
        <v>52</v>
      </c>
      <c r="G8" s="54"/>
      <c r="H8" s="152" t="str">
        <f>'Input | General'!$H$15</f>
        <v>2021–22</v>
      </c>
      <c r="I8" s="152" t="str">
        <f>H8</f>
        <v>2021–22</v>
      </c>
      <c r="J8" s="69"/>
      <c r="K8" s="152" t="str">
        <f>I8</f>
        <v>2021–22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>
      <c r="A9" s="2"/>
      <c r="B9" s="63"/>
      <c r="C9" s="58"/>
      <c r="D9" s="58"/>
      <c r="E9" s="58"/>
      <c r="F9" s="58"/>
      <c r="G9" s="58"/>
      <c r="H9" s="58"/>
      <c r="I9" s="5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pans="1:22">
      <c r="A10" s="2"/>
      <c r="B10" s="63"/>
      <c r="C10" s="70" t="s">
        <v>53</v>
      </c>
      <c r="D10" s="216"/>
      <c r="E10" s="68" t="s">
        <v>54</v>
      </c>
      <c r="F10" s="68" t="s">
        <v>55</v>
      </c>
      <c r="G10" s="58"/>
      <c r="H10" s="214">
        <v>133.9472011475037</v>
      </c>
      <c r="I10" s="207">
        <v>116.82293686965535</v>
      </c>
      <c r="J10" s="69"/>
      <c r="K10" s="200">
        <f>I10-H10</f>
        <v>-17.124264277848354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</row>
    <row r="11" spans="1:22">
      <c r="A11" s="2"/>
      <c r="B11" s="63"/>
      <c r="C11" s="70" t="s">
        <v>130</v>
      </c>
      <c r="D11" s="216"/>
      <c r="E11" s="68" t="s">
        <v>54</v>
      </c>
      <c r="F11" s="68" t="s">
        <v>55</v>
      </c>
      <c r="G11" s="58"/>
      <c r="H11" s="214">
        <v>0</v>
      </c>
      <c r="I11" s="207">
        <v>-2.8008843934812555</v>
      </c>
      <c r="J11" s="69"/>
      <c r="K11" s="200">
        <f>I11-H11</f>
        <v>-2.8008843934812555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2">
      <c r="A12" s="2"/>
      <c r="B12" s="63"/>
      <c r="C12" s="70" t="s">
        <v>56</v>
      </c>
      <c r="D12" s="216"/>
      <c r="E12" s="68" t="s">
        <v>54</v>
      </c>
      <c r="F12" s="68" t="s">
        <v>55</v>
      </c>
      <c r="G12" s="123"/>
      <c r="H12" s="214">
        <v>0</v>
      </c>
      <c r="I12" s="207">
        <v>0</v>
      </c>
      <c r="J12" s="69"/>
      <c r="K12" s="200">
        <f>I12-H12</f>
        <v>0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</row>
    <row r="13" spans="1:22">
      <c r="A13" s="2"/>
      <c r="B13" s="63"/>
      <c r="C13" s="122" t="s">
        <v>57</v>
      </c>
      <c r="D13" s="216"/>
      <c r="E13" s="68" t="s">
        <v>54</v>
      </c>
      <c r="F13" s="68" t="s">
        <v>55</v>
      </c>
      <c r="G13" s="123"/>
      <c r="H13" s="214">
        <v>0.22379259259259254</v>
      </c>
      <c r="I13" s="207">
        <v>0.57856595999999993</v>
      </c>
      <c r="J13" s="69"/>
      <c r="K13" s="200">
        <f>I13-H13</f>
        <v>0.35477336740740739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1:22">
      <c r="A14" s="2"/>
      <c r="B14" s="63"/>
      <c r="C14" s="134" t="s">
        <v>58</v>
      </c>
      <c r="D14" s="216"/>
      <c r="E14" s="68" t="s">
        <v>54</v>
      </c>
      <c r="F14" s="68" t="s">
        <v>55</v>
      </c>
      <c r="G14" s="58"/>
      <c r="H14" s="139"/>
      <c r="I14" s="139"/>
      <c r="J14" s="69"/>
      <c r="K14" s="200">
        <f>I14-H14</f>
        <v>0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</row>
    <row r="15" spans="1:22">
      <c r="A15" s="2"/>
      <c r="B15" s="63"/>
      <c r="C15" s="58"/>
      <c r="D15" s="58"/>
      <c r="E15" s="58"/>
      <c r="F15" s="58"/>
      <c r="G15" s="58"/>
      <c r="H15" s="57"/>
      <c r="I15" s="57"/>
      <c r="J15" s="69"/>
      <c r="K15" s="57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</row>
    <row r="16" spans="1:22">
      <c r="A16" s="2"/>
      <c r="B16" s="63"/>
      <c r="C16" s="67" t="s">
        <v>59</v>
      </c>
      <c r="D16" s="66" t="s">
        <v>48</v>
      </c>
      <c r="E16" s="155" t="s">
        <v>54</v>
      </c>
      <c r="F16" s="155" t="s">
        <v>55</v>
      </c>
      <c r="G16" s="58"/>
      <c r="H16" s="56">
        <f>IF(H8="", "", H10+H11-H12-H13-H14)</f>
        <v>133.72340855491112</v>
      </c>
      <c r="I16" s="56">
        <f>IF(I8="", "", I10+I11-I12-I13-I14)</f>
        <v>113.44348651617409</v>
      </c>
      <c r="J16" s="69"/>
      <c r="K16" s="56">
        <f>IF(K8="", "", K10+K11-K12-K13-K14)</f>
        <v>-20.279922038737016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1:2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</row>
    <row r="19" spans="1:22">
      <c r="A19" s="8"/>
      <c r="B19" s="64" t="s">
        <v>14</v>
      </c>
      <c r="C19" s="8"/>
      <c r="D19" s="15"/>
      <c r="E19" s="15"/>
      <c r="F19" s="15"/>
      <c r="G19" s="15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</sheetData>
  <conditionalFormatting sqref="H10:I14">
    <cfRule type="expression" dxfId="1" priority="4">
      <formula>IF($H$7&lt;&gt;"","FALSE","TRUE")</formula>
    </cfRule>
  </conditionalFormatting>
  <conditionalFormatting sqref="K10:K14">
    <cfRule type="expression" dxfId="0" priority="1">
      <formula>IF($H$7&lt;&gt;"","FALSE","TRUE")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P54"/>
  <sheetViews>
    <sheetView topLeftCell="A17" zoomScale="120" zoomScaleNormal="120" workbookViewId="0">
      <selection activeCell="F43" sqref="F43"/>
    </sheetView>
  </sheetViews>
  <sheetFormatPr defaultColWidth="12.7109375" defaultRowHeight="0" customHeight="1" zeroHeight="1"/>
  <cols>
    <col min="1" max="2" width="1.28515625" style="2" customWidth="1"/>
    <col min="3" max="3" width="70.7109375" style="9" customWidth="1"/>
    <col min="4" max="8" width="12.7109375" style="2" customWidth="1"/>
    <col min="9" max="9" width="2.28515625" style="2" customWidth="1"/>
    <col min="10" max="10" width="12.7109375" style="1" customWidth="1"/>
    <col min="11" max="14" width="12.7109375" style="2" customWidth="1"/>
    <col min="15" max="16" width="2.7109375" style="2" customWidth="1"/>
    <col min="17" max="16381" width="12.7109375" style="2" customWidth="1"/>
    <col min="16382" max="16382" width="12.7109375" style="2"/>
    <col min="16383" max="16384" width="0" style="2" hidden="1" customWidth="1"/>
  </cols>
  <sheetData>
    <row r="1" spans="2:15" ht="18" customHeight="1">
      <c r="B1" s="3" t="str">
        <f>'Input | General'!$B$1</f>
        <v>AusNet Services 2022-27 FY22 True-up - Capital expenditure sharing scheme model</v>
      </c>
      <c r="C1" s="2"/>
      <c r="J1" s="107"/>
      <c r="K1" s="93" t="s">
        <v>15</v>
      </c>
      <c r="L1" s="136" t="s">
        <v>16</v>
      </c>
      <c r="M1" s="141" t="s">
        <v>17</v>
      </c>
      <c r="N1"/>
    </row>
    <row r="2" spans="2:15" ht="18" customHeight="1">
      <c r="B2" s="10" t="s">
        <v>67</v>
      </c>
      <c r="C2" s="2"/>
      <c r="J2" s="17"/>
      <c r="K2" s="17"/>
      <c r="L2" s="17"/>
    </row>
    <row r="3" spans="2:15" ht="3" customHeight="1">
      <c r="C3" s="1"/>
      <c r="J3" s="17"/>
      <c r="K3" s="17"/>
    </row>
    <row r="4" spans="2:15" s="8" customFormat="1" ht="12" customHeight="1">
      <c r="B4" s="23" t="s">
        <v>68</v>
      </c>
      <c r="J4" s="18"/>
      <c r="K4" s="18"/>
    </row>
    <row r="5" spans="2:15" ht="11.25" customHeight="1">
      <c r="C5" s="82"/>
      <c r="D5" s="82"/>
      <c r="E5" s="82"/>
      <c r="F5" s="82"/>
      <c r="G5" s="82"/>
      <c r="H5" s="82"/>
      <c r="I5" s="69"/>
      <c r="J5" s="69"/>
      <c r="K5" s="69"/>
      <c r="L5" s="69"/>
      <c r="M5" s="69"/>
      <c r="N5" s="69"/>
      <c r="O5" s="69"/>
    </row>
    <row r="6" spans="2:15" ht="11.25" customHeight="1">
      <c r="C6" s="103" t="s">
        <v>69</v>
      </c>
      <c r="D6" s="104"/>
      <c r="E6" s="105"/>
      <c r="F6" s="105"/>
      <c r="G6" s="105"/>
      <c r="H6" s="105"/>
      <c r="I6" s="84"/>
    </row>
    <row r="7" spans="2:15" ht="11.25" customHeight="1">
      <c r="C7" s="102" t="s">
        <v>70</v>
      </c>
      <c r="D7" s="152" t="str">
        <f>IF('Input | General'!D16="Yes",'Input | General'!D15,"n/a")</f>
        <v>2017–18</v>
      </c>
      <c r="E7" s="152" t="str">
        <f>IF('Input | General'!E16="Yes",'Input | General'!E15,"n/a")</f>
        <v>2018–19</v>
      </c>
      <c r="F7" s="152" t="str">
        <f>IF('Input | General'!F16="Yes",'Input | General'!F15,"n/a")</f>
        <v>2019–20</v>
      </c>
      <c r="G7" s="152" t="str">
        <f>IF('Input | General'!G16="Yes",'Input | General'!G15,"n/a")</f>
        <v>2020–21</v>
      </c>
      <c r="H7" s="156" t="str">
        <f>IF('Input | General'!H16="Yes",'Input | General'!H15,"n/a")</f>
        <v>2021–22</v>
      </c>
      <c r="I7" s="84"/>
    </row>
    <row r="8" spans="2:15" ht="11.25" customHeight="1">
      <c r="C8" s="100" t="s">
        <v>71</v>
      </c>
      <c r="D8" s="217">
        <f>'Input | Inflation and Disc Rate'!G20</f>
        <v>3.3220820087888514E-2</v>
      </c>
      <c r="E8" s="142">
        <f>'Input | Inflation and Disc Rate'!H20</f>
        <v>3.3279987102855291E-2</v>
      </c>
      <c r="F8" s="142">
        <f>'Input | Inflation and Disc Rate'!I20</f>
        <v>3.3176000712503706E-2</v>
      </c>
      <c r="G8" s="142">
        <f>'Input | Inflation and Disc Rate'!J20</f>
        <v>3.2328199973441274E-2</v>
      </c>
      <c r="H8" s="143">
        <f>'Input | Inflation and Disc Rate'!K20</f>
        <v>3.1048962640370714E-2</v>
      </c>
      <c r="I8" s="84"/>
      <c r="J8" s="69"/>
      <c r="K8" s="69"/>
    </row>
    <row r="9" spans="2:15" ht="11.25" customHeight="1">
      <c r="C9" s="128" t="s">
        <v>72</v>
      </c>
      <c r="D9" s="142">
        <f>'Input | Inflation and Disc Rate'!G22</f>
        <v>5.2109683343608548E-2</v>
      </c>
      <c r="E9" s="142">
        <f>'Input | Inflation and Disc Rate'!H22</f>
        <v>5.2758335154165836E-2</v>
      </c>
      <c r="F9" s="142">
        <f>'Input | Inflation and Disc Rate'!I22</f>
        <v>5.0471457993153557E-2</v>
      </c>
      <c r="G9" s="142">
        <f>'Input | Inflation and Disc Rate'!J22</f>
        <v>3.9484721290414804E-2</v>
      </c>
      <c r="H9" s="143">
        <f>'Input | Inflation and Disc Rate'!K22</f>
        <v>6.2104654286164962E-2</v>
      </c>
      <c r="I9" s="84"/>
      <c r="J9" s="69"/>
      <c r="K9" s="69"/>
    </row>
    <row r="10" spans="2:15" ht="11.25" customHeight="1">
      <c r="C10" s="98" t="s">
        <v>73</v>
      </c>
      <c r="D10" s="218">
        <f>'Input | Reported Capex'!H$12*'Input | Inflation and Disc Rate'!G$15*(1+'Input | Inflation and Disc Rate'!G$20)^0.5</f>
        <v>186.34200950112827</v>
      </c>
      <c r="E10" s="144">
        <f>'Input | Reported Capex'!I$12*'Input | Inflation and Disc Rate'!H$15*(1+'Input | Inflation and Disc Rate'!H$20)^0.5</f>
        <v>165.83213884899229</v>
      </c>
      <c r="F10" s="144">
        <f>'Input | Reported Capex'!J$12*'Input | Inflation and Disc Rate'!I$15*(1+'Input | Inflation and Disc Rate'!I$20)^0.5</f>
        <v>164.19928715302945</v>
      </c>
      <c r="G10" s="144">
        <f>'Input | Reported Capex'!K$12*'Input | Inflation and Disc Rate'!J$15*(1+'Input | Inflation and Disc Rate'!J$20)^0.5</f>
        <v>153.86039493290644</v>
      </c>
      <c r="H10" s="145">
        <f>'Input | Reported Capex'!L$12*'Input | Inflation and Disc Rate'!K$15*(1+'Input | Inflation and Disc Rate'!K$20)^0.5</f>
        <v>118.96673492912412</v>
      </c>
      <c r="I10" s="84"/>
      <c r="J10" s="69"/>
      <c r="K10" s="69"/>
      <c r="N10" s="120"/>
    </row>
    <row r="11" spans="2:15" ht="11.25" customHeight="1">
      <c r="C11" s="98" t="s">
        <v>74</v>
      </c>
      <c r="D11" s="219">
        <f>'Input | Reported Capex'!H24*(1+D$9)^0.5</f>
        <v>131.01477346944466</v>
      </c>
      <c r="E11" s="144">
        <f>'Input | Reported Capex'!I24*(1+E$9)^0.5</f>
        <v>145.02579264253032</v>
      </c>
      <c r="F11" s="144">
        <f>'Input | Reported Capex'!J24*(1+F$9)^0.5</f>
        <v>196.86504077705385</v>
      </c>
      <c r="G11" s="144">
        <f>'Input | Reported Capex'!K24*(1+G$9)^0.5</f>
        <v>137.53712931460677</v>
      </c>
      <c r="H11" s="145">
        <f>'Input | Reported Capex'!L24*(1+H$9)^0.5</f>
        <v>137.81328788610844</v>
      </c>
      <c r="I11" s="84"/>
      <c r="J11" s="69"/>
      <c r="K11" s="69"/>
    </row>
    <row r="12" spans="2:15" s="14" customFormat="1" ht="11.25" customHeight="1">
      <c r="C12" s="98" t="s">
        <v>75</v>
      </c>
      <c r="D12" s="77">
        <f>(D10-D11)</f>
        <v>55.327236031683611</v>
      </c>
      <c r="E12" s="126">
        <f>(E10-E11)</f>
        <v>20.806346206461967</v>
      </c>
      <c r="F12" s="126">
        <f>(F10-F11)</f>
        <v>-32.665753624024404</v>
      </c>
      <c r="G12" s="126">
        <f>(G10-G11)</f>
        <v>16.323265618299672</v>
      </c>
      <c r="H12" s="131">
        <f>(H10-H11)</f>
        <v>-18.846552956984326</v>
      </c>
      <c r="I12" s="84"/>
      <c r="J12" s="69"/>
      <c r="K12" s="69"/>
    </row>
    <row r="13" spans="2:15" ht="11.25" customHeight="1">
      <c r="C13" s="98" t="s">
        <v>76</v>
      </c>
      <c r="D13" s="77"/>
      <c r="E13" s="126">
        <f>$D$12*$E$8</f>
        <v>1.8412897015710612</v>
      </c>
      <c r="F13" s="126">
        <f>$D$12*$F$8*(1+'Input | Inflation and Disc Rate'!H13)</f>
        <v>1.8701380960314862</v>
      </c>
      <c r="G13" s="126">
        <f>$D$12*$G$8*(1+'Input | Inflation and Disc Rate'!H13)*(1+'Input | Inflation and Disc Rate'!I13)</f>
        <v>1.8528536470136459</v>
      </c>
      <c r="H13" s="131">
        <f>$D$12*$H$8*(1+'Input | Inflation and Disc Rate'!H13)*(1+'Input | Inflation and Disc Rate'!I13)*(1+'Input | Inflation and Disc Rate'!J13)</f>
        <v>1.7918720975212179</v>
      </c>
      <c r="I13" s="84"/>
      <c r="J13" s="69"/>
      <c r="K13" s="69"/>
      <c r="L13" s="83"/>
      <c r="M13" s="83"/>
      <c r="N13" s="83"/>
      <c r="O13" s="83"/>
    </row>
    <row r="14" spans="2:15" ht="11.25" customHeight="1">
      <c r="C14" s="98" t="s">
        <v>77</v>
      </c>
      <c r="D14" s="77"/>
      <c r="E14" s="127"/>
      <c r="F14" s="126">
        <f>$E$12*F$8</f>
        <v>0.69027135657018102</v>
      </c>
      <c r="G14" s="126">
        <f>$E$12*G$8*(1+'Input | Inflation and Disc Rate'!I13)</f>
        <v>0.68389163514937745</v>
      </c>
      <c r="H14" s="131">
        <f>$E$12*H$8*(1+'Input | Inflation and Disc Rate'!I13)*(1+'Input | Inflation and Disc Rate'!J13)</f>
        <v>0.66138323484288952</v>
      </c>
      <c r="I14" s="84"/>
      <c r="J14" s="69"/>
      <c r="K14" s="69"/>
      <c r="L14" s="83"/>
      <c r="M14" s="83"/>
      <c r="N14" s="84"/>
      <c r="O14" s="84"/>
    </row>
    <row r="15" spans="2:15" ht="11.25" customHeight="1">
      <c r="C15" s="98" t="s">
        <v>78</v>
      </c>
      <c r="D15" s="77"/>
      <c r="E15" s="126"/>
      <c r="F15" s="126"/>
      <c r="G15" s="126">
        <f>$F$12*G$8</f>
        <v>-1.056025015440625</v>
      </c>
      <c r="H15" s="131">
        <f>$F$12*$H$8*(1+'Input | Inflation and Disc Rate'!J13)</f>
        <v>-1.0212688749067365</v>
      </c>
      <c r="I15" s="84"/>
      <c r="J15" s="69"/>
      <c r="K15" s="69"/>
      <c r="L15" s="83"/>
      <c r="M15" s="83"/>
      <c r="N15" s="83"/>
      <c r="O15" s="83"/>
    </row>
    <row r="16" spans="2:15" ht="11.25" customHeight="1">
      <c r="C16" s="98" t="s">
        <v>79</v>
      </c>
      <c r="D16" s="77"/>
      <c r="E16" s="126"/>
      <c r="F16" s="126"/>
      <c r="G16" s="126"/>
      <c r="H16" s="131">
        <f>$G$12*$H$8</f>
        <v>0.50682046435143424</v>
      </c>
      <c r="I16" s="84"/>
      <c r="J16" s="69"/>
      <c r="K16" s="69"/>
      <c r="L16" s="83"/>
      <c r="M16" s="83"/>
      <c r="N16" s="83"/>
      <c r="O16" s="83"/>
    </row>
    <row r="17" spans="3:15" ht="11.25" customHeight="1">
      <c r="C17" s="98" t="s">
        <v>80</v>
      </c>
      <c r="D17" s="77"/>
      <c r="E17" s="126"/>
      <c r="F17" s="126"/>
      <c r="G17" s="126"/>
      <c r="H17" s="131"/>
      <c r="I17" s="84"/>
      <c r="J17" s="69"/>
      <c r="K17" s="69"/>
      <c r="L17" s="83"/>
      <c r="M17" s="83"/>
      <c r="N17" s="83"/>
      <c r="O17" s="83"/>
    </row>
    <row r="18" spans="3:15" s="14" customFormat="1" ht="11.25" customHeight="1">
      <c r="C18" s="99" t="s">
        <v>81</v>
      </c>
      <c r="D18" s="78">
        <f>SUM(D13:D17)</f>
        <v>0</v>
      </c>
      <c r="E18" s="79">
        <f>SUM(E13:E17)</f>
        <v>1.8412897015710612</v>
      </c>
      <c r="F18" s="79">
        <f>SUM(F13:F17)</f>
        <v>2.5604094526016672</v>
      </c>
      <c r="G18" s="79">
        <f>SUM(G13:G17)</f>
        <v>1.4807202667223984</v>
      </c>
      <c r="H18" s="80">
        <f>SUM(H13:H17)</f>
        <v>1.9388069218088051</v>
      </c>
      <c r="I18" s="84"/>
      <c r="J18" s="69"/>
      <c r="K18" s="69"/>
      <c r="L18" s="83"/>
      <c r="M18" s="83"/>
      <c r="N18" s="83"/>
      <c r="O18" s="83"/>
    </row>
    <row r="19" spans="3:15" ht="11.25" customHeight="1">
      <c r="C19" s="100" t="s">
        <v>82</v>
      </c>
      <c r="D19" s="78">
        <f>E19*(1+E$9)</f>
        <v>1.2209513733962509</v>
      </c>
      <c r="E19" s="79">
        <f>F19*(1+F$9)</f>
        <v>1.1597641477874929</v>
      </c>
      <c r="F19" s="79">
        <f>G19*(1+G$9)</f>
        <v>1.1040415605419065</v>
      </c>
      <c r="G19" s="79">
        <f>H19*(1+H$9)</f>
        <v>1.062104654286165</v>
      </c>
      <c r="H19" s="132">
        <v>1</v>
      </c>
      <c r="I19" s="84"/>
      <c r="J19" s="69"/>
      <c r="K19" s="69"/>
      <c r="L19" s="84"/>
      <c r="M19" s="84"/>
      <c r="N19" s="84"/>
      <c r="O19" s="84"/>
    </row>
    <row r="20" spans="3:15" s="14" customFormat="1" ht="11.25" customHeight="1">
      <c r="C20" s="221" t="s">
        <v>125</v>
      </c>
      <c r="D20" s="77">
        <f>D12*D19</f>
        <v>67.551864819102647</v>
      </c>
      <c r="E20" s="126">
        <f>E12*E19</f>
        <v>24.130454376708901</v>
      </c>
      <c r="F20" s="126">
        <f>F12*F19</f>
        <v>-36.064349607345342</v>
      </c>
      <c r="G20" s="126">
        <f>G12*G19</f>
        <v>17.337016386345415</v>
      </c>
      <c r="H20" s="131">
        <f>H12*H19</f>
        <v>-18.846552956984326</v>
      </c>
      <c r="I20" s="84"/>
      <c r="J20" s="69"/>
      <c r="K20" s="69"/>
      <c r="L20" s="84"/>
      <c r="M20" s="84"/>
      <c r="N20" s="84"/>
      <c r="O20" s="84"/>
    </row>
    <row r="21" spans="3:15" s="14" customFormat="1" ht="11.25" customHeight="1">
      <c r="C21" s="222" t="s">
        <v>126</v>
      </c>
      <c r="D21" s="78">
        <f>D18*D19</f>
        <v>0</v>
      </c>
      <c r="E21" s="79">
        <f>E18*E19</f>
        <v>2.1354617815724488</v>
      </c>
      <c r="F21" s="79">
        <f>F18*F19</f>
        <v>2.8267984476765933</v>
      </c>
      <c r="G21" s="79">
        <f>G18*G19</f>
        <v>1.5726798869817109</v>
      </c>
      <c r="H21" s="80">
        <f>H18*H19</f>
        <v>1.9388069218088051</v>
      </c>
      <c r="I21" s="84"/>
      <c r="J21" s="69"/>
      <c r="K21" s="69"/>
      <c r="L21" s="84"/>
      <c r="M21" s="84"/>
      <c r="N21" s="84"/>
      <c r="O21" s="84"/>
    </row>
    <row r="22" spans="3:15" s="69" customFormat="1" ht="11.25" customHeight="1"/>
    <row r="23" spans="3:15" ht="11.25" customHeight="1">
      <c r="C23" s="103" t="s">
        <v>84</v>
      </c>
      <c r="D23" s="104"/>
      <c r="E23" s="105"/>
      <c r="F23" s="105"/>
      <c r="G23" s="105"/>
      <c r="H23" s="105"/>
      <c r="I23" s="84"/>
      <c r="J23" s="69"/>
      <c r="K23" s="69"/>
      <c r="L23" s="84"/>
      <c r="M23" s="84"/>
      <c r="N23" s="84"/>
      <c r="O23" s="84"/>
    </row>
    <row r="24" spans="3:15" ht="11.25" customHeight="1">
      <c r="C24" s="97" t="s">
        <v>70</v>
      </c>
      <c r="D24" s="157" t="str">
        <f>'Input | General'!$D$20</f>
        <v>2022-23</v>
      </c>
      <c r="E24" s="157" t="str">
        <f>'Input | General'!$E$20</f>
        <v>2023–24</v>
      </c>
      <c r="F24" s="157" t="str">
        <f>'Input | General'!$F$20</f>
        <v>2024–25</v>
      </c>
      <c r="G24" s="157" t="str">
        <f>'Input | General'!$G$20</f>
        <v>2025–26</v>
      </c>
      <c r="H24" s="158" t="str">
        <f>'Input | General'!$H$20</f>
        <v>2026–27</v>
      </c>
      <c r="I24" s="84"/>
      <c r="J24" s="69"/>
      <c r="K24" s="69"/>
      <c r="L24" s="84"/>
      <c r="M24" s="84"/>
      <c r="N24" s="84"/>
      <c r="O24" s="84"/>
    </row>
    <row r="25" spans="3:15" ht="11.25" customHeight="1">
      <c r="C25" s="101" t="s">
        <v>85</v>
      </c>
      <c r="D25" s="146">
        <f>'Input | Inflation and Disc Rate'!L$22</f>
        <v>4.7209047672415849E-2</v>
      </c>
      <c r="E25" s="146">
        <f>'Input | Inflation and Disc Rate'!M$22</f>
        <v>4.6016050339497294E-2</v>
      </c>
      <c r="F25" s="146">
        <f>'Input | Inflation and Disc Rate'!N$22</f>
        <v>4.4823053006579183E-2</v>
      </c>
      <c r="G25" s="146">
        <f>'Input | Inflation and Disc Rate'!O$22</f>
        <v>4.363005567366085E-2</v>
      </c>
      <c r="H25" s="147">
        <f>'Input | Inflation and Disc Rate'!P$22</f>
        <v>4.2437058340742739E-2</v>
      </c>
      <c r="I25" s="84"/>
      <c r="J25" s="69"/>
      <c r="K25" s="69"/>
      <c r="L25" s="84"/>
      <c r="M25" s="84"/>
      <c r="N25" s="84"/>
      <c r="O25" s="84"/>
    </row>
    <row r="26" spans="3:15" ht="11.25" customHeight="1">
      <c r="C26" s="102" t="s">
        <v>86</v>
      </c>
      <c r="D26" s="144">
        <f>'Input | Reported Capex'!H32</f>
        <v>0</v>
      </c>
      <c r="E26" s="144">
        <f>'Input | Reported Capex'!I32</f>
        <v>0</v>
      </c>
      <c r="F26" s="144">
        <f>'Input | Reported Capex'!J32</f>
        <v>0</v>
      </c>
      <c r="G26" s="144">
        <f>'Input | Reported Capex'!K32</f>
        <v>0</v>
      </c>
      <c r="H26" s="145">
        <f>'Input | Reported Capex'!L32</f>
        <v>0</v>
      </c>
      <c r="I26" s="84"/>
      <c r="J26" s="69"/>
      <c r="K26" s="69"/>
      <c r="L26" s="84"/>
      <c r="M26" s="84"/>
      <c r="N26" s="84"/>
      <c r="O26" s="84"/>
    </row>
    <row r="27" spans="3:15" ht="11.25" customHeight="1">
      <c r="C27" s="102" t="s">
        <v>87</v>
      </c>
      <c r="D27" s="109">
        <f>1/((1+D25)^(0.5)*(1+'Input | Inflation and Disc Rate'!$K$22))</f>
        <v>0.92005967196259908</v>
      </c>
      <c r="E27" s="109">
        <f>1/((1+E25)^(0.5)*(1+D25)*(1+'Input | Inflation and Disc Rate'!$K$22))</f>
        <v>0.87908349872630454</v>
      </c>
      <c r="F27" s="109">
        <f>1/((1+F25)^(0.5)*(1+E25)*(1+D25)*(1+'Input | Inflation and Disc Rate'!$K$22))</f>
        <v>0.84089076047880418</v>
      </c>
      <c r="G27" s="109">
        <f>1/((1+G25)^(0.5)*(1+F25)*(1+E25)*(1+D25)*(1+'Input | Inflation and Disc Rate'!$K$22))</f>
        <v>0.80527630156414942</v>
      </c>
      <c r="H27" s="110">
        <f>1/((1+H25)^(0.5)*(1+G25)*(1+F25)*(1+E25)*(1+D25)*(1+'Input | Inflation and Disc Rate'!$K$22))</f>
        <v>0.77205227755095795</v>
      </c>
      <c r="I27" s="84"/>
      <c r="J27" s="69"/>
      <c r="K27" s="69"/>
      <c r="L27" s="84"/>
      <c r="M27" s="84"/>
      <c r="N27" s="84"/>
      <c r="O27" s="84"/>
    </row>
    <row r="28" spans="3:15" ht="11.25" customHeight="1">
      <c r="C28" s="223" t="s">
        <v>127</v>
      </c>
      <c r="D28" s="79">
        <f>D26*D27</f>
        <v>0</v>
      </c>
      <c r="E28" s="79">
        <f>E26*E27</f>
        <v>0</v>
      </c>
      <c r="F28" s="79">
        <f>F26*F27</f>
        <v>0</v>
      </c>
      <c r="G28" s="79">
        <f>G26*G27</f>
        <v>0</v>
      </c>
      <c r="H28" s="80">
        <f>H26*H27</f>
        <v>0</v>
      </c>
      <c r="I28" s="84"/>
      <c r="J28" s="69"/>
      <c r="K28" s="69"/>
      <c r="L28" s="84"/>
      <c r="M28" s="84"/>
      <c r="N28" s="84"/>
      <c r="O28" s="84"/>
    </row>
    <row r="29" spans="3:15" ht="11.25" customHeight="1">
      <c r="C29" s="83"/>
      <c r="D29" s="85"/>
      <c r="E29" s="85"/>
      <c r="F29" s="85"/>
      <c r="G29" s="85"/>
      <c r="H29" s="85"/>
      <c r="I29" s="84"/>
      <c r="J29" s="69"/>
      <c r="K29" s="69"/>
      <c r="L29" s="84"/>
      <c r="M29" s="84"/>
      <c r="N29" s="84"/>
      <c r="O29" s="84"/>
    </row>
    <row r="30" spans="3:15" ht="11.25" customHeight="1">
      <c r="C30" s="96" t="s">
        <v>88</v>
      </c>
      <c r="D30" s="106"/>
      <c r="E30" s="83"/>
      <c r="F30" s="83"/>
      <c r="G30" s="83"/>
      <c r="H30" s="83"/>
      <c r="I30" s="84"/>
      <c r="J30" s="69"/>
      <c r="K30" s="69"/>
      <c r="L30" s="84"/>
      <c r="M30" s="84"/>
      <c r="N30" s="84"/>
      <c r="O30" s="84"/>
    </row>
    <row r="31" spans="3:15" ht="11.25" customHeight="1">
      <c r="C31" s="98" t="s">
        <v>89</v>
      </c>
      <c r="D31" s="89">
        <f>SUM(D20:H20)-SUM(D28:H28)</f>
        <v>54.108433017827295</v>
      </c>
      <c r="E31" s="83"/>
      <c r="F31" s="83"/>
      <c r="G31" s="83"/>
      <c r="H31" s="83"/>
      <c r="I31" s="84"/>
      <c r="J31" s="69"/>
      <c r="K31" s="69"/>
      <c r="L31" s="84"/>
      <c r="M31" s="84"/>
      <c r="N31" s="84"/>
      <c r="O31" s="84"/>
    </row>
    <row r="32" spans="3:15" ht="11.25" customHeight="1">
      <c r="C32" s="98" t="s">
        <v>90</v>
      </c>
      <c r="D32" s="88">
        <v>0.3</v>
      </c>
      <c r="E32" s="83"/>
      <c r="F32" s="83"/>
      <c r="G32" s="83"/>
      <c r="H32" s="83"/>
      <c r="I32" s="84"/>
      <c r="J32" s="69"/>
      <c r="K32" s="69"/>
      <c r="L32" s="84"/>
      <c r="M32" s="84"/>
      <c r="N32" s="84"/>
      <c r="O32" s="84"/>
    </row>
    <row r="33" spans="1:16" ht="11.25" customHeight="1">
      <c r="C33" s="98" t="s">
        <v>91</v>
      </c>
      <c r="D33" s="89">
        <f>(1-D32)*D31</f>
        <v>37.875903112479101</v>
      </c>
      <c r="E33" s="83"/>
      <c r="F33" s="83"/>
      <c r="G33" s="83"/>
      <c r="H33" s="83"/>
      <c r="I33" s="84"/>
      <c r="J33" s="69"/>
      <c r="K33" s="69"/>
      <c r="L33" s="84"/>
      <c r="M33" s="84"/>
      <c r="N33" s="84"/>
      <c r="O33" s="84"/>
    </row>
    <row r="34" spans="1:16" ht="11.25" customHeight="1">
      <c r="C34" s="98" t="s">
        <v>92</v>
      </c>
      <c r="D34" s="89">
        <f>D32*D31</f>
        <v>16.232529905348187</v>
      </c>
      <c r="E34" s="83"/>
      <c r="F34" s="83"/>
      <c r="G34" s="83"/>
      <c r="H34" s="83"/>
      <c r="I34" s="84"/>
      <c r="J34" s="69"/>
      <c r="K34" s="69"/>
      <c r="L34" s="84"/>
      <c r="M34" s="84"/>
      <c r="N34" s="84"/>
      <c r="O34" s="84"/>
    </row>
    <row r="35" spans="1:16" ht="11.25" customHeight="1">
      <c r="C35" s="98" t="s">
        <v>93</v>
      </c>
      <c r="D35" s="89">
        <f>SUM(D21:H21)</f>
        <v>8.4737470380395585</v>
      </c>
      <c r="E35" s="83"/>
      <c r="F35" s="83"/>
      <c r="G35" s="83"/>
      <c r="H35" s="83"/>
      <c r="I35" s="84"/>
      <c r="J35" s="69"/>
      <c r="K35" s="69"/>
      <c r="L35" s="84"/>
      <c r="M35" s="84"/>
      <c r="N35" s="84"/>
      <c r="O35" s="84"/>
    </row>
    <row r="36" spans="1:16" ht="11.1" customHeight="1">
      <c r="C36" s="222" t="s">
        <v>128</v>
      </c>
      <c r="D36" s="90">
        <f>D34-D35</f>
        <v>7.7587828673086285</v>
      </c>
      <c r="E36" s="83"/>
      <c r="F36" s="83"/>
      <c r="G36" s="83"/>
      <c r="H36" s="83"/>
      <c r="I36" s="84"/>
      <c r="J36" s="69"/>
      <c r="K36" s="69"/>
      <c r="L36" s="84"/>
      <c r="M36" s="84"/>
      <c r="N36" s="84"/>
      <c r="O36" s="84"/>
    </row>
    <row r="37" spans="1:16" ht="11.25" customHeight="1">
      <c r="D37" s="20"/>
      <c r="J37" s="2"/>
    </row>
    <row r="38" spans="1:16" s="8" customFormat="1" ht="12" customHeight="1">
      <c r="B38" s="23" t="s">
        <v>94</v>
      </c>
      <c r="J38" s="18"/>
      <c r="K38" s="18"/>
    </row>
    <row r="39" spans="1:16" s="21" customFormat="1" ht="11.25" customHeight="1">
      <c r="H39" s="22"/>
      <c r="J39" s="208" t="str">
        <f>"Based on "&amp;'Input | Reported Capex'!$L$17&amp;" "&amp;'Input | General'!$H$15&amp;" Capex"</f>
        <v>Based on AER Final Decision 2021–22 Capex</v>
      </c>
      <c r="K39" s="209"/>
    </row>
    <row r="40" spans="1:16" s="24" customFormat="1" ht="11.25" customHeight="1">
      <c r="C40" s="81"/>
      <c r="D40" s="159" t="str">
        <f>'Input | General'!D20</f>
        <v>2022-23</v>
      </c>
      <c r="E40" s="159" t="str">
        <f>'Input | General'!E20</f>
        <v>2023–24</v>
      </c>
      <c r="F40" s="159" t="str">
        <f>'Input | General'!F20</f>
        <v>2024–25</v>
      </c>
      <c r="G40" s="159" t="str">
        <f>'Input | General'!G20</f>
        <v>2025–26</v>
      </c>
      <c r="H40" s="159" t="str">
        <f>'Input | General'!H20</f>
        <v>2026–27</v>
      </c>
      <c r="J40" s="159" t="str">
        <f>D40</f>
        <v>2022-23</v>
      </c>
      <c r="K40" s="159" t="str">
        <f t="shared" ref="K40:N41" si="0">E40</f>
        <v>2023–24</v>
      </c>
      <c r="L40" s="159" t="str">
        <f t="shared" si="0"/>
        <v>2024–25</v>
      </c>
      <c r="M40" s="159" t="str">
        <f t="shared" si="0"/>
        <v>2025–26</v>
      </c>
      <c r="N40" s="159" t="str">
        <f t="shared" si="0"/>
        <v>2026–27</v>
      </c>
    </row>
    <row r="41" spans="1:16" s="24" customFormat="1" ht="11.25" customHeight="1">
      <c r="C41" s="87" t="s">
        <v>95</v>
      </c>
      <c r="D41" s="148">
        <f>1/(1+'Input | Inflation and Disc Rate'!L21)</f>
        <v>0.97831422843141846</v>
      </c>
      <c r="E41" s="148">
        <f>D41/(1+'Input | Inflation and Disc Rate'!M21)</f>
        <v>0.95819031531749188</v>
      </c>
      <c r="F41" s="148">
        <f>E41/(1+'Input | Inflation and Disc Rate'!N21)</f>
        <v>0.93955192424481704</v>
      </c>
      <c r="G41" s="148">
        <f>F41/(1+'Input | Inflation and Disc Rate'!O21)</f>
        <v>0.92232921250778788</v>
      </c>
      <c r="H41" s="149">
        <f>G41/(1+'Input | Inflation and Disc Rate'!P21)</f>
        <v>0.90645839964865249</v>
      </c>
      <c r="J41" s="165">
        <f>D41</f>
        <v>0.97831422843141846</v>
      </c>
      <c r="K41" s="148">
        <f>E41</f>
        <v>0.95819031531749188</v>
      </c>
      <c r="L41" s="148">
        <f t="shared" si="0"/>
        <v>0.93955192424481704</v>
      </c>
      <c r="M41" s="148">
        <f t="shared" si="0"/>
        <v>0.92232921250778788</v>
      </c>
      <c r="N41" s="149">
        <f t="shared" si="0"/>
        <v>0.90645839964865249</v>
      </c>
    </row>
    <row r="42" spans="1:16" s="24" customFormat="1" ht="11.25" customHeight="1">
      <c r="C42" s="164" t="str">
        <f>CONCATENATE("CESS Payment Per Year ($", 'Output | Models'!$F$8," million)")</f>
        <v>CESS Payment Per Year ($2021–22 million)</v>
      </c>
      <c r="D42" s="95">
        <f>D36/(SUM(D41:H41))</f>
        <v>1.6491052062794365</v>
      </c>
      <c r="E42" s="95">
        <f>D42</f>
        <v>1.6491052062794365</v>
      </c>
      <c r="F42" s="95">
        <f>E42</f>
        <v>1.6491052062794365</v>
      </c>
      <c r="G42" s="95">
        <f>F42</f>
        <v>1.6491052062794365</v>
      </c>
      <c r="H42" s="129">
        <f>G42</f>
        <v>1.6491052062794365</v>
      </c>
      <c r="J42" s="201">
        <v>2.9817854404605115</v>
      </c>
      <c r="K42" s="202">
        <v>2.9817854404605115</v>
      </c>
      <c r="L42" s="202">
        <v>2.9817854404605115</v>
      </c>
      <c r="M42" s="202">
        <v>2.9817854404605115</v>
      </c>
      <c r="N42" s="203">
        <v>2.9817854404605115</v>
      </c>
    </row>
    <row r="43" spans="1:16" s="24" customFormat="1" ht="11.25" customHeight="1">
      <c r="C43" s="69"/>
      <c r="D43" s="69"/>
      <c r="E43" s="69"/>
      <c r="F43" s="69"/>
      <c r="G43" s="69"/>
      <c r="H43" s="69"/>
      <c r="I43" s="69"/>
      <c r="J43" s="166">
        <f>D36/(SUM(J41:N41))</f>
        <v>1.6491052062794365</v>
      </c>
      <c r="K43" s="95">
        <f>J43</f>
        <v>1.6491052062794365</v>
      </c>
      <c r="L43" s="95">
        <f>K43</f>
        <v>1.6491052062794365</v>
      </c>
      <c r="M43" s="95">
        <f>L43</f>
        <v>1.6491052062794365</v>
      </c>
      <c r="N43" s="129">
        <f>M43</f>
        <v>1.6491052062794365</v>
      </c>
      <c r="O43" s="69"/>
    </row>
    <row r="44" spans="1:16" s="69" customFormat="1" ht="11.25" customHeight="1">
      <c r="K44" s="24"/>
      <c r="L44" s="24"/>
      <c r="M44" s="24"/>
    </row>
    <row r="45" spans="1:16" s="24" customFormat="1" ht="11.25" customHeight="1">
      <c r="C45" s="164" t="str">
        <f>CONCATENATE("Total CESS Payment ($", 'Output | Models'!$F$8," million)")</f>
        <v>Total CESS Payment ($2021–22 million)</v>
      </c>
      <c r="D45" s="135">
        <f>SUM(D42:H42)</f>
        <v>8.2455260313971817</v>
      </c>
      <c r="E45" s="60"/>
      <c r="F45" s="60"/>
      <c r="G45" s="60"/>
      <c r="H45" s="60"/>
      <c r="J45" s="135">
        <f>SUM(J42:N42)</f>
        <v>14.908927202302557</v>
      </c>
    </row>
    <row r="46" spans="1:16" s="24" customFormat="1" ht="11.25" customHeight="1">
      <c r="C46" s="59"/>
      <c r="D46" s="86"/>
      <c r="E46" s="60"/>
      <c r="F46" s="60"/>
      <c r="G46" s="60"/>
      <c r="H46" s="60"/>
    </row>
    <row r="47" spans="1:16" s="24" customFormat="1" ht="11.25" customHeight="1">
      <c r="C47" s="91"/>
      <c r="D47" s="91"/>
      <c r="E47" s="91"/>
      <c r="F47" s="91"/>
      <c r="G47" s="91"/>
      <c r="H47" s="91"/>
      <c r="I47" s="91"/>
      <c r="J47" s="167">
        <f>D45-J45</f>
        <v>-6.6634011709053755</v>
      </c>
      <c r="K47" s="91" t="s">
        <v>96</v>
      </c>
      <c r="L47" s="91"/>
      <c r="M47" s="91"/>
      <c r="N47" s="91"/>
      <c r="O47" s="91"/>
    </row>
    <row r="48" spans="1:16" ht="12" customHeight="1">
      <c r="A48" s="23"/>
      <c r="B48" s="23" t="s">
        <v>14</v>
      </c>
      <c r="C48" s="53"/>
      <c r="D48" s="53"/>
      <c r="E48" s="53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3:10" ht="18" customHeight="1">
      <c r="C49" s="2"/>
      <c r="J49" s="2"/>
    </row>
    <row r="50" spans="3:10" ht="18" customHeight="1"/>
    <row r="51" spans="3:10" ht="18" customHeight="1"/>
    <row r="52" spans="3:10" ht="18" customHeight="1"/>
    <row r="53" spans="3:10" ht="18" customHeight="1"/>
    <row r="54" spans="3:10" ht="18" customHeight="1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Q17"/>
  <sheetViews>
    <sheetView topLeftCell="C5" workbookViewId="0">
      <selection activeCell="J8" sqref="J8"/>
    </sheetView>
  </sheetViews>
  <sheetFormatPr defaultColWidth="0" defaultRowHeight="11.25" customHeight="1" zeroHeight="1"/>
  <cols>
    <col min="1" max="2" width="1.28515625" style="43" customWidth="1"/>
    <col min="3" max="3" width="36" style="43" customWidth="1"/>
    <col min="4" max="4" width="23.5703125" style="44" bestFit="1" customWidth="1"/>
    <col min="5" max="5" width="13.5703125" style="44" customWidth="1"/>
    <col min="6" max="6" width="9.28515625" style="44" customWidth="1"/>
    <col min="7" max="9" width="2.7109375" style="44" customWidth="1"/>
    <col min="10" max="15" width="9.28515625" style="43" customWidth="1"/>
    <col min="16" max="17" width="3" style="43" customWidth="1"/>
    <col min="18" max="24" width="9.28515625" style="43" customWidth="1"/>
    <col min="25" max="27" width="8.7109375" style="43" customWidth="1"/>
    <col min="28" max="48" width="0" style="43" hidden="1" customWidth="1"/>
    <col min="49" max="16384" width="0" style="43" hidden="1"/>
  </cols>
  <sheetData>
    <row r="1" spans="1:17" s="28" customFormat="1" ht="15.75" hidden="1">
      <c r="B1" s="3" t="str">
        <f>'Input | General'!$B$1</f>
        <v>AusNet Services 2022-27 FY22 True-up - Capital expenditure sharing scheme model</v>
      </c>
      <c r="C1" s="29"/>
      <c r="D1" s="29"/>
      <c r="E1" s="29"/>
      <c r="F1" s="30"/>
      <c r="G1" s="30"/>
      <c r="H1" s="30"/>
      <c r="I1" s="30"/>
      <c r="J1" s="92"/>
      <c r="K1" s="93" t="s">
        <v>15</v>
      </c>
      <c r="L1" s="136" t="s">
        <v>16</v>
      </c>
      <c r="M1" s="141" t="s">
        <v>17</v>
      </c>
    </row>
    <row r="2" spans="1:17" s="31" customFormat="1" ht="13.5" hidden="1" thickBot="1">
      <c r="B2" s="32" t="s">
        <v>12</v>
      </c>
      <c r="C2" s="32"/>
      <c r="D2" s="32"/>
      <c r="E2" s="32"/>
      <c r="F2" s="33"/>
      <c r="G2" s="33"/>
      <c r="H2" s="33"/>
      <c r="I2" s="33"/>
    </row>
    <row r="3" spans="1:17" s="34" customFormat="1" hidden="1">
      <c r="D3" s="35"/>
      <c r="E3" s="35"/>
      <c r="F3" s="35"/>
      <c r="G3" s="35"/>
      <c r="H3" s="35"/>
      <c r="I3" s="35"/>
      <c r="J3" s="225"/>
      <c r="K3" s="225"/>
      <c r="L3" s="225"/>
      <c r="M3" s="35"/>
      <c r="N3" s="225"/>
      <c r="O3" s="225"/>
      <c r="P3" s="225"/>
      <c r="Q3" s="225"/>
    </row>
    <row r="4" spans="1:17" s="42" customFormat="1" ht="12.75" hidden="1">
      <c r="A4" s="36"/>
      <c r="B4" s="37" t="s">
        <v>97</v>
      </c>
      <c r="C4" s="36"/>
      <c r="D4" s="36"/>
      <c r="E4" s="36"/>
      <c r="F4" s="36"/>
      <c r="G4" s="38"/>
      <c r="H4" s="38"/>
      <c r="I4" s="38"/>
      <c r="J4" s="39" t="s">
        <v>98</v>
      </c>
      <c r="K4" s="40"/>
      <c r="L4" s="41"/>
      <c r="M4" s="40"/>
      <c r="N4" s="41"/>
      <c r="O4" s="41"/>
      <c r="P4" s="41"/>
      <c r="Q4" s="41"/>
    </row>
    <row r="5" spans="1:17" ht="11.25" customHeight="1">
      <c r="M5" s="45"/>
      <c r="N5" s="45"/>
      <c r="O5" s="45"/>
      <c r="P5" s="45"/>
      <c r="Q5" s="69"/>
    </row>
    <row r="6" spans="1:17" ht="11.25" customHeight="1">
      <c r="C6" s="46" t="s">
        <v>99</v>
      </c>
      <c r="D6" s="47" t="s">
        <v>38</v>
      </c>
      <c r="E6" s="47" t="s">
        <v>39</v>
      </c>
      <c r="F6" s="47" t="s">
        <v>52</v>
      </c>
      <c r="H6" s="47"/>
      <c r="I6" s="47"/>
      <c r="J6" s="160" t="str">
        <f>'Calc | CESS Revenue Increments'!D40</f>
        <v>2022-23</v>
      </c>
      <c r="K6" s="160" t="str">
        <f>'Calc | CESS Revenue Increments'!E40</f>
        <v>2023–24</v>
      </c>
      <c r="L6" s="160" t="str">
        <f>'Calc | CESS Revenue Increments'!F40</f>
        <v>2024–25</v>
      </c>
      <c r="M6" s="160" t="str">
        <f>'Calc | CESS Revenue Increments'!G40</f>
        <v>2025–26</v>
      </c>
      <c r="N6" s="160" t="str">
        <f>'Calc | CESS Revenue Increments'!H40</f>
        <v>2026–27</v>
      </c>
      <c r="O6" s="48" t="s">
        <v>100</v>
      </c>
      <c r="P6" s="117"/>
      <c r="Q6" s="69"/>
    </row>
    <row r="7" spans="1:17" ht="11.25" customHeight="1">
      <c r="C7" s="46"/>
      <c r="D7" s="47"/>
      <c r="E7" s="47"/>
      <c r="F7" s="47"/>
      <c r="H7" s="47"/>
      <c r="I7" s="47"/>
      <c r="O7" s="69"/>
      <c r="P7" s="69"/>
      <c r="Q7" s="69"/>
    </row>
    <row r="8" spans="1:17" ht="11.25" customHeight="1">
      <c r="C8" s="49" t="s">
        <v>101</v>
      </c>
      <c r="D8" s="94" t="s">
        <v>10</v>
      </c>
      <c r="E8" s="44" t="s">
        <v>54</v>
      </c>
      <c r="F8" s="161" t="str">
        <f>IF(LEN(J6)&gt;4,CONCATENATE(LEFT(J6,4)-1&amp;"–"&amp;IF(RIGHT(J6,2)="00","99",IF(RIGHT(J6,2)-1&lt;10,"0","")&amp;RIGHT(J6,2)-1)),J6-1)</f>
        <v>2021–22</v>
      </c>
      <c r="H8" s="47"/>
      <c r="I8" s="47"/>
      <c r="J8" s="115">
        <f>'Calc | CESS Revenue Increments'!D42</f>
        <v>1.6491052062794365</v>
      </c>
      <c r="K8" s="115">
        <f>'Calc | CESS Revenue Increments'!E42</f>
        <v>1.6491052062794365</v>
      </c>
      <c r="L8" s="115">
        <f>'Calc | CESS Revenue Increments'!F42</f>
        <v>1.6491052062794365</v>
      </c>
      <c r="M8" s="115">
        <f>'Calc | CESS Revenue Increments'!G42</f>
        <v>1.6491052062794365</v>
      </c>
      <c r="N8" s="115">
        <f>'Calc | CESS Revenue Increments'!H42</f>
        <v>1.6491052062794365</v>
      </c>
      <c r="O8" s="51">
        <f>SUM(J8:N8)</f>
        <v>8.2455260313971817</v>
      </c>
      <c r="P8" s="118"/>
      <c r="Q8" s="69"/>
    </row>
    <row r="9" spans="1:17" ht="11.25" customHeight="1">
      <c r="C9" s="49"/>
      <c r="D9" s="50"/>
      <c r="H9" s="47"/>
      <c r="I9" s="47"/>
      <c r="Q9" s="69"/>
    </row>
    <row r="10" spans="1:17" ht="11.25" customHeight="1">
      <c r="D10" s="50"/>
      <c r="H10" s="47"/>
      <c r="I10" s="47"/>
      <c r="J10" s="116"/>
      <c r="K10" s="116"/>
      <c r="L10" s="116"/>
      <c r="M10" s="116"/>
      <c r="N10" s="116"/>
      <c r="Q10" s="69"/>
    </row>
    <row r="11" spans="1:17" s="42" customFormat="1" ht="12.75" hidden="1">
      <c r="A11" s="36"/>
      <c r="B11" s="37" t="s">
        <v>14</v>
      </c>
      <c r="C11" s="36"/>
      <c r="D11" s="36"/>
      <c r="E11" s="36"/>
      <c r="F11" s="38"/>
      <c r="G11" s="38"/>
      <c r="H11" s="38"/>
      <c r="I11" s="38"/>
      <c r="J11" s="41"/>
      <c r="K11" s="40"/>
      <c r="L11" s="41"/>
      <c r="M11" s="40"/>
      <c r="N11" s="41"/>
      <c r="O11" s="41"/>
      <c r="P11" s="41"/>
      <c r="Q11" s="41"/>
    </row>
    <row r="12" spans="1:17" ht="11.25" customHeight="1">
      <c r="D12" s="43"/>
      <c r="E12" s="43"/>
      <c r="F12" s="43"/>
      <c r="G12" s="43"/>
      <c r="H12" s="43"/>
      <c r="I12" s="43"/>
    </row>
    <row r="13" spans="1:17" ht="11.25" customHeight="1">
      <c r="D13" s="43"/>
      <c r="E13" s="43"/>
      <c r="F13" s="43"/>
      <c r="G13" s="43"/>
      <c r="H13" s="43"/>
      <c r="I13" s="43"/>
    </row>
    <row r="14" spans="1:17" ht="11.25" customHeight="1">
      <c r="D14" s="43"/>
      <c r="E14" s="43"/>
      <c r="F14" s="43"/>
      <c r="G14" s="43"/>
      <c r="H14" s="43"/>
      <c r="I14" s="43"/>
    </row>
    <row r="15" spans="1:17" ht="11.25" customHeight="1">
      <c r="D15" s="43"/>
      <c r="E15" s="43"/>
      <c r="F15" s="43"/>
      <c r="G15" s="43"/>
      <c r="H15" s="43"/>
      <c r="I15" s="43"/>
    </row>
    <row r="16" spans="1:17" ht="11.25" customHeight="1">
      <c r="D16" s="43"/>
      <c r="E16" s="43"/>
      <c r="F16" s="43"/>
      <c r="G16" s="43"/>
      <c r="H16" s="43"/>
      <c r="I16" s="43"/>
    </row>
    <row r="17" s="43" customFormat="1" hidden="1"/>
  </sheetData>
  <mergeCells count="2">
    <mergeCell ref="J3:L3"/>
    <mergeCell ref="N3:Q3"/>
  </mergeCells>
  <dataValidations disablePrompts="1" count="1">
    <dataValidation type="list" allowBlank="1" showInputMessage="1" showErrorMessage="1" sqref="F9:F10" xr:uid="{00000000-0002-0000-0500-000000000000}">
      <formula1>#REF!</formula1>
    </dataValidation>
  </dataValidations>
  <hyperlinks>
    <hyperlink ref="D8" location="'Calc | CESS Revenue Increments'!D42:H42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19F5-6D14-42FD-8682-B7FF157EBE6A}">
  <sheetPr>
    <tabColor rgb="FF8DB4E2"/>
  </sheetPr>
  <dimension ref="A1:S37"/>
  <sheetViews>
    <sheetView zoomScaleNormal="100" workbookViewId="0">
      <selection activeCell="H27" sqref="H27"/>
    </sheetView>
  </sheetViews>
  <sheetFormatPr defaultColWidth="0" defaultRowHeight="15" zeroHeight="1"/>
  <cols>
    <col min="1" max="1" width="2.7109375" customWidth="1"/>
    <col min="2" max="2" width="1.5703125" customWidth="1"/>
    <col min="3" max="3" width="40.7109375" customWidth="1"/>
    <col min="4" max="4" width="40.28515625" customWidth="1"/>
    <col min="5" max="5" width="9.5703125" customWidth="1"/>
    <col min="6" max="7" width="9.140625" customWidth="1"/>
    <col min="8" max="8" width="11.28515625" customWidth="1"/>
    <col min="9" max="11" width="9.140625" customWidth="1"/>
    <col min="12" max="12" width="10.42578125" customWidth="1"/>
    <col min="13" max="19" width="9.140625" customWidth="1"/>
    <col min="20" max="16384" width="9.140625" hidden="1"/>
  </cols>
  <sheetData>
    <row r="1" spans="1:19" ht="15.75">
      <c r="A1" s="69"/>
      <c r="B1" s="3" t="str">
        <f>'Input | General'!$B$1</f>
        <v>AusNet Services 2022-27 FY22 True-up - Capital expenditure sharing scheme model</v>
      </c>
      <c r="C1" s="69"/>
      <c r="D1" s="3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93" t="s">
        <v>15</v>
      </c>
      <c r="Q1" s="136" t="s">
        <v>16</v>
      </c>
      <c r="R1" s="141" t="s">
        <v>17</v>
      </c>
      <c r="S1" s="205" t="str">
        <f>'Input | General'!$D$8</f>
        <v>FY22 True-up</v>
      </c>
    </row>
    <row r="2" spans="1:19" ht="15.75">
      <c r="A2" s="69"/>
      <c r="B2" s="69"/>
      <c r="C2" s="69"/>
      <c r="D2" s="69"/>
      <c r="E2" s="3"/>
      <c r="F2" s="3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>
      <c r="A3" s="23"/>
      <c r="B3" s="23" t="s">
        <v>102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>
      <c r="A4" s="69"/>
      <c r="B4" s="69"/>
      <c r="C4" s="174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>
      <c r="A5" s="69"/>
      <c r="B5" s="69"/>
      <c r="C5" s="69"/>
      <c r="D5" s="65" t="s">
        <v>38</v>
      </c>
      <c r="E5" s="65" t="s">
        <v>39</v>
      </c>
      <c r="F5" s="65" t="s">
        <v>52</v>
      </c>
      <c r="G5" s="175"/>
      <c r="H5" s="176" t="str">
        <f>'Input | General'!D20</f>
        <v>2022-23</v>
      </c>
      <c r="I5" s="176" t="str">
        <f>'Input | General'!E20</f>
        <v>2023–24</v>
      </c>
      <c r="J5" s="176" t="str">
        <f>'Input | General'!F20</f>
        <v>2024–25</v>
      </c>
      <c r="K5" s="176" t="str">
        <f>'Input | General'!G20</f>
        <v>2025–26</v>
      </c>
      <c r="L5" s="176" t="str">
        <f>'Input | General'!H20</f>
        <v>2026–27</v>
      </c>
      <c r="M5" s="176" t="str">
        <f>'Input | General'!D23</f>
        <v>2027–28</v>
      </c>
      <c r="N5" s="176" t="str">
        <f>'Input | General'!E23</f>
        <v>2028–29</v>
      </c>
      <c r="O5" s="176" t="str">
        <f>'Input | General'!F23</f>
        <v>2029–30</v>
      </c>
      <c r="P5" s="176" t="str">
        <f>'Input | General'!G23</f>
        <v>2030–31</v>
      </c>
      <c r="Q5" s="176" t="str">
        <f>'Input | General'!H23</f>
        <v>2031–32</v>
      </c>
      <c r="R5" s="69"/>
      <c r="S5" s="69"/>
    </row>
    <row r="6" spans="1:19">
      <c r="A6" s="69"/>
      <c r="B6" s="69"/>
      <c r="C6" s="177" t="s">
        <v>103</v>
      </c>
      <c r="D6" s="177" t="str">
        <f>"AER FD PTRM "&amp;'Input | General'!$D$9&amp;", latest version"</f>
        <v>AER FD PTRM 2022-27, latest version</v>
      </c>
      <c r="E6" s="68" t="s">
        <v>41</v>
      </c>
      <c r="F6" s="69"/>
      <c r="G6" s="69"/>
      <c r="H6" s="206">
        <v>2.2166468541862459E-2</v>
      </c>
      <c r="I6" s="206">
        <v>2.1684913120579675E-2</v>
      </c>
      <c r="J6" s="206">
        <v>2.2573994868254267E-2</v>
      </c>
      <c r="K6" s="206">
        <v>2.3087543927953605E-2</v>
      </c>
      <c r="L6" s="206">
        <v>2.3534070725074185E-2</v>
      </c>
      <c r="M6" s="168"/>
      <c r="N6" s="168"/>
      <c r="O6" s="168"/>
      <c r="P6" s="168"/>
      <c r="Q6" s="168"/>
      <c r="R6" s="69"/>
      <c r="S6" s="69"/>
    </row>
    <row r="7" spans="1:19">
      <c r="A7" s="69"/>
      <c r="B7" s="69"/>
      <c r="C7" s="177" t="s">
        <v>104</v>
      </c>
      <c r="D7" s="177" t="str">
        <f>'Input | General'!$D$6&amp;" "&amp;'Input | General'!$D$11&amp;" PTRM"</f>
        <v>AusNet Services 2026-31 PTRM</v>
      </c>
      <c r="E7" s="68" t="s">
        <v>41</v>
      </c>
      <c r="F7" s="69"/>
      <c r="G7" s="69"/>
      <c r="H7" s="168"/>
      <c r="I7" s="168"/>
      <c r="J7" s="168"/>
      <c r="K7" s="168"/>
      <c r="L7" s="168"/>
      <c r="M7" s="206">
        <v>3.7926013297408544E-2</v>
      </c>
      <c r="N7" s="206">
        <v>3.867877228418224E-2</v>
      </c>
      <c r="O7" s="206">
        <v>3.9594604748467745E-2</v>
      </c>
      <c r="P7" s="206">
        <v>4.1253887171589107E-2</v>
      </c>
      <c r="Q7" s="206">
        <v>4.3344394830700093E-2</v>
      </c>
      <c r="R7" s="69"/>
      <c r="S7" s="69"/>
    </row>
    <row r="8" spans="1:19">
      <c r="A8" s="69"/>
      <c r="B8" s="69"/>
      <c r="C8" s="177" t="s">
        <v>105</v>
      </c>
      <c r="D8" s="177" t="str">
        <f>"Actual/estimated inflation from "&amp;'Input | General'!$D$11&amp; " RFM"</f>
        <v>Actual/estimated inflation from 2026-31 RFM</v>
      </c>
      <c r="E8" s="68" t="s">
        <v>41</v>
      </c>
      <c r="F8" s="69"/>
      <c r="G8" s="179"/>
      <c r="H8" s="206">
        <v>7.268170426065157E-2</v>
      </c>
      <c r="I8" s="206">
        <v>5.3738317757009435E-2</v>
      </c>
      <c r="J8" s="206">
        <v>2.8085735402808343E-2</v>
      </c>
      <c r="K8" s="206">
        <v>3.2350826743350103E-2</v>
      </c>
      <c r="L8" s="206">
        <v>3.2000000000000001E-2</v>
      </c>
      <c r="M8" s="169"/>
      <c r="N8" s="169"/>
      <c r="O8" s="169"/>
      <c r="P8" s="169"/>
      <c r="Q8" s="169"/>
      <c r="R8" s="69"/>
      <c r="S8" s="69"/>
    </row>
    <row r="9" spans="1:19">
      <c r="A9" s="69"/>
      <c r="B9" s="69"/>
      <c r="C9" s="177" t="s">
        <v>106</v>
      </c>
      <c r="D9" s="177"/>
      <c r="E9" s="68" t="s">
        <v>0</v>
      </c>
      <c r="F9" s="69"/>
      <c r="G9" s="180"/>
      <c r="H9" s="170">
        <f>(1+H8)</f>
        <v>1.0726817042606516</v>
      </c>
      <c r="I9" s="170">
        <f>H9*(1+I8)</f>
        <v>1.1303258145363408</v>
      </c>
      <c r="J9" s="170">
        <f>I9*(1+J8)</f>
        <v>1.1620718462823723</v>
      </c>
      <c r="K9" s="170">
        <f>J9*(1+K8)</f>
        <v>1.1996658312447783</v>
      </c>
      <c r="L9" s="170">
        <f>K9*(1+L8)</f>
        <v>1.2380551378446112</v>
      </c>
      <c r="M9" s="168"/>
      <c r="N9" s="168"/>
      <c r="O9" s="168"/>
      <c r="P9" s="168"/>
      <c r="Q9" s="168"/>
      <c r="R9" s="69"/>
      <c r="S9" s="69"/>
    </row>
    <row r="10" spans="1:19">
      <c r="A10" s="69"/>
      <c r="B10" s="69"/>
      <c r="C10" s="177" t="s">
        <v>107</v>
      </c>
      <c r="D10" s="177"/>
      <c r="E10" s="68" t="s">
        <v>41</v>
      </c>
      <c r="F10" s="69"/>
      <c r="G10" s="69"/>
      <c r="H10" s="171">
        <f>(1+H6)*(1+H8)-1</f>
        <v>9.6459269513576862E-2</v>
      </c>
      <c r="I10" s="171">
        <f>(1+I6)*(1+I8)-1</f>
        <v>7.6588541629395879E-2</v>
      </c>
      <c r="J10" s="171">
        <f>(1+J6)*(1+J8)-1</f>
        <v>5.1293737517916771E-2</v>
      </c>
      <c r="K10" s="171">
        <f>(1+K6)*(1+K8)-1</f>
        <v>5.6185271804846559E-2</v>
      </c>
      <c r="L10" s="171">
        <f>(1+L6)*(1+L8)-1</f>
        <v>5.6287160988276685E-2</v>
      </c>
      <c r="M10" s="168"/>
      <c r="N10" s="168"/>
      <c r="O10" s="168"/>
      <c r="P10" s="168"/>
      <c r="Q10" s="168"/>
      <c r="R10" s="69"/>
      <c r="S10" s="69"/>
    </row>
    <row r="11" spans="1:19">
      <c r="A11" s="69"/>
      <c r="B11" s="69"/>
      <c r="C11" s="69"/>
      <c r="D11" s="69"/>
      <c r="E11" s="177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>
      <c r="A12" s="69"/>
      <c r="B12" s="69"/>
      <c r="C12" s="177" t="s">
        <v>101</v>
      </c>
      <c r="D12" s="68" t="str">
        <f>"AER Final Decision ("&amp;'Input | General'!$H$15&amp;" Forecast Capex)"</f>
        <v>AER Final Decision (2021–22 Forecast Capex)</v>
      </c>
      <c r="E12" s="68" t="s">
        <v>54</v>
      </c>
      <c r="F12" s="68" t="str">
        <f>'Input | General'!H15</f>
        <v>2021–22</v>
      </c>
      <c r="G12" s="69"/>
      <c r="H12" s="181">
        <f>'Calc | CESS Revenue Increments'!D42</f>
        <v>1.6491052062794365</v>
      </c>
      <c r="I12" s="181">
        <f>'Calc | CESS Revenue Increments'!E42</f>
        <v>1.6491052062794365</v>
      </c>
      <c r="J12" s="181">
        <f>'Calc | CESS Revenue Increments'!F42</f>
        <v>1.6491052062794365</v>
      </c>
      <c r="K12" s="181">
        <f>'Calc | CESS Revenue Increments'!G42</f>
        <v>1.6491052062794365</v>
      </c>
      <c r="L12" s="181">
        <f>'Calc | CESS Revenue Increments'!H42</f>
        <v>1.6491052062794365</v>
      </c>
      <c r="M12" s="69"/>
      <c r="N12" s="69"/>
      <c r="O12" s="69"/>
      <c r="P12" s="69"/>
      <c r="Q12" s="69"/>
      <c r="R12" s="69"/>
      <c r="S12" s="69"/>
    </row>
    <row r="13" spans="1:19">
      <c r="A13" s="69"/>
      <c r="B13" s="69"/>
      <c r="C13" s="177" t="s">
        <v>101</v>
      </c>
      <c r="D13" s="68" t="str">
        <f>"Adjusted for "&amp;'Input | General'!H15&amp;" Actual Capex"</f>
        <v>Adjusted for 2021–22 Actual Capex</v>
      </c>
      <c r="E13" s="68" t="s">
        <v>54</v>
      </c>
      <c r="F13" s="68" t="str">
        <f>F12</f>
        <v>2021–22</v>
      </c>
      <c r="G13" s="69"/>
      <c r="H13" s="181">
        <f>'Calc | CESS Revenue Increments'!J42</f>
        <v>2.9817854404605115</v>
      </c>
      <c r="I13" s="181">
        <f>'Calc | CESS Revenue Increments'!K42</f>
        <v>2.9817854404605115</v>
      </c>
      <c r="J13" s="181">
        <f>'Calc | CESS Revenue Increments'!L42</f>
        <v>2.9817854404605115</v>
      </c>
      <c r="K13" s="181">
        <f>'Calc | CESS Revenue Increments'!M42</f>
        <v>2.9817854404605115</v>
      </c>
      <c r="L13" s="181">
        <f>'Calc | CESS Revenue Increments'!N42</f>
        <v>2.9817854404605115</v>
      </c>
      <c r="M13" s="69"/>
      <c r="N13" s="69"/>
      <c r="O13" s="69"/>
      <c r="P13" s="69"/>
      <c r="Q13" s="69"/>
      <c r="R13" s="69"/>
      <c r="S13" s="69"/>
    </row>
    <row r="14" spans="1:19">
      <c r="A14" s="69"/>
      <c r="B14" s="69"/>
      <c r="C14" s="177"/>
      <c r="D14" s="177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spans="1:19">
      <c r="A15" s="69"/>
      <c r="B15" s="69"/>
      <c r="C15" s="177" t="s">
        <v>108</v>
      </c>
      <c r="D15" s="68"/>
      <c r="E15" s="68" t="s">
        <v>54</v>
      </c>
      <c r="F15" s="68" t="str">
        <f>F13</f>
        <v>2021–22</v>
      </c>
      <c r="G15" s="69"/>
      <c r="H15" s="181">
        <f>H13-H12</f>
        <v>1.3326802341810751</v>
      </c>
      <c r="I15" s="181">
        <f>I13-I12</f>
        <v>1.3326802341810751</v>
      </c>
      <c r="J15" s="181">
        <f>J13-J12</f>
        <v>1.3326802341810751</v>
      </c>
      <c r="K15" s="181">
        <f>K13-K12</f>
        <v>1.3326802341810751</v>
      </c>
      <c r="L15" s="181">
        <f>L13-L12</f>
        <v>1.3326802341810751</v>
      </c>
      <c r="M15" s="69"/>
      <c r="N15" s="69"/>
      <c r="O15" s="69"/>
      <c r="P15" s="69"/>
      <c r="Q15" s="69"/>
      <c r="R15" s="69"/>
      <c r="S15" s="69"/>
    </row>
    <row r="16" spans="1:19">
      <c r="A16" s="69"/>
      <c r="B16" s="69"/>
      <c r="C16" s="177" t="s">
        <v>108</v>
      </c>
      <c r="D16" s="68"/>
      <c r="E16" s="182" t="s">
        <v>54</v>
      </c>
      <c r="F16" s="182" t="s">
        <v>55</v>
      </c>
      <c r="G16" s="69"/>
      <c r="H16" s="181">
        <f>H15*H9</f>
        <v>1.4295417048358399</v>
      </c>
      <c r="I16" s="181">
        <f>I15*I9</f>
        <v>1.5063628712172052</v>
      </c>
      <c r="J16" s="181">
        <f>J15*J9</f>
        <v>1.5486701802388261</v>
      </c>
      <c r="K16" s="181">
        <f>K15*K9</f>
        <v>1.5987709409223252</v>
      </c>
      <c r="L16" s="181">
        <f>L15*L9</f>
        <v>1.6499316110318396</v>
      </c>
      <c r="M16" s="69"/>
      <c r="N16" s="69"/>
      <c r="O16" s="69"/>
      <c r="P16" s="69"/>
      <c r="Q16" s="69"/>
      <c r="R16" s="69"/>
      <c r="S16" s="69"/>
    </row>
    <row r="17" spans="1:19">
      <c r="A17" s="69"/>
      <c r="B17" s="69"/>
      <c r="C17" s="177" t="s">
        <v>76</v>
      </c>
      <c r="D17" s="177"/>
      <c r="E17" s="182"/>
      <c r="F17" s="182"/>
      <c r="G17" s="69"/>
      <c r="H17" s="181"/>
      <c r="I17" s="181">
        <f>$H$16*I$6</f>
        <v>3.0999487671610541E-2</v>
      </c>
      <c r="J17" s="181">
        <f>$H$16*I$9/$H$9*J$6</f>
        <v>3.4004627724585956E-2</v>
      </c>
      <c r="K17" s="181">
        <f>$H$16*J$9/$H$9*K$6</f>
        <v>3.5754990816175725E-2</v>
      </c>
      <c r="L17" s="181">
        <f>$H$16*K$9/$H$9*L$6</f>
        <v>3.7625588396859401E-2</v>
      </c>
      <c r="M17" s="69"/>
      <c r="N17" s="69"/>
      <c r="O17" s="69"/>
      <c r="P17" s="69"/>
      <c r="Q17" s="69"/>
      <c r="R17" s="69"/>
      <c r="S17" s="69"/>
    </row>
    <row r="18" spans="1:19">
      <c r="A18" s="69"/>
      <c r="B18" s="69"/>
      <c r="C18" s="177" t="s">
        <v>77</v>
      </c>
      <c r="D18" s="177"/>
      <c r="E18" s="182"/>
      <c r="F18" s="182"/>
      <c r="G18" s="69"/>
      <c r="H18" s="181"/>
      <c r="I18" s="181"/>
      <c r="J18" s="181">
        <f>$I$16*J$6</f>
        <v>3.4004627724585956E-2</v>
      </c>
      <c r="K18" s="181">
        <f>$I$16*J$9/$I$9*K$6</f>
        <v>3.5754990816175732E-2</v>
      </c>
      <c r="L18" s="181">
        <f>$I$16*K$9/$I$9*L$6</f>
        <v>3.7625588396859401E-2</v>
      </c>
      <c r="M18" s="69"/>
      <c r="N18" s="69"/>
      <c r="O18" s="69"/>
      <c r="P18" s="69"/>
      <c r="Q18" s="69"/>
      <c r="R18" s="69"/>
      <c r="S18" s="69"/>
    </row>
    <row r="19" spans="1:19">
      <c r="A19" s="69"/>
      <c r="B19" s="69"/>
      <c r="C19" s="177" t="s">
        <v>78</v>
      </c>
      <c r="D19" s="177"/>
      <c r="E19" s="182"/>
      <c r="F19" s="182"/>
      <c r="G19" s="69"/>
      <c r="H19" s="181"/>
      <c r="I19" s="181"/>
      <c r="J19" s="181"/>
      <c r="K19" s="181">
        <f>$J$16*K$6</f>
        <v>3.5754990816175725E-2</v>
      </c>
      <c r="L19" s="181">
        <f>$J$16*K$9/$J$9*L$6</f>
        <v>3.7625588396859401E-2</v>
      </c>
      <c r="M19" s="69"/>
      <c r="N19" s="69"/>
      <c r="O19" s="69"/>
      <c r="P19" s="69"/>
      <c r="Q19" s="69"/>
      <c r="R19" s="69"/>
      <c r="S19" s="69"/>
    </row>
    <row r="20" spans="1:19">
      <c r="A20" s="69"/>
      <c r="B20" s="69"/>
      <c r="C20" s="177" t="s">
        <v>79</v>
      </c>
      <c r="D20" s="177"/>
      <c r="E20" s="182"/>
      <c r="F20" s="182"/>
      <c r="G20" s="69"/>
      <c r="H20" s="181"/>
      <c r="I20" s="181"/>
      <c r="J20" s="181"/>
      <c r="K20" s="181"/>
      <c r="L20" s="181">
        <f>$K$16*L$6</f>
        <v>3.7625588396859401E-2</v>
      </c>
      <c r="M20" s="69"/>
      <c r="N20" s="69"/>
      <c r="O20" s="69"/>
      <c r="P20" s="69"/>
      <c r="Q20" s="69"/>
      <c r="R20" s="69"/>
      <c r="S20" s="69"/>
    </row>
    <row r="21" spans="1:19">
      <c r="A21" s="69"/>
      <c r="B21" s="69"/>
      <c r="C21" s="177" t="s">
        <v>80</v>
      </c>
      <c r="D21" s="177"/>
      <c r="E21" s="182"/>
      <c r="F21" s="182"/>
      <c r="G21" s="69"/>
      <c r="H21" s="178"/>
      <c r="I21" s="178"/>
      <c r="J21" s="178"/>
      <c r="K21" s="178"/>
      <c r="L21" s="178"/>
      <c r="M21" s="69"/>
      <c r="N21" s="69"/>
      <c r="O21" s="69"/>
      <c r="P21" s="69"/>
      <c r="Q21" s="69"/>
      <c r="R21" s="69"/>
      <c r="S21" s="69"/>
    </row>
    <row r="22" spans="1:19">
      <c r="A22" s="69"/>
      <c r="B22" s="69"/>
      <c r="C22" s="177" t="s">
        <v>81</v>
      </c>
      <c r="D22" s="68"/>
      <c r="E22" s="182" t="s">
        <v>54</v>
      </c>
      <c r="F22" s="182"/>
      <c r="G22" s="69"/>
      <c r="H22" s="181">
        <f>SUM(H17:H21)</f>
        <v>0</v>
      </c>
      <c r="I22" s="181">
        <f>SUM(I17:I21)</f>
        <v>3.0999487671610541E-2</v>
      </c>
      <c r="J22" s="181">
        <f>SUM(J17:J21)</f>
        <v>6.8009255449171913E-2</v>
      </c>
      <c r="K22" s="181">
        <f>SUM(K17:K21)</f>
        <v>0.10726497244852717</v>
      </c>
      <c r="L22" s="181">
        <f>SUM(L17:L21)</f>
        <v>0.1505023535874376</v>
      </c>
      <c r="M22" s="69"/>
      <c r="N22" s="69"/>
      <c r="O22" s="69"/>
      <c r="P22" s="69"/>
      <c r="Q22" s="69"/>
      <c r="R22" s="69"/>
      <c r="S22" s="69"/>
    </row>
    <row r="23" spans="1:19">
      <c r="A23" s="69"/>
      <c r="B23" s="69"/>
      <c r="C23" s="177"/>
      <c r="D23" s="177"/>
      <c r="E23" s="182"/>
      <c r="F23" s="182"/>
      <c r="G23" s="69"/>
      <c r="H23" s="178"/>
      <c r="I23" s="178"/>
      <c r="J23" s="178"/>
      <c r="K23" s="178"/>
      <c r="L23" s="178"/>
      <c r="M23" s="69"/>
      <c r="N23" s="69"/>
      <c r="O23" s="69"/>
      <c r="P23" s="69"/>
      <c r="Q23" s="69"/>
      <c r="R23" s="69"/>
      <c r="S23" s="69"/>
    </row>
    <row r="24" spans="1:19">
      <c r="A24" s="69"/>
      <c r="B24" s="69"/>
      <c r="C24" s="177" t="s">
        <v>82</v>
      </c>
      <c r="D24" s="177"/>
      <c r="E24" s="182"/>
      <c r="F24" s="182"/>
      <c r="G24" s="69"/>
      <c r="H24" s="181">
        <f>I24*(1+I10)</f>
        <v>1.2626876672145666</v>
      </c>
      <c r="I24" s="181">
        <f>J24*(1+J10)</f>
        <v>1.1728600281250563</v>
      </c>
      <c r="J24" s="181">
        <f>K24*(1+K10)</f>
        <v>1.1156349422323728</v>
      </c>
      <c r="K24" s="183">
        <f>L24*(1+L10)</f>
        <v>1.0562871609882767</v>
      </c>
      <c r="L24" s="181">
        <v>1</v>
      </c>
      <c r="M24" s="69"/>
      <c r="N24" s="69"/>
      <c r="O24" s="69"/>
      <c r="P24" s="69"/>
      <c r="Q24" s="69"/>
      <c r="R24" s="69"/>
      <c r="S24" s="69"/>
    </row>
    <row r="25" spans="1:19">
      <c r="A25" s="69"/>
      <c r="B25" s="69"/>
      <c r="C25" s="177" t="s">
        <v>109</v>
      </c>
      <c r="D25" s="177"/>
      <c r="E25" s="182" t="s">
        <v>54</v>
      </c>
      <c r="F25" s="182"/>
      <c r="G25" s="69"/>
      <c r="H25" s="181">
        <f>H16*H24</f>
        <v>1.8050646804651012</v>
      </c>
      <c r="I25" s="181">
        <f>I16*I24</f>
        <v>1.766752799502352</v>
      </c>
      <c r="J25" s="181">
        <f>J16*J24</f>
        <v>1.7277505670677411</v>
      </c>
      <c r="K25" s="181">
        <f>K16*K24</f>
        <v>1.6887612182573988</v>
      </c>
      <c r="L25" s="181">
        <f>L16*L24</f>
        <v>1.6499316110318396</v>
      </c>
      <c r="M25" s="69"/>
      <c r="N25" s="69"/>
      <c r="O25" s="69"/>
      <c r="P25" s="69"/>
      <c r="Q25" s="69"/>
      <c r="R25" s="69"/>
      <c r="S25" s="69"/>
    </row>
    <row r="26" spans="1:19">
      <c r="A26" s="69"/>
      <c r="B26" s="69"/>
      <c r="C26" s="177" t="s">
        <v>83</v>
      </c>
      <c r="D26" s="177"/>
      <c r="E26" s="182" t="s">
        <v>54</v>
      </c>
      <c r="F26" s="182"/>
      <c r="G26" s="69"/>
      <c r="H26" s="184">
        <f>H22*H24</f>
        <v>0</v>
      </c>
      <c r="I26" s="184">
        <f>I22*I24</f>
        <v>3.6358059982387475E-2</v>
      </c>
      <c r="J26" s="184">
        <f>J22*J24</f>
        <v>7.5873501774303589E-2</v>
      </c>
      <c r="K26" s="184">
        <f>K22*K24</f>
        <v>0.11330261322114049</v>
      </c>
      <c r="L26" s="184">
        <f>L22*L24</f>
        <v>0.1505023535874376</v>
      </c>
      <c r="M26" s="69"/>
      <c r="N26" s="69"/>
      <c r="O26" s="69"/>
      <c r="P26" s="69"/>
      <c r="Q26" s="69"/>
      <c r="R26" s="69"/>
      <c r="S26" s="69"/>
    </row>
    <row r="27" spans="1:19">
      <c r="A27" s="69"/>
      <c r="B27" s="69"/>
      <c r="C27" s="67" t="s">
        <v>110</v>
      </c>
      <c r="D27" s="185"/>
      <c r="E27" s="186" t="s">
        <v>54</v>
      </c>
      <c r="F27" s="172"/>
      <c r="G27" s="69"/>
      <c r="H27" s="67"/>
      <c r="I27" s="67"/>
      <c r="J27" s="67"/>
      <c r="K27" s="173"/>
      <c r="L27" s="191">
        <f>SUM(H25:L26)</f>
        <v>9.0142974048897013</v>
      </c>
      <c r="M27" s="69"/>
      <c r="N27" s="187"/>
      <c r="O27" s="69"/>
      <c r="P27" s="69"/>
      <c r="Q27" s="69"/>
      <c r="R27" s="69"/>
      <c r="S27" s="69"/>
    </row>
    <row r="28" spans="1:19">
      <c r="A28" s="69"/>
      <c r="B28" s="69"/>
      <c r="C28" s="69"/>
      <c r="D28" s="69"/>
      <c r="E28" s="69"/>
      <c r="F28" s="69"/>
      <c r="G28" s="69"/>
      <c r="H28" s="188"/>
      <c r="I28" s="188"/>
      <c r="J28" s="188"/>
      <c r="K28" s="188"/>
      <c r="L28" s="69"/>
      <c r="M28" s="69"/>
      <c r="N28" s="69"/>
      <c r="O28" s="69"/>
      <c r="P28" s="69"/>
      <c r="Q28" s="69"/>
      <c r="R28" s="69"/>
      <c r="S28" s="69"/>
    </row>
    <row r="29" spans="1:19">
      <c r="A29" s="23"/>
      <c r="B29" s="192"/>
      <c r="C29" s="193" t="s">
        <v>97</v>
      </c>
      <c r="D29" s="194"/>
      <c r="E29" s="194"/>
      <c r="F29" s="195" t="s">
        <v>98</v>
      </c>
      <c r="G29" s="195"/>
      <c r="H29" s="192"/>
      <c r="I29" s="192"/>
      <c r="J29" s="192"/>
      <c r="K29" s="196"/>
      <c r="L29" s="196"/>
      <c r="M29" s="196"/>
      <c r="N29" s="194"/>
      <c r="O29" s="197"/>
      <c r="P29" s="194"/>
      <c r="Q29" s="194"/>
      <c r="R29" s="194"/>
      <c r="S29" s="52"/>
    </row>
    <row r="30" spans="1:19">
      <c r="A30" s="69"/>
      <c r="B30" s="69"/>
      <c r="C30" s="189" t="str">
        <f>"Calc | Total "&amp;'Input | General'!$D$8&amp;" CESS Payment Adjustments"</f>
        <v>Calc | Total FY22 True-up CESS Payment Adjustments</v>
      </c>
      <c r="D30" s="69"/>
      <c r="E30" s="65" t="s">
        <v>39</v>
      </c>
      <c r="F30" s="65" t="s">
        <v>52</v>
      </c>
      <c r="G30" s="69"/>
      <c r="H30" s="176" t="str">
        <f>M5</f>
        <v>2027–28</v>
      </c>
      <c r="I30" s="176" t="str">
        <f>N5</f>
        <v>2028–29</v>
      </c>
      <c r="J30" s="176" t="str">
        <f>O5</f>
        <v>2029–30</v>
      </c>
      <c r="K30" s="176" t="str">
        <f>P5</f>
        <v>2030–31</v>
      </c>
      <c r="L30" s="176" t="str">
        <f>Q5</f>
        <v>2031–32</v>
      </c>
      <c r="M30" s="176" t="s">
        <v>100</v>
      </c>
      <c r="N30" s="187"/>
      <c r="O30" s="69"/>
      <c r="P30" s="69"/>
      <c r="Q30" s="69"/>
      <c r="R30" s="69"/>
      <c r="S30" s="69"/>
    </row>
    <row r="31" spans="1:19">
      <c r="A31" s="69"/>
      <c r="B31" s="69"/>
      <c r="C31" s="177" t="s">
        <v>95</v>
      </c>
      <c r="D31" s="69"/>
      <c r="E31" s="68"/>
      <c r="F31" s="68"/>
      <c r="G31" s="69"/>
      <c r="H31" s="181">
        <f>1/(1+M7)</f>
        <v>0.96345981041854734</v>
      </c>
      <c r="I31" s="181">
        <f>H31/(1+N7)</f>
        <v>0.92758207458094177</v>
      </c>
      <c r="J31" s="181">
        <f>I31/(1+O7)</f>
        <v>0.89225364420333098</v>
      </c>
      <c r="K31" s="181">
        <f>J31/(1+P7)</f>
        <v>0.85690306196791732</v>
      </c>
      <c r="L31" s="181">
        <f>K31/(1+Q7)</f>
        <v>0.8213041314195817</v>
      </c>
      <c r="M31" s="69"/>
      <c r="N31" s="69"/>
      <c r="O31" s="69"/>
      <c r="P31" s="69"/>
      <c r="Q31" s="69"/>
      <c r="R31" s="69"/>
      <c r="S31" s="69"/>
    </row>
    <row r="32" spans="1:19">
      <c r="A32" s="69"/>
      <c r="B32" s="69"/>
      <c r="C32" s="177"/>
      <c r="D32" s="69"/>
      <c r="E32" s="68"/>
      <c r="F32" s="68"/>
      <c r="G32" s="69"/>
      <c r="H32" s="198"/>
      <c r="I32" s="198"/>
      <c r="J32" s="198"/>
      <c r="K32" s="198"/>
      <c r="L32" s="198"/>
      <c r="M32" s="69"/>
      <c r="N32" s="69"/>
      <c r="O32" s="69"/>
      <c r="P32" s="69"/>
      <c r="Q32" s="69"/>
      <c r="R32" s="69"/>
      <c r="S32" s="69"/>
    </row>
    <row r="33" spans="1:19">
      <c r="A33" s="69"/>
      <c r="B33" s="69"/>
      <c r="C33" s="177" t="str">
        <f>CONCATENATE("CESS Payment per year ($", F33," million)")</f>
        <v>CESS Payment per year ($2026–27 million)</v>
      </c>
      <c r="D33" s="69"/>
      <c r="E33" s="68" t="s">
        <v>54</v>
      </c>
      <c r="F33" s="68" t="str">
        <f>'Input | General'!H20</f>
        <v>2026–27</v>
      </c>
      <c r="G33" s="69"/>
      <c r="H33" s="173">
        <f>$L$27/SUM($H$31:$L$31)</f>
        <v>2.0204621548804207</v>
      </c>
      <c r="I33" s="173">
        <f>H33</f>
        <v>2.0204621548804207</v>
      </c>
      <c r="J33" s="173">
        <f>I33</f>
        <v>2.0204621548804207</v>
      </c>
      <c r="K33" s="173">
        <f>J33</f>
        <v>2.0204621548804207</v>
      </c>
      <c r="L33" s="173">
        <f>K33</f>
        <v>2.0204621548804207</v>
      </c>
      <c r="M33" s="173">
        <f>SUM(H33:L33)</f>
        <v>10.102310774402103</v>
      </c>
      <c r="N33" s="69"/>
      <c r="O33" s="69"/>
      <c r="P33" s="69"/>
      <c r="Q33" s="69"/>
      <c r="R33" s="69"/>
      <c r="S33" s="69"/>
    </row>
    <row r="34" spans="1:19">
      <c r="A34" s="69"/>
      <c r="B34" s="69"/>
      <c r="C34" s="177"/>
      <c r="D34" s="69"/>
      <c r="E34" s="69"/>
      <c r="F34" s="69"/>
      <c r="G34" s="69"/>
      <c r="H34" s="188"/>
      <c r="I34" s="188"/>
      <c r="J34" s="188"/>
      <c r="K34" s="188"/>
      <c r="L34" s="188"/>
      <c r="M34" s="188"/>
      <c r="N34" s="69"/>
      <c r="O34" s="69"/>
      <c r="P34" s="69"/>
      <c r="Q34" s="69"/>
      <c r="R34" s="69"/>
      <c r="S34" s="69"/>
    </row>
    <row r="35" spans="1:19">
      <c r="A35" s="69"/>
      <c r="B35" s="69"/>
      <c r="C35" s="177"/>
      <c r="D35" s="69"/>
      <c r="E35" s="69"/>
      <c r="F35" s="69"/>
      <c r="G35" s="69"/>
      <c r="H35" s="69"/>
      <c r="I35" s="190"/>
      <c r="J35" s="190"/>
      <c r="K35" s="190"/>
      <c r="L35" s="190"/>
      <c r="M35" s="69"/>
      <c r="N35" s="69"/>
      <c r="O35" s="69"/>
      <c r="P35" s="69"/>
      <c r="Q35" s="69"/>
      <c r="R35" s="69"/>
      <c r="S35" s="69"/>
    </row>
    <row r="36" spans="1:19">
      <c r="A36" s="69"/>
      <c r="B36" s="69"/>
      <c r="C36" s="69"/>
      <c r="D36" s="69"/>
      <c r="E36" s="69"/>
      <c r="F36" s="69"/>
      <c r="G36" s="69"/>
      <c r="H36" s="69"/>
      <c r="I36" s="188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1:19">
      <c r="A37" s="23"/>
      <c r="B37" s="23" t="s">
        <v>14</v>
      </c>
      <c r="C37" s="23"/>
      <c r="D37" s="53"/>
      <c r="E37" s="53"/>
      <c r="F37" s="53"/>
      <c r="G37" s="53"/>
      <c r="H37" s="53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Input | General</vt:lpstr>
      <vt:lpstr>Input | Inflation and Disc Rate</vt:lpstr>
      <vt:lpstr>Input | Reported Capex</vt:lpstr>
      <vt:lpstr>Input | Final year Capex</vt:lpstr>
      <vt:lpstr>Calc | CESS Revenue Increments</vt:lpstr>
      <vt:lpstr>Output | Models</vt:lpstr>
      <vt:lpstr>Output | CESS true-up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2025-09-24T08:09:04Z</dcterms:created>
  <dcterms:modified xsi:type="dcterms:W3CDTF">2026-06-16T00:06:17Z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2026-05-28T01:12:52Z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15130e64-913a-4eba-8584-53dabc1aa303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