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ccgovau-my.sharepoint.com/personal/rabi_islam_aer_gov_au/Documents/Desktop/1_WEB_ANTx2732/Models-webbing/"/>
    </mc:Choice>
  </mc:AlternateContent>
  <xr:revisionPtr revIDLastSave="0" documentId="13_ncr:1_{18DE4069-200A-43BB-BA07-4A32505D34D7}" xr6:coauthVersionLast="47" xr6:coauthVersionMax="47" xr10:uidLastSave="{00000000-0000-0000-0000-000000000000}"/>
  <workbookProtection lockStructure="1"/>
  <bookViews>
    <workbookView xWindow="-110" yWindow="-110" windowWidth="19420" windowHeight="10300" tabRatio="873" activeTab="6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9" i="42" l="1"/>
  <c r="Q79" i="42"/>
  <c r="R79" i="42"/>
  <c r="S79" i="42"/>
  <c r="O79" i="42"/>
  <c r="T39" i="2" l="1"/>
  <c r="R115" i="2" l="1"/>
  <c r="Q115" i="2" l="1"/>
  <c r="S115" i="2"/>
  <c r="T115" i="2"/>
  <c r="T38" i="2" l="1"/>
  <c r="N47" i="58" l="1"/>
  <c r="M47" i="58"/>
  <c r="Q58" i="2" l="1"/>
  <c r="R58" i="2"/>
  <c r="S58" i="2"/>
  <c r="T58" i="2"/>
  <c r="P58" i="2"/>
  <c r="F64" i="58" l="1"/>
  <c r="F65" i="58"/>
  <c r="K47" i="58" l="1"/>
  <c r="L47" i="58"/>
  <c r="J47" i="58" l="1"/>
  <c r="E86" i="42"/>
  <c r="C86" i="42"/>
  <c r="E22" i="53"/>
  <c r="U79" i="2" l="1"/>
  <c r="H78" i="55"/>
  <c r="H81" i="55"/>
  <c r="H69" i="55"/>
  <c r="H70" i="55"/>
  <c r="H71" i="55"/>
  <c r="H72" i="55"/>
  <c r="H73" i="55"/>
  <c r="H74" i="55"/>
  <c r="H75" i="55"/>
  <c r="H76" i="55"/>
  <c r="H77" i="55"/>
  <c r="H79" i="55"/>
  <c r="H80" i="55"/>
  <c r="K15" i="58"/>
  <c r="L15" i="58"/>
  <c r="M15" i="58"/>
  <c r="N15" i="58"/>
  <c r="C78" i="42"/>
  <c r="C79" i="42"/>
  <c r="C80" i="42"/>
  <c r="C81" i="42"/>
  <c r="C82" i="42"/>
  <c r="C83" i="42"/>
  <c r="C84" i="42"/>
  <c r="C85" i="42"/>
  <c r="C88" i="42"/>
  <c r="E14" i="53"/>
  <c r="E79" i="42"/>
  <c r="E78" i="42"/>
  <c r="E13" i="53"/>
  <c r="U77" i="2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V10" i="55"/>
  <c r="V12" i="55"/>
  <c r="V14" i="55"/>
  <c r="V15" i="55"/>
  <c r="V17" i="55"/>
  <c r="V18" i="55"/>
  <c r="V20" i="55"/>
  <c r="V21" i="55"/>
  <c r="V22" i="55"/>
  <c r="V23" i="55"/>
  <c r="V25" i="55"/>
  <c r="V26" i="55"/>
  <c r="V27" i="55"/>
  <c r="V28" i="55"/>
  <c r="V29" i="55"/>
  <c r="W35" i="53"/>
  <c r="W34" i="53"/>
  <c r="V66" i="58"/>
  <c r="V67" i="58"/>
  <c r="V45" i="58"/>
  <c r="V44" i="58"/>
  <c r="V26" i="58"/>
  <c r="V27" i="58"/>
  <c r="B2" i="55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S67" i="42"/>
  <c r="R67" i="42"/>
  <c r="Q67" i="42"/>
  <c r="P67" i="42"/>
  <c r="C7" i="4"/>
  <c r="S15" i="54"/>
  <c r="F43" i="53"/>
  <c r="E35" i="53"/>
  <c r="E34" i="53"/>
  <c r="E33" i="53"/>
  <c r="E32" i="53"/>
  <c r="E31" i="53"/>
  <c r="F35" i="53"/>
  <c r="F34" i="53"/>
  <c r="F33" i="53"/>
  <c r="F31" i="53"/>
  <c r="E23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67" i="58"/>
  <c r="F49" i="42" s="1"/>
  <c r="F66" i="58"/>
  <c r="F46" i="42" s="1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E14" i="42" s="1"/>
  <c r="J4" i="42"/>
  <c r="J49" i="42" s="1"/>
  <c r="K4" i="42"/>
  <c r="K106" i="42" s="1"/>
  <c r="L4" i="42"/>
  <c r="L106" i="42" s="1"/>
  <c r="M4" i="42"/>
  <c r="N4" i="42"/>
  <c r="O4" i="42"/>
  <c r="O106" i="42" s="1"/>
  <c r="P4" i="42"/>
  <c r="P58" i="42" s="1"/>
  <c r="Q4" i="42"/>
  <c r="Q106" i="42" s="1"/>
  <c r="R4" i="42"/>
  <c r="R106" i="42" s="1"/>
  <c r="S4" i="42"/>
  <c r="S106" i="42" s="1"/>
  <c r="T4" i="42"/>
  <c r="T94" i="42" s="1"/>
  <c r="J4" i="58"/>
  <c r="J10" i="58" s="1"/>
  <c r="F8" i="42"/>
  <c r="E18" i="44"/>
  <c r="C18" i="44"/>
  <c r="C99" i="42"/>
  <c r="E99" i="42"/>
  <c r="C100" i="42"/>
  <c r="E100" i="42"/>
  <c r="E16" i="44"/>
  <c r="C15" i="44"/>
  <c r="C16" i="44"/>
  <c r="C17" i="44"/>
  <c r="C98" i="42"/>
  <c r="C97" i="42"/>
  <c r="T4" i="44"/>
  <c r="T11" i="44" s="1"/>
  <c r="T64" i="42"/>
  <c r="U80" i="2"/>
  <c r="U4" i="2"/>
  <c r="U104" i="2" s="1"/>
  <c r="U106" i="2" s="1"/>
  <c r="H78" i="4"/>
  <c r="G78" i="4" s="1"/>
  <c r="T4" i="53"/>
  <c r="T41" i="53" s="1"/>
  <c r="T45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O47" i="58"/>
  <c r="P47" i="58"/>
  <c r="Q47" i="58"/>
  <c r="R47" i="58"/>
  <c r="S47" i="58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J15" i="58"/>
  <c r="E29" i="42"/>
  <c r="C29" i="42"/>
  <c r="E35" i="42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G79" i="4" s="1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L15" i="44" s="1"/>
  <c r="K4" i="44"/>
  <c r="K11" i="44" s="1"/>
  <c r="J4" i="44"/>
  <c r="J11" i="44" s="1"/>
  <c r="J18" i="44" s="1"/>
  <c r="S4" i="53"/>
  <c r="S10" i="53" s="1"/>
  <c r="R4" i="53"/>
  <c r="Q4" i="53"/>
  <c r="Q41" i="53" s="1"/>
  <c r="P4" i="53"/>
  <c r="P41" i="53" s="1"/>
  <c r="O4" i="53"/>
  <c r="O41" i="53" s="1"/>
  <c r="N4" i="53"/>
  <c r="N10" i="53" s="1"/>
  <c r="N25" i="53" s="1"/>
  <c r="M4" i="53"/>
  <c r="M41" i="53" s="1"/>
  <c r="M45" i="53" s="1"/>
  <c r="L4" i="53"/>
  <c r="L29" i="53" s="1"/>
  <c r="L37" i="53" s="1"/>
  <c r="K4" i="53"/>
  <c r="K41" i="53" s="1"/>
  <c r="K45" i="53" s="1"/>
  <c r="J4" i="53"/>
  <c r="J41" i="53" s="1"/>
  <c r="J45" i="53" s="1"/>
  <c r="J4" i="2"/>
  <c r="J36" i="2" s="1"/>
  <c r="J47" i="2" s="1"/>
  <c r="T4" i="2"/>
  <c r="T24" i="2" s="1"/>
  <c r="S4" i="2"/>
  <c r="S64" i="2" s="1"/>
  <c r="R4" i="2"/>
  <c r="R49" i="2" s="1"/>
  <c r="R60" i="2" s="1"/>
  <c r="Q4" i="2"/>
  <c r="Q49" i="2" s="1"/>
  <c r="Q60" i="2" s="1"/>
  <c r="P4" i="2"/>
  <c r="P10" i="2" s="1"/>
  <c r="P12" i="2" s="1"/>
  <c r="O4" i="2"/>
  <c r="O64" i="2" s="1"/>
  <c r="N4" i="2"/>
  <c r="N64" i="2" s="1"/>
  <c r="N73" i="2" s="1"/>
  <c r="M4" i="2"/>
  <c r="M104" i="2" s="1"/>
  <c r="L4" i="2"/>
  <c r="L113" i="2" s="1"/>
  <c r="L117" i="2" s="1"/>
  <c r="K4" i="2"/>
  <c r="K10" i="2" s="1"/>
  <c r="S4" i="58"/>
  <c r="R4" i="58"/>
  <c r="R61" i="58" s="1"/>
  <c r="Q4" i="58"/>
  <c r="Q10" i="58" s="1"/>
  <c r="P4" i="58"/>
  <c r="P61" i="58" s="1"/>
  <c r="O4" i="58"/>
  <c r="O61" i="58" s="1"/>
  <c r="N4" i="58"/>
  <c r="N34" i="58" s="1"/>
  <c r="M4" i="58"/>
  <c r="L4" i="58"/>
  <c r="L61" i="58" s="1"/>
  <c r="K4" i="58"/>
  <c r="K34" i="58" s="1"/>
  <c r="J78" i="2"/>
  <c r="K78" i="2"/>
  <c r="L78" i="2"/>
  <c r="M78" i="2"/>
  <c r="N78" i="2"/>
  <c r="O78" i="2"/>
  <c r="J79" i="2"/>
  <c r="K79" i="2"/>
  <c r="L79" i="2"/>
  <c r="M79" i="2"/>
  <c r="N79" i="2"/>
  <c r="O79" i="2"/>
  <c r="Q79" i="2"/>
  <c r="R79" i="2"/>
  <c r="S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C2" i="58"/>
  <c r="C1" i="58"/>
  <c r="E17" i="44"/>
  <c r="E15" i="44"/>
  <c r="E14" i="44"/>
  <c r="C13" i="44"/>
  <c r="C14" i="44"/>
  <c r="E108" i="42"/>
  <c r="C31" i="4"/>
  <c r="S9" i="54"/>
  <c r="E50" i="42"/>
  <c r="E47" i="42"/>
  <c r="E44" i="42"/>
  <c r="E41" i="42"/>
  <c r="E38" i="42"/>
  <c r="E90" i="42"/>
  <c r="E110" i="42"/>
  <c r="C96" i="42"/>
  <c r="E54" i="42"/>
  <c r="E52" i="42"/>
  <c r="E13" i="42"/>
  <c r="E15" i="42"/>
  <c r="E13" i="44"/>
  <c r="E109" i="42"/>
  <c r="E17" i="42"/>
  <c r="E77" i="42"/>
  <c r="E80" i="42"/>
  <c r="E81" i="42"/>
  <c r="E82" i="42"/>
  <c r="E83" i="42"/>
  <c r="E84" i="42"/>
  <c r="E85" i="42"/>
  <c r="E87" i="42"/>
  <c r="E88" i="42"/>
  <c r="E96" i="42"/>
  <c r="E97" i="42"/>
  <c r="E98" i="42"/>
  <c r="E102" i="42"/>
  <c r="E33" i="42"/>
  <c r="S11" i="54"/>
  <c r="S14" i="54"/>
  <c r="G15" i="16"/>
  <c r="G16" i="16"/>
  <c r="B1" i="55"/>
  <c r="E12" i="2"/>
  <c r="O67" i="42"/>
  <c r="J64" i="42"/>
  <c r="J67" i="42"/>
  <c r="K64" i="42"/>
  <c r="K67" i="42"/>
  <c r="L64" i="42"/>
  <c r="L67" i="42"/>
  <c r="M64" i="42"/>
  <c r="M67" i="42"/>
  <c r="N64" i="42"/>
  <c r="N67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K57" i="58"/>
  <c r="V25" i="58"/>
  <c r="N106" i="42" l="1"/>
  <c r="N37" i="42"/>
  <c r="F21" i="58"/>
  <c r="J43" i="42"/>
  <c r="J61" i="58"/>
  <c r="J28" i="42" s="1"/>
  <c r="J34" i="58"/>
  <c r="J109" i="42"/>
  <c r="S10" i="42"/>
  <c r="S16" i="42"/>
  <c r="P24" i="2"/>
  <c r="J13" i="44"/>
  <c r="P104" i="2"/>
  <c r="S40" i="2"/>
  <c r="S42" i="2" s="1"/>
  <c r="T58" i="42"/>
  <c r="T62" i="42" s="1" a="1"/>
  <c r="T62" i="42" s="1"/>
  <c r="J16" i="44"/>
  <c r="P36" i="2"/>
  <c r="J14" i="44"/>
  <c r="P14" i="2"/>
  <c r="J15" i="44"/>
  <c r="L17" i="44"/>
  <c r="P64" i="2"/>
  <c r="P73" i="2" s="1"/>
  <c r="J110" i="42"/>
  <c r="P113" i="2"/>
  <c r="P117" i="2" s="1"/>
  <c r="J75" i="42"/>
  <c r="K37" i="42"/>
  <c r="L33" i="42"/>
  <c r="S58" i="42"/>
  <c r="S68" i="42" s="1" a="1"/>
  <c r="S68" i="42" s="1"/>
  <c r="R46" i="42"/>
  <c r="S94" i="42"/>
  <c r="J108" i="42"/>
  <c r="R14" i="2"/>
  <c r="S12" i="42"/>
  <c r="J21" i="42"/>
  <c r="L16" i="44"/>
  <c r="R64" i="2"/>
  <c r="R73" i="2" s="1"/>
  <c r="J19" i="42"/>
  <c r="S35" i="42"/>
  <c r="F13" i="42"/>
  <c r="F86" i="42"/>
  <c r="S23" i="42"/>
  <c r="K40" i="42"/>
  <c r="J10" i="42"/>
  <c r="K31" i="42"/>
  <c r="S31" i="42"/>
  <c r="L35" i="42"/>
  <c r="F38" i="42"/>
  <c r="L108" i="42"/>
  <c r="J35" i="42"/>
  <c r="N21" i="42"/>
  <c r="K108" i="42"/>
  <c r="J16" i="42"/>
  <c r="J106" i="42"/>
  <c r="R75" i="42"/>
  <c r="S21" i="42"/>
  <c r="T109" i="42"/>
  <c r="K10" i="42"/>
  <c r="J40" i="42"/>
  <c r="R12" i="42"/>
  <c r="S75" i="42"/>
  <c r="O29" i="53"/>
  <c r="K10" i="53"/>
  <c r="K25" i="53" s="1"/>
  <c r="Q45" i="53"/>
  <c r="Q61" i="58"/>
  <c r="Q28" i="42" s="1"/>
  <c r="P75" i="2"/>
  <c r="S104" i="2"/>
  <c r="F27" i="58"/>
  <c r="J31" i="42"/>
  <c r="P49" i="2"/>
  <c r="P60" i="2" s="1"/>
  <c r="F78" i="42"/>
  <c r="P31" i="42"/>
  <c r="T14" i="2"/>
  <c r="M10" i="58"/>
  <c r="M28" i="42" s="1"/>
  <c r="M34" i="58"/>
  <c r="E16" i="42"/>
  <c r="T10" i="2"/>
  <c r="T12" i="2" s="1"/>
  <c r="R75" i="2"/>
  <c r="K43" i="42"/>
  <c r="S43" i="42"/>
  <c r="S14" i="42"/>
  <c r="L10" i="2"/>
  <c r="L24" i="2"/>
  <c r="T104" i="2"/>
  <c r="L14" i="44"/>
  <c r="R104" i="2"/>
  <c r="S46" i="42"/>
  <c r="S40" i="42"/>
  <c r="F26" i="58"/>
  <c r="F20" i="42"/>
  <c r="F20" i="58"/>
  <c r="F25" i="58"/>
  <c r="F23" i="58"/>
  <c r="F47" i="42"/>
  <c r="F41" i="42"/>
  <c r="V13" i="55"/>
  <c r="S29" i="53"/>
  <c r="F44" i="42"/>
  <c r="F108" i="42"/>
  <c r="O34" i="58"/>
  <c r="Q29" i="53"/>
  <c r="H84" i="55"/>
  <c r="I84" i="55" s="1"/>
  <c r="V84" i="55" s="1"/>
  <c r="F15" i="58"/>
  <c r="F14" i="42" s="1"/>
  <c r="F29" i="58"/>
  <c r="F23" i="42" s="1"/>
  <c r="F31" i="42"/>
  <c r="F17" i="42"/>
  <c r="O37" i="42"/>
  <c r="M29" i="58"/>
  <c r="M21" i="42" s="1"/>
  <c r="P49" i="42"/>
  <c r="F50" i="42"/>
  <c r="F100" i="42"/>
  <c r="P19" i="42"/>
  <c r="L23" i="42"/>
  <c r="M109" i="42"/>
  <c r="L31" i="42"/>
  <c r="L75" i="2"/>
  <c r="K33" i="42"/>
  <c r="K75" i="42"/>
  <c r="L14" i="2"/>
  <c r="L46" i="42"/>
  <c r="K49" i="42"/>
  <c r="T110" i="42"/>
  <c r="M46" i="42"/>
  <c r="K46" i="42"/>
  <c r="K12" i="42"/>
  <c r="L29" i="58"/>
  <c r="L21" i="42" s="1"/>
  <c r="K110" i="42"/>
  <c r="M40" i="42"/>
  <c r="M14" i="42"/>
  <c r="K19" i="42"/>
  <c r="M58" i="42"/>
  <c r="M61" i="42" s="1"/>
  <c r="M70" i="42" s="1"/>
  <c r="M23" i="42"/>
  <c r="L36" i="2"/>
  <c r="L47" i="2" s="1"/>
  <c r="K109" i="42"/>
  <c r="L16" i="42"/>
  <c r="Q10" i="53"/>
  <c r="L110" i="42"/>
  <c r="T106" i="42"/>
  <c r="L40" i="42"/>
  <c r="L109" i="42"/>
  <c r="L104" i="2"/>
  <c r="L109" i="2" s="1"/>
  <c r="K58" i="42"/>
  <c r="K61" i="42" s="1"/>
  <c r="K70" i="42" s="1"/>
  <c r="L58" i="42"/>
  <c r="L62" i="42" s="1" a="1"/>
  <c r="L62" i="42" s="1"/>
  <c r="L10" i="42"/>
  <c r="M108" i="42"/>
  <c r="K16" i="42"/>
  <c r="L64" i="2"/>
  <c r="L73" i="2" s="1"/>
  <c r="K35" i="42"/>
  <c r="K23" i="42"/>
  <c r="L14" i="42"/>
  <c r="L37" i="42"/>
  <c r="P10" i="58"/>
  <c r="P28" i="42" s="1"/>
  <c r="R19" i="42"/>
  <c r="R10" i="42"/>
  <c r="K14" i="2"/>
  <c r="R14" i="42"/>
  <c r="S49" i="2"/>
  <c r="S60" i="2" s="1"/>
  <c r="R34" i="58"/>
  <c r="R16" i="42"/>
  <c r="T75" i="42"/>
  <c r="L18" i="44"/>
  <c r="Q10" i="2"/>
  <c r="Q12" i="2" s="1"/>
  <c r="R58" i="42"/>
  <c r="R68" i="42" s="1" a="1"/>
  <c r="R68" i="42" s="1"/>
  <c r="L13" i="44"/>
  <c r="R40" i="42"/>
  <c r="J75" i="2"/>
  <c r="R33" i="42"/>
  <c r="S41" i="53"/>
  <c r="S45" i="53" s="1"/>
  <c r="Q46" i="42"/>
  <c r="R43" i="42"/>
  <c r="T12" i="42"/>
  <c r="R113" i="2"/>
  <c r="R117" i="2" s="1"/>
  <c r="T108" i="42"/>
  <c r="R24" i="2"/>
  <c r="S10" i="2"/>
  <c r="S12" i="2" s="1"/>
  <c r="R21" i="42"/>
  <c r="R23" i="42"/>
  <c r="R49" i="42"/>
  <c r="R31" i="42"/>
  <c r="S75" i="2"/>
  <c r="R35" i="42"/>
  <c r="R37" i="42"/>
  <c r="R94" i="42"/>
  <c r="O33" i="42"/>
  <c r="O46" i="42"/>
  <c r="O43" i="42"/>
  <c r="O49" i="42"/>
  <c r="O35" i="42"/>
  <c r="L34" i="58"/>
  <c r="K29" i="53"/>
  <c r="K37" i="53" s="1"/>
  <c r="O19" i="42"/>
  <c r="O21" i="42"/>
  <c r="L12" i="42"/>
  <c r="O10" i="58"/>
  <c r="O28" i="42" s="1"/>
  <c r="O36" i="2"/>
  <c r="O47" i="2" s="1"/>
  <c r="O113" i="2"/>
  <c r="O117" i="2" s="1"/>
  <c r="O10" i="53"/>
  <c r="N10" i="42"/>
  <c r="N19" i="42"/>
  <c r="O31" i="42"/>
  <c r="M16" i="42"/>
  <c r="U36" i="2"/>
  <c r="U47" i="2" s="1"/>
  <c r="M75" i="42"/>
  <c r="O10" i="42"/>
  <c r="R40" i="2"/>
  <c r="R42" i="2" s="1"/>
  <c r="U113" i="2"/>
  <c r="U117" i="2" s="1"/>
  <c r="N14" i="42"/>
  <c r="O40" i="42"/>
  <c r="M106" i="42"/>
  <c r="U108" i="2"/>
  <c r="O58" i="42"/>
  <c r="O68" i="42" s="1" a="1"/>
  <c r="O68" i="42" s="1"/>
  <c r="Q34" i="58"/>
  <c r="O14" i="42"/>
  <c r="E19" i="42"/>
  <c r="M49" i="42"/>
  <c r="K75" i="2"/>
  <c r="O75" i="42"/>
  <c r="Q94" i="42"/>
  <c r="O94" i="42"/>
  <c r="M10" i="42"/>
  <c r="K64" i="2"/>
  <c r="K73" i="2" s="1"/>
  <c r="U109" i="2"/>
  <c r="U107" i="2"/>
  <c r="U75" i="2"/>
  <c r="U64" i="2"/>
  <c r="U73" i="2" s="1"/>
  <c r="N58" i="42"/>
  <c r="N65" i="42" s="1" a="1"/>
  <c r="N65" i="42" s="1"/>
  <c r="O16" i="42"/>
  <c r="M110" i="42"/>
  <c r="U49" i="2"/>
  <c r="U60" i="2" s="1"/>
  <c r="K24" i="2"/>
  <c r="O23" i="42"/>
  <c r="O12" i="42"/>
  <c r="M43" i="42"/>
  <c r="Q40" i="2"/>
  <c r="Q77" i="2"/>
  <c r="Q10" i="42"/>
  <c r="Q12" i="42"/>
  <c r="F14" i="44"/>
  <c r="P12" i="42"/>
  <c r="Q33" i="42"/>
  <c r="P33" i="42"/>
  <c r="R77" i="2"/>
  <c r="Q19" i="42"/>
  <c r="P35" i="42"/>
  <c r="T29" i="53"/>
  <c r="T37" i="53" s="1"/>
  <c r="M36" i="2"/>
  <c r="M47" i="2" s="1"/>
  <c r="M49" i="2"/>
  <c r="M60" i="2" s="1"/>
  <c r="M113" i="2"/>
  <c r="M117" i="2" s="1"/>
  <c r="T10" i="53"/>
  <c r="T25" i="53" s="1"/>
  <c r="P75" i="42"/>
  <c r="K29" i="58"/>
  <c r="K21" i="42" s="1"/>
  <c r="Q36" i="2"/>
  <c r="Q37" i="42"/>
  <c r="M75" i="2"/>
  <c r="F16" i="44"/>
  <c r="P46" i="42"/>
  <c r="K10" i="58"/>
  <c r="M14" i="2"/>
  <c r="N29" i="53"/>
  <c r="N37" i="53" s="1"/>
  <c r="F13" i="44"/>
  <c r="Q40" i="42"/>
  <c r="P78" i="2"/>
  <c r="L57" i="58"/>
  <c r="L19" i="42" s="1"/>
  <c r="M10" i="2"/>
  <c r="K61" i="58"/>
  <c r="M29" i="53"/>
  <c r="M37" i="53" s="1"/>
  <c r="P10" i="42"/>
  <c r="P79" i="2"/>
  <c r="Q58" i="42"/>
  <c r="Q68" i="42" s="1" a="1"/>
  <c r="Q68" i="42" s="1"/>
  <c r="Q23" i="42"/>
  <c r="Q43" i="42"/>
  <c r="P23" i="42"/>
  <c r="Q21" i="42"/>
  <c r="F17" i="44"/>
  <c r="P16" i="42"/>
  <c r="P106" i="42"/>
  <c r="Q31" i="42"/>
  <c r="M10" i="53"/>
  <c r="M25" i="53" s="1"/>
  <c r="P21" i="42"/>
  <c r="L10" i="58"/>
  <c r="L28" i="42" s="1"/>
  <c r="M64" i="2"/>
  <c r="M73" i="2" s="1"/>
  <c r="Q35" i="42"/>
  <c r="Q14" i="42"/>
  <c r="Q16" i="42"/>
  <c r="P40" i="42"/>
  <c r="P43" i="42"/>
  <c r="Q49" i="42"/>
  <c r="Q75" i="42"/>
  <c r="P37" i="42"/>
  <c r="P94" i="42"/>
  <c r="P14" i="42"/>
  <c r="S77" i="2"/>
  <c r="V16" i="55"/>
  <c r="Q78" i="2"/>
  <c r="P45" i="53"/>
  <c r="Q14" i="2"/>
  <c r="S36" i="2"/>
  <c r="N40" i="42"/>
  <c r="Q24" i="2"/>
  <c r="Q64" i="2"/>
  <c r="Q73" i="2" s="1"/>
  <c r="N12" i="42"/>
  <c r="I73" i="55"/>
  <c r="V73" i="55" s="1"/>
  <c r="L93" i="2"/>
  <c r="N43" i="42"/>
  <c r="Q113" i="2"/>
  <c r="Q117" i="2" s="1"/>
  <c r="S14" i="2"/>
  <c r="S113" i="2"/>
  <c r="S117" i="2" s="1"/>
  <c r="N46" i="42"/>
  <c r="N75" i="42"/>
  <c r="P29" i="53"/>
  <c r="Q75" i="2"/>
  <c r="R10" i="2"/>
  <c r="R12" i="2" s="1"/>
  <c r="L49" i="2"/>
  <c r="L60" i="2" s="1"/>
  <c r="S24" i="2"/>
  <c r="N49" i="42"/>
  <c r="M24" i="2"/>
  <c r="V9" i="55"/>
  <c r="M106" i="2"/>
  <c r="M109" i="2"/>
  <c r="M108" i="2"/>
  <c r="M107" i="2"/>
  <c r="K113" i="2"/>
  <c r="K117" i="2" s="1"/>
  <c r="C106" i="2" a="1"/>
  <c r="C109" i="2" s="1"/>
  <c r="N29" i="58"/>
  <c r="N23" i="42" s="1"/>
  <c r="T78" i="2"/>
  <c r="N16" i="42"/>
  <c r="I75" i="55"/>
  <c r="V75" i="55" s="1"/>
  <c r="J10" i="53"/>
  <c r="R78" i="2"/>
  <c r="P34" i="58"/>
  <c r="J29" i="53"/>
  <c r="J37" i="53" s="1"/>
  <c r="M93" i="2"/>
  <c r="K104" i="2"/>
  <c r="K108" i="2" s="1"/>
  <c r="J29" i="58"/>
  <c r="I77" i="55"/>
  <c r="V77" i="55" s="1"/>
  <c r="K36" i="2"/>
  <c r="K47" i="2" s="1"/>
  <c r="K18" i="44"/>
  <c r="K15" i="44"/>
  <c r="K16" i="44"/>
  <c r="K17" i="44"/>
  <c r="K14" i="44"/>
  <c r="K13" i="44"/>
  <c r="T15" i="44"/>
  <c r="T18" i="44"/>
  <c r="T13" i="44"/>
  <c r="I81" i="55"/>
  <c r="V81" i="55" s="1"/>
  <c r="N104" i="2"/>
  <c r="N109" i="2" s="1"/>
  <c r="J24" i="2"/>
  <c r="F52" i="42"/>
  <c r="F87" i="42"/>
  <c r="F84" i="42"/>
  <c r="F82" i="42"/>
  <c r="O45" i="53"/>
  <c r="J104" i="2"/>
  <c r="J109" i="2" s="1"/>
  <c r="P10" i="53"/>
  <c r="F22" i="42"/>
  <c r="F29" i="42"/>
  <c r="F98" i="42"/>
  <c r="F96" i="42"/>
  <c r="F79" i="42"/>
  <c r="K93" i="2"/>
  <c r="N49" i="2"/>
  <c r="N60" i="2" s="1"/>
  <c r="J113" i="2"/>
  <c r="J117" i="2" s="1"/>
  <c r="J10" i="2"/>
  <c r="K49" i="2"/>
  <c r="K60" i="2" s="1"/>
  <c r="N10" i="2"/>
  <c r="J14" i="2"/>
  <c r="F15" i="44"/>
  <c r="F26" i="42"/>
  <c r="F83" i="42"/>
  <c r="F97" i="42"/>
  <c r="F81" i="42"/>
  <c r="F90" i="42"/>
  <c r="L43" i="42"/>
  <c r="F24" i="42"/>
  <c r="S19" i="42"/>
  <c r="S49" i="42"/>
  <c r="L75" i="42"/>
  <c r="T79" i="2"/>
  <c r="N14" i="2"/>
  <c r="J64" i="2"/>
  <c r="J73" i="2" s="1"/>
  <c r="F88" i="42"/>
  <c r="F33" i="42"/>
  <c r="F99" i="42"/>
  <c r="F54" i="42"/>
  <c r="J49" i="2"/>
  <c r="J60" i="2" s="1"/>
  <c r="E21" i="42"/>
  <c r="F77" i="42"/>
  <c r="F109" i="42"/>
  <c r="F15" i="42"/>
  <c r="F80" i="42"/>
  <c r="S1" i="54"/>
  <c r="G10" i="16" s="1"/>
  <c r="P40" i="2"/>
  <c r="N75" i="2"/>
  <c r="R36" i="2"/>
  <c r="F110" i="42"/>
  <c r="F85" i="42"/>
  <c r="F102" i="42"/>
  <c r="F35" i="42"/>
  <c r="L49" i="42"/>
  <c r="S33" i="42"/>
  <c r="S37" i="42"/>
  <c r="I27" i="55"/>
  <c r="P77" i="2"/>
  <c r="J57" i="58"/>
  <c r="I50" i="55"/>
  <c r="V50" i="55" s="1"/>
  <c r="M14" i="44"/>
  <c r="M15" i="44"/>
  <c r="M18" i="44"/>
  <c r="M16" i="44"/>
  <c r="M17" i="44"/>
  <c r="M13" i="44"/>
  <c r="T16" i="44"/>
  <c r="T113" i="2"/>
  <c r="T117" i="2" s="1"/>
  <c r="O104" i="2"/>
  <c r="O107" i="2" s="1"/>
  <c r="J23" i="42"/>
  <c r="J14" i="42"/>
  <c r="I55" i="55"/>
  <c r="V55" i="55" s="1"/>
  <c r="J17" i="44"/>
  <c r="T49" i="2"/>
  <c r="T60" i="2" s="1"/>
  <c r="R10" i="58"/>
  <c r="R28" i="42" s="1"/>
  <c r="T36" i="2"/>
  <c r="J12" i="42"/>
  <c r="F19" i="58"/>
  <c r="Q104" i="2"/>
  <c r="T14" i="44"/>
  <c r="T17" i="44"/>
  <c r="O49" i="2"/>
  <c r="O60" i="2" s="1"/>
  <c r="F22" i="58"/>
  <c r="N41" i="53"/>
  <c r="N45" i="53" s="1"/>
  <c r="T64" i="2"/>
  <c r="T73" i="2" s="1"/>
  <c r="J58" i="42"/>
  <c r="J71" i="42" s="1" a="1"/>
  <c r="J71" i="42" s="1"/>
  <c r="I54" i="55"/>
  <c r="V54" i="55" s="1"/>
  <c r="I48" i="55"/>
  <c r="V48" i="55" s="1"/>
  <c r="I34" i="55"/>
  <c r="V34" i="55" s="1"/>
  <c r="M12" i="42"/>
  <c r="O10" i="2"/>
  <c r="S78" i="2"/>
  <c r="T77" i="2"/>
  <c r="K14" i="42"/>
  <c r="O14" i="2"/>
  <c r="O75" i="2"/>
  <c r="J37" i="42"/>
  <c r="J46" i="42"/>
  <c r="J33" i="42"/>
  <c r="O24" i="2"/>
  <c r="J93" i="2"/>
  <c r="T75" i="2"/>
  <c r="I66" i="55"/>
  <c r="I79" i="55"/>
  <c r="V79" i="55" s="1"/>
  <c r="I71" i="55"/>
  <c r="V71" i="55" s="1"/>
  <c r="I74" i="55"/>
  <c r="V74" i="55" s="1"/>
  <c r="H82" i="55"/>
  <c r="I59" i="55"/>
  <c r="V59" i="55" s="1"/>
  <c r="I39" i="55"/>
  <c r="V39" i="55" s="1"/>
  <c r="I32" i="55"/>
  <c r="V32" i="55" s="1"/>
  <c r="I70" i="55"/>
  <c r="V70" i="55" s="1"/>
  <c r="I64" i="55"/>
  <c r="V64" i="55" s="1"/>
  <c r="I30" i="55"/>
  <c r="V30" i="55" s="1"/>
  <c r="I26" i="55"/>
  <c r="I42" i="55"/>
  <c r="V42" i="55" s="1"/>
  <c r="I46" i="55"/>
  <c r="V46" i="55" s="1"/>
  <c r="I58" i="55"/>
  <c r="V58" i="55" s="1"/>
  <c r="I62" i="55"/>
  <c r="V62" i="55" s="1"/>
  <c r="I38" i="55"/>
  <c r="V38" i="55" s="1"/>
  <c r="I31" i="55"/>
  <c r="V31" i="55" s="1"/>
  <c r="I35" i="55"/>
  <c r="V35" i="55" s="1"/>
  <c r="I51" i="55"/>
  <c r="V51" i="55" s="1"/>
  <c r="I47" i="55"/>
  <c r="V47" i="55" s="1"/>
  <c r="I63" i="55"/>
  <c r="V63" i="55" s="1"/>
  <c r="I43" i="55"/>
  <c r="V43" i="55" s="1"/>
  <c r="I67" i="55"/>
  <c r="V67" i="55" s="1"/>
  <c r="I57" i="55"/>
  <c r="V57" i="55" s="1"/>
  <c r="I41" i="55"/>
  <c r="V41" i="55" s="1"/>
  <c r="I25" i="55"/>
  <c r="V19" i="55"/>
  <c r="V11" i="55"/>
  <c r="I78" i="55"/>
  <c r="I72" i="55"/>
  <c r="V72" i="55" s="1"/>
  <c r="I76" i="55"/>
  <c r="V76" i="55" s="1"/>
  <c r="I56" i="55"/>
  <c r="V56" i="55" s="1"/>
  <c r="I40" i="55"/>
  <c r="V40" i="55" s="1"/>
  <c r="I61" i="55"/>
  <c r="V61" i="55" s="1"/>
  <c r="I45" i="55"/>
  <c r="V45" i="55" s="1"/>
  <c r="I29" i="55"/>
  <c r="I49" i="55"/>
  <c r="V49" i="55" s="1"/>
  <c r="I33" i="55"/>
  <c r="V33" i="55" s="1"/>
  <c r="O73" i="2"/>
  <c r="S73" i="2"/>
  <c r="I80" i="55"/>
  <c r="V80" i="55" s="1"/>
  <c r="N10" i="58"/>
  <c r="N24" i="2"/>
  <c r="N36" i="2"/>
  <c r="N47" i="2" s="1"/>
  <c r="N113" i="2"/>
  <c r="N117" i="2" s="1"/>
  <c r="P68" i="42" a="1"/>
  <c r="P68" i="42" s="1"/>
  <c r="S34" i="58"/>
  <c r="S61" i="58"/>
  <c r="S10" i="58"/>
  <c r="I60" i="55"/>
  <c r="V60" i="55" s="1"/>
  <c r="I44" i="55"/>
  <c r="V44" i="55" s="1"/>
  <c r="I28" i="55"/>
  <c r="I69" i="55"/>
  <c r="V69" i="55" s="1"/>
  <c r="I65" i="55"/>
  <c r="V65" i="55" s="1"/>
  <c r="L41" i="53"/>
  <c r="L45" i="53" s="1"/>
  <c r="L10" i="53"/>
  <c r="R41" i="53"/>
  <c r="R45" i="53" s="1"/>
  <c r="R10" i="53"/>
  <c r="R29" i="53"/>
  <c r="I53" i="55"/>
  <c r="V53" i="55" s="1"/>
  <c r="I37" i="55"/>
  <c r="V37" i="55" s="1"/>
  <c r="I68" i="55"/>
  <c r="V68" i="55" s="1"/>
  <c r="I52" i="55"/>
  <c r="V52" i="55" s="1"/>
  <c r="I36" i="55"/>
  <c r="V36" i="55" s="1"/>
  <c r="T40" i="2"/>
  <c r="V24" i="55"/>
  <c r="S47" i="2" l="1"/>
  <c r="T61" i="42"/>
  <c r="T70" i="42" s="1"/>
  <c r="T71" i="42" a="1"/>
  <c r="T71" i="42" s="1"/>
  <c r="T68" i="42" a="1"/>
  <c r="T68" i="42" s="1"/>
  <c r="T65" i="42" a="1"/>
  <c r="T65" i="42" s="1"/>
  <c r="F21" i="42"/>
  <c r="R64" i="42"/>
  <c r="W33" i="53"/>
  <c r="T13" i="42"/>
  <c r="L107" i="2"/>
  <c r="Q64" i="42"/>
  <c r="T20" i="42"/>
  <c r="K62" i="42" a="1"/>
  <c r="K62" i="42" s="1"/>
  <c r="K65" i="42" a="1"/>
  <c r="K65" i="42" s="1"/>
  <c r="N68" i="42" a="1"/>
  <c r="N68" i="42" s="1"/>
  <c r="J25" i="53"/>
  <c r="W22" i="53"/>
  <c r="H88" i="55"/>
  <c r="J12" i="2"/>
  <c r="M65" i="42" a="1"/>
  <c r="M65" i="42" s="1"/>
  <c r="J108" i="2"/>
  <c r="M62" i="42" a="1"/>
  <c r="M62" i="42" s="1"/>
  <c r="F16" i="42"/>
  <c r="J106" i="2"/>
  <c r="K28" i="42"/>
  <c r="L108" i="2"/>
  <c r="L106" i="2"/>
  <c r="M71" i="42" a="1"/>
  <c r="M71" i="42" s="1"/>
  <c r="M68" i="42" a="1"/>
  <c r="M68" i="42" s="1"/>
  <c r="L61" i="42"/>
  <c r="L70" i="42" s="1"/>
  <c r="L65" i="42" a="1"/>
  <c r="L65" i="42" s="1"/>
  <c r="L68" i="42" a="1"/>
  <c r="L68" i="42" s="1"/>
  <c r="L71" i="42" a="1"/>
  <c r="L71" i="42" s="1"/>
  <c r="K71" i="42" a="1"/>
  <c r="K71" i="42" s="1"/>
  <c r="R47" i="2"/>
  <c r="K68" i="42" a="1"/>
  <c r="K68" i="42" s="1"/>
  <c r="N61" i="42"/>
  <c r="N70" i="42" s="1"/>
  <c r="J107" i="2"/>
  <c r="Q42" i="2"/>
  <c r="N106" i="2"/>
  <c r="V55" i="58"/>
  <c r="R109" i="2"/>
  <c r="I82" i="55"/>
  <c r="V82" i="55" s="1"/>
  <c r="Q106" i="2"/>
  <c r="Q109" i="2"/>
  <c r="X93" i="2"/>
  <c r="S109" i="2"/>
  <c r="R108" i="2"/>
  <c r="C16" i="2" a="1"/>
  <c r="C22" i="2" s="1"/>
  <c r="C108" i="2"/>
  <c r="C107" i="2"/>
  <c r="C106" i="2"/>
  <c r="P108" i="2"/>
  <c r="K107" i="2"/>
  <c r="K106" i="2"/>
  <c r="K109" i="2"/>
  <c r="Q107" i="2"/>
  <c r="T107" i="2"/>
  <c r="W45" i="53"/>
  <c r="V37" i="58"/>
  <c r="S106" i="2"/>
  <c r="T106" i="2"/>
  <c r="J68" i="42" a="1"/>
  <c r="J68" i="42" s="1"/>
  <c r="R107" i="2"/>
  <c r="T108" i="2"/>
  <c r="X73" i="2"/>
  <c r="S107" i="2"/>
  <c r="T109" i="2"/>
  <c r="Q108" i="2"/>
  <c r="X60" i="2"/>
  <c r="S108" i="2"/>
  <c r="N108" i="2"/>
  <c r="N107" i="2"/>
  <c r="P107" i="2"/>
  <c r="C26" i="2" a="1"/>
  <c r="P109" i="2"/>
  <c r="P106" i="2"/>
  <c r="X117" i="2"/>
  <c r="P42" i="2"/>
  <c r="K12" i="2"/>
  <c r="R106" i="2"/>
  <c r="H83" i="55"/>
  <c r="I83" i="55" s="1"/>
  <c r="V83" i="55" s="1"/>
  <c r="L12" i="2"/>
  <c r="V66" i="55"/>
  <c r="J61" i="42"/>
  <c r="J70" i="42" s="1"/>
  <c r="J62" i="42" a="1"/>
  <c r="J62" i="42" s="1"/>
  <c r="J65" i="42" a="1"/>
  <c r="J65" i="42" s="1"/>
  <c r="O106" i="2"/>
  <c r="O109" i="2"/>
  <c r="O108" i="2"/>
  <c r="W12" i="53"/>
  <c r="V13" i="58"/>
  <c r="H86" i="55"/>
  <c r="V78" i="55"/>
  <c r="M12" i="2"/>
  <c r="W20" i="53"/>
  <c r="S28" i="42"/>
  <c r="V64" i="58"/>
  <c r="V43" i="58"/>
  <c r="V20" i="58"/>
  <c r="W14" i="53"/>
  <c r="T42" i="2"/>
  <c r="V65" i="58"/>
  <c r="W17" i="53"/>
  <c r="V53" i="58"/>
  <c r="V42" i="58"/>
  <c r="W13" i="53"/>
  <c r="W32" i="53"/>
  <c r="W16" i="53"/>
  <c r="L25" i="53"/>
  <c r="W19" i="53"/>
  <c r="W15" i="53"/>
  <c r="W21" i="53"/>
  <c r="W18" i="53"/>
  <c r="V51" i="58"/>
  <c r="V54" i="58"/>
  <c r="V41" i="58"/>
  <c r="V19" i="58"/>
  <c r="V22" i="58"/>
  <c r="V24" i="58"/>
  <c r="V21" i="58"/>
  <c r="V23" i="58"/>
  <c r="I88" i="55" l="1"/>
  <c r="V88" i="55" s="1"/>
  <c r="H90" i="55"/>
  <c r="I90" i="55" s="1"/>
  <c r="P47" i="2"/>
  <c r="N71" i="42" a="1"/>
  <c r="N71" i="42" s="1"/>
  <c r="N62" i="42" a="1"/>
  <c r="N62" i="42" s="1"/>
  <c r="Q47" i="2"/>
  <c r="O61" i="42"/>
  <c r="O62" i="42" s="1" a="1"/>
  <c r="O62" i="42" s="1"/>
  <c r="P64" i="42"/>
  <c r="C20" i="2"/>
  <c r="P20" i="2" s="1"/>
  <c r="H87" i="55"/>
  <c r="I87" i="55" s="1"/>
  <c r="V87" i="55" s="1"/>
  <c r="P61" i="42"/>
  <c r="C17" i="2"/>
  <c r="E17" i="2" s="1"/>
  <c r="C18" i="2"/>
  <c r="E18" i="2" s="1"/>
  <c r="C21" i="2"/>
  <c r="C19" i="2"/>
  <c r="M19" i="2" s="1"/>
  <c r="C16" i="2"/>
  <c r="Q61" i="42"/>
  <c r="Q70" i="42" s="1"/>
  <c r="R61" i="42"/>
  <c r="R70" i="42" s="1"/>
  <c r="S61" i="42"/>
  <c r="O64" i="42"/>
  <c r="C32" i="2"/>
  <c r="C31" i="2"/>
  <c r="C27" i="2"/>
  <c r="C30" i="2"/>
  <c r="C29" i="2"/>
  <c r="C28" i="2"/>
  <c r="C26" i="2"/>
  <c r="I86" i="55"/>
  <c r="H85" i="55"/>
  <c r="I85" i="55" s="1"/>
  <c r="P22" i="2"/>
  <c r="O22" i="2"/>
  <c r="M22" i="2"/>
  <c r="E22" i="2"/>
  <c r="N22" i="2"/>
  <c r="K22" i="2"/>
  <c r="J22" i="2"/>
  <c r="L22" i="2"/>
  <c r="D22" i="2"/>
  <c r="S64" i="42"/>
  <c r="T47" i="2"/>
  <c r="V85" i="55" l="1"/>
  <c r="N12" i="2"/>
  <c r="N19" i="2" s="1"/>
  <c r="N29" i="2" s="1"/>
  <c r="H89" i="55"/>
  <c r="I89" i="55" s="1"/>
  <c r="O12" i="2" s="1"/>
  <c r="E20" i="2"/>
  <c r="P16" i="2"/>
  <c r="E19" i="2"/>
  <c r="L18" i="2"/>
  <c r="K18" i="2" s="1"/>
  <c r="J18" i="2" s="1"/>
  <c r="J28" i="2" s="1"/>
  <c r="P18" i="2"/>
  <c r="X47" i="2"/>
  <c r="T1" i="2" s="1"/>
  <c r="G13" i="16" s="1"/>
  <c r="K17" i="2"/>
  <c r="K27" i="2" s="1"/>
  <c r="P17" i="2"/>
  <c r="D17" i="2"/>
  <c r="D19" i="2"/>
  <c r="P19" i="2"/>
  <c r="R65" i="42" a="1"/>
  <c r="R65" i="42" s="1"/>
  <c r="J16" i="2"/>
  <c r="J26" i="2" s="1"/>
  <c r="N20" i="2"/>
  <c r="D20" i="2"/>
  <c r="D18" i="2"/>
  <c r="E16" i="2"/>
  <c r="D16" i="2"/>
  <c r="P65" i="42" a="1"/>
  <c r="P65" i="42" s="1"/>
  <c r="P62" i="42" a="1"/>
  <c r="P62" i="42" s="1"/>
  <c r="P70" i="42"/>
  <c r="Q65" i="42" a="1"/>
  <c r="Q65" i="42" s="1"/>
  <c r="O65" i="42" a="1"/>
  <c r="O65" i="42" s="1"/>
  <c r="Q62" i="42" a="1"/>
  <c r="Q62" i="42" s="1"/>
  <c r="R62" i="42" a="1"/>
  <c r="R62" i="42" s="1"/>
  <c r="D21" i="2"/>
  <c r="E21" i="2"/>
  <c r="P21" i="2"/>
  <c r="O21" i="2"/>
  <c r="R100" i="42" s="1"/>
  <c r="R18" i="44" s="1"/>
  <c r="O70" i="42"/>
  <c r="S62" i="42" a="1"/>
  <c r="S62" i="42" s="1"/>
  <c r="Q29" i="2"/>
  <c r="S29" i="2"/>
  <c r="E29" i="2"/>
  <c r="T29" i="2"/>
  <c r="P29" i="2"/>
  <c r="R29" i="2"/>
  <c r="D29" i="2"/>
  <c r="R27" i="2"/>
  <c r="E27" i="2"/>
  <c r="S27" i="2"/>
  <c r="Q27" i="2"/>
  <c r="P27" i="2"/>
  <c r="D27" i="2"/>
  <c r="T27" i="2"/>
  <c r="T31" i="2"/>
  <c r="Q31" i="2"/>
  <c r="D31" i="2"/>
  <c r="E31" i="2"/>
  <c r="P31" i="2"/>
  <c r="S31" i="2"/>
  <c r="R31" i="2"/>
  <c r="Q28" i="2"/>
  <c r="S28" i="2"/>
  <c r="R28" i="2"/>
  <c r="T28" i="2"/>
  <c r="D28" i="2"/>
  <c r="P28" i="2"/>
  <c r="E28" i="2"/>
  <c r="M32" i="2"/>
  <c r="J32" i="2"/>
  <c r="P32" i="2"/>
  <c r="E32" i="2"/>
  <c r="S32" i="2"/>
  <c r="K32" i="2"/>
  <c r="R32" i="2"/>
  <c r="Q32" i="2"/>
  <c r="L32" i="2"/>
  <c r="T32" i="2"/>
  <c r="D32" i="2"/>
  <c r="N32" i="2"/>
  <c r="O32" i="2"/>
  <c r="S30" i="2"/>
  <c r="P30" i="2"/>
  <c r="E30" i="2"/>
  <c r="D30" i="2"/>
  <c r="Q30" i="2"/>
  <c r="R30" i="2"/>
  <c r="T30" i="2"/>
  <c r="M29" i="2"/>
  <c r="R26" i="2"/>
  <c r="D26" i="2"/>
  <c r="Q26" i="2"/>
  <c r="S26" i="2"/>
  <c r="E26" i="2"/>
  <c r="T26" i="2"/>
  <c r="P26" i="2"/>
  <c r="V86" i="55"/>
  <c r="S70" i="42"/>
  <c r="S65" i="42" a="1"/>
  <c r="S65" i="42" s="1"/>
  <c r="L19" i="2"/>
  <c r="N30" i="2" l="1"/>
  <c r="V1" i="55"/>
  <c r="G11" i="16" s="1"/>
  <c r="N16" i="44"/>
  <c r="N14" i="44"/>
  <c r="N15" i="44"/>
  <c r="N17" i="44"/>
  <c r="N18" i="44"/>
  <c r="J17" i="2"/>
  <c r="J27" i="2" s="1"/>
  <c r="M20" i="2"/>
  <c r="M30" i="2" s="1"/>
  <c r="K28" i="2"/>
  <c r="L17" i="2"/>
  <c r="L27" i="2" s="1"/>
  <c r="P98" i="42"/>
  <c r="P16" i="44" s="1"/>
  <c r="O29" i="42"/>
  <c r="M18" i="2"/>
  <c r="M28" i="2" s="1"/>
  <c r="O47" i="42"/>
  <c r="L28" i="2"/>
  <c r="K16" i="2"/>
  <c r="L16" i="2" s="1"/>
  <c r="S99" i="42"/>
  <c r="S17" i="44" s="1"/>
  <c r="T99" i="42"/>
  <c r="L50" i="42"/>
  <c r="M29" i="42"/>
  <c r="O100" i="42"/>
  <c r="O18" i="44" s="1"/>
  <c r="S98" i="42"/>
  <c r="S16" i="44" s="1"/>
  <c r="P100" i="42"/>
  <c r="P18" i="44" s="1"/>
  <c r="O20" i="2"/>
  <c r="O30" i="2" s="1"/>
  <c r="M57" i="58"/>
  <c r="M19" i="42" s="1"/>
  <c r="L47" i="42"/>
  <c r="Q29" i="42"/>
  <c r="Q99" i="42"/>
  <c r="Q17" i="44" s="1"/>
  <c r="P50" i="42"/>
  <c r="T98" i="42"/>
  <c r="Q50" i="42"/>
  <c r="Q98" i="42"/>
  <c r="Q16" i="44" s="1"/>
  <c r="P99" i="42"/>
  <c r="P17" i="44" s="1"/>
  <c r="J29" i="42"/>
  <c r="K47" i="42"/>
  <c r="S29" i="42"/>
  <c r="P47" i="42"/>
  <c r="K50" i="42"/>
  <c r="T50" i="42"/>
  <c r="T96" i="42"/>
  <c r="M47" i="42"/>
  <c r="O50" i="42"/>
  <c r="N21" i="2"/>
  <c r="N31" i="2" s="1"/>
  <c r="V63" i="58" s="1"/>
  <c r="T29" i="42"/>
  <c r="J50" i="42"/>
  <c r="R29" i="42"/>
  <c r="O98" i="42"/>
  <c r="P29" i="42"/>
  <c r="R50" i="42"/>
  <c r="J47" i="42"/>
  <c r="T47" i="42"/>
  <c r="S50" i="42"/>
  <c r="M50" i="42"/>
  <c r="R47" i="42"/>
  <c r="R99" i="42"/>
  <c r="R17" i="44" s="1"/>
  <c r="Q100" i="42"/>
  <c r="Q18" i="44" s="1"/>
  <c r="L29" i="42"/>
  <c r="Q47" i="42"/>
  <c r="R98" i="42"/>
  <c r="R16" i="44" s="1"/>
  <c r="K29" i="42"/>
  <c r="N47" i="42"/>
  <c r="N50" i="42"/>
  <c r="S47" i="42"/>
  <c r="O99" i="42"/>
  <c r="O17" i="44" s="1"/>
  <c r="T100" i="42"/>
  <c r="S100" i="42"/>
  <c r="S18" i="44" s="1"/>
  <c r="P71" i="42" a="1"/>
  <c r="P71" i="42" s="1"/>
  <c r="O71" i="42" a="1"/>
  <c r="O71" i="42" s="1"/>
  <c r="R71" i="42" a="1"/>
  <c r="R71" i="42" s="1"/>
  <c r="Q71" i="42" a="1"/>
  <c r="Q71" i="42" s="1"/>
  <c r="R20" i="42"/>
  <c r="R13" i="42"/>
  <c r="R26" i="42" s="1"/>
  <c r="O13" i="42"/>
  <c r="O26" i="42" s="1"/>
  <c r="O20" i="42"/>
  <c r="P13" i="42"/>
  <c r="P26" i="42" s="1"/>
  <c r="P20" i="42"/>
  <c r="Q13" i="42"/>
  <c r="Q26" i="42" s="1"/>
  <c r="Q20" i="42"/>
  <c r="S13" i="42"/>
  <c r="S26" i="42" s="1"/>
  <c r="S20" i="42"/>
  <c r="O31" i="2"/>
  <c r="O19" i="2"/>
  <c r="S71" i="42" a="1"/>
  <c r="S71" i="42" s="1"/>
  <c r="L29" i="2"/>
  <c r="K19" i="2"/>
  <c r="O16" i="44" l="1"/>
  <c r="K26" i="2"/>
  <c r="L20" i="2"/>
  <c r="L30" i="2" s="1"/>
  <c r="M17" i="2"/>
  <c r="M27" i="2" s="1"/>
  <c r="N18" i="2"/>
  <c r="N28" i="2" s="1"/>
  <c r="M21" i="2"/>
  <c r="M31" i="2" s="1"/>
  <c r="L77" i="42"/>
  <c r="S77" i="42"/>
  <c r="J78" i="42"/>
  <c r="P78" i="42"/>
  <c r="N77" i="42"/>
  <c r="R78" i="42"/>
  <c r="L78" i="42"/>
  <c r="S97" i="42"/>
  <c r="S15" i="44" s="1"/>
  <c r="Q77" i="42"/>
  <c r="N13" i="42"/>
  <c r="N26" i="42" s="1"/>
  <c r="N20" i="42"/>
  <c r="R77" i="42"/>
  <c r="O97" i="42"/>
  <c r="O77" i="42"/>
  <c r="O78" i="42"/>
  <c r="T78" i="42"/>
  <c r="N78" i="42"/>
  <c r="P97" i="42"/>
  <c r="Q97" i="42"/>
  <c r="M78" i="42"/>
  <c r="Q78" i="42"/>
  <c r="T97" i="42"/>
  <c r="T102" i="42" s="1"/>
  <c r="O29" i="2"/>
  <c r="S78" i="42"/>
  <c r="R97" i="42"/>
  <c r="R15" i="44" s="1"/>
  <c r="M77" i="42"/>
  <c r="K77" i="42"/>
  <c r="K78" i="42"/>
  <c r="P77" i="42"/>
  <c r="J77" i="42"/>
  <c r="T77" i="42"/>
  <c r="M13" i="42"/>
  <c r="M26" i="42" s="1"/>
  <c r="M20" i="42"/>
  <c r="K29" i="2"/>
  <c r="J19" i="2"/>
  <c r="J29" i="2" s="1"/>
  <c r="L26" i="2"/>
  <c r="M16" i="2"/>
  <c r="N17" i="2" l="1"/>
  <c r="N27" i="2" s="1"/>
  <c r="O15" i="44"/>
  <c r="K20" i="2"/>
  <c r="O18" i="2"/>
  <c r="N41" i="42" s="1"/>
  <c r="N57" i="58"/>
  <c r="V52" i="58"/>
  <c r="L21" i="2"/>
  <c r="K21" i="2" s="1"/>
  <c r="Q15" i="44"/>
  <c r="O44" i="42"/>
  <c r="K41" i="42"/>
  <c r="R44" i="42"/>
  <c r="P15" i="44"/>
  <c r="L13" i="42"/>
  <c r="L26" i="42" s="1"/>
  <c r="L20" i="42"/>
  <c r="M26" i="2"/>
  <c r="N16" i="2"/>
  <c r="O17" i="2" l="1"/>
  <c r="O27" i="2" s="1"/>
  <c r="J20" i="2"/>
  <c r="J30" i="2" s="1"/>
  <c r="K30" i="2"/>
  <c r="L38" i="42"/>
  <c r="L44" i="42"/>
  <c r="S41" i="42"/>
  <c r="S44" i="42"/>
  <c r="N38" i="42"/>
  <c r="R41" i="42"/>
  <c r="R38" i="42"/>
  <c r="T38" i="42"/>
  <c r="N44" i="42"/>
  <c r="J41" i="42"/>
  <c r="J44" i="42"/>
  <c r="P44" i="42"/>
  <c r="P41" i="42"/>
  <c r="J38" i="42"/>
  <c r="M44" i="42"/>
  <c r="S38" i="42"/>
  <c r="L41" i="42"/>
  <c r="T44" i="42"/>
  <c r="K44" i="42"/>
  <c r="T41" i="42"/>
  <c r="K38" i="42"/>
  <c r="P38" i="42"/>
  <c r="O41" i="42"/>
  <c r="O28" i="2"/>
  <c r="M41" i="42"/>
  <c r="O38" i="42"/>
  <c r="Q41" i="42"/>
  <c r="M38" i="42"/>
  <c r="Q38" i="42"/>
  <c r="Q44" i="42"/>
  <c r="L31" i="2"/>
  <c r="K13" i="42" s="1"/>
  <c r="K26" i="42" s="1"/>
  <c r="K31" i="2"/>
  <c r="J21" i="2"/>
  <c r="J31" i="2" s="1"/>
  <c r="N26" i="2"/>
  <c r="O16" i="2"/>
  <c r="O52" i="42" l="1"/>
  <c r="O54" i="42" s="1"/>
  <c r="R52" i="42"/>
  <c r="R54" i="42" s="1"/>
  <c r="K52" i="42"/>
  <c r="K54" i="42" s="1"/>
  <c r="Q52" i="42"/>
  <c r="Q54" i="42" s="1"/>
  <c r="L52" i="42"/>
  <c r="L54" i="42" s="1"/>
  <c r="P52" i="42"/>
  <c r="P54" i="42" s="1"/>
  <c r="S52" i="42"/>
  <c r="S54" i="42" s="1"/>
  <c r="J52" i="42"/>
  <c r="K20" i="42"/>
  <c r="J20" i="42"/>
  <c r="J13" i="42"/>
  <c r="J26" i="42" s="1"/>
  <c r="S24" i="42"/>
  <c r="K22" i="42"/>
  <c r="M22" i="42"/>
  <c r="O26" i="2"/>
  <c r="R22" i="42"/>
  <c r="P24" i="42"/>
  <c r="J22" i="42"/>
  <c r="L24" i="42"/>
  <c r="L15" i="42"/>
  <c r="Q15" i="42"/>
  <c r="P15" i="42"/>
  <c r="S22" i="42"/>
  <c r="O17" i="42"/>
  <c r="L17" i="42"/>
  <c r="S17" i="42"/>
  <c r="M90" i="42"/>
  <c r="Q17" i="42"/>
  <c r="O15" i="42"/>
  <c r="M24" i="42"/>
  <c r="S15" i="42"/>
  <c r="T17" i="42"/>
  <c r="K15" i="42"/>
  <c r="J24" i="42"/>
  <c r="N24" i="42"/>
  <c r="P22" i="42"/>
  <c r="O24" i="42"/>
  <c r="T90" i="42"/>
  <c r="J17" i="42"/>
  <c r="N15" i="42"/>
  <c r="M17" i="42"/>
  <c r="R24" i="42"/>
  <c r="Q22" i="42"/>
  <c r="O22" i="42"/>
  <c r="L22" i="42"/>
  <c r="M15" i="42"/>
  <c r="T15" i="42"/>
  <c r="J15" i="42"/>
  <c r="P17" i="42"/>
  <c r="N17" i="42"/>
  <c r="K17" i="42"/>
  <c r="R15" i="42"/>
  <c r="R17" i="42"/>
  <c r="T24" i="42"/>
  <c r="Q24" i="42"/>
  <c r="N90" i="42"/>
  <c r="K24" i="42"/>
  <c r="T22" i="42"/>
  <c r="N22" i="42"/>
  <c r="L90" i="42"/>
  <c r="M35" i="42" l="1"/>
  <c r="M31" i="42"/>
  <c r="J54" i="42"/>
  <c r="K90" i="42"/>
  <c r="N31" i="42"/>
  <c r="J90" i="42"/>
  <c r="N35" i="42"/>
  <c r="N109" i="42" l="1"/>
  <c r="N110" i="42" s="1"/>
  <c r="N108" i="42"/>
  <c r="N13" i="44" s="1"/>
  <c r="P25" i="53" l="1"/>
  <c r="P90" i="42"/>
  <c r="Q25" i="53"/>
  <c r="Q90" i="42"/>
  <c r="O25" i="53"/>
  <c r="W23" i="53"/>
  <c r="S25" i="53"/>
  <c r="S90" i="42"/>
  <c r="R25" i="53"/>
  <c r="R90" i="42"/>
  <c r="W25" i="53" l="1"/>
  <c r="V71" i="58"/>
  <c r="N28" i="42"/>
  <c r="N29" i="42" s="1"/>
  <c r="V69" i="58"/>
  <c r="O90" i="42"/>
  <c r="M33" i="42" l="1"/>
  <c r="M52" i="42" s="1"/>
  <c r="M54" i="42" s="1"/>
  <c r="S1" i="58"/>
  <c r="G12" i="16" s="1"/>
  <c r="N33" i="42"/>
  <c r="N52" i="42" l="1"/>
  <c r="N54" i="42" l="1"/>
  <c r="O108" i="42" l="1"/>
  <c r="O13" i="44" s="1"/>
  <c r="Q108" i="42"/>
  <c r="Q13" i="44" s="1"/>
  <c r="S108" i="42"/>
  <c r="S13" i="44" s="1"/>
  <c r="R108" i="42"/>
  <c r="R13" i="44" s="1"/>
  <c r="P108" i="42"/>
  <c r="P13" i="44" s="1"/>
  <c r="O37" i="53" l="1"/>
  <c r="W31" i="53"/>
  <c r="O96" i="42"/>
  <c r="R37" i="53" l="1"/>
  <c r="R96" i="42"/>
  <c r="Q37" i="53"/>
  <c r="Q96" i="42"/>
  <c r="S37" i="53"/>
  <c r="S96" i="42"/>
  <c r="P37" i="53"/>
  <c r="P96" i="42"/>
  <c r="O14" i="44"/>
  <c r="O102" i="42"/>
  <c r="W37" i="53" l="1"/>
  <c r="S1" i="53" s="1"/>
  <c r="G14" i="16" s="1"/>
  <c r="S1" i="16" s="1"/>
  <c r="V1" i="4" s="1"/>
  <c r="P14" i="44"/>
  <c r="P102" i="42"/>
  <c r="S14" i="44"/>
  <c r="S102" i="42"/>
  <c r="R14" i="44"/>
  <c r="R102" i="42"/>
  <c r="Q14" i="44"/>
  <c r="Q102" i="42"/>
  <c r="O109" i="42"/>
  <c r="O110" i="42" l="1"/>
  <c r="V1" i="53"/>
  <c r="W1" i="42"/>
  <c r="V1" i="54"/>
  <c r="V1" i="58"/>
  <c r="X1" i="2"/>
  <c r="W1" i="44"/>
  <c r="Y1" i="55"/>
  <c r="R109" i="42"/>
  <c r="R110" i="42" s="1"/>
  <c r="S109" i="42"/>
  <c r="S110" i="42" s="1"/>
  <c r="Q109" i="42"/>
  <c r="Q110" i="42" s="1"/>
  <c r="P109" i="42"/>
  <c r="P110" i="42" s="1"/>
</calcChain>
</file>

<file path=xl/sharedStrings.xml><?xml version="1.0" encoding="utf-8"?>
<sst xmlns="http://schemas.openxmlformats.org/spreadsheetml/2006/main" count="762" uniqueCount="228">
  <si>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</si>
  <si>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</si>
  <si>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</si>
  <si>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</si>
  <si>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</si>
  <si>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</si>
  <si>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</si>
  <si>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</si>
  <si>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</si>
  <si>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</si>
  <si>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</si>
  <si>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</si>
  <si>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</si>
  <si>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</si>
  <si>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</si>
  <si>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</si>
  <si>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</si>
  <si>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</si>
  <si>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</si>
  <si>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</si>
  <si>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</si>
  <si>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</si>
  <si>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</si>
  <si>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</si>
  <si>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</si>
  <si>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</si>
  <si>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</si>
  <si>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</si>
  <si>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</si>
  <si>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</si>
  <si>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</si>
  <si>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</si>
  <si>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</si>
  <si>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</si>
  <si>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</si>
  <si>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</si>
  <si>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</si>
  <si>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</si>
  <si>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</si>
  <si>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</si>
  <si>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</si>
  <si>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</si>
  <si>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</si>
  <si>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</si>
  <si>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</si>
  <si>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</si>
  <si>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</si>
  <si>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</si>
  <si>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</si>
  <si>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</si>
  <si>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</si>
  <si>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</si>
  <si>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</si>
  <si>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</si>
  <si>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</si>
  <si>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</si>
  <si>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</si>
  <si>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</si>
  <si>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</si>
  <si>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</si>
  <si>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</si>
  <si>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</si>
  <si>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</si>
  <si>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</si>
  <si>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</si>
  <si>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</si>
  <si>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</si>
  <si>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</si>
  <si>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</si>
  <si>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</si>
  <si>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</si>
  <si>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</si>
  <si>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</si>
  <si>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</si>
  <si>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</si>
  <si>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</si>
  <si>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</si>
  <si>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</si>
  <si>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</si>
  <si>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</si>
  <si>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</si>
  <si>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</si>
  <si>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</si>
  <si>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</si>
  <si>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</si>
  <si>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</si>
  <si>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</si>
  <si>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</si>
  <si>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</si>
  <si>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</si>
  <si>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</si>
  <si>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</si>
  <si>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</si>
  <si>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</si>
  <si>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</si>
  <si>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</si>
  <si>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</si>
  <si>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</si>
  <si>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</si>
  <si>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</si>
  <si>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</si>
  <si>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</si>
  <si>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</si>
  <si>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</si>
  <si>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</si>
  <si>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</si>
  <si>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</si>
  <si>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</si>
  <si>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</si>
  <si>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</si>
  <si>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</si>
  <si>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</si>
  <si>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</si>
  <si>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</si>
  <si>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</si>
  <si>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</si>
  <si>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</si>
  <si>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</si>
  <si>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</si>
  <si>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</si>
  <si>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</si>
  <si>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</si>
  <si>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</si>
  <si>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</si>
  <si>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</si>
  <si>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</si>
  <si>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</si>
  <si>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</si>
  <si>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</si>
  <si>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</si>
  <si>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</si>
  <si>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</si>
  <si>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</si>
  <si>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</si>
  <si>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</si>
  <si>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</si>
  <si>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</si>
  <si>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</si>
  <si>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</si>
  <si>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</si>
  <si>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</si>
  <si>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</si>
  <si>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</si>
  <si>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</si>
  <si>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</si>
  <si>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</si>
  <si>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</si>
  <si>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</si>
  <si>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</si>
  <si>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</si>
  <si>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</si>
  <si>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</si>
  <si>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</si>
  <si>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</si>
  <si>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</si>
  <si>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</si>
  <si>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</si>
  <si>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</si>
  <si>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</si>
  <si>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</si>
  <si>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</si>
  <si>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</si>
  <si>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</si>
  <si>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</si>
  <si>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</si>
  <si>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</si>
  <si>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</si>
  <si>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</si>
  <si>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</si>
  <si>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</si>
  <si>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</si>
  <si>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</si>
  <si>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</si>
  <si>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</si>
  <si>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</si>
  <si>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</si>
  <si>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</si>
  <si>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</si>
  <si>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</si>
  <si>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</si>
  <si>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</si>
  <si>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</si>
  <si>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</si>
  <si>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</si>
  <si>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</si>
  <si>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</si>
  <si>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</si>
  <si>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</si>
  <si>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</si>
  <si>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</si>
  <si>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</si>
  <si>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</si>
  <si>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</si>
  <si>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</si>
  <si>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</si>
  <si>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</si>
  <si>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</si>
  <si>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</si>
  <si>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</si>
  <si>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</si>
  <si>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</si>
  <si>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</si>
  <si>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</si>
  <si>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</si>
  <si>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</si>
  <si>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</si>
  <si>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</si>
  <si>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</si>
  <si>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</si>
  <si>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Ausnet</t>
  </si>
  <si>
    <t xml:space="preserve">WPI - average </t>
  </si>
  <si>
    <t>Insurance</t>
  </si>
  <si>
    <t>Easement Land Tax</t>
  </si>
  <si>
    <t>AEMO participant fees</t>
  </si>
  <si>
    <t>Pass through opex</t>
  </si>
  <si>
    <t>Easement Land tax</t>
  </si>
  <si>
    <t>Non-recurrent digital opex</t>
  </si>
  <si>
    <t>Digital (inc SaaS, etc)</t>
  </si>
  <si>
    <t>Landholder Engagement</t>
  </si>
  <si>
    <t>Easement land tax</t>
  </si>
  <si>
    <t>Growth Assets Roll In</t>
  </si>
  <si>
    <t>Index value</t>
  </si>
  <si>
    <t>Index value, 2011-12 = 100</t>
  </si>
  <si>
    <t>Index value, Sep quarter 2025 = 100</t>
  </si>
  <si>
    <t>Saas costs</t>
  </si>
  <si>
    <t>Overview | Statement on Monetary Policy – May 2026 | RBA</t>
  </si>
  <si>
    <t>WPI – BIS Oxford Economics</t>
  </si>
  <si>
    <t>WPI – Deloitte Access Economics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</si>
</sst>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#,##0.0_ ;\-#,##0.0\ "/>
    <numFmt numFmtId="211" formatCode="0.0;\-0.0;_(&quot;-&quot;_)"/>
    <numFmt numFmtId="212" formatCode="_(#\ ##0.0_);\(#\ ##0.0\);_(&quot;-&quot;_)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76">
    <xf numFmtId="0" fontId="0" fillId="0" borderId="0"/>
    <xf numFmtId="170" fontId="7" fillId="7" borderId="0" applyProtection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71" fontId="16" fillId="0" borderId="5">
      <alignment horizontal="right" vertical="center"/>
      <protection locked="0"/>
    </xf>
    <xf numFmtId="166" fontId="14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16" fillId="0" borderId="0"/>
    <xf numFmtId="178" fontId="16" fillId="0" borderId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0" borderId="0"/>
    <xf numFmtId="167" fontId="28" fillId="0" borderId="0" applyFont="0" applyFill="0" applyBorder="0" applyAlignment="0" applyProtection="0"/>
    <xf numFmtId="0" fontId="29" fillId="30" borderId="0" applyNumberFormat="0" applyBorder="0" applyAlignment="0" applyProtection="0"/>
    <xf numFmtId="0" fontId="30" fillId="0" borderId="0" applyNumberFormat="0" applyFill="0" applyBorder="0" applyAlignment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14" borderId="11" applyNumberFormat="0" applyAlignment="0" applyProtection="0"/>
    <xf numFmtId="0" fontId="33" fillId="31" borderId="12" applyNumberFormat="0" applyAlignment="0" applyProtection="0"/>
    <xf numFmtId="164" fontId="2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3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180" fontId="2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9" fillId="0" borderId="0"/>
    <xf numFmtId="0" fontId="40" fillId="0" borderId="0"/>
    <xf numFmtId="0" fontId="41" fillId="35" borderId="0" applyNumberFormat="0" applyBorder="0" applyAlignment="0" applyProtection="0"/>
    <xf numFmtId="0" fontId="25" fillId="0" borderId="0" applyFill="0" applyBorder="0">
      <alignment vertical="center"/>
    </xf>
    <xf numFmtId="0" fontId="42" fillId="0" borderId="13" applyNumberFormat="0" applyFill="0" applyAlignment="0" applyProtection="0"/>
    <xf numFmtId="0" fontId="25" fillId="0" borderId="0" applyFill="0" applyBorder="0">
      <alignment vertical="center"/>
    </xf>
    <xf numFmtId="0" fontId="43" fillId="0" borderId="0" applyFill="0" applyBorder="0">
      <alignment vertical="center"/>
    </xf>
    <xf numFmtId="0" fontId="44" fillId="0" borderId="14" applyNumberFormat="0" applyFill="0" applyAlignment="0" applyProtection="0"/>
    <xf numFmtId="0" fontId="43" fillId="0" borderId="0" applyFill="0" applyBorder="0">
      <alignment vertical="center"/>
    </xf>
    <xf numFmtId="0" fontId="13" fillId="0" borderId="0" applyFill="0" applyBorder="0">
      <alignment vertical="center"/>
    </xf>
    <xf numFmtId="0" fontId="45" fillId="0" borderId="15" applyNumberFormat="0" applyFill="0" applyAlignment="0" applyProtection="0"/>
    <xf numFmtId="0" fontId="13" fillId="0" borderId="0" applyFill="0" applyBorder="0">
      <alignment vertical="center"/>
    </xf>
    <xf numFmtId="0" fontId="16" fillId="0" borderId="0" applyFill="0" applyBorder="0">
      <alignment vertical="center"/>
    </xf>
    <xf numFmtId="0" fontId="45" fillId="0" borderId="0" applyNumberFormat="0" applyFill="0" applyBorder="0" applyAlignment="0" applyProtection="0"/>
    <xf numFmtId="0" fontId="16" fillId="0" borderId="0" applyFill="0" applyBorder="0">
      <alignment vertical="center"/>
    </xf>
    <xf numFmtId="182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Fill="0" applyBorder="0">
      <alignment horizontal="center" vertical="center"/>
      <protection locked="0"/>
    </xf>
    <xf numFmtId="0" fontId="49" fillId="0" borderId="0" applyFill="0" applyBorder="0">
      <alignment horizontal="left" vertical="center"/>
      <protection locked="0"/>
    </xf>
    <xf numFmtId="0" fontId="50" fillId="12" borderId="11" applyNumberFormat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83" fontId="23" fillId="6" borderId="0" applyFont="0" applyBorder="0">
      <alignment horizontal="right"/>
      <protection locked="0"/>
    </xf>
    <xf numFmtId="183" fontId="23" fillId="6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16" fillId="4" borderId="0"/>
    <xf numFmtId="0" fontId="51" fillId="0" borderId="16" applyNumberFormat="0" applyFill="0" applyAlignment="0" applyProtection="0"/>
    <xf numFmtId="184" fontId="52" fillId="0" borderId="0"/>
    <xf numFmtId="0" fontId="53" fillId="0" borderId="0" applyFill="0" applyBorder="0">
      <alignment horizontal="left" vertical="center"/>
    </xf>
    <xf numFmtId="0" fontId="54" fillId="15" borderId="0" applyNumberFormat="0" applyBorder="0" applyAlignment="0" applyProtection="0"/>
    <xf numFmtId="185" fontId="5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8" fillId="0" borderId="0"/>
    <xf numFmtId="0" fontId="23" fillId="3" borderId="0"/>
    <xf numFmtId="0" fontId="56" fillId="0" borderId="0"/>
    <xf numFmtId="0" fontId="23" fillId="0" borderId="0"/>
    <xf numFmtId="0" fontId="23" fillId="0" borderId="0"/>
    <xf numFmtId="0" fontId="23" fillId="13" borderId="17" applyNumberFormat="0" applyFont="0" applyAlignment="0" applyProtection="0"/>
    <xf numFmtId="0" fontId="57" fillId="14" borderId="18" applyNumberFormat="0" applyAlignment="0" applyProtection="0"/>
    <xf numFmtId="186" fontId="23" fillId="0" borderId="0" applyFill="0" applyBorder="0"/>
    <xf numFmtId="186" fontId="23" fillId="0" borderId="0" applyFill="0" applyBorder="0"/>
    <xf numFmtId="186" fontId="23" fillId="0" borderId="0" applyFill="0" applyBorder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2" fontId="58" fillId="0" borderId="0"/>
    <xf numFmtId="0" fontId="13" fillId="0" borderId="0" applyFill="0" applyBorder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187" fontId="59" fillId="0" borderId="19"/>
    <xf numFmtId="0" fontId="60" fillId="0" borderId="20">
      <alignment horizontal="center"/>
    </xf>
    <xf numFmtId="3" fontId="34" fillId="0" borderId="0" applyFont="0" applyFill="0" applyBorder="0" applyAlignment="0" applyProtection="0"/>
    <xf numFmtId="0" fontId="34" fillId="37" borderId="0" applyNumberFormat="0" applyFont="0" applyBorder="0" applyAlignment="0" applyProtection="0"/>
    <xf numFmtId="188" fontId="23" fillId="0" borderId="0"/>
    <xf numFmtId="188" fontId="23" fillId="0" borderId="0"/>
    <xf numFmtId="188" fontId="23" fillId="0" borderId="0"/>
    <xf numFmtId="189" fontId="16" fillId="0" borderId="0" applyFill="0" applyBorder="0">
      <alignment horizontal="right" vertical="center"/>
    </xf>
    <xf numFmtId="190" fontId="16" fillId="0" borderId="0" applyFill="0" applyBorder="0">
      <alignment horizontal="right" vertical="center"/>
    </xf>
    <xf numFmtId="191" fontId="16" fillId="0" borderId="0" applyFill="0" applyBorder="0">
      <alignment horizontal="right" vertical="center"/>
    </xf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6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3" fillId="0" borderId="0"/>
    <xf numFmtId="0" fontId="62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63" fillId="9" borderId="7" applyBorder="0" applyProtection="0">
      <alignment horizontal="centerContinuous" vertical="center"/>
    </xf>
    <xf numFmtId="0" fontId="64" fillId="0" borderId="0" applyBorder="0" applyProtection="0">
      <alignment vertical="center"/>
    </xf>
    <xf numFmtId="0" fontId="65" fillId="0" borderId="0">
      <alignment horizontal="left"/>
    </xf>
    <xf numFmtId="0" fontId="65" fillId="0" borderId="10" applyFill="0" applyBorder="0" applyProtection="0">
      <alignment horizontal="left" vertical="top"/>
    </xf>
    <xf numFmtId="49" fontId="23" fillId="0" borderId="0" applyFont="0" applyFill="0" applyBorder="0" applyAlignment="0" applyProtection="0"/>
    <xf numFmtId="0" fontId="66" fillId="0" borderId="0"/>
    <xf numFmtId="49" fontId="23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84" fontId="68" fillId="0" borderId="0"/>
    <xf numFmtId="0" fontId="61" fillId="0" borderId="0" applyNumberFormat="0" applyFill="0" applyBorder="0" applyAlignment="0" applyProtection="0"/>
    <xf numFmtId="0" fontId="69" fillId="0" borderId="0" applyFill="0" applyBorder="0">
      <alignment horizontal="left" vertical="center"/>
      <protection locked="0"/>
    </xf>
    <xf numFmtId="0" fontId="66" fillId="0" borderId="0"/>
    <xf numFmtId="0" fontId="70" fillId="0" borderId="0" applyFill="0" applyBorder="0">
      <alignment horizontal="left" vertical="center"/>
      <protection locked="0"/>
    </xf>
    <xf numFmtId="0" fontId="37" fillId="0" borderId="21" applyNumberFormat="0" applyFill="0" applyAlignment="0" applyProtection="0"/>
    <xf numFmtId="0" fontId="71" fillId="0" borderId="0" applyNumberFormat="0" applyFill="0" applyBorder="0" applyAlignment="0" applyProtection="0"/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7" fillId="42" borderId="0"/>
    <xf numFmtId="202" fontId="78" fillId="0" borderId="22">
      <alignment horizontal="center"/>
    </xf>
    <xf numFmtId="0" fontId="79" fillId="43" borderId="6">
      <alignment horizontal="center" vertical="center"/>
    </xf>
    <xf numFmtId="0" fontId="23" fillId="44" borderId="11"/>
    <xf numFmtId="0" fontId="80" fillId="0" borderId="0" applyFill="0" applyBorder="0"/>
    <xf numFmtId="0" fontId="81" fillId="0" borderId="0" applyNumberFormat="0" applyFill="0"/>
    <xf numFmtId="0" fontId="82" fillId="0" borderId="0" applyFill="0"/>
    <xf numFmtId="0" fontId="83" fillId="0" borderId="0" applyFill="0"/>
    <xf numFmtId="0" fontId="84" fillId="0" borderId="0" applyFill="0"/>
    <xf numFmtId="0" fontId="77" fillId="45" borderId="0"/>
    <xf numFmtId="0" fontId="23" fillId="38" borderId="23" applyNumberFormat="0" applyFont="0" applyAlignment="0"/>
    <xf numFmtId="0" fontId="85" fillId="7" borderId="24" applyNumberFormat="0"/>
    <xf numFmtId="0" fontId="86" fillId="46" borderId="0"/>
    <xf numFmtId="0" fontId="87" fillId="46" borderId="0" applyNumberFormat="0"/>
    <xf numFmtId="0" fontId="88" fillId="46" borderId="0"/>
    <xf numFmtId="0" fontId="89" fillId="47" borderId="6" applyNumberFormat="0">
      <alignment horizontal="center" vertical="center"/>
    </xf>
    <xf numFmtId="0" fontId="90" fillId="48" borderId="11" applyNumberFormat="0" applyAlignment="0">
      <alignment horizontal="right"/>
    </xf>
    <xf numFmtId="0" fontId="25" fillId="38" borderId="23" applyNumberFormat="0" applyAlignment="0"/>
    <xf numFmtId="0" fontId="78" fillId="0" borderId="0" applyNumberFormat="0" applyFill="0" applyBorder="0"/>
    <xf numFmtId="0" fontId="91" fillId="49" borderId="23" applyNumberFormat="0">
      <protection locked="0"/>
    </xf>
    <xf numFmtId="0" fontId="4" fillId="0" borderId="0"/>
    <xf numFmtId="0" fontId="93" fillId="50" borderId="27">
      <alignment vertical="center"/>
    </xf>
    <xf numFmtId="166" fontId="14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165" fontId="94" fillId="0" borderId="0" applyFont="0" applyFill="0" applyBorder="0" applyAlignment="0" applyProtection="0"/>
    <xf numFmtId="0" fontId="3" fillId="0" borderId="0"/>
    <xf numFmtId="166" fontId="94" fillId="0" borderId="0" applyFont="0" applyFill="0" applyBorder="0" applyAlignment="0" applyProtection="0"/>
    <xf numFmtId="0" fontId="94" fillId="0" borderId="0"/>
    <xf numFmtId="207" fontId="23" fillId="0" borderId="0" applyFill="0" applyBorder="0">
      <alignment vertical="center"/>
    </xf>
    <xf numFmtId="0" fontId="2" fillId="0" borderId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4" borderId="0" applyNumberFormat="0" applyFont="0" applyBorder="0" applyAlignment="0">
      <alignment horizontal="right"/>
    </xf>
    <xf numFmtId="41" fontId="23" fillId="4" borderId="0" applyNumberFormat="0" applyFont="0" applyBorder="0" applyAlignment="0">
      <alignment horizontal="right"/>
    </xf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23" fillId="36" borderId="0" applyFont="0" applyBorder="0" applyAlignment="0">
      <alignment horizontal="right"/>
      <protection locked="0"/>
    </xf>
    <xf numFmtId="41" fontId="23" fillId="36" borderId="0" applyFont="0" applyBorder="0" applyAlignment="0">
      <alignment horizontal="right"/>
      <protection locked="0"/>
    </xf>
    <xf numFmtId="41" fontId="23" fillId="10" borderId="0" applyFont="0" applyBorder="0">
      <alignment horizontal="right"/>
      <protection locked="0"/>
    </xf>
    <xf numFmtId="41" fontId="23" fillId="10" borderId="0" applyFon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4" borderId="0" applyNumberFormat="0" applyFont="0" applyBorder="0" applyAlignment="0">
      <alignment horizontal="right"/>
    </xf>
    <xf numFmtId="41" fontId="23" fillId="4" borderId="0" applyNumberFormat="0" applyFont="0" applyBorder="0" applyAlignment="0">
      <alignment horizontal="right"/>
    </xf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23" fillId="36" borderId="0" applyFont="0" applyBorder="0" applyAlignment="0">
      <alignment horizontal="right"/>
      <protection locked="0"/>
    </xf>
    <xf numFmtId="41" fontId="23" fillId="36" borderId="0" applyFont="0" applyBorder="0" applyAlignment="0">
      <alignment horizontal="right"/>
      <protection locked="0"/>
    </xf>
    <xf numFmtId="41" fontId="23" fillId="10" borderId="0" applyFont="0" applyBorder="0">
      <alignment horizontal="right"/>
      <protection locked="0"/>
    </xf>
    <xf numFmtId="41" fontId="23" fillId="10" borderId="0" applyFon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4" fillId="0" borderId="0" applyFont="0" applyFill="0" applyBorder="0" applyAlignment="0" applyProtection="0"/>
    <xf numFmtId="0" fontId="1" fillId="0" borderId="0"/>
    <xf numFmtId="43" fontId="94" fillId="0" borderId="0" applyFont="0" applyFill="0" applyBorder="0" applyAlignment="0" applyProtection="0"/>
    <xf numFmtId="0" fontId="1" fillId="0" borderId="0"/>
  </cellStyleXfs>
  <cellXfs count="203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6" fillId="2" borderId="1" xfId="0" applyFont="1" applyFill="1" applyBorder="1"/>
    <xf numFmtId="168" fontId="7" fillId="3" borderId="0" xfId="0" applyNumberFormat="1" applyFont="1" applyFill="1"/>
    <xf numFmtId="168" fontId="8" fillId="0" borderId="0" xfId="0" applyNumberFormat="1" applyFont="1"/>
    <xf numFmtId="168" fontId="7" fillId="0" borderId="0" xfId="0" applyNumberFormat="1" applyFont="1"/>
    <xf numFmtId="168" fontId="9" fillId="0" borderId="0" xfId="0" applyNumberFormat="1" applyFont="1"/>
    <xf numFmtId="168" fontId="10" fillId="0" borderId="0" xfId="0" applyNumberFormat="1" applyFont="1"/>
    <xf numFmtId="0" fontId="7" fillId="5" borderId="0" xfId="0" applyFont="1" applyFill="1"/>
    <xf numFmtId="0" fontId="7" fillId="6" borderId="0" xfId="0" applyFont="1" applyFill="1"/>
    <xf numFmtId="168" fontId="13" fillId="0" borderId="0" xfId="0" applyNumberFormat="1" applyFont="1"/>
    <xf numFmtId="168" fontId="9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1"/>
    </xf>
    <xf numFmtId="168" fontId="8" fillId="0" borderId="0" xfId="0" applyNumberFormat="1" applyFont="1" applyAlignment="1">
      <alignment horizontal="center"/>
    </xf>
    <xf numFmtId="168" fontId="0" fillId="0" borderId="0" xfId="0" applyNumberFormat="1"/>
    <xf numFmtId="166" fontId="13" fillId="0" borderId="6" xfId="0" applyNumberFormat="1" applyFont="1" applyBorder="1" applyAlignment="1">
      <alignment horizontal="center"/>
    </xf>
    <xf numFmtId="168" fontId="8" fillId="3" borderId="0" xfId="0" applyNumberFormat="1" applyFont="1" applyFill="1"/>
    <xf numFmtId="168" fontId="19" fillId="0" borderId="0" xfId="0" applyNumberFormat="1" applyFont="1" applyAlignment="1">
      <alignment horizontal="center"/>
    </xf>
    <xf numFmtId="168" fontId="8" fillId="3" borderId="0" xfId="0" applyNumberFormat="1" applyFont="1" applyFill="1" applyAlignment="1">
      <alignment horizontal="center"/>
    </xf>
    <xf numFmtId="174" fontId="13" fillId="0" borderId="0" xfId="5" applyNumberFormat="1" applyFont="1" applyBorder="1" applyAlignment="1" applyProtection="1">
      <alignment horizontal="center" vertical="center"/>
    </xf>
    <xf numFmtId="175" fontId="7" fillId="0" borderId="0" xfId="0" applyNumberFormat="1" applyFont="1"/>
    <xf numFmtId="168" fontId="18" fillId="0" borderId="0" xfId="3" applyNumberFormat="1" applyFont="1" applyAlignment="1" applyProtection="1">
      <alignment horizontal="center"/>
    </xf>
    <xf numFmtId="0" fontId="72" fillId="38" borderId="0" xfId="0" applyFont="1" applyFill="1" applyAlignment="1">
      <alignment horizontal="left" vertical="center"/>
    </xf>
    <xf numFmtId="0" fontId="72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4" fillId="38" borderId="0" xfId="0" applyNumberFormat="1" applyFont="1" applyFill="1" applyAlignment="1">
      <alignment horizontal="center"/>
    </xf>
    <xf numFmtId="0" fontId="74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5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5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4" fillId="39" borderId="4" xfId="0" applyFont="1" applyFill="1" applyBorder="1"/>
    <xf numFmtId="169" fontId="7" fillId="41" borderId="3" xfId="0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/>
    <xf numFmtId="0" fontId="74" fillId="38" borderId="0" xfId="0" applyFont="1" applyFill="1" applyAlignment="1">
      <alignment horizontal="left"/>
    </xf>
    <xf numFmtId="0" fontId="74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7" fillId="40" borderId="0" xfId="0" applyFont="1" applyFill="1" applyAlignment="1">
      <alignment horizontal="center"/>
    </xf>
    <xf numFmtId="168" fontId="19" fillId="0" borderId="0" xfId="0" applyNumberFormat="1" applyFont="1" applyAlignment="1">
      <alignment horizontal="center" wrapText="1"/>
    </xf>
    <xf numFmtId="197" fontId="7" fillId="0" borderId="0" xfId="0" applyNumberFormat="1" applyFont="1" applyAlignment="1">
      <alignment horizontal="left"/>
    </xf>
    <xf numFmtId="168" fontId="8" fillId="0" borderId="0" xfId="0" applyNumberFormat="1" applyFont="1" applyAlignment="1">
      <alignment horizontal="center" wrapText="1"/>
    </xf>
    <xf numFmtId="168" fontId="20" fillId="40" borderId="9" xfId="0" applyNumberFormat="1" applyFont="1" applyFill="1" applyBorder="1" applyAlignment="1" applyProtection="1">
      <alignment horizontal="center"/>
      <protection locked="0"/>
    </xf>
    <xf numFmtId="0" fontId="74" fillId="38" borderId="1" xfId="0" applyFont="1" applyFill="1" applyBorder="1" applyAlignment="1">
      <alignment horizontal="left" indent="9"/>
    </xf>
    <xf numFmtId="0" fontId="24" fillId="38" borderId="2" xfId="0" applyFont="1" applyFill="1" applyBorder="1"/>
    <xf numFmtId="0" fontId="75" fillId="38" borderId="2" xfId="0" applyFont="1" applyFill="1" applyBorder="1"/>
    <xf numFmtId="0" fontId="75" fillId="39" borderId="4" xfId="0" applyFont="1" applyFill="1" applyBorder="1"/>
    <xf numFmtId="0" fontId="75" fillId="39" borderId="4" xfId="0" applyFont="1" applyFill="1" applyBorder="1" applyAlignment="1">
      <alignment horizontal="center"/>
    </xf>
    <xf numFmtId="0" fontId="20" fillId="39" borderId="4" xfId="0" applyFont="1" applyFill="1" applyBorder="1" applyAlignment="1">
      <alignment horizontal="center" vertical="center"/>
    </xf>
    <xf numFmtId="0" fontId="20" fillId="39" borderId="4" xfId="0" applyFont="1" applyFill="1" applyBorder="1" applyAlignment="1">
      <alignment vertical="center"/>
    </xf>
    <xf numFmtId="0" fontId="75" fillId="39" borderId="4" xfId="0" applyFont="1" applyFill="1" applyBorder="1" applyAlignment="1">
      <alignment wrapText="1"/>
    </xf>
    <xf numFmtId="165" fontId="20" fillId="39" borderId="4" xfId="0" applyNumberFormat="1" applyFont="1" applyFill="1" applyBorder="1" applyAlignment="1">
      <alignment horizontal="center" wrapText="1"/>
    </xf>
    <xf numFmtId="0" fontId="75" fillId="3" borderId="0" xfId="0" applyFont="1" applyFill="1" applyAlignment="1">
      <alignment wrapText="1"/>
    </xf>
    <xf numFmtId="0" fontId="75" fillId="3" borderId="0" xfId="0" applyFont="1" applyFill="1"/>
    <xf numFmtId="0" fontId="75" fillId="0" borderId="0" xfId="0" applyFont="1"/>
    <xf numFmtId="168" fontId="7" fillId="0" borderId="0" xfId="0" applyNumberFormat="1" applyFont="1" applyAlignment="1">
      <alignment horizontal="center"/>
    </xf>
    <xf numFmtId="168" fontId="18" fillId="0" borderId="0" xfId="3" applyNumberFormat="1" applyFont="1" applyFill="1" applyAlignment="1" applyProtection="1">
      <alignment horizontal="center"/>
    </xf>
    <xf numFmtId="198" fontId="7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8" fontId="9" fillId="0" borderId="8" xfId="0" applyNumberFormat="1" applyFont="1" applyBorder="1" applyAlignment="1">
      <alignment horizontal="left" indent="1"/>
    </xf>
    <xf numFmtId="168" fontId="8" fillId="0" borderId="8" xfId="0" applyNumberFormat="1" applyFont="1" applyBorder="1" applyAlignment="1">
      <alignment horizontal="center"/>
    </xf>
    <xf numFmtId="198" fontId="9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/>
    </xf>
    <xf numFmtId="10" fontId="7" fillId="0" borderId="0" xfId="2" applyNumberFormat="1" applyFont="1" applyAlignment="1" applyProtection="1">
      <alignment horizontal="center"/>
    </xf>
    <xf numFmtId="168" fontId="9" fillId="0" borderId="8" xfId="0" applyNumberFormat="1" applyFont="1" applyBorder="1"/>
    <xf numFmtId="176" fontId="7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2"/>
    </xf>
    <xf numFmtId="168" fontId="19" fillId="0" borderId="8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left" indent="1"/>
    </xf>
    <xf numFmtId="195" fontId="9" fillId="0" borderId="0" xfId="0" applyNumberFormat="1" applyFont="1" applyAlignment="1">
      <alignment horizontal="center"/>
    </xf>
    <xf numFmtId="201" fontId="7" fillId="0" borderId="0" xfId="0" applyNumberFormat="1" applyFont="1" applyAlignment="1">
      <alignment horizontal="center"/>
    </xf>
    <xf numFmtId="201" fontId="9" fillId="0" borderId="0" xfId="0" applyNumberFormat="1" applyFont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166" fontId="13" fillId="0" borderId="0" xfId="0" applyNumberFormat="1" applyFont="1" applyAlignment="1">
      <alignment horizontal="center"/>
    </xf>
    <xf numFmtId="0" fontId="11" fillId="38" borderId="2" xfId="0" applyFont="1" applyFill="1" applyBorder="1"/>
    <xf numFmtId="0" fontId="12" fillId="38" borderId="2" xfId="0" applyFont="1" applyFill="1" applyBorder="1" applyAlignment="1">
      <alignment horizontal="center"/>
    </xf>
    <xf numFmtId="0" fontId="12" fillId="38" borderId="2" xfId="0" applyFont="1" applyFill="1" applyBorder="1"/>
    <xf numFmtId="168" fontId="9" fillId="0" borderId="7" xfId="0" applyNumberFormat="1" applyFont="1" applyBorder="1"/>
    <xf numFmtId="168" fontId="7" fillId="0" borderId="7" xfId="0" applyNumberFormat="1" applyFont="1" applyBorder="1"/>
    <xf numFmtId="10" fontId="7" fillId="0" borderId="0" xfId="2" applyNumberFormat="1" applyFont="1" applyBorder="1" applyAlignment="1" applyProtection="1">
      <alignment horizontal="center"/>
    </xf>
    <xf numFmtId="176" fontId="7" fillId="0" borderId="0" xfId="0" applyNumberFormat="1" applyFont="1"/>
    <xf numFmtId="200" fontId="9" fillId="0" borderId="0" xfId="0" applyNumberFormat="1" applyFont="1" applyAlignment="1">
      <alignment horizontal="center"/>
    </xf>
    <xf numFmtId="168" fontId="7" fillId="0" borderId="0" xfId="0" applyNumberFormat="1" applyFont="1" applyProtection="1">
      <protection locked="0"/>
    </xf>
    <xf numFmtId="203" fontId="7" fillId="41" borderId="3" xfId="0" applyNumberFormat="1" applyFont="1" applyFill="1" applyBorder="1" applyAlignment="1" applyProtection="1">
      <alignment horizontal="center"/>
      <protection locked="0"/>
    </xf>
    <xf numFmtId="1" fontId="7" fillId="41" borderId="3" xfId="0" applyNumberFormat="1" applyFont="1" applyFill="1" applyBorder="1" applyAlignment="1" applyProtection="1">
      <alignment horizontal="center"/>
      <protection locked="0"/>
    </xf>
    <xf numFmtId="204" fontId="75" fillId="39" borderId="4" xfId="0" applyNumberFormat="1" applyFont="1" applyFill="1" applyBorder="1" applyAlignment="1">
      <alignment horizontal="center" wrapText="1"/>
    </xf>
    <xf numFmtId="204" fontId="92" fillId="38" borderId="2" xfId="0" applyNumberFormat="1" applyFont="1" applyFill="1" applyBorder="1" applyAlignment="1">
      <alignment horizontal="center"/>
    </xf>
    <xf numFmtId="204" fontId="75" fillId="38" borderId="2" xfId="0" applyNumberFormat="1" applyFont="1" applyFill="1" applyBorder="1" applyAlignment="1">
      <alignment horizontal="left"/>
    </xf>
    <xf numFmtId="204" fontId="7" fillId="0" borderId="0" xfId="0" applyNumberFormat="1" applyFont="1" applyAlignment="1">
      <alignment horizontal="left" indent="1"/>
    </xf>
    <xf numFmtId="204" fontId="8" fillId="0" borderId="0" xfId="0" applyNumberFormat="1" applyFont="1" applyAlignment="1">
      <alignment horizontal="center"/>
    </xf>
    <xf numFmtId="204" fontId="9" fillId="0" borderId="0" xfId="0" applyNumberFormat="1" applyFont="1" applyAlignment="1">
      <alignment horizontal="center"/>
    </xf>
    <xf numFmtId="0" fontId="75" fillId="38" borderId="25" xfId="0" applyFont="1" applyFill="1" applyBorder="1"/>
    <xf numFmtId="204" fontId="19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left" indent="1"/>
    </xf>
    <xf numFmtId="204" fontId="8" fillId="0" borderId="7" xfId="0" applyNumberFormat="1" applyFont="1" applyBorder="1" applyAlignment="1">
      <alignment horizontal="center"/>
    </xf>
    <xf numFmtId="205" fontId="7" fillId="0" borderId="0" xfId="2" applyNumberFormat="1" applyFont="1" applyFill="1" applyBorder="1" applyAlignment="1" applyProtection="1">
      <alignment horizontal="center"/>
    </xf>
    <xf numFmtId="0" fontId="75" fillId="38" borderId="2" xfId="0" applyFont="1" applyFill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204" fontId="7" fillId="0" borderId="3" xfId="0" applyNumberFormat="1" applyFont="1" applyBorder="1" applyAlignment="1" applyProtection="1">
      <alignment horizontal="center"/>
      <protection locked="0"/>
    </xf>
    <xf numFmtId="195" fontId="7" fillId="0" borderId="0" xfId="0" applyNumberFormat="1" applyFont="1" applyProtection="1">
      <protection locked="0"/>
    </xf>
    <xf numFmtId="195" fontId="9" fillId="0" borderId="0" xfId="0" applyNumberFormat="1" applyFont="1" applyProtection="1">
      <protection locked="0"/>
    </xf>
    <xf numFmtId="204" fontId="20" fillId="8" borderId="9" xfId="0" applyNumberFormat="1" applyFont="1" applyFill="1" applyBorder="1" applyAlignment="1" applyProtection="1">
      <alignment horizontal="center"/>
      <protection locked="0"/>
    </xf>
    <xf numFmtId="206" fontId="7" fillId="0" borderId="0" xfId="0" applyNumberFormat="1" applyFont="1" applyProtection="1">
      <protection locked="0"/>
    </xf>
    <xf numFmtId="1" fontId="7" fillId="0" borderId="0" xfId="0" applyNumberFormat="1" applyFont="1" applyAlignment="1" applyProtection="1">
      <alignment horizontal="center"/>
      <protection locked="0"/>
    </xf>
    <xf numFmtId="204" fontId="7" fillId="0" borderId="0" xfId="0" applyNumberFormat="1" applyFont="1" applyAlignment="1" applyProtection="1">
      <alignment horizontal="center"/>
      <protection locked="0"/>
    </xf>
    <xf numFmtId="195" fontId="21" fillId="0" borderId="0" xfId="0" applyNumberFormat="1" applyFont="1" applyProtection="1">
      <protection locked="0"/>
    </xf>
    <xf numFmtId="195" fontId="15" fillId="0" borderId="0" xfId="3" applyNumberFormat="1" applyProtection="1">
      <protection locked="0"/>
    </xf>
    <xf numFmtId="193" fontId="7" fillId="0" borderId="0" xfId="0" applyNumberFormat="1" applyFont="1" applyAlignment="1" applyProtection="1">
      <alignment horizontal="center"/>
      <protection locked="0"/>
    </xf>
    <xf numFmtId="0" fontId="79" fillId="39" borderId="4" xfId="0" applyFont="1" applyFill="1" applyBorder="1" applyAlignment="1">
      <alignment vertical="center"/>
    </xf>
    <xf numFmtId="165" fontId="79" fillId="39" borderId="4" xfId="0" applyNumberFormat="1" applyFont="1" applyFill="1" applyBorder="1" applyAlignment="1">
      <alignment horizontal="center" wrapText="1"/>
    </xf>
    <xf numFmtId="168" fontId="76" fillId="0" borderId="0" xfId="0" applyNumberFormat="1" applyFont="1" applyAlignment="1">
      <alignment horizontal="center"/>
    </xf>
    <xf numFmtId="168" fontId="75" fillId="0" borderId="0" xfId="0" applyNumberFormat="1" applyFont="1" applyAlignment="1">
      <alignment horizontal="center"/>
    </xf>
    <xf numFmtId="168" fontId="24" fillId="0" borderId="0" xfId="0" applyNumberFormat="1" applyFont="1"/>
    <xf numFmtId="204" fontId="24" fillId="0" borderId="7" xfId="0" applyNumberFormat="1" applyFont="1" applyBorder="1" applyAlignment="1">
      <alignment horizontal="center"/>
    </xf>
    <xf numFmtId="168" fontId="24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4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4" fillId="0" borderId="4" xfId="0" applyNumberFormat="1" applyFont="1" applyBorder="1" applyAlignment="1">
      <alignment horizontal="left"/>
    </xf>
    <xf numFmtId="168" fontId="76" fillId="0" borderId="4" xfId="0" applyNumberFormat="1" applyFont="1" applyBorder="1" applyAlignment="1">
      <alignment horizontal="center"/>
    </xf>
    <xf numFmtId="204" fontId="76" fillId="0" borderId="4" xfId="0" applyNumberFormat="1" applyFont="1" applyBorder="1" applyAlignment="1">
      <alignment horizontal="center"/>
    </xf>
    <xf numFmtId="199" fontId="24" fillId="0" borderId="4" xfId="5" applyNumberFormat="1" applyFont="1" applyBorder="1" applyAlignment="1" applyProtection="1">
      <alignment horizontal="center" vertical="center"/>
    </xf>
    <xf numFmtId="204" fontId="76" fillId="0" borderId="0" xfId="0" applyNumberFormat="1" applyFont="1" applyAlignment="1">
      <alignment horizontal="center"/>
    </xf>
    <xf numFmtId="49" fontId="76" fillId="0" borderId="4" xfId="0" applyNumberFormat="1" applyFont="1" applyBorder="1" applyAlignment="1">
      <alignment horizontal="center"/>
    </xf>
    <xf numFmtId="166" fontId="0" fillId="0" borderId="0" xfId="0" applyNumberFormat="1"/>
    <xf numFmtId="2" fontId="24" fillId="0" borderId="4" xfId="5" applyNumberFormat="1" applyFont="1" applyBorder="1" applyAlignment="1" applyProtection="1">
      <alignment horizontal="center" vertical="center"/>
    </xf>
    <xf numFmtId="204" fontId="24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 applyAlignment="1">
      <alignment horizontal="center" vertical="center"/>
    </xf>
    <xf numFmtId="0" fontId="75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6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4" fillId="0" borderId="0" xfId="0" applyNumberFormat="1" applyFont="1" applyAlignment="1">
      <alignment horizontal="center"/>
    </xf>
    <xf numFmtId="168" fontId="76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6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4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4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4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5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5" fillId="0" borderId="0" xfId="3" applyFill="1"/>
    <xf numFmtId="168" fontId="15" fillId="0" borderId="0" xfId="3" applyNumberFormat="1" applyAlignment="1" applyProtection="1">
      <protection locked="0"/>
    </xf>
    <xf numFmtId="0" fontId="73" fillId="38" borderId="0" xfId="0" applyFont="1" applyFill="1" applyProtection="1">
      <protection locked="0"/>
    </xf>
    <xf numFmtId="0" fontId="15" fillId="38" borderId="0" xfId="3" applyFill="1" applyBorder="1" applyAlignment="1" applyProtection="1">
      <alignment horizontal="right"/>
      <protection locked="0"/>
    </xf>
    <xf numFmtId="168" fontId="15" fillId="0" borderId="0" xfId="3" applyNumberFormat="1" applyAlignment="1" applyProtection="1">
      <alignment horizontal="center"/>
      <protection locked="0"/>
    </xf>
    <xf numFmtId="0" fontId="15" fillId="0" borderId="0" xfId="3" applyFill="1" applyProtection="1">
      <protection locked="0"/>
    </xf>
    <xf numFmtId="194" fontId="24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174" fontId="24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204" fontId="7" fillId="41" borderId="3" xfId="2" applyNumberFormat="1" applyFont="1" applyFill="1" applyBorder="1" applyAlignment="1" applyProtection="1">
      <alignment horizontal="center"/>
      <protection locked="0"/>
    </xf>
    <xf numFmtId="195" fontId="0" fillId="0" borderId="0" xfId="0" applyNumberFormat="1"/>
    <xf numFmtId="211" fontId="0" fillId="0" borderId="0" xfId="2" applyNumberFormat="1" applyFont="1" applyFill="1" applyBorder="1" applyAlignment="1" applyProtection="1">
      <alignment horizontal="center"/>
      <protection locked="0"/>
    </xf>
    <xf numFmtId="193" fontId="0" fillId="0" borderId="0" xfId="0" applyNumberFormat="1" applyAlignment="1" applyProtection="1">
      <alignment horizontal="center"/>
      <protection locked="0"/>
    </xf>
    <xf numFmtId="212" fontId="24" fillId="0" borderId="4" xfId="5" applyNumberFormat="1" applyFont="1" applyBorder="1" applyAlignment="1" applyProtection="1">
      <alignment horizontal="center" vertical="center"/>
    </xf>
    <xf numFmtId="2" fontId="24" fillId="0" borderId="0" xfId="0" applyNumberFormat="1" applyFont="1" applyAlignment="1">
      <alignment horizontal="center"/>
    </xf>
    <xf numFmtId="193" fontId="7" fillId="41" borderId="3" xfId="0" applyNumberFormat="1" applyFont="1" applyFill="1" applyBorder="1" applyAlignment="1" applyProtection="1">
      <alignment horizontal="center"/>
      <protection locked="0"/>
    </xf>
    <xf numFmtId="182" fontId="7" fillId="0" borderId="0" xfId="2" applyNumberFormat="1" applyFont="1" applyFill="1" applyBorder="1" applyAlignment="1" applyProtection="1">
      <alignment horizontal="center"/>
      <protection locked="0"/>
    </xf>
    <xf numFmtId="210" fontId="7" fillId="0" borderId="0" xfId="0" applyNumberFormat="1" applyFont="1" applyAlignment="1">
      <alignment horizontal="center"/>
    </xf>
    <xf numFmtId="10" fontId="7" fillId="0" borderId="0" xfId="2" applyNumberFormat="1" applyFont="1" applyFill="1" applyBorder="1" applyAlignment="1" applyProtection="1">
      <alignment horizontal="center"/>
      <protection locked="0"/>
    </xf>
    <xf numFmtId="0" fontId="75" fillId="38" borderId="2" xfId="0" applyFont="1" applyFill="1" applyBorder="1" applyAlignment="1">
      <alignment horizontal="center"/>
    </xf>
  </cellXfs>
  <cellStyles count="37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2 2 2" xfId="343" xr:uid="{185BAD65-E1CF-40CC-86F0-27916FC8ABB6}"/>
    <cellStyle name="Blockout 2 3" xfId="309" xr:uid="{A83CB401-F58B-4D81-A88E-C50D7E7C368E}"/>
    <cellStyle name="Blockout 3" xfId="268" xr:uid="{00000000-0005-0000-0000-00003A000000}"/>
    <cellStyle name="Blockout 3 2" xfId="342" xr:uid="{CEFEDBF3-3BD8-4353-A714-A7DC8254C4A0}"/>
    <cellStyle name="Blockout 4" xfId="308" xr:uid="{749F0965-1B23-4A37-9484-74A4A2C87416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0 2" xfId="340" xr:uid="{2B814623-84B6-422F-9E00-97E56DF5389D}"/>
    <cellStyle name="Comma 11" xfId="306" xr:uid="{7C930744-2E49-415D-B9A0-0926EA7FBD93}"/>
    <cellStyle name="Comma 12" xfId="338" xr:uid="{C943E683-0BBA-4385-B7A9-401E4F9DB676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2 2 2" xfId="344" xr:uid="{C05D0A7C-B10A-4D1C-BFC7-25975EE0B053}"/>
    <cellStyle name="Comma 2 2 3" xfId="310" xr:uid="{786BFBAC-8CBB-4C1F-9432-92BE0FFB6BA6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2 2 2" xfId="346" xr:uid="{936BB643-ABAE-413C-818A-BBB145CEAD94}"/>
    <cellStyle name="Comma 2 3 2 3" xfId="312" xr:uid="{CF5A3010-7C9D-49D8-855B-E4593EF4AA04}"/>
    <cellStyle name="Comma 2 3 3" xfId="271" xr:uid="{00000000-0005-0000-0000-00004D000000}"/>
    <cellStyle name="Comma 2 3 3 2" xfId="345" xr:uid="{AA4B574E-513E-4635-9170-DCBAC8A7A1FC}"/>
    <cellStyle name="Comma 2 3 4" xfId="311" xr:uid="{72C7CD87-78C5-46A5-9025-EB568422C583}"/>
    <cellStyle name="Comma 2 4" xfId="76" xr:uid="{00000000-0005-0000-0000-00004E000000}"/>
    <cellStyle name="Comma 2 4 2" xfId="273" xr:uid="{00000000-0005-0000-0000-00004F000000}"/>
    <cellStyle name="Comma 2 4 2 2" xfId="347" xr:uid="{BB0D1409-921D-46CF-BD5A-040A744D0228}"/>
    <cellStyle name="Comma 2 4 3" xfId="313" xr:uid="{21354711-22CC-4AAA-A8BD-1B44C071EC45}"/>
    <cellStyle name="Comma 2 5" xfId="77" xr:uid="{00000000-0005-0000-0000-000050000000}"/>
    <cellStyle name="Comma 2 5 2" xfId="274" xr:uid="{00000000-0005-0000-0000-000051000000}"/>
    <cellStyle name="Comma 2 5 2 2" xfId="348" xr:uid="{5F6D23D9-2A2C-47F5-B38E-9AA73F27A132}"/>
    <cellStyle name="Comma 2 5 3" xfId="314" xr:uid="{782B97D6-0D7E-42EC-AFC1-A1D3E1FD254F}"/>
    <cellStyle name="Comma 2 6" xfId="267" xr:uid="{00000000-0005-0000-0000-000052000000}"/>
    <cellStyle name="Comma 2 6 2" xfId="341" xr:uid="{129FE8CA-1789-43A4-86CC-78D2944335D2}"/>
    <cellStyle name="Comma 2 7" xfId="307" xr:uid="{F7770B88-AA65-45D7-9204-C9A8B24FBB66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3 3 2 2" xfId="349" xr:uid="{940B6E7F-DD21-49FB-9B10-6320EEFF8C06}"/>
    <cellStyle name="Comma 3 3 3" xfId="315" xr:uid="{834F0219-11C5-4365-B5AD-69CFBF8DDA0F}"/>
    <cellStyle name="Comma 4" xfId="81" xr:uid="{00000000-0005-0000-0000-000057000000}"/>
    <cellStyle name="Comma 4 2" xfId="276" xr:uid="{00000000-0005-0000-0000-000058000000}"/>
    <cellStyle name="Comma 4 2 2" xfId="350" xr:uid="{5FD08F4B-36CF-4CE3-BE99-1868F670E939}"/>
    <cellStyle name="Comma 4 3" xfId="316" xr:uid="{F441C64B-0BD2-45CB-A461-87C86FEFD013}"/>
    <cellStyle name="Comma 5" xfId="82" xr:uid="{00000000-0005-0000-0000-000059000000}"/>
    <cellStyle name="Comma 5 2" xfId="277" xr:uid="{00000000-0005-0000-0000-00005A000000}"/>
    <cellStyle name="Comma 5 2 2" xfId="351" xr:uid="{4DB53F2A-AC31-4CDD-ABD2-0380CF9FDF67}"/>
    <cellStyle name="Comma 5 3" xfId="317" xr:uid="{3A006F56-2149-439C-AE6C-3677BE74A7D2}"/>
    <cellStyle name="Comma 6" xfId="83" xr:uid="{00000000-0005-0000-0000-00005B000000}"/>
    <cellStyle name="Comma 6 2" xfId="278" xr:uid="{00000000-0005-0000-0000-00005C000000}"/>
    <cellStyle name="Comma 6 2 2" xfId="352" xr:uid="{5DE9563F-EDA2-467E-BAD5-8011D1949C53}"/>
    <cellStyle name="Comma 6 3" xfId="318" xr:uid="{BAD929C2-7D7F-4945-B7AF-C3BAB8870B4E}"/>
    <cellStyle name="Comma 7" xfId="84" xr:uid="{00000000-0005-0000-0000-00005D000000}"/>
    <cellStyle name="Comma 7 2" xfId="279" xr:uid="{00000000-0005-0000-0000-00005E000000}"/>
    <cellStyle name="Comma 7 2 2" xfId="353" xr:uid="{DD8EF5D0-0BE7-42BC-8EC6-D8824DCFC39D}"/>
    <cellStyle name="Comma 7 3" xfId="319" xr:uid="{3CC7381D-1019-4585-931C-36607BDB022B}"/>
    <cellStyle name="Comma 8" xfId="85" xr:uid="{00000000-0005-0000-0000-00005F000000}"/>
    <cellStyle name="Comma 8 2" xfId="280" xr:uid="{00000000-0005-0000-0000-000060000000}"/>
    <cellStyle name="Comma 8 2 2" xfId="354" xr:uid="{B9F492B4-143D-49B2-B580-282DDB95DC45}"/>
    <cellStyle name="Comma 8 3" xfId="320" xr:uid="{FAAB15CC-C015-4CB4-9904-8ACBA5695B8C}"/>
    <cellStyle name="Comma 9" xfId="302" xr:uid="{00000000-0005-0000-0000-000061000000}"/>
    <cellStyle name="Comma 9 2" xfId="374" xr:uid="{EDB57B1D-39B6-4FBB-8B17-AAE94D481039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2 2 2" xfId="356" xr:uid="{886376E9-581A-4599-8EC5-1C62127D4F73}"/>
    <cellStyle name="Currency 11 2 3" xfId="322" xr:uid="{DEAD61C1-B8ED-4DFA-860A-56567454B5B4}"/>
    <cellStyle name="Currency 11 3" xfId="281" xr:uid="{00000000-0005-0000-0000-000066000000}"/>
    <cellStyle name="Currency 11 3 2" xfId="355" xr:uid="{8239F5F9-E4F1-432C-9216-3C87D57F9B81}"/>
    <cellStyle name="Currency 11 4" xfId="321" xr:uid="{2F0192B1-F3B5-4212-A244-6737491EFCB6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2 2 2" xfId="358" xr:uid="{4AC7FA20-E38C-4964-A3A1-3B9DDB0E45C1}"/>
    <cellStyle name="Currency 2 2 3" xfId="324" xr:uid="{8FF87EB9-B781-48A7-AE83-3B4C9E3EDA2F}"/>
    <cellStyle name="Currency 2 3" xfId="283" xr:uid="{00000000-0005-0000-0000-00006A000000}"/>
    <cellStyle name="Currency 2 3 2" xfId="357" xr:uid="{9C38524F-3D64-4D5E-9406-F382C86303BD}"/>
    <cellStyle name="Currency 2 4" xfId="323" xr:uid="{983F2C3A-2211-4D71-8364-299943A04892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2 2 2" xfId="360" xr:uid="{093902B1-0F56-44F7-84B7-1C3F12F0044E}"/>
    <cellStyle name="Currency 3 2 3" xfId="326" xr:uid="{9FE07097-3C49-4B0A-A018-8797B4B3E9EC}"/>
    <cellStyle name="Currency 3 3" xfId="285" xr:uid="{00000000-0005-0000-0000-00006E000000}"/>
    <cellStyle name="Currency 3 3 2" xfId="359" xr:uid="{1FA30745-FC57-4C9A-BE7C-FD9A940DFCDA}"/>
    <cellStyle name="Currency 3 4" xfId="325" xr:uid="{70F44ABA-3827-4729-ACDD-6BE59D12CDA2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2 2 2" xfId="362" xr:uid="{47DBC7B8-EAE3-4BE2-8474-4EEEC094B4FF}"/>
    <cellStyle name="Currency 4 2 3" xfId="328" xr:uid="{9A694D59-20A3-433E-B107-796D2206D396}"/>
    <cellStyle name="Currency 4 3" xfId="287" xr:uid="{00000000-0005-0000-0000-000072000000}"/>
    <cellStyle name="Currency 4 3 2" xfId="361" xr:uid="{780392A6-C872-4F8B-BCD0-84A5E5CA2612}"/>
    <cellStyle name="Currency 4 4" xfId="327" xr:uid="{7C9A6822-3306-49CA-A0BC-14EC979B98CC}"/>
    <cellStyle name="Currency 5" xfId="243" xr:uid="{00000000-0005-0000-0000-000073000000}"/>
    <cellStyle name="Currency 5 2" xfId="297" xr:uid="{00000000-0005-0000-0000-000074000000}"/>
    <cellStyle name="Currency 5 2 2" xfId="371" xr:uid="{ED195FA9-C70F-4060-B0DA-4F7EB23285B6}"/>
    <cellStyle name="Currency 5 3" xfId="337" xr:uid="{9B23FB02-A4C6-4C62-90AB-52A0F2F657BF}"/>
    <cellStyle name="Currency 6" xfId="300" xr:uid="{00000000-0005-0000-0000-000075000000}"/>
    <cellStyle name="Currency 6 2" xfId="372" xr:uid="{AD3A56D5-9C53-4C46-802F-9D7B284247CA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2 2 2" xfId="364" xr:uid="{875D8064-379C-48E7-8B65-C34F227D94C6}"/>
    <cellStyle name="Input1 2 3" xfId="330" xr:uid="{8DC80CC2-323C-4705-A6B7-4D71C23320C0}"/>
    <cellStyle name="Input1 3" xfId="289" xr:uid="{00000000-0005-0000-0000-0000A0000000}"/>
    <cellStyle name="Input1 3 2" xfId="363" xr:uid="{171EF52A-2059-4BD1-8EF3-D9732E8A3396}"/>
    <cellStyle name="Input1 4" xfId="329" xr:uid="{C3B3C3B9-4DCE-49A8-96A9-1B378A818D67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2 2 2" xfId="366" xr:uid="{99110DD0-89F2-431C-92E8-0DA4201447DE}"/>
    <cellStyle name="Input3 2 3" xfId="332" xr:uid="{207DBAF7-EF4B-41E6-86B0-F4BF3E3A113F}"/>
    <cellStyle name="Input3 3" xfId="291" xr:uid="{00000000-0005-0000-0000-0000A6000000}"/>
    <cellStyle name="Input3 3 2" xfId="365" xr:uid="{BF08ABDA-C7D8-4E5A-994C-004BA9D8FABA}"/>
    <cellStyle name="Input3 4" xfId="331" xr:uid="{0486A285-D002-4CB2-BFAB-74B2AA7E1CDC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2 2" xfId="369" xr:uid="{FC9BC599-BE9B-4B7D-A6EA-6F5DB7EB17E4}"/>
    <cellStyle name="Normal 10 3" xfId="305" xr:uid="{8AEA0D15-5C51-43D8-B1A9-559B282927D3}"/>
    <cellStyle name="Normal 10 3 2" xfId="375" xr:uid="{C1E42F39-A0BA-4047-A82D-BB1DBFA18185}"/>
    <cellStyle name="Normal 10 4" xfId="335" xr:uid="{02FA93CD-21F5-420C-AF4E-354C67794531}"/>
    <cellStyle name="Normal 11" xfId="264" xr:uid="{00000000-0005-0000-0000-0000B3000000}"/>
    <cellStyle name="Normal 11 2" xfId="298" xr:uid="{00000000-0005-0000-0000-0000B4000000}"/>
    <cellStyle name="Normal 11 3" xfId="339" xr:uid="{33DA77C8-F02F-45D3-BE09-93BAD078A125}"/>
    <cellStyle name="Normal 12" xfId="301" xr:uid="{00000000-0005-0000-0000-0000B5000000}"/>
    <cellStyle name="Normal 12 2" xfId="373" xr:uid="{5776510D-4586-4054-AFFC-F070F8108392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 3 2 2" xfId="367" xr:uid="{07412CC6-B3A6-4507-A873-EC95A85DF62D}"/>
    <cellStyle name="Normal 4 3 3" xfId="333" xr:uid="{DC6A5554-F23F-4D13-B34A-12E0BE75DE94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2 2 2" xfId="368" xr:uid="{12C4B531-A74E-46DC-9D49-66B7B0F40A8D}"/>
    <cellStyle name="Normal 7 2 3" xfId="334" xr:uid="{45108439-9886-4D50-BDC0-29FA61C8FFBE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5 2 2" xfId="370" xr:uid="{D37B1599-AD14-477C-A34F-7F9C2C80FB5E}"/>
    <cellStyle name="Percent 5 3" xfId="336" xr:uid="{3A02756F-6B92-4C0A-B4E5-96B135CC2D07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workbookViewId="0"/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63.77734375" style="8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27"/>
      <c r="B1" s="25" t="s">
        <v>207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3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9" t="s">
        <v>0</v>
      </c>
      <c r="D6" s="9" t="s">
        <v>1</v>
      </c>
    </row>
    <row r="7" spans="1:30">
      <c r="C7" s="183" t="s">
        <v>57</v>
      </c>
      <c r="D7" s="8" t="s">
        <v>191</v>
      </c>
    </row>
    <row r="8" spans="1:30">
      <c r="C8" s="183" t="s">
        <v>35</v>
      </c>
      <c r="D8" s="8" t="s">
        <v>91</v>
      </c>
    </row>
    <row r="9" spans="1:30" ht="10.5">
      <c r="C9" s="183" t="s">
        <v>54</v>
      </c>
      <c r="D9" s="8" t="s">
        <v>199</v>
      </c>
    </row>
    <row r="10" spans="1:30">
      <c r="C10" s="183" t="s">
        <v>168</v>
      </c>
      <c r="D10" s="8" t="s">
        <v>192</v>
      </c>
    </row>
    <row r="11" spans="1:30">
      <c r="C11" s="183" t="s">
        <v>56</v>
      </c>
      <c r="D11" s="8" t="s">
        <v>193</v>
      </c>
    </row>
    <row r="12" spans="1:30">
      <c r="C12" s="183" t="s">
        <v>169</v>
      </c>
      <c r="D12" s="8" t="s">
        <v>194</v>
      </c>
    </row>
    <row r="13" spans="1:30">
      <c r="C13" s="183" t="s">
        <v>170</v>
      </c>
      <c r="D13" s="8" t="s">
        <v>195</v>
      </c>
    </row>
    <row r="14" spans="1:30">
      <c r="C14" s="183" t="s">
        <v>50</v>
      </c>
      <c r="D14" s="8" t="s">
        <v>55</v>
      </c>
    </row>
    <row r="15" spans="1:30">
      <c r="C15" s="183" t="s">
        <v>25</v>
      </c>
      <c r="D15" s="8" t="s">
        <v>196</v>
      </c>
    </row>
    <row r="16" spans="1:30" ht="13">
      <c r="C16" s="10"/>
      <c r="D16" s="7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3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6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5" t="s">
        <v>24</v>
      </c>
      <c r="S1" s="29" t="str">
        <f>IF(COUNTIF(G10:G16,"Check")=0,"Ok","Check")</f>
        <v>Ok</v>
      </c>
      <c r="U1" s="28"/>
      <c r="V1" s="29"/>
    </row>
    <row r="2" spans="1:30" s="27" customFormat="1" ht="13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186" t="str">
        <f t="shared" ref="D10:D16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86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186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186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186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186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 ht="10.5">
      <c r="C16" s="15" t="str">
        <f>Index!C13</f>
        <v>Output | Models</v>
      </c>
      <c r="D16" s="186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3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zoomScale="120" zoomScaleNormal="12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1.109375" style="16" customWidth="1"/>
    <col min="5" max="6" width="3.332031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5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1"/>
      <c r="G2" s="51"/>
      <c r="H2" s="51"/>
      <c r="I2" s="51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3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 ht="10.5">
      <c r="C7" s="8" t="s">
        <v>59</v>
      </c>
      <c r="D7" s="16" t="s">
        <v>63</v>
      </c>
      <c r="E7" s="8"/>
      <c r="F7" s="8"/>
      <c r="G7" s="39" t="s">
        <v>209</v>
      </c>
      <c r="H7" s="8"/>
      <c r="I7" s="8"/>
      <c r="S7" s="80" t="str">
        <f>IF(COUNTBLANK($G7),"Check","Ok")</f>
        <v>Ok</v>
      </c>
    </row>
    <row r="8" spans="1:30" ht="10.5">
      <c r="C8" s="8" t="s">
        <v>124</v>
      </c>
      <c r="D8" s="16" t="s">
        <v>64</v>
      </c>
      <c r="E8" s="8"/>
      <c r="F8" s="8"/>
      <c r="G8" s="39" t="s">
        <v>177</v>
      </c>
      <c r="H8" s="8"/>
      <c r="I8" s="8"/>
      <c r="S8" s="80" t="str">
        <f>IF(COUNTBLANK($G8),"Check","Ok")</f>
        <v>Ok</v>
      </c>
    </row>
    <row r="9" spans="1:30" ht="10.5">
      <c r="C9" s="8" t="s">
        <v>108</v>
      </c>
      <c r="D9" s="16" t="s">
        <v>63</v>
      </c>
      <c r="E9" s="8"/>
      <c r="F9" s="8"/>
      <c r="G9" s="91">
        <v>36586</v>
      </c>
      <c r="H9" s="8"/>
      <c r="I9" s="8"/>
      <c r="S9" s="80" t="str">
        <f>IF(COUNTBLANK($G9),"Check","Ok")</f>
        <v>Ok</v>
      </c>
    </row>
    <row r="10" spans="1:30" ht="10.5">
      <c r="C10" s="8" t="s">
        <v>189</v>
      </c>
      <c r="D10" s="16" t="s">
        <v>63</v>
      </c>
      <c r="E10" s="8"/>
      <c r="F10" s="8"/>
      <c r="G10" s="92">
        <v>2023</v>
      </c>
      <c r="H10" s="8"/>
      <c r="I10" s="8"/>
      <c r="S10" s="80" t="str">
        <f t="shared" ref="S10:S15" si="0">IF(COUNTBLANK($G10),"Check","Ok")</f>
        <v>Ok</v>
      </c>
    </row>
    <row r="11" spans="1:30" ht="10.5">
      <c r="C11" s="8" t="s">
        <v>66</v>
      </c>
      <c r="D11" s="16" t="s">
        <v>63</v>
      </c>
      <c r="E11" s="8"/>
      <c r="F11" s="8"/>
      <c r="G11" s="92">
        <v>2026</v>
      </c>
      <c r="H11" s="8"/>
      <c r="I11" s="8"/>
      <c r="S11" s="80" t="str">
        <f t="shared" si="0"/>
        <v>Ok</v>
      </c>
    </row>
    <row r="12" spans="1:30" ht="10.5">
      <c r="C12" s="8" t="s">
        <v>190</v>
      </c>
      <c r="D12" s="16" t="s">
        <v>63</v>
      </c>
      <c r="E12" s="8"/>
      <c r="F12" s="8"/>
      <c r="G12" s="92">
        <v>2027</v>
      </c>
      <c r="H12" s="8"/>
      <c r="I12" s="8"/>
      <c r="S12" s="80" t="str">
        <f t="shared" si="0"/>
        <v>Ok</v>
      </c>
    </row>
    <row r="13" spans="1:30" ht="10.5">
      <c r="C13" s="8" t="s">
        <v>60</v>
      </c>
      <c r="D13" s="16" t="s">
        <v>63</v>
      </c>
      <c r="E13" s="8"/>
      <c r="F13" s="8"/>
      <c r="G13" s="92">
        <v>2028</v>
      </c>
      <c r="H13" s="8"/>
      <c r="I13" s="8"/>
      <c r="S13" s="80" t="str">
        <f t="shared" si="0"/>
        <v>Ok</v>
      </c>
    </row>
    <row r="14" spans="1:30" ht="10.5">
      <c r="C14" s="8" t="s">
        <v>61</v>
      </c>
      <c r="D14" s="16" t="s">
        <v>63</v>
      </c>
      <c r="E14" s="8"/>
      <c r="F14" s="8"/>
      <c r="G14" s="92">
        <v>2032</v>
      </c>
      <c r="H14" s="8"/>
      <c r="I14" s="8"/>
      <c r="S14" s="80" t="str">
        <f t="shared" si="0"/>
        <v>Ok</v>
      </c>
    </row>
    <row r="15" spans="1:30" ht="10.5">
      <c r="C15" s="8" t="s">
        <v>171</v>
      </c>
      <c r="D15" s="16" t="s">
        <v>63</v>
      </c>
      <c r="E15" s="8"/>
      <c r="F15" s="8"/>
      <c r="G15" s="92" t="s">
        <v>15</v>
      </c>
      <c r="H15" s="8"/>
      <c r="I15" s="8"/>
      <c r="S15" s="80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workbookViewId="0">
      <selection activeCell="M1" sqref="M1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9" width="15" style="16" customWidth="1"/>
    <col min="10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27" customFormat="1" ht="15.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4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IF(COUNTA($V$5:$V$89)=COUNTIF($V5:$V91,"OK"),"OK","Check")</f>
        <v>OK</v>
      </c>
      <c r="X1" s="185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1"/>
      <c r="J2" s="51"/>
      <c r="K2" s="51"/>
      <c r="L2" s="51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3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0">
      <c r="D6" s="47" t="s">
        <v>221</v>
      </c>
      <c r="E6" s="47" t="s">
        <v>222</v>
      </c>
      <c r="F6" s="47" t="s">
        <v>223</v>
      </c>
      <c r="G6" s="47" t="s">
        <v>186</v>
      </c>
      <c r="H6" s="47" t="s">
        <v>187</v>
      </c>
      <c r="I6" s="47" t="s">
        <v>122</v>
      </c>
      <c r="J6" s="47"/>
      <c r="K6" s="8"/>
      <c r="L6" s="8"/>
    </row>
    <row r="7" spans="1:33" ht="10.5">
      <c r="C7" s="9" t="s">
        <v>7</v>
      </c>
      <c r="D7" s="49" t="s">
        <v>90</v>
      </c>
      <c r="E7" s="49" t="s">
        <v>90</v>
      </c>
      <c r="F7" s="49" t="s">
        <v>90</v>
      </c>
      <c r="G7" s="49" t="s">
        <v>185</v>
      </c>
      <c r="H7" s="49" t="s">
        <v>30</v>
      </c>
      <c r="I7" s="49" t="s">
        <v>30</v>
      </c>
      <c r="J7" s="49"/>
      <c r="K7" s="8"/>
      <c r="L7" s="8"/>
    </row>
    <row r="8" spans="1:33" ht="10.5">
      <c r="C8" s="9" t="s">
        <v>8</v>
      </c>
      <c r="D8" s="49" t="s">
        <v>78</v>
      </c>
      <c r="E8" s="49" t="s">
        <v>78</v>
      </c>
      <c r="F8" s="49" t="s">
        <v>78</v>
      </c>
      <c r="G8" s="49" t="s">
        <v>16</v>
      </c>
      <c r="H8" s="49" t="s">
        <v>78</v>
      </c>
      <c r="I8" s="49" t="s">
        <v>16</v>
      </c>
      <c r="J8" s="49"/>
      <c r="K8" s="8"/>
      <c r="L8" s="8"/>
    </row>
    <row r="9" spans="1:33" ht="10.5">
      <c r="C9" s="48">
        <v>39172</v>
      </c>
      <c r="D9" s="198">
        <v>155.6</v>
      </c>
      <c r="E9" s="200"/>
      <c r="F9" s="200"/>
      <c r="G9" s="8"/>
      <c r="H9" s="115"/>
      <c r="I9" s="8"/>
      <c r="J9" s="8"/>
      <c r="K9" s="8"/>
      <c r="L9" s="8"/>
      <c r="V9" s="80" t="str">
        <f>IF(C9&gt;EOMONTH(DATE('Input|General'!$G$12,MONTH('Input|General'!$G$9),1),0),"Ok",IF(D9="","Check","Ok"))</f>
        <v>Ok</v>
      </c>
    </row>
    <row r="10" spans="1:33" ht="10.5">
      <c r="C10" s="48">
        <v>39263</v>
      </c>
      <c r="D10" s="198">
        <v>157.5</v>
      </c>
      <c r="E10" s="200"/>
      <c r="F10" s="200"/>
      <c r="G10" s="8"/>
      <c r="H10" s="115"/>
      <c r="I10" s="8"/>
      <c r="J10" s="8"/>
      <c r="K10" s="8"/>
      <c r="L10" s="8"/>
      <c r="V10" s="80" t="str">
        <f>IF(C10&gt;EOMONTH(DATE('Input|General'!$G$12,MONTH('Input|General'!$G$9),1),0),"Ok",IF(D10="","Check","Ok"))</f>
        <v>Ok</v>
      </c>
    </row>
    <row r="11" spans="1:33" ht="10.5">
      <c r="C11" s="48">
        <v>39355</v>
      </c>
      <c r="D11" s="198">
        <v>158.6</v>
      </c>
      <c r="E11" s="200"/>
      <c r="F11" s="200"/>
      <c r="G11" s="8"/>
      <c r="H11" s="115"/>
      <c r="I11" s="8"/>
      <c r="J11" s="8"/>
      <c r="K11" s="8"/>
      <c r="L11" s="8"/>
      <c r="V11" s="80" t="str">
        <f>IF(C11&gt;EOMONTH(DATE('Input|General'!$G$12,MONTH('Input|General'!$G$9),1),0),"Ok",IF(D11="","Check","Ok"))</f>
        <v>Ok</v>
      </c>
    </row>
    <row r="12" spans="1:33" ht="10.5">
      <c r="C12" s="48">
        <v>39447</v>
      </c>
      <c r="D12" s="198">
        <v>160.1</v>
      </c>
      <c r="E12" s="200"/>
      <c r="F12" s="200"/>
      <c r="G12" s="8"/>
      <c r="H12" s="115"/>
      <c r="I12" s="71"/>
      <c r="J12" s="8"/>
      <c r="K12" s="8"/>
      <c r="L12" s="8"/>
      <c r="V12" s="80" t="str">
        <f>IF(C12&gt;EOMONTH(DATE('Input|General'!$G$12,MONTH('Input|General'!$G$9),1),0),"Ok",IF(D12="","Check","Ok"))</f>
        <v>Ok</v>
      </c>
    </row>
    <row r="13" spans="1:33" ht="10.5">
      <c r="C13" s="48">
        <v>39538</v>
      </c>
      <c r="D13" s="198">
        <v>162.19999999999999</v>
      </c>
      <c r="E13" s="200"/>
      <c r="F13" s="200"/>
      <c r="G13" s="8"/>
      <c r="H13" s="115"/>
      <c r="I13" s="71"/>
      <c r="J13" s="8"/>
      <c r="K13" s="8"/>
      <c r="L13" s="8"/>
      <c r="V13" s="80" t="str">
        <f>IF(C13&gt;EOMONTH(DATE('Input|General'!$G$12,MONTH('Input|General'!$G$9),1),0),"Ok",IF(D13="","Check","Ok"))</f>
        <v>Ok</v>
      </c>
    </row>
    <row r="14" spans="1:33" ht="10.5">
      <c r="C14" s="48">
        <v>39629</v>
      </c>
      <c r="D14" s="198">
        <v>164.6</v>
      </c>
      <c r="E14" s="200"/>
      <c r="F14" s="200"/>
      <c r="G14" s="8"/>
      <c r="H14" s="115"/>
      <c r="I14" s="71"/>
      <c r="J14" s="8"/>
      <c r="K14" s="8"/>
      <c r="L14" s="8"/>
      <c r="V14" s="80" t="str">
        <f>IF(C14&gt;EOMONTH(DATE('Input|General'!$G$12,MONTH('Input|General'!$G$9),1),0),"Ok",IF(D14="","Check","Ok"))</f>
        <v>Ok</v>
      </c>
    </row>
    <row r="15" spans="1:33" ht="10.5">
      <c r="C15" s="48">
        <v>39721</v>
      </c>
      <c r="D15" s="198">
        <v>166.5</v>
      </c>
      <c r="E15" s="200"/>
      <c r="F15" s="200"/>
      <c r="G15" s="8"/>
      <c r="H15" s="115"/>
      <c r="I15" s="71"/>
      <c r="J15" s="8"/>
      <c r="K15" s="8"/>
      <c r="L15" s="8"/>
      <c r="V15" s="80" t="str">
        <f>IF(C15&gt;EOMONTH(DATE('Input|General'!$G$12,MONTH('Input|General'!$G$9),1),0),"Ok",IF(D15="","Check","Ok"))</f>
        <v>Ok</v>
      </c>
    </row>
    <row r="16" spans="1:33" ht="10.5">
      <c r="C16" s="48">
        <v>39813</v>
      </c>
      <c r="D16" s="198">
        <v>166</v>
      </c>
      <c r="E16" s="200"/>
      <c r="F16" s="200"/>
      <c r="G16" s="8"/>
      <c r="H16" s="115"/>
      <c r="I16" s="71"/>
      <c r="J16" s="8"/>
      <c r="K16" s="8"/>
      <c r="L16" s="8"/>
      <c r="V16" s="80" t="str">
        <f>IF(C16&gt;EOMONTH(DATE('Input|General'!$G$12,MONTH('Input|General'!$G$9),1),0),"Ok",IF(D16="","Check","Ok"))</f>
        <v>Ok</v>
      </c>
    </row>
    <row r="17" spans="3:22" ht="10.5">
      <c r="C17" s="48">
        <v>39903</v>
      </c>
      <c r="D17" s="198">
        <v>166.2</v>
      </c>
      <c r="E17" s="200"/>
      <c r="F17" s="200"/>
      <c r="G17" s="8"/>
      <c r="H17" s="115"/>
      <c r="I17" s="71"/>
      <c r="J17" s="8"/>
      <c r="K17" s="8"/>
      <c r="L17" s="8"/>
      <c r="V17" s="80" t="str">
        <f>IF(C17&gt;EOMONTH(DATE('Input|General'!$G$12,MONTH('Input|General'!$G$9),1),0),"Ok",IF(D17="","Check","Ok"))</f>
        <v>Ok</v>
      </c>
    </row>
    <row r="18" spans="3:22" ht="10.5">
      <c r="C18" s="48">
        <v>39994</v>
      </c>
      <c r="D18" s="198">
        <v>167</v>
      </c>
      <c r="E18" s="200"/>
      <c r="F18" s="200"/>
      <c r="G18" s="8"/>
      <c r="H18" s="115"/>
      <c r="I18" s="71"/>
      <c r="J18" s="8"/>
      <c r="K18" s="8"/>
      <c r="L18" s="8"/>
      <c r="V18" s="80" t="str">
        <f>IF(C18&gt;EOMONTH(DATE('Input|General'!$G$12,MONTH('Input|General'!$G$9),1),0),"Ok",IF(D18="","Check","Ok"))</f>
        <v>Ok</v>
      </c>
    </row>
    <row r="19" spans="3:22" ht="10.5">
      <c r="C19" s="48">
        <v>40086</v>
      </c>
      <c r="D19" s="198">
        <v>168.6</v>
      </c>
      <c r="E19" s="200"/>
      <c r="F19" s="200"/>
      <c r="G19" s="8"/>
      <c r="H19" s="115"/>
      <c r="I19" s="71"/>
      <c r="J19" s="8"/>
      <c r="K19" s="8"/>
      <c r="L19" s="8"/>
      <c r="V19" s="80" t="str">
        <f>IF(C19&gt;EOMONTH(DATE('Input|General'!$G$12,MONTH('Input|General'!$G$9),1),0),"Ok",IF(D19="","Check","Ok"))</f>
        <v>Ok</v>
      </c>
    </row>
    <row r="20" spans="3:22" ht="10.5">
      <c r="C20" s="48">
        <v>40178</v>
      </c>
      <c r="D20" s="198">
        <v>169.5</v>
      </c>
      <c r="E20" s="200"/>
      <c r="F20" s="200"/>
      <c r="G20" s="8"/>
      <c r="H20" s="115"/>
      <c r="I20" s="71"/>
      <c r="J20" s="8"/>
      <c r="K20" s="8"/>
      <c r="L20" s="8"/>
      <c r="V20" s="80" t="str">
        <f>IF(C20&gt;EOMONTH(DATE('Input|General'!$G$12,MONTH('Input|General'!$G$9),1),0),"Ok",IF(D20="","Check","Ok"))</f>
        <v>Ok</v>
      </c>
    </row>
    <row r="21" spans="3:22" ht="10.5">
      <c r="C21" s="48">
        <v>40268</v>
      </c>
      <c r="D21" s="198">
        <v>171</v>
      </c>
      <c r="E21" s="198">
        <v>95.2</v>
      </c>
      <c r="F21" s="198">
        <v>66.12</v>
      </c>
      <c r="G21" s="115"/>
      <c r="H21" s="115">
        <f>IF(F21="",IF(COUNT(G21:G$88)=0,"",IF(ISBLANK(G21),AVERAGE(H20,H22),(1+G21)*H17)),F21)</f>
        <v>66.12</v>
      </c>
      <c r="I21" s="71"/>
      <c r="J21" s="107"/>
      <c r="K21" s="8"/>
      <c r="L21" s="8"/>
      <c r="V21" s="80" t="str">
        <f>IF(C21&gt;EOMONTH(DATE('Input|General'!$G$12,MONTH('Input|General'!$G$9),1),0),"Ok",IF(D21="","Check","Ok"))</f>
        <v>Ok</v>
      </c>
    </row>
    <row r="22" spans="3:22" ht="10.5">
      <c r="C22" s="48">
        <v>40359</v>
      </c>
      <c r="D22" s="198">
        <v>172.1</v>
      </c>
      <c r="E22" s="198">
        <v>95.8</v>
      </c>
      <c r="F22" s="198">
        <v>66.52</v>
      </c>
      <c r="G22" s="115"/>
      <c r="H22" s="115">
        <f>IF(F22="",IF(COUNT(G22:G$88)=0,"",IF(ISBLANK(G22),AVERAGE(H21,H23),(1+G22)*H18)),F22)</f>
        <v>66.52</v>
      </c>
      <c r="I22" s="71"/>
      <c r="J22" s="107"/>
      <c r="K22" s="8"/>
      <c r="L22" s="8"/>
      <c r="V22" s="80" t="str">
        <f>IF(C22&gt;EOMONTH(DATE('Input|General'!$G$12,MONTH('Input|General'!$G$9),1),0),"Ok",IF(D22="","Check","Ok"))</f>
        <v>Ok</v>
      </c>
    </row>
    <row r="23" spans="3:22" ht="10.5">
      <c r="C23" s="48">
        <v>40451</v>
      </c>
      <c r="D23" s="198">
        <v>173.3</v>
      </c>
      <c r="E23" s="198">
        <v>96.5</v>
      </c>
      <c r="F23" s="198">
        <v>67</v>
      </c>
      <c r="G23" s="115"/>
      <c r="H23" s="115">
        <f>IF(F23="",IF(COUNT(G23:G$88)=0,"",IF(ISBLANK(G23),AVERAGE(H22,H24),(1+G23)*H19)),F23)</f>
        <v>67</v>
      </c>
      <c r="I23" s="71"/>
      <c r="J23" s="107"/>
      <c r="K23" s="8"/>
      <c r="L23" s="8"/>
      <c r="V23" s="80" t="str">
        <f>IF(C23&gt;EOMONTH(DATE('Input|General'!$G$12,MONTH('Input|General'!$G$9),1),0),"Ok",IF(D23="","Check","Ok"))</f>
        <v>Ok</v>
      </c>
    </row>
    <row r="24" spans="3:22" ht="10.5">
      <c r="C24" s="48">
        <v>40543</v>
      </c>
      <c r="D24" s="198">
        <v>174</v>
      </c>
      <c r="E24" s="198">
        <v>96.9</v>
      </c>
      <c r="F24" s="198">
        <v>67.260000000000005</v>
      </c>
      <c r="G24" s="115"/>
      <c r="H24" s="115">
        <f>IF(F24="",IF(COUNT(G24:G$88)=0,"",IF(ISBLANK(G24),AVERAGE(H23,H25),(1+G24)*H20)),F24)</f>
        <v>67.260000000000005</v>
      </c>
      <c r="I24" s="71"/>
      <c r="J24" s="107"/>
      <c r="K24" s="8"/>
      <c r="L24" s="8"/>
      <c r="V24" s="80" t="str">
        <f>IF(C24&gt;EOMONTH(DATE('Input|General'!$G$12,MONTH('Input|General'!$G$9),1),0),"Ok",IF(D24="","Check","Ok"))</f>
        <v>Ok</v>
      </c>
    </row>
    <row r="25" spans="3:22" ht="10.5">
      <c r="C25" s="48">
        <v>40633</v>
      </c>
      <c r="D25" s="198">
        <v>176.7</v>
      </c>
      <c r="E25" s="198">
        <v>98.3</v>
      </c>
      <c r="F25" s="198">
        <v>68.3</v>
      </c>
      <c r="G25" s="115"/>
      <c r="H25" s="115">
        <f>IF(F25="",IF(COUNT(G25:G$88)=0,"",IF(ISBLANK(G25),AVERAGE(H24,H26),(1+G25)*H21)),F25)</f>
        <v>68.3</v>
      </c>
      <c r="I25" s="71">
        <f t="shared" ref="I25:I74" si="0">IF(H25="","",H25/H21-1)</f>
        <v>3.2970356926799615E-2</v>
      </c>
      <c r="J25" s="107"/>
      <c r="K25" s="8"/>
      <c r="L25" s="8"/>
      <c r="V25" s="80" t="str">
        <f>IF(C25&gt;EOMONTH(DATE('Input|General'!$G$12,MONTH('Input|General'!$G$9),1),0),"Ok",IF(D25="","Check","Ok"))</f>
        <v>Ok</v>
      </c>
    </row>
    <row r="26" spans="3:22" ht="10.5">
      <c r="C26" s="48">
        <v>40724</v>
      </c>
      <c r="D26" s="198">
        <v>178.3</v>
      </c>
      <c r="E26" s="198">
        <v>99.2</v>
      </c>
      <c r="F26" s="198">
        <v>68.930000000000007</v>
      </c>
      <c r="G26" s="115"/>
      <c r="H26" s="115">
        <f>IF(F26="",IF(COUNT(G26:G$88)=0,"",IF(ISBLANK(G26),AVERAGE(H25,H27),(1+G26)*H22)),F26)</f>
        <v>68.930000000000007</v>
      </c>
      <c r="I26" s="71">
        <f t="shared" si="0"/>
        <v>3.6229705351774166E-2</v>
      </c>
      <c r="J26" s="107"/>
      <c r="K26" s="8"/>
      <c r="L26" s="8"/>
      <c r="V26" s="80" t="str">
        <f>IF(C26&gt;EOMONTH(DATE('Input|General'!$G$12,MONTH('Input|General'!$G$9),1),0),"Ok",IF(D26="","Check","Ok"))</f>
        <v>Ok</v>
      </c>
    </row>
    <row r="27" spans="3:22" ht="10.5">
      <c r="C27" s="48">
        <v>40816</v>
      </c>
      <c r="D27" s="198">
        <v>179.4</v>
      </c>
      <c r="E27" s="198">
        <v>99.8</v>
      </c>
      <c r="F27" s="198">
        <v>69.34</v>
      </c>
      <c r="G27" s="115"/>
      <c r="H27" s="115">
        <f>IF(F27="",IF(COUNT(G27:G$88)=0,"",IF(ISBLANK(G27),AVERAGE(H26,H28),(1+G27)*H23)),F27)</f>
        <v>69.34</v>
      </c>
      <c r="I27" s="71">
        <f t="shared" si="0"/>
        <v>3.4925373134328419E-2</v>
      </c>
      <c r="J27" s="107"/>
      <c r="K27" s="8"/>
      <c r="L27" s="8"/>
      <c r="V27" s="80" t="str">
        <f>IF(C27&gt;EOMONTH(DATE('Input|General'!$G$12,MONTH('Input|General'!$G$9),1),0),"Ok",IF(D27="","Check","Ok"))</f>
        <v>Ok</v>
      </c>
    </row>
    <row r="28" spans="3:22" ht="10.5">
      <c r="C28" s="48">
        <v>40908</v>
      </c>
      <c r="D28" s="198">
        <v>179.4</v>
      </c>
      <c r="E28" s="198">
        <v>99.8</v>
      </c>
      <c r="F28" s="198">
        <v>69.34</v>
      </c>
      <c r="G28" s="115"/>
      <c r="H28" s="115">
        <f>IF(F28="",IF(COUNT(G28:G$88)=0,"",IF(ISBLANK(G28),AVERAGE(H27,H29),(1+G28)*H24)),F28)</f>
        <v>69.34</v>
      </c>
      <c r="I28" s="71">
        <f t="shared" si="0"/>
        <v>3.0924769550996212E-2</v>
      </c>
      <c r="J28" s="107"/>
      <c r="K28" s="8"/>
      <c r="L28" s="8"/>
      <c r="V28" s="80" t="str">
        <f>IF(C28&gt;EOMONTH(DATE('Input|General'!$G$12,MONTH('Input|General'!$G$9),1),0),"Ok",IF(D28="","Check","Ok"))</f>
        <v>Ok</v>
      </c>
    </row>
    <row r="29" spans="3:22" ht="10.5">
      <c r="C29" s="48">
        <v>40999</v>
      </c>
      <c r="D29" s="198">
        <v>179.5</v>
      </c>
      <c r="E29" s="198">
        <v>99.9</v>
      </c>
      <c r="F29" s="198">
        <v>69.38</v>
      </c>
      <c r="G29" s="115"/>
      <c r="H29" s="115">
        <f>IF(F29="",IF(COUNT(G29:G$88)=0,"",IF(ISBLANK(G29),AVERAGE(H28,H30),(1+G29)*H25)),F29)</f>
        <v>69.38</v>
      </c>
      <c r="I29" s="71">
        <f t="shared" si="0"/>
        <v>1.5812591508052698E-2</v>
      </c>
      <c r="J29" s="107"/>
      <c r="K29" s="8"/>
      <c r="L29" s="8"/>
      <c r="V29" s="80" t="str">
        <f>IF(C29&gt;EOMONTH(DATE('Input|General'!$G$12,MONTH('Input|General'!$G$9),1),0),"Ok",IF(D29="","Check","Ok"))</f>
        <v>Ok</v>
      </c>
    </row>
    <row r="30" spans="3:22" ht="10.5">
      <c r="C30" s="48">
        <v>41090</v>
      </c>
      <c r="D30" s="8"/>
      <c r="E30" s="198">
        <v>100.4</v>
      </c>
      <c r="F30" s="198">
        <v>69.739999999999995</v>
      </c>
      <c r="G30" s="115"/>
      <c r="H30" s="115">
        <f>IF(F30="",IF(COUNT(G30:G$88)=0,"",IF(ISBLANK(G30),AVERAGE(H29,H31),(1+G30)*H26)),F30)</f>
        <v>69.739999999999995</v>
      </c>
      <c r="I30" s="71">
        <f t="shared" si="0"/>
        <v>1.1751051791672573E-2</v>
      </c>
      <c r="J30" s="107"/>
      <c r="K30" s="8"/>
      <c r="L30" s="8"/>
      <c r="V30" s="80" t="str">
        <f>IF(C30&gt;EOMONTH(DATE('Input|General'!$G$12,MONTH('Input|General'!$G$9),1),0),"Ok",IF(I30="","Check","Ok"))</f>
        <v>Ok</v>
      </c>
    </row>
    <row r="31" spans="3:22" ht="10.5">
      <c r="C31" s="48">
        <v>41182</v>
      </c>
      <c r="D31" s="8"/>
      <c r="E31" s="198">
        <v>101.8</v>
      </c>
      <c r="F31" s="198">
        <v>70.69</v>
      </c>
      <c r="G31" s="115"/>
      <c r="H31" s="115">
        <f>IF(F31="",IF(COUNT(G31:G$88)=0,"",IF(ISBLANK(G31),AVERAGE(H30,H32),(1+G31)*H27)),F31)</f>
        <v>70.69</v>
      </c>
      <c r="I31" s="71">
        <f t="shared" si="0"/>
        <v>1.9469281799826765E-2</v>
      </c>
      <c r="J31" s="107"/>
      <c r="K31" s="8"/>
      <c r="L31" s="8"/>
      <c r="V31" s="80" t="str">
        <f>IF(C31&gt;EOMONTH(DATE('Input|General'!$G$12,MONTH('Input|General'!$G$9),1),0),"Ok",IF(I31="","Check","Ok"))</f>
        <v>Ok</v>
      </c>
    </row>
    <row r="32" spans="3:22" ht="10.5">
      <c r="C32" s="48">
        <v>41274</v>
      </c>
      <c r="D32" s="8"/>
      <c r="E32" s="198">
        <v>102</v>
      </c>
      <c r="F32" s="198">
        <v>70.87</v>
      </c>
      <c r="G32" s="115"/>
      <c r="H32" s="115">
        <f>IF(F32="",IF(COUNT(G32:G$88)=0,"",IF(ISBLANK(G32),AVERAGE(H31,H33),(1+G32)*H28)),F32)</f>
        <v>70.87</v>
      </c>
      <c r="I32" s="71">
        <f t="shared" si="0"/>
        <v>2.2065186039803786E-2</v>
      </c>
      <c r="J32" s="107"/>
      <c r="K32" s="8"/>
      <c r="L32" s="8"/>
      <c r="V32" s="80" t="str">
        <f>IF(C32&gt;EOMONTH(DATE('Input|General'!$G$12,MONTH('Input|General'!$G$9),1),0),"Ok",IF(I32="","Check","Ok"))</f>
        <v>Ok</v>
      </c>
    </row>
    <row r="33" spans="3:22" ht="10.5">
      <c r="C33" s="48">
        <v>41364</v>
      </c>
      <c r="D33" s="8"/>
      <c r="E33" s="198">
        <v>102.4</v>
      </c>
      <c r="F33" s="198">
        <v>71.11</v>
      </c>
      <c r="G33" s="115"/>
      <c r="H33" s="115">
        <f>IF(F33="",IF(COUNT(G33:G$88)=0,"",IF(ISBLANK(G33),AVERAGE(H32,H34),(1+G33)*H29)),F33)</f>
        <v>71.11</v>
      </c>
      <c r="I33" s="71">
        <f t="shared" si="0"/>
        <v>2.493513980974349E-2</v>
      </c>
      <c r="J33" s="107"/>
      <c r="K33" s="8"/>
      <c r="L33" s="8"/>
      <c r="V33" s="80" t="str">
        <f>IF(C33&gt;EOMONTH(DATE('Input|General'!$G$12,MONTH('Input|General'!$G$9),1),0),"Ok",IF(I33="","Check","Ok"))</f>
        <v>Ok</v>
      </c>
    </row>
    <row r="34" spans="3:22" ht="10.5">
      <c r="C34" s="48">
        <v>41455</v>
      </c>
      <c r="D34" s="8"/>
      <c r="E34" s="198">
        <v>102.8</v>
      </c>
      <c r="F34" s="198">
        <v>71.38</v>
      </c>
      <c r="G34" s="115"/>
      <c r="H34" s="115">
        <f>IF(F34="",IF(COUNT(G34:G$88)=0,"",IF(ISBLANK(G34),AVERAGE(H33,H35),(1+G34)*H30)),F34)</f>
        <v>71.38</v>
      </c>
      <c r="I34" s="71">
        <f t="shared" si="0"/>
        <v>2.3515916260395731E-2</v>
      </c>
      <c r="J34" s="107"/>
      <c r="K34" s="8"/>
      <c r="L34" s="8"/>
      <c r="V34" s="80" t="str">
        <f>IF(C34&gt;EOMONTH(DATE('Input|General'!$G$12,MONTH('Input|General'!$G$9),1),0),"Ok",IF(I34="","Check","Ok"))</f>
        <v>Ok</v>
      </c>
    </row>
    <row r="35" spans="3:22" ht="10.5">
      <c r="C35" s="48">
        <v>41547</v>
      </c>
      <c r="D35" s="8"/>
      <c r="E35" s="198">
        <v>104</v>
      </c>
      <c r="F35" s="198">
        <v>72.25</v>
      </c>
      <c r="G35" s="115"/>
      <c r="H35" s="115">
        <f>IF(F35="",IF(COUNT(G35:G$88)=0,"",IF(ISBLANK(G35),AVERAGE(H34,H36),(1+G35)*H31)),F35)</f>
        <v>72.25</v>
      </c>
      <c r="I35" s="71">
        <f t="shared" si="0"/>
        <v>2.2068185033243815E-2</v>
      </c>
      <c r="J35" s="107"/>
      <c r="K35" s="8"/>
      <c r="L35" s="8"/>
      <c r="V35" s="80" t="str">
        <f>IF(C35&gt;EOMONTH(DATE('Input|General'!$G$12,MONTH('Input|General'!$G$9),1),0),"Ok",IF(I35="","Check","Ok"))</f>
        <v>Ok</v>
      </c>
    </row>
    <row r="36" spans="3:22" ht="10.5">
      <c r="C36" s="48">
        <v>41639</v>
      </c>
      <c r="D36" s="8"/>
      <c r="E36" s="198">
        <v>104.8</v>
      </c>
      <c r="F36" s="198">
        <v>72.77</v>
      </c>
      <c r="G36" s="115"/>
      <c r="H36" s="115">
        <f>IF(F36="",IF(COUNT(G36:G$88)=0,"",IF(ISBLANK(G36),AVERAGE(H35,H37),(1+G36)*H32)),F36)</f>
        <v>72.77</v>
      </c>
      <c r="I36" s="71">
        <f t="shared" si="0"/>
        <v>2.6809651474530627E-2</v>
      </c>
      <c r="J36" s="107"/>
      <c r="K36" s="8"/>
      <c r="L36" s="8"/>
      <c r="V36" s="80" t="str">
        <f>IF(C36&gt;EOMONTH(DATE('Input|General'!$G$12,MONTH('Input|General'!$G$9),1),0),"Ok",IF(I36="","Check","Ok"))</f>
        <v>Ok</v>
      </c>
    </row>
    <row r="37" spans="3:22" ht="10.5">
      <c r="C37" s="48">
        <v>41729</v>
      </c>
      <c r="D37" s="8"/>
      <c r="E37" s="198">
        <v>105.4</v>
      </c>
      <c r="F37" s="198">
        <v>73.2</v>
      </c>
      <c r="G37" s="115"/>
      <c r="H37" s="115">
        <f>IF(F37="",IF(COUNT(G37:G$88)=0,"",IF(ISBLANK(G37),AVERAGE(H36,H38),(1+G37)*H33)),F37)</f>
        <v>73.2</v>
      </c>
      <c r="I37" s="71">
        <f t="shared" si="0"/>
        <v>2.9391084235691256E-2</v>
      </c>
      <c r="J37" s="107"/>
      <c r="K37" s="8"/>
      <c r="L37" s="8"/>
      <c r="V37" s="80" t="str">
        <f>IF(C37&gt;EOMONTH(DATE('Input|General'!$G$12,MONTH('Input|General'!$G$9),1),0),"Ok",IF(I37="","Check","Ok"))</f>
        <v>Ok</v>
      </c>
    </row>
    <row r="38" spans="3:22" ht="10.5">
      <c r="C38" s="48">
        <v>41820</v>
      </c>
      <c r="D38" s="8"/>
      <c r="E38" s="198">
        <v>105.9</v>
      </c>
      <c r="F38" s="198">
        <v>73.569999999999993</v>
      </c>
      <c r="G38" s="115"/>
      <c r="H38" s="115">
        <f>IF(F38="",IF(COUNT(G38:G$88)=0,"",IF(ISBLANK(G38),AVERAGE(H37,H39),(1+G38)*H34)),F38)</f>
        <v>73.569999999999993</v>
      </c>
      <c r="I38" s="71">
        <f t="shared" si="0"/>
        <v>3.0680862986830926E-2</v>
      </c>
      <c r="J38" s="107"/>
      <c r="K38" s="8"/>
      <c r="L38" s="8"/>
      <c r="V38" s="80" t="str">
        <f>IF(C38&gt;EOMONTH(DATE('Input|General'!$G$12,MONTH('Input|General'!$G$9),1),0),"Ok",IF(I38="","Check","Ok"))</f>
        <v>Ok</v>
      </c>
    </row>
    <row r="39" spans="3:22" ht="10.5">
      <c r="C39" s="48">
        <v>41912</v>
      </c>
      <c r="D39" s="8"/>
      <c r="E39" s="198">
        <v>106.4</v>
      </c>
      <c r="F39" s="198">
        <v>73.88</v>
      </c>
      <c r="G39" s="115"/>
      <c r="H39" s="115">
        <f>IF(F39="",IF(COUNT(G39:G$88)=0,"",IF(ISBLANK(G39),AVERAGE(H38,H40),(1+G39)*H35)),F39)</f>
        <v>73.88</v>
      </c>
      <c r="I39" s="71">
        <f t="shared" si="0"/>
        <v>2.256055363321785E-2</v>
      </c>
      <c r="J39" s="107"/>
      <c r="K39" s="8"/>
      <c r="L39" s="8"/>
      <c r="V39" s="80" t="str">
        <f>IF(C39&gt;EOMONTH(DATE('Input|General'!$G$12,MONTH('Input|General'!$G$9),1),0),"Ok",IF(I39="","Check","Ok"))</f>
        <v>Ok</v>
      </c>
    </row>
    <row r="40" spans="3:22" ht="10.5">
      <c r="C40" s="48">
        <v>42004</v>
      </c>
      <c r="D40" s="8"/>
      <c r="E40" s="198">
        <v>106.6</v>
      </c>
      <c r="F40" s="198">
        <v>74.02</v>
      </c>
      <c r="G40" s="115"/>
      <c r="H40" s="115">
        <f>IF(F40="",IF(COUNT(G40:G$88)=0,"",IF(ISBLANK(G40),AVERAGE(H39,H41),(1+G40)*H36)),F40)</f>
        <v>74.02</v>
      </c>
      <c r="I40" s="71">
        <f t="shared" si="0"/>
        <v>1.7177408272639916E-2</v>
      </c>
      <c r="J40" s="107"/>
      <c r="K40" s="8"/>
      <c r="L40" s="8"/>
      <c r="V40" s="80" t="str">
        <f>IF(C40&gt;EOMONTH(DATE('Input|General'!$G$12,MONTH('Input|General'!$G$9),1),0),"Ok",IF(I40="","Check","Ok"))</f>
        <v>Ok</v>
      </c>
    </row>
    <row r="41" spans="3:22" ht="10.5">
      <c r="C41" s="48">
        <v>42094</v>
      </c>
      <c r="D41" s="8"/>
      <c r="E41" s="198">
        <v>106.8</v>
      </c>
      <c r="F41" s="198">
        <v>74.16</v>
      </c>
      <c r="G41" s="115"/>
      <c r="H41" s="115">
        <f>IF(F41="",IF(COUNT(G41:G$88)=0,"",IF(ISBLANK(G41),AVERAGE(H40,H42),(1+G41)*H37)),F41)</f>
        <v>74.16</v>
      </c>
      <c r="I41" s="71">
        <f t="shared" si="0"/>
        <v>1.3114754098360493E-2</v>
      </c>
      <c r="J41" s="107"/>
      <c r="K41" s="8"/>
      <c r="L41" s="8"/>
      <c r="V41" s="80" t="str">
        <f>IF(C41&gt;EOMONTH(DATE('Input|General'!$G$12,MONTH('Input|General'!$G$9),1),0),"Ok",IF(I41="","Check","Ok"))</f>
        <v>Ok</v>
      </c>
    </row>
    <row r="42" spans="3:22" ht="10.5">
      <c r="C42" s="48">
        <v>42185</v>
      </c>
      <c r="D42" s="8"/>
      <c r="E42" s="198">
        <v>107.5</v>
      </c>
      <c r="F42" s="198">
        <v>74.69</v>
      </c>
      <c r="G42" s="115"/>
      <c r="H42" s="115">
        <f>IF(F42="",IF(COUNT(G42:G$88)=0,"",IF(ISBLANK(G42),AVERAGE(H41,H43),(1+G42)*H38)),F42)</f>
        <v>74.69</v>
      </c>
      <c r="I42" s="71">
        <f t="shared" si="0"/>
        <v>1.5223596574690745E-2</v>
      </c>
      <c r="J42" s="107"/>
      <c r="K42" s="8"/>
      <c r="L42" s="8"/>
      <c r="V42" s="80" t="str">
        <f>IF(C42&gt;EOMONTH(DATE('Input|General'!$G$12,MONTH('Input|General'!$G$9),1),0),"Ok",IF(I42="","Check","Ok"))</f>
        <v>Ok</v>
      </c>
    </row>
    <row r="43" spans="3:22" ht="10.5">
      <c r="C43" s="48">
        <v>42277</v>
      </c>
      <c r="D43" s="8"/>
      <c r="E43" s="198">
        <v>108</v>
      </c>
      <c r="F43" s="198">
        <v>74.98</v>
      </c>
      <c r="G43" s="115"/>
      <c r="H43" s="115">
        <f>IF(F43="",IF(COUNT(G43:G$88)=0,"",IF(ISBLANK(G43),AVERAGE(H42,H44),(1+G43)*H39)),F43)</f>
        <v>74.98</v>
      </c>
      <c r="I43" s="71">
        <f t="shared" si="0"/>
        <v>1.4889009204114956E-2</v>
      </c>
      <c r="J43" s="107"/>
      <c r="K43" s="8"/>
      <c r="L43" s="8"/>
      <c r="V43" s="80" t="str">
        <f>IF(C43&gt;EOMONTH(DATE('Input|General'!$G$12,MONTH('Input|General'!$G$9),1),0),"Ok",IF(I43="","Check","Ok"))</f>
        <v>Ok</v>
      </c>
    </row>
    <row r="44" spans="3:22" ht="10.5">
      <c r="C44" s="48">
        <v>42369</v>
      </c>
      <c r="D44" s="8"/>
      <c r="E44" s="198">
        <v>108.4</v>
      </c>
      <c r="F44" s="198">
        <v>75.27</v>
      </c>
      <c r="G44" s="115"/>
      <c r="H44" s="115">
        <f>IF(F44="",IF(COUNT(G44:G$88)=0,"",IF(ISBLANK(G44),AVERAGE(H43,H45),(1+G44)*H40)),F44)</f>
        <v>75.27</v>
      </c>
      <c r="I44" s="71">
        <f t="shared" si="0"/>
        <v>1.6887327749256942E-2</v>
      </c>
      <c r="J44" s="107"/>
      <c r="K44" s="8"/>
      <c r="L44" s="8"/>
      <c r="V44" s="80" t="str">
        <f>IF(C44&gt;EOMONTH(DATE('Input|General'!$G$12,MONTH('Input|General'!$G$9),1),0),"Ok",IF(I44="","Check","Ok"))</f>
        <v>Ok</v>
      </c>
    </row>
    <row r="45" spans="3:22" ht="10.5">
      <c r="C45" s="48">
        <v>42460</v>
      </c>
      <c r="D45" s="8"/>
      <c r="E45" s="198">
        <v>108.2</v>
      </c>
      <c r="F45" s="198">
        <v>75.12</v>
      </c>
      <c r="G45" s="115"/>
      <c r="H45" s="115">
        <f>IF(F45="",IF(COUNT(G45:G$88)=0,"",IF(ISBLANK(G45),AVERAGE(H44,H46),(1+G45)*H41)),F45)</f>
        <v>75.12</v>
      </c>
      <c r="I45" s="71">
        <f t="shared" si="0"/>
        <v>1.2944983818770295E-2</v>
      </c>
      <c r="J45" s="107"/>
      <c r="K45" s="8"/>
      <c r="L45" s="8"/>
      <c r="V45" s="80" t="str">
        <f>IF(C45&gt;EOMONTH(DATE('Input|General'!$G$12,MONTH('Input|General'!$G$9),1),0),"Ok",IF(I45="","Check","Ok"))</f>
        <v>Ok</v>
      </c>
    </row>
    <row r="46" spans="3:22" ht="10.5">
      <c r="C46" s="48">
        <v>42551</v>
      </c>
      <c r="D46" s="8"/>
      <c r="E46" s="198">
        <v>108.6</v>
      </c>
      <c r="F46" s="198">
        <v>75.45</v>
      </c>
      <c r="G46" s="115"/>
      <c r="H46" s="115">
        <f>IF(F46="",IF(COUNT(G46:G$88)=0,"",IF(ISBLANK(G46),AVERAGE(H45,H47),(1+G46)*H42)),F46)</f>
        <v>75.45</v>
      </c>
      <c r="I46" s="71">
        <f t="shared" si="0"/>
        <v>1.0175391618690632E-2</v>
      </c>
      <c r="J46" s="107"/>
      <c r="K46" s="8"/>
      <c r="L46" s="8"/>
      <c r="V46" s="80" t="str">
        <f>IF(C46&gt;EOMONTH(DATE('Input|General'!$G$12,MONTH('Input|General'!$G$9),1),0),"Ok",IF(I46="","Check","Ok"))</f>
        <v>Ok</v>
      </c>
    </row>
    <row r="47" spans="3:22" ht="10.5">
      <c r="C47" s="48">
        <v>42643</v>
      </c>
      <c r="D47" s="8"/>
      <c r="E47" s="198">
        <v>109.4</v>
      </c>
      <c r="F47" s="198">
        <v>75.98</v>
      </c>
      <c r="G47" s="115"/>
      <c r="H47" s="115">
        <f>IF(F47="",IF(COUNT(G47:G$88)=0,"",IF(ISBLANK(G47),AVERAGE(H46,H48),(1+G47)*H43)),F47)</f>
        <v>75.98</v>
      </c>
      <c r="I47" s="71">
        <f t="shared" si="0"/>
        <v>1.3336889837289867E-2</v>
      </c>
      <c r="J47" s="107"/>
      <c r="K47" s="8"/>
      <c r="L47" s="8"/>
      <c r="V47" s="80" t="str">
        <f>IF(C47&gt;EOMONTH(DATE('Input|General'!$G$12,MONTH('Input|General'!$G$9),1),0),"Ok",IF(I47="","Check","Ok"))</f>
        <v>Ok</v>
      </c>
    </row>
    <row r="48" spans="3:22" ht="10.5">
      <c r="C48" s="48">
        <v>42735</v>
      </c>
      <c r="D48" s="8"/>
      <c r="E48" s="198">
        <v>110</v>
      </c>
      <c r="F48" s="198">
        <v>76.38</v>
      </c>
      <c r="G48" s="115"/>
      <c r="H48" s="115">
        <f>IF(F48="",IF(COUNT(G48:G$88)=0,"",IF(ISBLANK(G48),AVERAGE(H47,H49),(1+G48)*H44)),F48)</f>
        <v>76.38</v>
      </c>
      <c r="I48" s="71">
        <f t="shared" si="0"/>
        <v>1.4746911119968065E-2</v>
      </c>
      <c r="J48" s="107"/>
      <c r="K48" s="8"/>
      <c r="L48" s="8"/>
      <c r="V48" s="80" t="str">
        <f>IF(C48&gt;EOMONTH(DATE('Input|General'!$G$12,MONTH('Input|General'!$G$9),1),0),"Ok",IF(I48="","Check","Ok"))</f>
        <v>Ok</v>
      </c>
    </row>
    <row r="49" spans="3:22" ht="10.5">
      <c r="C49" s="48">
        <v>42825</v>
      </c>
      <c r="D49" s="8"/>
      <c r="E49" s="198">
        <v>110.5</v>
      </c>
      <c r="F49" s="198">
        <v>76.73</v>
      </c>
      <c r="G49" s="115"/>
      <c r="H49" s="115">
        <f>IF(F49="",IF(COUNT(G49:G$88)=0,"",IF(ISBLANK(G49),AVERAGE(H48,H50),(1+G49)*H45)),F49)</f>
        <v>76.73</v>
      </c>
      <c r="I49" s="71">
        <f t="shared" si="0"/>
        <v>2.1432374866879655E-2</v>
      </c>
      <c r="J49" s="107"/>
      <c r="K49" s="8"/>
      <c r="L49" s="8"/>
      <c r="V49" s="80" t="str">
        <f>IF(C49&gt;EOMONTH(DATE('Input|General'!$G$12,MONTH('Input|General'!$G$9),1),0),"Ok",IF(I49="","Check","Ok"))</f>
        <v>Ok</v>
      </c>
    </row>
    <row r="50" spans="3:22" ht="10.5">
      <c r="C50" s="48">
        <v>42916</v>
      </c>
      <c r="D50" s="8"/>
      <c r="E50" s="198">
        <v>110.7</v>
      </c>
      <c r="F50" s="198">
        <v>76.88</v>
      </c>
      <c r="G50" s="115"/>
      <c r="H50" s="115">
        <f>IF(F50="",IF(COUNT(G50:G$88)=0,"",IF(ISBLANK(G50),AVERAGE(H49,H51),(1+G50)*H46)),F50)</f>
        <v>76.88</v>
      </c>
      <c r="I50" s="71">
        <f t="shared" si="0"/>
        <v>1.8952948972829509E-2</v>
      </c>
      <c r="J50" s="108"/>
      <c r="K50" s="8"/>
      <c r="L50" s="8"/>
      <c r="V50" s="80" t="str">
        <f>IF(C50&gt;EOMONTH(DATE('Input|General'!$G$12,MONTH('Input|General'!$G$9),1),0),"Ok",IF(I50="","Check","Ok"))</f>
        <v>Ok</v>
      </c>
    </row>
    <row r="51" spans="3:22" ht="10.5">
      <c r="C51" s="48">
        <v>43008</v>
      </c>
      <c r="D51" s="8"/>
      <c r="E51" s="198">
        <v>111.4</v>
      </c>
      <c r="F51" s="198">
        <v>77.349999999999994</v>
      </c>
      <c r="G51" s="115"/>
      <c r="H51" s="115">
        <f>IF(F51="",IF(COUNT(G51:G$88)=0,"",IF(ISBLANK(G51),AVERAGE(H50,H52),(1+G51)*H47)),F51)</f>
        <v>77.349999999999994</v>
      </c>
      <c r="I51" s="71">
        <f t="shared" si="0"/>
        <v>1.8031060805475008E-2</v>
      </c>
      <c r="J51" s="107"/>
      <c r="K51" s="8"/>
      <c r="L51" s="8"/>
      <c r="V51" s="80" t="str">
        <f>IF(C51&gt;EOMONTH(DATE('Input|General'!$G$12,MONTH('Input|General'!$G$9),1),0),"Ok",IF(I51="","Check","Ok"))</f>
        <v>Ok</v>
      </c>
    </row>
    <row r="52" spans="3:22" ht="10.5">
      <c r="C52" s="48">
        <v>43100</v>
      </c>
      <c r="D52" s="8"/>
      <c r="E52" s="198">
        <v>112.1</v>
      </c>
      <c r="F52" s="198">
        <v>77.87</v>
      </c>
      <c r="G52" s="115"/>
      <c r="H52" s="115">
        <f>IF(F52="",IF(COUNT(G52:G$88)=0,"",IF(ISBLANK(G52),AVERAGE(H51,H53),(1+G52)*H48)),F52)</f>
        <v>77.87</v>
      </c>
      <c r="I52" s="71">
        <f t="shared" si="0"/>
        <v>1.9507724535218873E-2</v>
      </c>
      <c r="J52" s="107"/>
      <c r="K52" s="8"/>
      <c r="L52" s="8"/>
      <c r="V52" s="80" t="str">
        <f>IF(C52&gt;EOMONTH(DATE('Input|General'!$G$12,MONTH('Input|General'!$G$9),1),0),"Ok",IF(I52="","Check","Ok"))</f>
        <v>Ok</v>
      </c>
    </row>
    <row r="53" spans="3:22" ht="10.5">
      <c r="C53" s="48">
        <v>43190</v>
      </c>
      <c r="D53" s="8"/>
      <c r="E53" s="198">
        <v>112.6</v>
      </c>
      <c r="F53" s="198">
        <v>78.209999999999994</v>
      </c>
      <c r="G53" s="115"/>
      <c r="H53" s="115">
        <f>IF(F53="",IF(COUNT(G53:G$88)=0,"",IF(ISBLANK(G53),AVERAGE(H52,H54),(1+G53)*H49)),F53)</f>
        <v>78.209999999999994</v>
      </c>
      <c r="I53" s="71">
        <f t="shared" si="0"/>
        <v>1.9288413918936431E-2</v>
      </c>
      <c r="J53" s="107"/>
      <c r="K53" s="8"/>
      <c r="L53" s="8"/>
      <c r="V53" s="80" t="str">
        <f>IF(C53&gt;EOMONTH(DATE('Input|General'!$G$12,MONTH('Input|General'!$G$9),1),0),"Ok",IF(I53="","Check","Ok"))</f>
        <v>Ok</v>
      </c>
    </row>
    <row r="54" spans="3:22" ht="10.5">
      <c r="C54" s="48">
        <v>43281</v>
      </c>
      <c r="D54" s="8"/>
      <c r="E54" s="198">
        <v>113</v>
      </c>
      <c r="F54" s="198">
        <v>78.489999999999995</v>
      </c>
      <c r="G54" s="201"/>
      <c r="H54" s="115">
        <f>IF(F54="",IF(COUNT(G54:G$88)=0,"",IF(ISBLANK(G54),AVERAGE(H53,H55),(1+G54)*H50)),F54)</f>
        <v>78.489999999999995</v>
      </c>
      <c r="I54" s="71">
        <f t="shared" si="0"/>
        <v>2.0941727367325802E-2</v>
      </c>
      <c r="J54" s="107"/>
      <c r="K54" s="8"/>
      <c r="L54" s="8"/>
      <c r="V54" s="80" t="str">
        <f>IF(C54&gt;EOMONTH(DATE('Input|General'!$G$12,MONTH('Input|General'!$G$9),1),0),"Ok",IF(I54="","Check","Ok"))</f>
        <v>Ok</v>
      </c>
    </row>
    <row r="55" spans="3:22" ht="10.5">
      <c r="C55" s="48">
        <v>43373</v>
      </c>
      <c r="D55" s="8"/>
      <c r="E55" s="198">
        <v>113.5</v>
      </c>
      <c r="F55" s="198">
        <v>78.83</v>
      </c>
      <c r="G55" s="201"/>
      <c r="H55" s="115">
        <f>IF(F55="",IF(COUNT(G55:G$88)=0,"",IF(ISBLANK(G55),AVERAGE(H54,H56),(1+G55)*H51)),F55)</f>
        <v>78.83</v>
      </c>
      <c r="I55" s="71">
        <f t="shared" si="0"/>
        <v>1.9133807369101641E-2</v>
      </c>
      <c r="J55" s="107"/>
      <c r="K55" s="8"/>
      <c r="L55" s="8"/>
      <c r="V55" s="80" t="str">
        <f>IF(C55&gt;EOMONTH(DATE('Input|General'!$G$12,MONTH('Input|General'!$G$9),1),0),"Ok",IF(I55="","Check","Ok"))</f>
        <v>Ok</v>
      </c>
    </row>
    <row r="56" spans="3:22" ht="10.5">
      <c r="C56" s="48">
        <v>43465</v>
      </c>
      <c r="D56" s="8"/>
      <c r="E56" s="198">
        <v>114.1</v>
      </c>
      <c r="F56" s="198">
        <v>79.239999999999995</v>
      </c>
      <c r="G56" s="201"/>
      <c r="H56" s="115">
        <f>IF(F56="",IF(COUNT(G56:G$88)=0,"",IF(ISBLANK(G56),AVERAGE(H55,H57),(1+G56)*H52)),F56)</f>
        <v>79.239999999999995</v>
      </c>
      <c r="I56" s="71">
        <f t="shared" si="0"/>
        <v>1.7593424939000846E-2</v>
      </c>
      <c r="J56" s="107"/>
      <c r="K56" s="8"/>
      <c r="L56" s="8"/>
      <c r="V56" s="80" t="str">
        <f>IF(C56&gt;EOMONTH(DATE('Input|General'!$G$12,MONTH('Input|General'!$G$9),1),0),"Ok",IF(I56="","Check","Ok"))</f>
        <v>Ok</v>
      </c>
    </row>
    <row r="57" spans="3:22" ht="10.5">
      <c r="C57" s="48">
        <v>43555</v>
      </c>
      <c r="D57" s="8"/>
      <c r="E57" s="198">
        <v>114.1</v>
      </c>
      <c r="F57" s="198">
        <v>79.23</v>
      </c>
      <c r="G57" s="201"/>
      <c r="H57" s="115">
        <f>IF(F57="",IF(COUNT(G57:G$88)=0,"",IF(ISBLANK(G57),AVERAGE(H56,H58),(1+G57)*H53)),F57)</f>
        <v>79.23</v>
      </c>
      <c r="I57" s="71">
        <f t="shared" si="0"/>
        <v>1.3041810510165064E-2</v>
      </c>
      <c r="J57" s="107"/>
      <c r="K57" s="8"/>
      <c r="L57" s="8"/>
      <c r="V57" s="80" t="str">
        <f>IF(C57&gt;EOMONTH(DATE('Input|General'!$G$12,MONTH('Input|General'!$G$9),1),0),"Ok",IF(I57="","Check","Ok"))</f>
        <v>Ok</v>
      </c>
    </row>
    <row r="58" spans="3:22" ht="10.5">
      <c r="C58" s="48">
        <v>43646</v>
      </c>
      <c r="D58" s="8"/>
      <c r="E58" s="198">
        <v>114.8</v>
      </c>
      <c r="F58" s="198">
        <v>79.7</v>
      </c>
      <c r="G58" s="201"/>
      <c r="H58" s="115">
        <f>IF(F58="",IF(COUNT(G58:G$88)=0,"",IF(ISBLANK(G58),AVERAGE(H57,H59),(1+G58)*H54)),F58)</f>
        <v>79.7</v>
      </c>
      <c r="I58" s="71">
        <f t="shared" si="0"/>
        <v>1.5415976557523248E-2</v>
      </c>
      <c r="J58" s="107"/>
      <c r="K58" s="8"/>
      <c r="L58" s="8"/>
      <c r="V58" s="80" t="str">
        <f>IF(C58&gt;EOMONTH(DATE('Input|General'!$G$12,MONTH('Input|General'!$G$9),1),0),"Ok",IF(I58="","Check","Ok"))</f>
        <v>Ok</v>
      </c>
    </row>
    <row r="59" spans="3:22" ht="10.5">
      <c r="C59" s="48">
        <v>43738</v>
      </c>
      <c r="D59" s="8"/>
      <c r="E59" s="198">
        <v>115.4</v>
      </c>
      <c r="F59" s="198">
        <v>80.150000000000006</v>
      </c>
      <c r="G59" s="201"/>
      <c r="H59" s="115">
        <f>IF(F59="",IF(COUNT(G59:G$88)=0,"",IF(ISBLANK(G59),AVERAGE(H58,H60),(1+G59)*H55)),F59)</f>
        <v>80.150000000000006</v>
      </c>
      <c r="I59" s="71">
        <f t="shared" si="0"/>
        <v>1.674489407585944E-2</v>
      </c>
      <c r="J59" s="107"/>
      <c r="K59" s="8"/>
      <c r="L59" s="8"/>
      <c r="V59" s="80" t="str">
        <f>IF(C59&gt;EOMONTH(DATE('Input|General'!$G$12,MONTH('Input|General'!$G$9),1),0),"Ok",IF(I59="","Check","Ok"))</f>
        <v>Ok</v>
      </c>
    </row>
    <row r="60" spans="3:22" ht="10.5">
      <c r="C60" s="48">
        <v>43830</v>
      </c>
      <c r="D60" s="8"/>
      <c r="E60" s="198">
        <v>116.2</v>
      </c>
      <c r="F60" s="198">
        <v>80.7</v>
      </c>
      <c r="G60" s="201"/>
      <c r="H60" s="115">
        <f>IF(F60="",IF(COUNT(G60:G$88)=0,"",IF(ISBLANK(G60),AVERAGE(H59,H61),(1+G60)*H56)),F60)</f>
        <v>80.7</v>
      </c>
      <c r="I60" s="71">
        <f t="shared" si="0"/>
        <v>1.8425037859666871E-2</v>
      </c>
      <c r="J60" s="107"/>
      <c r="K60" s="8"/>
      <c r="L60" s="8"/>
      <c r="V60" s="80" t="str">
        <f>IF(C60&gt;EOMONTH(DATE('Input|General'!$G$12,MONTH('Input|General'!$G$9),1),0),"Ok",IF(I60="","Check","Ok"))</f>
        <v>Ok</v>
      </c>
    </row>
    <row r="61" spans="3:22" ht="10.5">
      <c r="C61" s="48">
        <v>43921</v>
      </c>
      <c r="D61" s="8"/>
      <c r="E61" s="198">
        <v>116.6</v>
      </c>
      <c r="F61" s="198">
        <v>81</v>
      </c>
      <c r="G61" s="201"/>
      <c r="H61" s="115">
        <f>IF(F61="",IF(COUNT(G61:G$88)=0,"",IF(ISBLANK(G61),AVERAGE(H60,H62),(1+G61)*H57)),F61)</f>
        <v>81</v>
      </c>
      <c r="I61" s="71">
        <f t="shared" si="0"/>
        <v>2.2340022718667196E-2</v>
      </c>
      <c r="J61" s="107"/>
      <c r="K61" s="8"/>
      <c r="L61" s="8"/>
      <c r="V61" s="80" t="str">
        <f>IF(C61&gt;EOMONTH(DATE('Input|General'!$G$12,MONTH('Input|General'!$G$9),1),0),"Ok",IF(I61="","Check","Ok"))</f>
        <v>Ok</v>
      </c>
    </row>
    <row r="62" spans="3:22" ht="10.5">
      <c r="C62" s="48">
        <v>44012</v>
      </c>
      <c r="D62" s="8"/>
      <c r="E62" s="198">
        <v>114.4</v>
      </c>
      <c r="F62" s="198">
        <v>79.44</v>
      </c>
      <c r="G62" s="201"/>
      <c r="H62" s="115">
        <f>IF(F62="",IF(COUNT(G62:G$88)=0,"",IF(ISBLANK(G62),AVERAGE(H61,H63),(1+G62)*H58)),F62)</f>
        <v>79.44</v>
      </c>
      <c r="I62" s="71">
        <f t="shared" si="0"/>
        <v>-3.2622333751568533E-3</v>
      </c>
      <c r="J62" s="107"/>
      <c r="K62" s="8"/>
      <c r="L62" s="8"/>
      <c r="V62" s="80" t="str">
        <f>IF(C62&gt;EOMONTH(DATE('Input|General'!$G$12,MONTH('Input|General'!$G$9),1),0),"Ok",IF(I62="","Check","Ok"))</f>
        <v>Ok</v>
      </c>
    </row>
    <row r="63" spans="3:22" ht="10.5">
      <c r="C63" s="48">
        <v>44104</v>
      </c>
      <c r="D63" s="8"/>
      <c r="E63" s="198">
        <v>116.2</v>
      </c>
      <c r="F63" s="198">
        <v>80.67</v>
      </c>
      <c r="G63" s="201"/>
      <c r="H63" s="115">
        <f>IF(F63="",IF(COUNT(G63:G$88)=0,"",IF(ISBLANK(G63),AVERAGE(H62,H64),(1+G63)*H59)),F63)</f>
        <v>80.67</v>
      </c>
      <c r="I63" s="71">
        <f t="shared" si="0"/>
        <v>6.4878353087960416E-3</v>
      </c>
      <c r="J63" s="107"/>
      <c r="K63" s="8"/>
      <c r="L63" s="8"/>
      <c r="V63" s="80" t="str">
        <f>IF(C63&gt;EOMONTH(DATE('Input|General'!$G$12,MONTH('Input|General'!$G$9),1),0),"Ok",IF(I63="","Check","Ok"))</f>
        <v>Ok</v>
      </c>
    </row>
    <row r="64" spans="3:22" ht="10.5">
      <c r="C64" s="48">
        <v>44196</v>
      </c>
      <c r="D64" s="8"/>
      <c r="E64" s="198">
        <v>117.2</v>
      </c>
      <c r="F64" s="198">
        <v>81.400000000000006</v>
      </c>
      <c r="G64" s="201"/>
      <c r="H64" s="115">
        <f>IF(F64="",IF(COUNT(G64:G$88)=0,"",IF(ISBLANK(G64),AVERAGE(H63,H65),(1+G64)*H60)),F64)</f>
        <v>81.400000000000006</v>
      </c>
      <c r="I64" s="71">
        <f t="shared" si="0"/>
        <v>8.6741016109046498E-3</v>
      </c>
      <c r="J64" s="107"/>
      <c r="K64" s="8"/>
      <c r="L64" s="8"/>
      <c r="V64" s="80" t="str">
        <f>IF(C64&gt;EOMONTH(DATE('Input|General'!$G$12,MONTH('Input|General'!$G$9),1),0),"Ok",IF(I64="","Check","Ok"))</f>
        <v>Ok</v>
      </c>
    </row>
    <row r="65" spans="3:22" ht="10.5">
      <c r="C65" s="48">
        <v>44286</v>
      </c>
      <c r="D65" s="8"/>
      <c r="E65" s="198">
        <v>117.9</v>
      </c>
      <c r="F65" s="198">
        <v>81.87</v>
      </c>
      <c r="G65" s="201"/>
      <c r="H65" s="115">
        <f>IF(F65="",IF(COUNT(G65:G$88)=0,"",IF(ISBLANK(G65),AVERAGE(H64,H66),(1+G65)*H61)),F65)</f>
        <v>81.87</v>
      </c>
      <c r="I65" s="71">
        <f t="shared" si="0"/>
        <v>1.0740740740740717E-2</v>
      </c>
      <c r="J65" s="107"/>
      <c r="K65" s="8"/>
      <c r="L65" s="8"/>
      <c r="V65" s="80" t="str">
        <f>IF(C65&gt;EOMONTH(DATE('Input|General'!$G$12,MONTH('Input|General'!$G$9),1),0),"Ok",IF(I65="","Check","Ok"))</f>
        <v>Ok</v>
      </c>
    </row>
    <row r="66" spans="3:22" ht="10.5">
      <c r="C66" s="48">
        <v>44377</v>
      </c>
      <c r="D66" s="8"/>
      <c r="E66" s="198">
        <v>118.8</v>
      </c>
      <c r="F66" s="198">
        <v>82.47</v>
      </c>
      <c r="G66" s="201"/>
      <c r="H66" s="115">
        <f>IF(F66="",IF(COUNT(G66:G$88)=0,"",IF(ISBLANK(G66),AVERAGE(H65,H67),(1+G66)*H62)),F66)</f>
        <v>82.47</v>
      </c>
      <c r="I66" s="71">
        <f t="shared" si="0"/>
        <v>3.8141993957703901E-2</v>
      </c>
      <c r="J66" s="107"/>
      <c r="K66" s="8"/>
      <c r="L66" s="8"/>
      <c r="V66" s="80" t="str">
        <f>IF(C66&gt;EOMONTH(DATE('Input|General'!$G$12,MONTH('Input|General'!$G$9),1),0),"Ok",IF(I66="","Check","Ok"))</f>
        <v>Ok</v>
      </c>
    </row>
    <row r="67" spans="3:22" ht="10.5">
      <c r="C67" s="48">
        <v>44469</v>
      </c>
      <c r="D67" s="8"/>
      <c r="E67" s="198">
        <v>119.7</v>
      </c>
      <c r="F67" s="198">
        <v>83.17</v>
      </c>
      <c r="G67" s="201"/>
      <c r="H67" s="115">
        <f>IF(F67="",IF(COUNT(G67:G$88)=0,"",IF(ISBLANK(G67),AVERAGE(H66,H68),(1+G67)*H63)),F67)</f>
        <v>83.17</v>
      </c>
      <c r="I67" s="71">
        <f t="shared" si="0"/>
        <v>3.0990454939878509E-2</v>
      </c>
      <c r="J67" s="107"/>
      <c r="K67" s="8"/>
      <c r="L67" s="8"/>
      <c r="V67" s="80" t="str">
        <f>IF(C67&gt;EOMONTH(DATE('Input|General'!$G$12,MONTH('Input|General'!$G$9),1),0),"Ok",IF(I67="","Check","Ok"))</f>
        <v>Ok</v>
      </c>
    </row>
    <row r="68" spans="3:22" ht="10.5">
      <c r="C68" s="48">
        <v>44561</v>
      </c>
      <c r="D68" s="8"/>
      <c r="E68" s="198">
        <v>121.3</v>
      </c>
      <c r="F68" s="198">
        <v>84.23</v>
      </c>
      <c r="G68" s="201"/>
      <c r="H68" s="115">
        <f>IF(F68="",IF(COUNT(G68:G$88)=0,"",IF(ISBLANK(G68),AVERAGE(H67,H69),(1+G68)*H64)),F68)</f>
        <v>84.23</v>
      </c>
      <c r="I68" s="71">
        <f t="shared" si="0"/>
        <v>3.4766584766584785E-2</v>
      </c>
      <c r="J68" s="107"/>
      <c r="K68" s="8"/>
      <c r="L68" s="8"/>
      <c r="V68" s="80" t="str">
        <f>IF(C68&gt;EOMONTH(DATE('Input|General'!$G$12,MONTH('Input|General'!$G$9),1),0),"Ok",IF(I68="","Check","Ok"))</f>
        <v>Ok</v>
      </c>
    </row>
    <row r="69" spans="3:22" ht="10.5">
      <c r="C69" s="48">
        <v>44651</v>
      </c>
      <c r="D69" s="8"/>
      <c r="E69" s="198">
        <v>123.9</v>
      </c>
      <c r="F69" s="198">
        <v>86.05</v>
      </c>
      <c r="G69" s="201"/>
      <c r="H69" s="115">
        <f>IF(F69="",IF(COUNT(G69:G$88)=0,"",IF(ISBLANK(G69),AVERAGE(H68,H70),(1+G69)*H65)),F69)</f>
        <v>86.05</v>
      </c>
      <c r="I69" s="71">
        <f t="shared" si="0"/>
        <v>5.1056553071943123E-2</v>
      </c>
      <c r="J69" s="107"/>
      <c r="K69" s="8"/>
      <c r="L69" s="8"/>
      <c r="V69" s="80" t="str">
        <f>IF(C69&gt;EOMONTH(DATE('Input|General'!$G$12,MONTH('Input|General'!$G$9),1),0),"Ok",IF(I69="","Check","Ok"))</f>
        <v>Ok</v>
      </c>
    </row>
    <row r="70" spans="3:22" ht="10.5">
      <c r="C70" s="48">
        <v>44742</v>
      </c>
      <c r="D70" s="8"/>
      <c r="E70" s="198">
        <v>126.1</v>
      </c>
      <c r="F70" s="198">
        <v>87.59</v>
      </c>
      <c r="G70" s="201"/>
      <c r="H70" s="115">
        <f>IF(F70="",IF(COUNT(G70:G$88)=0,"",IF(ISBLANK(G70),AVERAGE(H69,H71),(1+G70)*H66)),F70)</f>
        <v>87.59</v>
      </c>
      <c r="I70" s="71">
        <f t="shared" si="0"/>
        <v>6.2083181763065376E-2</v>
      </c>
      <c r="J70" s="114"/>
      <c r="K70" s="8"/>
      <c r="L70" s="8"/>
      <c r="V70" s="80" t="str">
        <f>IF(C70&gt;EOMONTH(DATE('Input|General'!$G$12,MONTH('Input|General'!$G$9),1),0),"Ok",IF(I70="","Check","Ok"))</f>
        <v>Ok</v>
      </c>
    </row>
    <row r="71" spans="3:22" ht="10.5">
      <c r="C71" s="48">
        <v>44834</v>
      </c>
      <c r="D71" s="8"/>
      <c r="E71" s="198">
        <v>128.4</v>
      </c>
      <c r="F71" s="198">
        <v>89.2</v>
      </c>
      <c r="G71" s="201"/>
      <c r="H71" s="115">
        <f>IF(F71="",IF(COUNT(G71:G$88)=0,"",IF(ISBLANK(G71),AVERAGE(H70,H72),(1+G71)*H67)),F71)</f>
        <v>89.2</v>
      </c>
      <c r="I71" s="71">
        <f t="shared" si="0"/>
        <v>7.25021041240832E-2</v>
      </c>
      <c r="J71" s="113"/>
      <c r="K71" s="8"/>
      <c r="L71" s="8"/>
      <c r="V71" s="80" t="str">
        <f>IF(C71&gt;EOMONTH(DATE('Input|General'!$G$12,MONTH('Input|General'!$G$9),1),0),"Ok",IF(I71="","Check","Ok"))</f>
        <v>Ok</v>
      </c>
    </row>
    <row r="72" spans="3:22" ht="10.5">
      <c r="C72" s="48">
        <v>44926</v>
      </c>
      <c r="D72" s="8"/>
      <c r="E72" s="198">
        <v>130.80000000000001</v>
      </c>
      <c r="F72" s="198">
        <v>90.85</v>
      </c>
      <c r="G72" s="201"/>
      <c r="H72" s="115">
        <f>IF(F72="",IF(COUNT(G72:G$88)=0,"",IF(ISBLANK(G72),AVERAGE(H71,H73),(1+G72)*H68)),F72)</f>
        <v>90.85</v>
      </c>
      <c r="I72" s="71">
        <f t="shared" si="0"/>
        <v>7.8594325062329329E-2</v>
      </c>
      <c r="J72" s="114"/>
      <c r="K72" s="8"/>
      <c r="L72" s="8"/>
      <c r="V72" s="80" t="str">
        <f>IF(C72&gt;EOMONTH(DATE('Input|General'!$G$12,MONTH('Input|General'!$G$9),1),0),"Ok",IF(I72="","Check","Ok"))</f>
        <v>Ok</v>
      </c>
    </row>
    <row r="73" spans="3:22" ht="10.5">
      <c r="C73" s="48">
        <v>45016</v>
      </c>
      <c r="D73" s="8"/>
      <c r="E73" s="198">
        <v>132.6</v>
      </c>
      <c r="F73" s="198">
        <v>92.08</v>
      </c>
      <c r="G73" s="201"/>
      <c r="H73" s="115">
        <f>IF(F73="",IF(COUNT(G73:G$88)=0,"",IF(ISBLANK(G73),AVERAGE(H72,H74),(1+G73)*H69)),F73)</f>
        <v>92.08</v>
      </c>
      <c r="I73" s="71">
        <f t="shared" si="0"/>
        <v>7.007553747821027E-2</v>
      </c>
      <c r="J73" s="107"/>
      <c r="K73" s="8"/>
      <c r="L73" s="8"/>
      <c r="V73" s="80" t="str">
        <f>IF(C73&gt;EOMONTH(DATE('Input|General'!$G$12,MONTH('Input|General'!$G$9),1),0),"Ok",IF(I73="","Check","Ok"))</f>
        <v>Ok</v>
      </c>
    </row>
    <row r="74" spans="3:22" ht="10.5">
      <c r="C74" s="48">
        <v>45107</v>
      </c>
      <c r="D74" s="8"/>
      <c r="E74" s="198">
        <v>133.69999999999999</v>
      </c>
      <c r="F74" s="198">
        <v>92.87</v>
      </c>
      <c r="G74" s="201"/>
      <c r="H74" s="115">
        <f>IF(F74="",IF(COUNT(G74:G$88)=0,"",IF(ISBLANK(G74),AVERAGE(H73,H75),(1+G74)*H70)),F74)</f>
        <v>92.87</v>
      </c>
      <c r="I74" s="71">
        <f t="shared" si="0"/>
        <v>6.0280853978764704E-2</v>
      </c>
      <c r="J74" s="182"/>
      <c r="K74" s="8"/>
      <c r="L74" s="8"/>
      <c r="V74" s="80" t="str">
        <f>IF(C74&gt;EOMONTH(DATE('Input|General'!$G$12,MONTH('Input|General'!$G$9),1),0),"Ok",IF(I74="","Check","Ok"))</f>
        <v>Ok</v>
      </c>
    </row>
    <row r="75" spans="3:22" ht="10.5">
      <c r="C75" s="48">
        <v>45199</v>
      </c>
      <c r="D75" s="8"/>
      <c r="E75" s="198">
        <v>135.30000000000001</v>
      </c>
      <c r="F75" s="198">
        <v>93.94</v>
      </c>
      <c r="G75" s="201"/>
      <c r="H75" s="115">
        <f>IF(F75="",IF(COUNT(G75:G$88)=0,"",IF(ISBLANK(G75),AVERAGE(H74,H76),(1+G75)*H71)),F75)</f>
        <v>93.94</v>
      </c>
      <c r="I75" s="71">
        <f t="shared" ref="I75:I88" si="1">IF(H75="","",H75/H71-1)</f>
        <v>5.3139013452914829E-2</v>
      </c>
      <c r="J75" s="107"/>
      <c r="K75" s="8"/>
      <c r="L75" s="8"/>
      <c r="V75" s="80" t="str">
        <f>IF(C75&gt;EOMONTH(DATE('Input|General'!$G$12,MONTH('Input|General'!$G$9),1),0),"Ok",IF(I75="","Check","Ok"))</f>
        <v>Ok</v>
      </c>
    </row>
    <row r="76" spans="3:22" ht="10.5">
      <c r="C76" s="48">
        <v>45291</v>
      </c>
      <c r="D76" s="8"/>
      <c r="E76" s="198">
        <v>136.1</v>
      </c>
      <c r="F76" s="198">
        <v>94.53</v>
      </c>
      <c r="G76" s="201"/>
      <c r="H76" s="115">
        <f>IF(F76="",IF(COUNT(G76:G$88)=0,"",IF(ISBLANK(G76),AVERAGE(H75,H77),(1+G76)*H72)),F76)</f>
        <v>94.53</v>
      </c>
      <c r="I76" s="71">
        <f t="shared" si="1"/>
        <v>4.0506329113924044E-2</v>
      </c>
      <c r="J76" s="187"/>
      <c r="K76" s="8"/>
      <c r="L76" s="8"/>
      <c r="V76" s="80" t="str">
        <f>IF(C76&gt;EOMONTH(DATE('Input|General'!$G$12,MONTH('Input|General'!$G$9),1),0),"Ok",IF(I76="","Check","Ok"))</f>
        <v>Ok</v>
      </c>
    </row>
    <row r="77" spans="3:22" ht="10.5">
      <c r="C77" s="48">
        <v>45382</v>
      </c>
      <c r="D77" s="8"/>
      <c r="E77" s="198">
        <v>137.4</v>
      </c>
      <c r="F77" s="198">
        <v>95.41</v>
      </c>
      <c r="G77" s="201"/>
      <c r="H77" s="115">
        <f>IF(F77="",IF(COUNT(G77:G$88)=0,"",IF(ISBLANK(G77),AVERAGE(H76,H78),(1+G77)*H73)),F77)</f>
        <v>95.41</v>
      </c>
      <c r="I77" s="71">
        <f t="shared" si="1"/>
        <v>3.6164205039096453E-2</v>
      </c>
      <c r="J77" s="107"/>
      <c r="K77" s="8"/>
      <c r="L77" s="8"/>
      <c r="V77" s="80" t="str">
        <f>IF(C77&gt;EOMONTH(DATE('Input|General'!$G$12,MONTH('Input|General'!$G$9),1),0),"Ok",IF(I77="","Check","Ok"))</f>
        <v>Ok</v>
      </c>
    </row>
    <row r="78" spans="3:22" ht="10.5">
      <c r="C78" s="48">
        <v>45473</v>
      </c>
      <c r="D78" s="8"/>
      <c r="E78" s="198">
        <v>138.80000000000001</v>
      </c>
      <c r="F78" s="198">
        <v>96.41</v>
      </c>
      <c r="G78" s="201"/>
      <c r="H78" s="115">
        <f>IF(F78="",IF(COUNT(G78:G$88)=0,"",IF(ISBLANK(G78),AVERAGE(H77,H79),(1+G78)*H74)),F78)</f>
        <v>96.41</v>
      </c>
      <c r="I78" s="71">
        <f t="shared" si="1"/>
        <v>3.8117799073974279E-2</v>
      </c>
      <c r="J78" s="187"/>
      <c r="K78" s="8"/>
      <c r="L78" s="8"/>
      <c r="V78" s="80" t="str">
        <f>IF(C78&gt;EOMONTH(DATE('Input|General'!$G$12,MONTH('Input|General'!$G$9),1),0),"Ok",IF(I78="","Check","Ok"))</f>
        <v>Ok</v>
      </c>
    </row>
    <row r="79" spans="3:22" ht="10.5">
      <c r="C79" s="48">
        <v>45565</v>
      </c>
      <c r="D79" s="8"/>
      <c r="E79" s="198">
        <v>139.1</v>
      </c>
      <c r="F79" s="198">
        <v>96.62</v>
      </c>
      <c r="G79" s="201"/>
      <c r="H79" s="115">
        <f>IF(F79="",IF(COUNT(G79:G$88)=0,"",IF(ISBLANK(G79),AVERAGE(H78,H80),(1+G79)*H75)),F79)</f>
        <v>96.62</v>
      </c>
      <c r="I79" s="71">
        <f t="shared" si="1"/>
        <v>2.852884820097934E-2</v>
      </c>
      <c r="J79" s="107"/>
      <c r="K79" s="8"/>
      <c r="L79" s="8"/>
      <c r="V79" s="80" t="str">
        <f>IF(C79&gt;EOMONTH(DATE('Input|General'!$G$12,MONTH('Input|General'!$G$9),1),0),"Ok",IF(I79="","Check","Ok"))</f>
        <v>Ok</v>
      </c>
    </row>
    <row r="80" spans="3:22" ht="10.5">
      <c r="C80" s="48">
        <v>45657</v>
      </c>
      <c r="D80" s="8"/>
      <c r="E80" s="198">
        <v>139.4</v>
      </c>
      <c r="F80" s="198">
        <v>96.81</v>
      </c>
      <c r="G80" s="201"/>
      <c r="H80" s="115">
        <f>IF(F80="",IF(COUNT(G80:G$88)=0,"",IF(ISBLANK(G80),AVERAGE(H79,H81),(1+G80)*H76)),F80)</f>
        <v>96.81</v>
      </c>
      <c r="I80" s="71">
        <f t="shared" si="1"/>
        <v>2.4119327197714924E-2</v>
      </c>
      <c r="J80" s="187"/>
      <c r="K80" s="8"/>
      <c r="L80" s="8"/>
      <c r="V80" s="80" t="str">
        <f>IF(C80&gt;EOMONTH(DATE('Input|General'!$G$12,MONTH('Input|General'!$G$9),1),0),"Ok",IF(I80="","Check","Ok"))</f>
        <v>Ok</v>
      </c>
    </row>
    <row r="81" spans="1:50" ht="10.5">
      <c r="C81" s="48">
        <v>45747</v>
      </c>
      <c r="D81" s="8"/>
      <c r="E81" s="198">
        <v>140.69999999999999</v>
      </c>
      <c r="F81" s="198">
        <v>97.7</v>
      </c>
      <c r="G81" s="201"/>
      <c r="H81" s="115">
        <f>IF(F81="",IF(COUNT(G81:G$88)=0,"",IF(ISBLANK(G81),AVERAGE(H80,H82),(1+G81)*H77)),F81)</f>
        <v>97.7</v>
      </c>
      <c r="I81" s="71">
        <f t="shared" si="1"/>
        <v>2.4001676973063768E-2</v>
      </c>
      <c r="J81" s="107"/>
      <c r="K81" s="8"/>
      <c r="L81" s="8"/>
      <c r="V81" s="80" t="str">
        <f>IF(C81&gt;EOMONTH(DATE('Input|General'!$G$12,MONTH('Input|General'!$G$9),1),0),"Ok",IF(I81="","Check","Ok"))</f>
        <v>Ok</v>
      </c>
    </row>
    <row r="82" spans="1:50" ht="10.5">
      <c r="C82" s="48">
        <v>45838</v>
      </c>
      <c r="D82" s="8"/>
      <c r="E82" s="198">
        <v>141.69999999999999</v>
      </c>
      <c r="F82" s="198">
        <v>98.43</v>
      </c>
      <c r="G82" s="201"/>
      <c r="H82" s="115">
        <f>IF(F82="",IF(COUNT(G82:G$88)=0,"",IF(ISBLANK(G82),AVERAGE(H81,H83),(1+G82)*H78)),F82)</f>
        <v>98.43</v>
      </c>
      <c r="I82" s="71">
        <f t="shared" si="1"/>
        <v>2.0952183383466494E-2</v>
      </c>
      <c r="J82" s="187"/>
      <c r="K82" s="8"/>
      <c r="L82" s="8"/>
      <c r="V82" s="80" t="str">
        <f>IF(C82&gt;EOMONTH(DATE('Input|General'!$G$12,MONTH('Input|General'!$G$9),1),0),"Ok",IF(I82="","Check","Ok"))</f>
        <v>Ok</v>
      </c>
    </row>
    <row r="83" spans="1:50" ht="10.5">
      <c r="C83" s="48">
        <v>45930</v>
      </c>
      <c r="D83" s="8"/>
      <c r="E83" s="198">
        <v>143.6</v>
      </c>
      <c r="F83" s="198">
        <v>99.73</v>
      </c>
      <c r="G83" s="201"/>
      <c r="H83" s="115">
        <f>IF(F83="",IF(COUNT(G83:G$88)=0,"",IF(ISBLANK(G83),AVERAGE(H82,H84),(1+G83)*H79)),F83)</f>
        <v>99.73</v>
      </c>
      <c r="I83" s="71">
        <f t="shared" si="1"/>
        <v>3.2187952804802356E-2</v>
      </c>
      <c r="J83" s="107"/>
      <c r="K83" s="8"/>
      <c r="L83" s="8"/>
      <c r="V83" s="80" t="str">
        <f>IF(C83&gt;EOMONTH(DATE('Input|General'!$G$12,MONTH('Input|General'!$G$9),1),0),"Ok",IF(I83="","Check","Ok"))</f>
        <v>Ok</v>
      </c>
    </row>
    <row r="84" spans="1:50" ht="10.5">
      <c r="C84" s="48">
        <v>46022</v>
      </c>
      <c r="D84" s="8"/>
      <c r="E84" s="8"/>
      <c r="F84" s="198">
        <v>100.32</v>
      </c>
      <c r="G84" s="199"/>
      <c r="H84" s="115">
        <f>IF(F84="",IF(COUNT(G84:G$88)=0,"",IF(ISBLANK(G84),AVERAGE(H83,H85),(1+G84)*H80)),F84)</f>
        <v>100.32</v>
      </c>
      <c r="I84" s="71">
        <f t="shared" si="1"/>
        <v>3.6256585063526359E-2</v>
      </c>
      <c r="J84" s="187"/>
      <c r="K84" s="8"/>
      <c r="L84" s="8"/>
      <c r="V84" s="80" t="str">
        <f>IF(C84&gt;EOMONTH(DATE('Input|General'!$G$12,MONTH('Input|General'!$G$9),1),0),"Ok",IF(I84="","Check","Ok"))</f>
        <v>Ok</v>
      </c>
    </row>
    <row r="85" spans="1:50" ht="10.5">
      <c r="C85" s="48">
        <v>46112</v>
      </c>
      <c r="D85" s="8"/>
      <c r="E85" s="8"/>
      <c r="F85" s="198">
        <v>101.7</v>
      </c>
      <c r="G85" s="199"/>
      <c r="H85" s="115">
        <f>IF(F85="",IF(COUNT(G85:G$88)=0,"",IF(ISBLANK(G85),AVERAGE(H84,H86),(1+G85)*H81)),F85)</f>
        <v>101.7</v>
      </c>
      <c r="I85" s="71">
        <f t="shared" si="1"/>
        <v>4.0941658137154446E-2</v>
      </c>
      <c r="J85" s="187"/>
      <c r="K85" s="8"/>
      <c r="L85" s="8"/>
      <c r="V85" s="80" t="str">
        <f>IF(C85&gt;EOMONTH(DATE('Input|General'!$G$12,MONTH('Input|General'!$G$9),1),0),"Ok",IF(I85="","Check","Ok"))</f>
        <v>Ok</v>
      </c>
    </row>
    <row r="86" spans="1:50" ht="10.5">
      <c r="C86" s="48">
        <v>46203</v>
      </c>
      <c r="D86" s="8"/>
      <c r="E86" s="8"/>
      <c r="F86" s="198"/>
      <c r="G86" s="199">
        <v>4.8000000000000001E-2</v>
      </c>
      <c r="H86" s="115">
        <f>IF(F86="",IF(COUNT(G86:G$88)=0,"",IF(ISBLANK(G86),AVERAGE(H85,H87),(1+G86)*H82)),F86)</f>
        <v>103.15464000000001</v>
      </c>
      <c r="I86" s="71">
        <f t="shared" si="1"/>
        <v>4.8000000000000043E-2</v>
      </c>
      <c r="J86" t="s">
        <v>225</v>
      </c>
      <c r="K86" s="8"/>
      <c r="L86" s="8"/>
      <c r="V86" s="80" t="str">
        <f>IF(C86&gt;EOMONTH(DATE('Input|General'!$G$12,MONTH('Input|General'!$G$9),1),0),"Ok",IF(I86="","Check","Ok"))</f>
        <v>Ok</v>
      </c>
    </row>
    <row r="87" spans="1:50" ht="10.5">
      <c r="C87" s="48">
        <v>46295</v>
      </c>
      <c r="D87" s="8"/>
      <c r="E87" s="8"/>
      <c r="F87" s="198"/>
      <c r="G87" s="199"/>
      <c r="H87" s="115">
        <f>IF(F87="",IF(COUNT(G87:G$88)=0,"",IF(ISBLANK(G87),AVERAGE(H86,H88),(1+G87)*H83)),F87)</f>
        <v>103.74372</v>
      </c>
      <c r="I87" s="71">
        <f t="shared" si="1"/>
        <v>4.0245863832347295E-2</v>
      </c>
      <c r="J87" s="187"/>
      <c r="K87" s="8"/>
      <c r="L87" s="8"/>
      <c r="V87" s="80" t="str">
        <f>IF(C87&gt;EOMONTH(DATE('Input|General'!$G$12,MONTH('Input|General'!$G$9),1),0),"Ok",IF(I87="","Check","Ok"))</f>
        <v>Ok</v>
      </c>
    </row>
    <row r="88" spans="1:50" ht="10.5">
      <c r="C88" s="48">
        <v>46387</v>
      </c>
      <c r="D88" s="8"/>
      <c r="E88" s="8"/>
      <c r="F88" s="198"/>
      <c r="G88" s="199">
        <v>0.04</v>
      </c>
      <c r="H88" s="115">
        <f>IF(F88="",IF(COUNT(G88:G$88)=0,"",IF(ISBLANK(G88),AVERAGE(H87,H89),(1+G88)*H84)),F88)</f>
        <v>104.33279999999999</v>
      </c>
      <c r="I88" s="71">
        <f t="shared" si="1"/>
        <v>4.0000000000000036E-2</v>
      </c>
      <c r="J88" t="s">
        <v>225</v>
      </c>
      <c r="K88" s="8"/>
      <c r="L88" s="8"/>
      <c r="V88" s="80" t="str">
        <f>IF(C88&gt;EOMONTH(DATE('Input|General'!$G$12,MONTH('Input|General'!$G$9),1),0),"Ok",IF(I88="","Check","Ok"))</f>
        <v>Ok</v>
      </c>
    </row>
    <row r="89" spans="1:50" ht="10.5">
      <c r="C89" s="48">
        <v>46477</v>
      </c>
      <c r="F89" s="8"/>
      <c r="G89" s="199"/>
      <c r="H89" s="115">
        <f>IF(F89="",IF(COUNT(G$88:G89)=0,"",IF(ISBLANK(G89),AVERAGE(H88,H90),(1+G89)*H85)),F89)</f>
        <v>104.98157568000001</v>
      </c>
      <c r="I89" s="71">
        <f t="shared" ref="I89:I90" si="2">IF(H89="","",H89/H85-1)</f>
        <v>3.2267214159292124E-2</v>
      </c>
      <c r="J89" s="8"/>
      <c r="K89" s="8"/>
      <c r="L89" s="8"/>
      <c r="V89" s="81"/>
    </row>
    <row r="90" spans="1:50" ht="11.25" customHeight="1">
      <c r="C90" s="48">
        <v>46568</v>
      </c>
      <c r="G90" s="199">
        <v>2.4E-2</v>
      </c>
      <c r="H90" s="115">
        <f>IF(F90="",IF(COUNT(G$88:G90)=0,"",IF(ISBLANK(G90),AVERAGE(H89,H91),(1+G90)*H86)),F90)</f>
        <v>105.63035136000002</v>
      </c>
      <c r="I90" s="71">
        <f t="shared" si="2"/>
        <v>2.4000000000000021E-2</v>
      </c>
      <c r="J90" t="s">
        <v>225</v>
      </c>
    </row>
    <row r="91" spans="1:50" customFormat="1" ht="14.15" customHeight="1">
      <c r="A91" s="32"/>
      <c r="B91" s="38" t="s">
        <v>21</v>
      </c>
      <c r="C91" s="32"/>
      <c r="D91" s="32"/>
      <c r="E91" s="32"/>
      <c r="F91" s="32"/>
      <c r="G91" s="32"/>
      <c r="H91" s="32"/>
      <c r="I91" s="33"/>
      <c r="J91" s="33"/>
      <c r="K91" s="33"/>
      <c r="L91" s="33"/>
      <c r="M91" s="34"/>
      <c r="N91" s="35"/>
      <c r="O91" s="34"/>
      <c r="P91" s="35"/>
      <c r="Q91" s="34"/>
      <c r="R91" s="34"/>
      <c r="S91" s="34"/>
      <c r="T91" s="34"/>
      <c r="U91" s="34"/>
      <c r="V91" s="34"/>
      <c r="W91" s="34"/>
      <c r="X91" s="34"/>
      <c r="Y91" s="35"/>
      <c r="Z91" s="35"/>
      <c r="AA91" s="36"/>
      <c r="AB91" s="36"/>
      <c r="AC91" s="36"/>
      <c r="AD91" s="36"/>
      <c r="AE91" s="36"/>
      <c r="AF91" s="37"/>
      <c r="AG91" s="37"/>
    </row>
    <row r="92" spans="1:50" ht="17.5" hidden="1" customHeight="1">
      <c r="J92" s="20"/>
      <c r="K92" s="20"/>
    </row>
    <row r="93" spans="1:50" s="16" customFormat="1" ht="10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90">
    <cfRule type="expression" dxfId="157" priority="1">
      <formula>F21=""</formula>
    </cfRule>
  </conditionalFormatting>
  <conditionalFormatting sqref="V1">
    <cfRule type="cellIs" dxfId="156" priority="6" operator="equal">
      <formula>"Check"</formula>
    </cfRule>
    <cfRule type="cellIs" dxfId="155" priority="7" operator="equal">
      <formula>"Ok"</formula>
    </cfRule>
  </conditionalFormatting>
  <conditionalFormatting sqref="V9:V88">
    <cfRule type="cellIs" dxfId="154" priority="12" operator="equal">
      <formula>"Check"</formula>
    </cfRule>
    <cfRule type="cellIs" dxfId="153" priority="13" operator="equal">
      <formula>"Ok"</formula>
    </cfRule>
  </conditionalFormatting>
  <conditionalFormatting sqref="Y1">
    <cfRule type="cellIs" dxfId="152" priority="8" operator="equal">
      <formula>"Check"</formula>
    </cfRule>
    <cfRule type="cellIs" dxfId="151" priority="9" operator="equal">
      <formula>"Ok"</formula>
    </cfRule>
  </conditionalFormatting>
  <dataValidations count="3"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zoomScale="110" zoomScaleNormal="110" workbookViewId="0">
      <selection activeCell="J1" sqref="J1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10" width="13.6640625" customWidth="1"/>
    <col min="11" max="11" width="10.77734375" customWidth="1"/>
    <col min="12" max="14" width="10.44140625" customWidth="1"/>
    <col min="15" max="20" width="10.77734375" customWidth="1"/>
    <col min="21" max="21" width="53.33203125" bestFit="1" customWidth="1"/>
    <col min="22" max="22" width="10.77734375" customWidth="1"/>
    <col min="23" max="24" width="0" hidden="1" customWidth="1"/>
    <col min="25" max="16384" width="9.33203125" hidden="1"/>
  </cols>
  <sheetData>
    <row r="1" spans="1:22" ht="15.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4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185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1"/>
      <c r="G2" s="51"/>
      <c r="H2" s="51"/>
      <c r="I2" s="5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0.5">
      <c r="A3" s="82"/>
      <c r="B3" s="82"/>
      <c r="C3" s="82"/>
      <c r="D3" s="83"/>
      <c r="E3" s="83"/>
      <c r="F3" s="83"/>
      <c r="G3" s="83"/>
      <c r="H3" s="83"/>
      <c r="I3" s="83"/>
      <c r="J3" s="95" t="s">
        <v>108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84"/>
      <c r="V3" s="84"/>
    </row>
    <row r="4" spans="1:22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44986</v>
      </c>
      <c r="K4" s="93">
        <f>DATE(PPFirstYear+1,MONTH('Input|General'!$G$9),1)</f>
        <v>45352</v>
      </c>
      <c r="L4" s="93">
        <f>DATE(PPFirstYear+2,MONTH('Input|General'!$G$9),1)</f>
        <v>45717</v>
      </c>
      <c r="M4" s="93">
        <f>DATE(PPFirstYear+3,MONTH('Input|General'!$G$9),1)</f>
        <v>46082</v>
      </c>
      <c r="N4" s="93">
        <f>DATE(PPFirstYear+4,MONTH('Input|General'!$G$9),1)</f>
        <v>46447</v>
      </c>
      <c r="O4" s="93">
        <f>DATE(PPFirstYear+5,MONTH('Input|General'!$G$9),1)</f>
        <v>46813</v>
      </c>
      <c r="P4" s="93">
        <f>DATE(PPFirstYear+6,MONTH('Input|General'!$G$9),1)</f>
        <v>47178</v>
      </c>
      <c r="Q4" s="93">
        <f>DATE(PPFirstYear+7,MONTH('Input|General'!$G$9),1)</f>
        <v>47543</v>
      </c>
      <c r="R4" s="93">
        <f>DATE(PPFirstYear+8,MONTH('Input|General'!$G$9),1)</f>
        <v>47908</v>
      </c>
      <c r="S4" s="93">
        <f>DATE(PPFirstYear+9,MONTH('Input|General'!$G$9),1)</f>
        <v>48274</v>
      </c>
      <c r="T4" s="93">
        <f>DATE(PPFirstYear+10,MONTH('Input|General'!$G$9),1)</f>
        <v>48639</v>
      </c>
      <c r="U4" s="58"/>
      <c r="V4" s="59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3">
      <c r="A8" s="32"/>
      <c r="B8" s="38" t="s">
        <v>200</v>
      </c>
      <c r="C8" s="32"/>
      <c r="D8" s="32"/>
      <c r="E8" s="32"/>
      <c r="F8" s="116"/>
      <c r="G8" s="116"/>
      <c r="H8" s="116"/>
      <c r="I8" s="116"/>
      <c r="J8" s="34"/>
      <c r="K8" s="117"/>
      <c r="L8" s="34"/>
      <c r="M8" s="117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18"/>
      <c r="E9" s="118"/>
      <c r="F9" s="118"/>
      <c r="G9" s="119"/>
      <c r="H9" s="119"/>
      <c r="I9" s="118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 ht="10.5">
      <c r="A10" s="17"/>
      <c r="B10" s="17"/>
      <c r="C10" s="120" t="s">
        <v>71</v>
      </c>
      <c r="D10" s="119" t="s">
        <v>7</v>
      </c>
      <c r="E10" s="119" t="s">
        <v>8</v>
      </c>
      <c r="F10" s="119" t="s">
        <v>22</v>
      </c>
      <c r="G10" s="119"/>
      <c r="H10" s="119"/>
      <c r="I10" s="118"/>
      <c r="J10" s="121">
        <f t="shared" ref="J10:S10" si="0">IF(YEAR(J$4)&lt;=PPLastYear,J$4,"")</f>
        <v>44986</v>
      </c>
      <c r="K10" s="121">
        <f t="shared" si="0"/>
        <v>45352</v>
      </c>
      <c r="L10" s="121">
        <f t="shared" si="0"/>
        <v>45717</v>
      </c>
      <c r="M10" s="121">
        <f t="shared" si="0"/>
        <v>46082</v>
      </c>
      <c r="N10" s="121">
        <f t="shared" si="0"/>
        <v>46447</v>
      </c>
      <c r="O10" s="121" t="str">
        <f t="shared" si="0"/>
        <v/>
      </c>
      <c r="P10" s="121" t="str">
        <f t="shared" si="0"/>
        <v/>
      </c>
      <c r="Q10" s="121" t="str">
        <f t="shared" si="0"/>
        <v/>
      </c>
      <c r="R10" s="121" t="str">
        <f t="shared" si="0"/>
        <v/>
      </c>
      <c r="S10" s="121" t="str">
        <f t="shared" si="0"/>
        <v/>
      </c>
      <c r="T10" s="121"/>
      <c r="U10" s="122" t="s">
        <v>51</v>
      </c>
      <c r="V10" s="8"/>
    </row>
    <row r="11" spans="1:22" ht="10.5">
      <c r="A11" s="17"/>
      <c r="B11" s="17"/>
      <c r="C11" s="123"/>
      <c r="D11" s="118"/>
      <c r="E11" s="118"/>
      <c r="F11" s="118"/>
      <c r="G11" s="119"/>
      <c r="H11" s="119"/>
      <c r="I11" s="118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7"/>
      <c r="V11" s="8"/>
    </row>
    <row r="12" spans="1:22" ht="10.5">
      <c r="A12" s="17"/>
      <c r="B12" s="17"/>
      <c r="C12" s="123"/>
      <c r="D12" s="118"/>
      <c r="E12" s="118"/>
      <c r="F12" s="118"/>
      <c r="G12" s="119"/>
      <c r="H12" s="119"/>
      <c r="I12" s="118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7"/>
      <c r="V12" s="8"/>
    </row>
    <row r="13" spans="1:22">
      <c r="A13" s="17"/>
      <c r="B13" s="17"/>
      <c r="C13" s="125" t="s">
        <v>68</v>
      </c>
      <c r="D13" s="118" t="s">
        <v>64</v>
      </c>
      <c r="E13" s="118" t="str">
        <f>units</f>
        <v>$millions</v>
      </c>
      <c r="F13" s="126">
        <f>DATE(PPFirstYear-1,MONTH(month),1)</f>
        <v>44621</v>
      </c>
      <c r="G13" s="119"/>
      <c r="H13" s="119"/>
      <c r="I13" s="118"/>
      <c r="J13" s="195">
        <v>277.5788736031742</v>
      </c>
      <c r="K13" s="195">
        <v>277.8239714421976</v>
      </c>
      <c r="L13" s="195">
        <v>276.98529093559296</v>
      </c>
      <c r="M13" s="195">
        <v>277.43568847410671</v>
      </c>
      <c r="N13" s="195">
        <v>277.61030396251664</v>
      </c>
      <c r="O13" s="127"/>
      <c r="P13" s="127"/>
      <c r="Q13" s="127"/>
      <c r="R13" s="127"/>
      <c r="S13" s="127"/>
      <c r="T13" s="127"/>
      <c r="U13" s="17" t="s">
        <v>172</v>
      </c>
      <c r="V13" s="63" t="str">
        <f>IF(COUNT(J13:T13)=COUNT($J$10:$T$10),"Ok","Check")</f>
        <v>Ok</v>
      </c>
    </row>
    <row r="14" spans="1:22" ht="10.5">
      <c r="A14" s="17"/>
      <c r="B14" s="17"/>
      <c r="C14" s="123"/>
      <c r="D14" s="118"/>
      <c r="E14" s="118"/>
      <c r="F14" s="118"/>
      <c r="G14" s="119"/>
      <c r="H14" s="119"/>
      <c r="I14" s="118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7"/>
      <c r="V14" s="8"/>
    </row>
    <row r="15" spans="1:22" ht="10.5">
      <c r="A15" s="17"/>
      <c r="B15" s="17"/>
      <c r="C15" s="128" t="s">
        <v>68</v>
      </c>
      <c r="D15" s="129" t="str">
        <f>D13</f>
        <v>AER</v>
      </c>
      <c r="E15" s="130" t="str">
        <f>E13</f>
        <v>$millions</v>
      </c>
      <c r="F15" s="130">
        <f>$F$13</f>
        <v>44621</v>
      </c>
      <c r="G15" s="119"/>
      <c r="H15" s="119"/>
      <c r="I15" s="118"/>
      <c r="J15" s="196">
        <f>J13</f>
        <v>277.5788736031742</v>
      </c>
      <c r="K15" s="196">
        <f t="shared" ref="K15:S15" si="1">K13</f>
        <v>277.8239714421976</v>
      </c>
      <c r="L15" s="196">
        <f t="shared" si="1"/>
        <v>276.98529093559296</v>
      </c>
      <c r="M15" s="196">
        <f t="shared" si="1"/>
        <v>277.43568847410671</v>
      </c>
      <c r="N15" s="196">
        <f t="shared" si="1"/>
        <v>277.61030396251664</v>
      </c>
      <c r="O15" s="131">
        <f t="shared" si="1"/>
        <v>0</v>
      </c>
      <c r="P15" s="131">
        <f t="shared" si="1"/>
        <v>0</v>
      </c>
      <c r="Q15" s="131">
        <f t="shared" si="1"/>
        <v>0</v>
      </c>
      <c r="R15" s="131">
        <f t="shared" si="1"/>
        <v>0</v>
      </c>
      <c r="S15" s="131">
        <f t="shared" si="1"/>
        <v>0</v>
      </c>
      <c r="T15" s="131"/>
      <c r="U15" s="17"/>
      <c r="V15" s="8"/>
    </row>
    <row r="16" spans="1:22" ht="10.5">
      <c r="A16" s="17"/>
      <c r="B16" s="17"/>
      <c r="C16" s="123"/>
      <c r="D16" s="118"/>
      <c r="E16" s="118"/>
      <c r="F16" s="118"/>
      <c r="G16" s="119"/>
      <c r="H16" s="119"/>
      <c r="I16" s="118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7"/>
      <c r="V16" s="8"/>
    </row>
    <row r="17" spans="1:22" ht="10.5">
      <c r="A17" s="17"/>
      <c r="B17" s="17"/>
      <c r="C17" s="120" t="s">
        <v>201</v>
      </c>
      <c r="D17" s="118"/>
      <c r="E17" s="118"/>
      <c r="F17" s="118"/>
      <c r="G17" s="119"/>
      <c r="H17" s="119"/>
      <c r="I17" s="118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7"/>
      <c r="V17" s="8"/>
    </row>
    <row r="18" spans="1:22" ht="10.5">
      <c r="A18" s="17"/>
      <c r="B18" s="17"/>
      <c r="C18" s="123"/>
      <c r="D18" s="118"/>
      <c r="E18" s="118"/>
      <c r="F18" s="118"/>
      <c r="G18" s="119"/>
      <c r="H18" s="119"/>
      <c r="I18" s="118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7"/>
      <c r="V18" s="8"/>
    </row>
    <row r="19" spans="1:22">
      <c r="A19" s="17"/>
      <c r="B19" s="17"/>
      <c r="C19" s="125" t="s">
        <v>39</v>
      </c>
      <c r="D19" s="118" t="s">
        <v>64</v>
      </c>
      <c r="E19" s="118" t="str">
        <f t="shared" ref="E19:E27" si="2">units</f>
        <v>$millions</v>
      </c>
      <c r="F19" s="132">
        <f>$F$13</f>
        <v>44621</v>
      </c>
      <c r="G19" s="119"/>
      <c r="H19" s="119"/>
      <c r="I19" s="118"/>
      <c r="J19" s="195">
        <v>1.7033945637636729</v>
      </c>
      <c r="K19" s="195">
        <v>1.6941789604760971</v>
      </c>
      <c r="L19" s="195">
        <v>1.6986769777589621</v>
      </c>
      <c r="M19" s="195">
        <v>1.7006194535738979</v>
      </c>
      <c r="N19" s="195">
        <v>1.6834230439388531</v>
      </c>
      <c r="O19" s="127"/>
      <c r="P19" s="127"/>
      <c r="Q19" s="127"/>
      <c r="R19" s="127"/>
      <c r="S19" s="127"/>
      <c r="T19" s="127"/>
      <c r="U19" s="17" t="s">
        <v>202</v>
      </c>
      <c r="V19" s="63" t="str">
        <f>IF(ISBLANK(C19),IF(COUNT(J19:T19)=0,"Ok","Check"),IF(COUNT(J19:T19)=COUNT(J$10:T$10),"Ok","Check"))</f>
        <v>Ok</v>
      </c>
    </row>
    <row r="20" spans="1:22">
      <c r="A20" s="17"/>
      <c r="B20" s="17"/>
      <c r="C20" s="125" t="s">
        <v>212</v>
      </c>
      <c r="D20" s="118" t="s">
        <v>64</v>
      </c>
      <c r="E20" s="118" t="str">
        <f t="shared" si="2"/>
        <v>$millions</v>
      </c>
      <c r="F20" s="132">
        <f t="shared" ref="F20:F29" si="3">$F$13</f>
        <v>44621</v>
      </c>
      <c r="G20" s="119"/>
      <c r="H20" s="119"/>
      <c r="I20" s="118"/>
      <c r="J20" s="195">
        <v>173.61030500000001</v>
      </c>
      <c r="K20" s="195">
        <v>173.61030500000001</v>
      </c>
      <c r="L20" s="195">
        <v>173.61030500000001</v>
      </c>
      <c r="M20" s="195">
        <v>173.61030500000001</v>
      </c>
      <c r="N20" s="195">
        <v>173.61030500000001</v>
      </c>
      <c r="O20" s="127"/>
      <c r="P20" s="127"/>
      <c r="Q20" s="127"/>
      <c r="R20" s="127"/>
      <c r="S20" s="127"/>
      <c r="T20" s="127"/>
      <c r="U20" s="17"/>
      <c r="V20" s="63" t="str">
        <f>IF(ISBLANK(C20),IF(COUNT(J20:T20)=0,"Ok","Check"),IF(COUNT(J20:T20)=COUNT(J$10:T$10),"Ok","Check"))</f>
        <v>Ok</v>
      </c>
    </row>
    <row r="21" spans="1:22">
      <c r="A21" s="17"/>
      <c r="B21" s="17"/>
      <c r="C21" s="125" t="s">
        <v>213</v>
      </c>
      <c r="D21" s="118" t="s">
        <v>64</v>
      </c>
      <c r="E21" s="118" t="str">
        <f t="shared" si="2"/>
        <v>$millions</v>
      </c>
      <c r="F21" s="132">
        <f t="shared" si="3"/>
        <v>44621</v>
      </c>
      <c r="G21" s="119"/>
      <c r="H21" s="119"/>
      <c r="I21" s="118"/>
      <c r="J21" s="195">
        <v>0</v>
      </c>
      <c r="K21" s="195">
        <v>1.442798802653674</v>
      </c>
      <c r="L21" s="195">
        <v>1.5512099398604169</v>
      </c>
      <c r="M21" s="195">
        <v>1.6677670324483558</v>
      </c>
      <c r="N21" s="195">
        <v>1.7930821631866782</v>
      </c>
      <c r="O21" s="127"/>
      <c r="P21" s="127"/>
      <c r="Q21" s="127"/>
      <c r="R21" s="127"/>
      <c r="S21" s="127"/>
      <c r="T21" s="127"/>
      <c r="U21" s="17"/>
      <c r="V21" s="63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5" t="s">
        <v>214</v>
      </c>
      <c r="D22" s="118" t="s">
        <v>64</v>
      </c>
      <c r="E22" s="118" t="str">
        <f t="shared" si="2"/>
        <v>$millions</v>
      </c>
      <c r="F22" s="132">
        <f t="shared" si="3"/>
        <v>44621</v>
      </c>
      <c r="G22" s="119"/>
      <c r="H22" s="119"/>
      <c r="I22" s="118"/>
      <c r="J22" s="195">
        <v>0</v>
      </c>
      <c r="K22" s="195">
        <v>0</v>
      </c>
      <c r="L22" s="195">
        <v>1.3648734623565724E-2</v>
      </c>
      <c r="M22" s="195">
        <v>0</v>
      </c>
      <c r="N22" s="195">
        <v>0</v>
      </c>
      <c r="O22" s="127"/>
      <c r="P22" s="127"/>
      <c r="Q22" s="127"/>
      <c r="R22" s="127"/>
      <c r="S22" s="127"/>
      <c r="T22" s="127"/>
      <c r="U22" s="17"/>
      <c r="V22" s="63" t="str">
        <f t="shared" si="4"/>
        <v>Ok</v>
      </c>
    </row>
    <row r="23" spans="1:22">
      <c r="A23" s="17"/>
      <c r="B23" s="17"/>
      <c r="C23" s="125"/>
      <c r="D23" s="118" t="s">
        <v>64</v>
      </c>
      <c r="E23" s="118" t="str">
        <f t="shared" si="2"/>
        <v>$millions</v>
      </c>
      <c r="F23" s="132">
        <f t="shared" si="3"/>
        <v>44621</v>
      </c>
      <c r="G23" s="119"/>
      <c r="H23" s="119"/>
      <c r="I23" s="118"/>
      <c r="J23" s="195"/>
      <c r="K23" s="195"/>
      <c r="L23" s="195"/>
      <c r="M23" s="195"/>
      <c r="N23" s="195"/>
      <c r="O23" s="127"/>
      <c r="P23" s="127"/>
      <c r="Q23" s="127"/>
      <c r="R23" s="127"/>
      <c r="S23" s="127"/>
      <c r="T23" s="127"/>
      <c r="U23" s="17"/>
      <c r="V23" s="63" t="str">
        <f t="shared" si="4"/>
        <v>Ok</v>
      </c>
    </row>
    <row r="24" spans="1:22">
      <c r="A24" s="17"/>
      <c r="B24" s="17"/>
      <c r="C24" s="125"/>
      <c r="D24" s="118" t="s">
        <v>64</v>
      </c>
      <c r="E24" s="118" t="str">
        <f t="shared" si="2"/>
        <v>$millions</v>
      </c>
      <c r="F24" s="132">
        <f t="shared" si="3"/>
        <v>44621</v>
      </c>
      <c r="G24" s="119"/>
      <c r="H24" s="119"/>
      <c r="I24" s="118"/>
      <c r="J24" s="195"/>
      <c r="K24" s="195"/>
      <c r="L24" s="195"/>
      <c r="M24" s="195"/>
      <c r="N24" s="195"/>
      <c r="O24" s="127"/>
      <c r="P24" s="127"/>
      <c r="Q24" s="127"/>
      <c r="R24" s="127"/>
      <c r="S24" s="127"/>
      <c r="T24" s="127"/>
      <c r="U24" s="17"/>
      <c r="V24" s="63" t="str">
        <f t="shared" si="4"/>
        <v>Ok</v>
      </c>
    </row>
    <row r="25" spans="1:22">
      <c r="A25" s="17"/>
      <c r="B25" s="17"/>
      <c r="C25" s="125"/>
      <c r="D25" s="118" t="s">
        <v>64</v>
      </c>
      <c r="E25" s="118" t="str">
        <f t="shared" si="2"/>
        <v>$millions</v>
      </c>
      <c r="F25" s="132">
        <f t="shared" si="3"/>
        <v>44621</v>
      </c>
      <c r="G25" s="119"/>
      <c r="H25" s="119"/>
      <c r="I25" s="118"/>
      <c r="J25" s="195"/>
      <c r="K25" s="195"/>
      <c r="L25" s="195"/>
      <c r="M25" s="195"/>
      <c r="N25" s="195"/>
      <c r="O25" s="127"/>
      <c r="P25" s="127"/>
      <c r="Q25" s="127"/>
      <c r="R25" s="127"/>
      <c r="S25" s="127"/>
      <c r="T25" s="127"/>
      <c r="U25" s="17"/>
      <c r="V25" s="63" t="str">
        <f>IF(ISBLANK(C25),IF(COUNT(J25:T25)=0,"Ok","Check"),IF(COUNT(J25:T25)=COUNT(J$10:T$10),"Ok","Check"))</f>
        <v>Ok</v>
      </c>
    </row>
    <row r="26" spans="1:22">
      <c r="A26" s="17"/>
      <c r="B26" s="17"/>
      <c r="C26" s="125"/>
      <c r="D26" s="118" t="s">
        <v>64</v>
      </c>
      <c r="E26" s="118" t="str">
        <f t="shared" si="2"/>
        <v>$millions</v>
      </c>
      <c r="F26" s="132">
        <f t="shared" si="3"/>
        <v>44621</v>
      </c>
      <c r="G26" s="119"/>
      <c r="H26" s="119"/>
      <c r="I26" s="118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7"/>
      <c r="V26" s="63" t="str">
        <f t="shared" si="4"/>
        <v>Ok</v>
      </c>
    </row>
    <row r="27" spans="1:22">
      <c r="A27" s="17"/>
      <c r="B27" s="17"/>
      <c r="C27" s="125"/>
      <c r="D27" s="118" t="s">
        <v>64</v>
      </c>
      <c r="E27" s="118" t="str">
        <f t="shared" si="2"/>
        <v>$millions</v>
      </c>
      <c r="F27" s="132">
        <f t="shared" si="3"/>
        <v>44621</v>
      </c>
      <c r="G27" s="119"/>
      <c r="H27" s="119"/>
      <c r="I27" s="118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7"/>
      <c r="V27" s="63" t="str">
        <f t="shared" si="4"/>
        <v>Ok</v>
      </c>
    </row>
    <row r="28" spans="1:22" ht="10.5">
      <c r="A28" s="17"/>
      <c r="B28" s="17"/>
      <c r="C28" s="123"/>
      <c r="D28" s="118"/>
      <c r="E28" s="118"/>
      <c r="F28" s="118"/>
      <c r="G28" s="119"/>
      <c r="H28" s="119"/>
      <c r="I28" s="118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7"/>
      <c r="V28" s="8"/>
    </row>
    <row r="29" spans="1:22" ht="10.5">
      <c r="A29" s="17"/>
      <c r="B29" s="17"/>
      <c r="C29" s="128" t="s">
        <v>144</v>
      </c>
      <c r="D29" s="129" t="s">
        <v>30</v>
      </c>
      <c r="E29" s="133" t="str">
        <f>units</f>
        <v>$millions</v>
      </c>
      <c r="F29" s="130">
        <f t="shared" si="3"/>
        <v>44621</v>
      </c>
      <c r="G29" s="119"/>
      <c r="H29" s="119"/>
      <c r="I29" s="118"/>
      <c r="J29" s="196">
        <f>SUM(J19:J27)</f>
        <v>175.31369956376369</v>
      </c>
      <c r="K29" s="196">
        <f t="shared" ref="K29:S29" si="5">SUM(K19:K27)</f>
        <v>176.74728276312979</v>
      </c>
      <c r="L29" s="196">
        <f t="shared" si="5"/>
        <v>176.87384065224296</v>
      </c>
      <c r="M29" s="196">
        <f t="shared" si="5"/>
        <v>176.97869148602226</v>
      </c>
      <c r="N29" s="196">
        <f t="shared" si="5"/>
        <v>177.08681020712555</v>
      </c>
      <c r="O29" s="131">
        <f t="shared" si="5"/>
        <v>0</v>
      </c>
      <c r="P29" s="131">
        <f t="shared" si="5"/>
        <v>0</v>
      </c>
      <c r="Q29" s="131">
        <f t="shared" si="5"/>
        <v>0</v>
      </c>
      <c r="R29" s="131">
        <f t="shared" si="5"/>
        <v>0</v>
      </c>
      <c r="S29" s="131">
        <f t="shared" si="5"/>
        <v>0</v>
      </c>
      <c r="T29" s="131"/>
      <c r="U29" s="17"/>
      <c r="V29" s="63"/>
    </row>
    <row r="30" spans="1:22">
      <c r="A30" s="17"/>
      <c r="B30" s="17"/>
      <c r="C30" s="17"/>
      <c r="D30" s="118"/>
      <c r="E30" s="118"/>
      <c r="F30" s="118"/>
      <c r="G30" s="119"/>
      <c r="H30" s="119"/>
      <c r="I30" s="118"/>
      <c r="J30" s="193"/>
      <c r="K30" s="193"/>
      <c r="L30" s="193"/>
      <c r="M30" s="193"/>
      <c r="N30" s="193"/>
      <c r="O30" s="17"/>
      <c r="P30" s="17"/>
      <c r="Q30" s="17"/>
      <c r="R30" s="17"/>
      <c r="S30" s="17"/>
      <c r="T30" s="17"/>
      <c r="U30" s="17"/>
      <c r="V30" s="8"/>
    </row>
    <row r="31" spans="1:22" ht="13">
      <c r="A31" s="32"/>
      <c r="B31" s="38" t="s">
        <v>54</v>
      </c>
      <c r="C31" s="32"/>
      <c r="D31" s="32"/>
      <c r="E31" s="32"/>
      <c r="F31" s="116"/>
      <c r="G31" s="116"/>
      <c r="H31" s="116"/>
      <c r="I31" s="116"/>
      <c r="J31" s="34"/>
      <c r="K31" s="117"/>
      <c r="L31" s="34"/>
      <c r="M31" s="117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18"/>
      <c r="E32" s="118"/>
      <c r="F32" s="118"/>
      <c r="G32" s="118"/>
      <c r="H32" s="118"/>
      <c r="I32" s="118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18"/>
      <c r="E33" s="118"/>
      <c r="F33" s="118"/>
      <c r="G33" s="118"/>
      <c r="H33" s="118"/>
      <c r="I33" s="118"/>
      <c r="J33" s="127" t="s">
        <v>23</v>
      </c>
      <c r="K33" s="127" t="s">
        <v>23</v>
      </c>
      <c r="L33" s="127" t="s">
        <v>23</v>
      </c>
      <c r="M33" s="127" t="s">
        <v>23</v>
      </c>
      <c r="N33" s="127" t="s">
        <v>69</v>
      </c>
      <c r="O33" s="127"/>
      <c r="P33" s="127"/>
      <c r="Q33" s="127"/>
      <c r="R33" s="127"/>
      <c r="S33" s="127"/>
      <c r="T33" s="127"/>
      <c r="U33" s="17"/>
      <c r="V33" s="8"/>
    </row>
    <row r="34" spans="1:22" ht="10.5">
      <c r="A34" s="17"/>
      <c r="B34" s="17"/>
      <c r="C34" s="120" t="s">
        <v>71</v>
      </c>
      <c r="D34" s="119" t="s">
        <v>7</v>
      </c>
      <c r="E34" s="119" t="s">
        <v>8</v>
      </c>
      <c r="F34" s="119" t="s">
        <v>22</v>
      </c>
      <c r="G34" s="119"/>
      <c r="H34" s="119"/>
      <c r="I34" s="119"/>
      <c r="J34" s="121">
        <f t="shared" ref="J34:S34" si="6">IF(YEAR(J$4)&lt;=PPLastYear,J$4,"")</f>
        <v>44986</v>
      </c>
      <c r="K34" s="121">
        <f t="shared" si="6"/>
        <v>45352</v>
      </c>
      <c r="L34" s="121">
        <f t="shared" si="6"/>
        <v>45717</v>
      </c>
      <c r="M34" s="121">
        <f t="shared" si="6"/>
        <v>46082</v>
      </c>
      <c r="N34" s="121">
        <f t="shared" si="6"/>
        <v>46447</v>
      </c>
      <c r="O34" s="121" t="str">
        <f t="shared" si="6"/>
        <v/>
      </c>
      <c r="P34" s="121" t="str">
        <f t="shared" si="6"/>
        <v/>
      </c>
      <c r="Q34" s="121" t="str">
        <f t="shared" si="6"/>
        <v/>
      </c>
      <c r="R34" s="121" t="str">
        <f t="shared" si="6"/>
        <v/>
      </c>
      <c r="S34" s="121" t="str">
        <f t="shared" si="6"/>
        <v/>
      </c>
      <c r="T34" s="121"/>
      <c r="U34" s="122" t="s">
        <v>51</v>
      </c>
      <c r="V34" s="8"/>
    </row>
    <row r="35" spans="1:22">
      <c r="A35" s="17"/>
      <c r="B35" s="17"/>
      <c r="C35" s="123"/>
      <c r="D35" s="118"/>
      <c r="E35" s="118"/>
      <c r="F35" s="118"/>
      <c r="G35" s="119"/>
      <c r="H35" s="119"/>
      <c r="I35" s="118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3"/>
      <c r="D36" s="118"/>
      <c r="E36" s="118"/>
      <c r="F36" s="118"/>
      <c r="G36" s="119"/>
      <c r="H36" s="119"/>
      <c r="I36" s="118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5" t="s">
        <v>68</v>
      </c>
      <c r="D37" s="118" t="s">
        <v>70</v>
      </c>
      <c r="E37" s="118" t="str">
        <f>units</f>
        <v>$millions</v>
      </c>
      <c r="F37" s="132" t="s">
        <v>94</v>
      </c>
      <c r="G37" s="119"/>
      <c r="H37" s="119"/>
      <c r="I37" s="118"/>
      <c r="J37" s="195">
        <v>273.47382068869001</v>
      </c>
      <c r="K37" s="195">
        <v>344.71793688248977</v>
      </c>
      <c r="L37" s="195">
        <v>361.1376670320991</v>
      </c>
      <c r="M37" s="195">
        <v>395.27780006446699</v>
      </c>
      <c r="N37" s="195">
        <v>404.67041196433109</v>
      </c>
      <c r="O37" s="127"/>
      <c r="P37" s="127"/>
      <c r="Q37" s="127"/>
      <c r="R37" s="127"/>
      <c r="S37" s="127"/>
      <c r="T37" s="127"/>
      <c r="U37" s="17" t="s">
        <v>150</v>
      </c>
      <c r="V37" s="63" t="str">
        <f>IF(AND(COUNT(J37:T37)&gt;=COUNTIF($J$33:$T$33,"Actual"),COUNT(J37:T37)&lt;=COUNT($J$34:$T$34)),"Ok","Check")</f>
        <v>Ok</v>
      </c>
    </row>
    <row r="38" spans="1:22">
      <c r="A38" s="17"/>
      <c r="B38" s="17"/>
      <c r="C38" s="123"/>
      <c r="D38" s="118"/>
      <c r="E38" s="118"/>
      <c r="F38" s="132"/>
      <c r="G38" s="119"/>
      <c r="H38" s="119"/>
      <c r="I38" s="118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7"/>
      <c r="V38" s="8"/>
    </row>
    <row r="39" spans="1:22" ht="10.5">
      <c r="A39" s="17"/>
      <c r="B39" s="17"/>
      <c r="C39" s="120" t="s">
        <v>158</v>
      </c>
      <c r="D39" s="118"/>
      <c r="E39" s="118"/>
      <c r="F39" s="132"/>
      <c r="G39" s="119"/>
      <c r="H39" s="119"/>
      <c r="I39" s="118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7"/>
      <c r="V39" s="8"/>
    </row>
    <row r="40" spans="1:22" ht="10.5">
      <c r="A40" s="17"/>
      <c r="B40" s="17"/>
      <c r="C40" s="120"/>
      <c r="D40" s="118"/>
      <c r="E40" s="118"/>
      <c r="F40" s="132"/>
      <c r="G40" s="119"/>
      <c r="H40" s="119"/>
      <c r="I40" s="118"/>
      <c r="J40" s="127"/>
      <c r="K40" s="191"/>
      <c r="L40" s="127"/>
      <c r="M40" s="127"/>
      <c r="N40" s="127"/>
      <c r="O40" s="127"/>
      <c r="P40" s="127"/>
      <c r="Q40" s="127"/>
      <c r="R40" s="127"/>
      <c r="S40" s="127"/>
      <c r="T40" s="127"/>
      <c r="U40" s="17"/>
      <c r="V40" s="8"/>
    </row>
    <row r="41" spans="1:22">
      <c r="A41" s="17"/>
      <c r="B41" s="17"/>
      <c r="C41" s="125" t="s">
        <v>154</v>
      </c>
      <c r="D41" s="118" t="s">
        <v>70</v>
      </c>
      <c r="E41" s="118" t="str">
        <f>units</f>
        <v>$millions</v>
      </c>
      <c r="F41" s="132" t="s">
        <v>94</v>
      </c>
      <c r="G41" s="119"/>
      <c r="H41" s="119"/>
      <c r="I41" s="118"/>
      <c r="J41" s="195">
        <v>1.2838233993644548</v>
      </c>
      <c r="K41" s="195">
        <v>7.1024936114895185</v>
      </c>
      <c r="L41" s="195">
        <v>0.48951728530183919</v>
      </c>
      <c r="M41" s="195">
        <v>0</v>
      </c>
      <c r="N41" s="195">
        <v>0</v>
      </c>
      <c r="O41" s="127"/>
      <c r="P41" s="127"/>
      <c r="Q41" s="127"/>
      <c r="R41" s="127"/>
      <c r="S41" s="127"/>
      <c r="T41" s="127"/>
      <c r="U41" s="17" t="s">
        <v>157</v>
      </c>
      <c r="V41" s="63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5" t="s">
        <v>224</v>
      </c>
      <c r="D42" s="118" t="s">
        <v>70</v>
      </c>
      <c r="E42" s="118" t="str">
        <f>units</f>
        <v>$millions</v>
      </c>
      <c r="F42" s="132" t="s">
        <v>94</v>
      </c>
      <c r="G42" s="119"/>
      <c r="H42" s="119"/>
      <c r="I42" s="118"/>
      <c r="J42" s="195">
        <v>0</v>
      </c>
      <c r="K42" s="195">
        <v>0.58292964000000003</v>
      </c>
      <c r="L42" s="195">
        <v>0.50807371300000004</v>
      </c>
      <c r="M42" s="195">
        <v>3.351769313823846</v>
      </c>
      <c r="N42" s="195">
        <v>3.3982063602435599</v>
      </c>
      <c r="O42" s="127"/>
      <c r="P42" s="127"/>
      <c r="Q42" s="127"/>
      <c r="R42" s="127"/>
      <c r="S42" s="127"/>
      <c r="T42" s="127"/>
      <c r="U42" s="17"/>
      <c r="V42" s="63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5"/>
      <c r="D43" s="118" t="s">
        <v>70</v>
      </c>
      <c r="E43" s="118" t="str">
        <f>units</f>
        <v>$millions</v>
      </c>
      <c r="F43" s="132" t="s">
        <v>94</v>
      </c>
      <c r="G43" s="119"/>
      <c r="H43" s="119"/>
      <c r="I43" s="118"/>
      <c r="J43" s="195"/>
      <c r="K43" s="195"/>
      <c r="L43" s="195"/>
      <c r="M43" s="195"/>
      <c r="N43" s="195"/>
      <c r="O43" s="127"/>
      <c r="P43" s="127"/>
      <c r="Q43" s="127"/>
      <c r="R43" s="127"/>
      <c r="S43" s="127"/>
      <c r="T43" s="127"/>
      <c r="U43" s="17"/>
      <c r="V43" s="63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5"/>
      <c r="D44" s="118" t="s">
        <v>70</v>
      </c>
      <c r="E44" s="118" t="str">
        <f>units</f>
        <v>$millions</v>
      </c>
      <c r="F44" s="132" t="s">
        <v>94</v>
      </c>
      <c r="G44" s="119"/>
      <c r="H44" s="119"/>
      <c r="I44" s="118"/>
      <c r="J44" s="195"/>
      <c r="K44" s="195"/>
      <c r="L44" s="195"/>
      <c r="M44" s="195"/>
      <c r="N44" s="195"/>
      <c r="O44" s="127"/>
      <c r="P44" s="127"/>
      <c r="Q44" s="127"/>
      <c r="R44" s="127"/>
      <c r="S44" s="127"/>
      <c r="T44" s="127"/>
      <c r="U44" s="17"/>
      <c r="V44" s="63" t="str">
        <f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5"/>
      <c r="D45" s="118" t="s">
        <v>70</v>
      </c>
      <c r="E45" s="118" t="str">
        <f>units</f>
        <v>$millions</v>
      </c>
      <c r="F45" s="132" t="s">
        <v>94</v>
      </c>
      <c r="G45" s="119"/>
      <c r="H45" s="119"/>
      <c r="I45" s="118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7"/>
      <c r="V45" s="63" t="str">
        <f>IF(ISBLANK(C45),IF(COUNT(J45:T45)=0,"Ok","Check"),IF(AND(COUNT(J45:T45)&gt;=COUNTIF($J$33:$T$33,"Actual"),COUNT(J45:T45)&lt;=COUNT($J$34:$T$34)),"Ok","Check"))</f>
        <v>Ok</v>
      </c>
    </row>
    <row r="46" spans="1:22">
      <c r="A46" s="17"/>
      <c r="B46" s="17"/>
      <c r="C46" s="123"/>
      <c r="D46" s="118"/>
      <c r="E46" s="118"/>
      <c r="F46" s="118"/>
      <c r="G46" s="119"/>
      <c r="H46" s="119"/>
      <c r="I46" s="118"/>
      <c r="J46" s="17"/>
      <c r="K46" s="17"/>
      <c r="L46" s="17"/>
      <c r="M46" s="17"/>
      <c r="N46" s="134"/>
      <c r="O46" s="134"/>
      <c r="P46" s="134"/>
      <c r="Q46" s="134"/>
      <c r="R46" s="134"/>
      <c r="S46" s="134"/>
      <c r="T46" s="134"/>
      <c r="U46" s="17"/>
      <c r="V46" s="8"/>
    </row>
    <row r="47" spans="1:22" ht="10.5">
      <c r="A47" s="17"/>
      <c r="B47" s="17"/>
      <c r="C47" s="128" t="s">
        <v>155</v>
      </c>
      <c r="D47" s="129" t="s">
        <v>30</v>
      </c>
      <c r="E47" s="133" t="str">
        <f>units</f>
        <v>$millions</v>
      </c>
      <c r="F47" s="130" t="s">
        <v>94</v>
      </c>
      <c r="G47" s="119"/>
      <c r="H47" s="119"/>
      <c r="I47" s="118"/>
      <c r="J47" s="196">
        <f>J37-SUM(J41:J45)</f>
        <v>272.18999728932556</v>
      </c>
      <c r="K47" s="196">
        <f t="shared" ref="K47:N47" si="7">K37-SUM(K41:K45)</f>
        <v>337.03251363100026</v>
      </c>
      <c r="L47" s="196">
        <f t="shared" si="7"/>
        <v>360.14007603379724</v>
      </c>
      <c r="M47" s="196">
        <f t="shared" si="7"/>
        <v>391.92603075064312</v>
      </c>
      <c r="N47" s="196">
        <f t="shared" si="7"/>
        <v>401.27220560408756</v>
      </c>
      <c r="O47" s="131">
        <f t="shared" ref="O47:S47" si="8">O37-SUM(O41:O45)</f>
        <v>0</v>
      </c>
      <c r="P47" s="131">
        <f t="shared" si="8"/>
        <v>0</v>
      </c>
      <c r="Q47" s="131">
        <f t="shared" si="8"/>
        <v>0</v>
      </c>
      <c r="R47" s="131">
        <f t="shared" si="8"/>
        <v>0</v>
      </c>
      <c r="S47" s="131">
        <f t="shared" si="8"/>
        <v>0</v>
      </c>
      <c r="T47" s="131"/>
      <c r="U47" s="17"/>
      <c r="V47" s="8"/>
    </row>
    <row r="48" spans="1:22">
      <c r="A48" s="17"/>
      <c r="B48" s="17"/>
      <c r="C48" s="17"/>
      <c r="D48" s="118"/>
      <c r="E48" s="118"/>
      <c r="F48" s="118"/>
      <c r="G48" s="118"/>
      <c r="H48" s="118"/>
      <c r="I48" s="118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 ht="10.5">
      <c r="A49" s="17"/>
      <c r="B49" s="17"/>
      <c r="C49" s="120" t="s">
        <v>102</v>
      </c>
      <c r="D49" s="118"/>
      <c r="E49" s="118"/>
      <c r="F49" s="118"/>
      <c r="G49" s="118"/>
      <c r="H49" s="118"/>
      <c r="I49" s="118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18"/>
      <c r="E50" s="118"/>
      <c r="F50" s="118"/>
      <c r="G50" s="118"/>
      <c r="H50" s="118"/>
      <c r="I50" s="118"/>
      <c r="J50" s="17"/>
      <c r="K50" s="17"/>
      <c r="L50" s="17"/>
      <c r="M50" s="17"/>
      <c r="N50" s="17"/>
      <c r="O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5" t="s">
        <v>215</v>
      </c>
      <c r="D51" s="118" t="s">
        <v>70</v>
      </c>
      <c r="E51" s="118" t="str">
        <f>units</f>
        <v>$millions</v>
      </c>
      <c r="F51" s="132" t="s">
        <v>94</v>
      </c>
      <c r="G51" s="119"/>
      <c r="H51" s="119"/>
      <c r="I51" s="118"/>
      <c r="J51" s="195">
        <v>190.04448436000001</v>
      </c>
      <c r="K51" s="195">
        <v>246.81453598999997</v>
      </c>
      <c r="L51" s="195">
        <v>256.83094499999999</v>
      </c>
      <c r="M51" s="195">
        <v>267.98778499999997</v>
      </c>
      <c r="N51" s="195">
        <v>273.92004141515008</v>
      </c>
      <c r="O51" s="127"/>
      <c r="P51" s="17"/>
      <c r="Q51" s="127"/>
      <c r="R51" s="127"/>
      <c r="S51" s="127"/>
      <c r="T51" s="127"/>
      <c r="U51" s="17" t="s">
        <v>153</v>
      </c>
      <c r="V51" s="63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5" t="s">
        <v>213</v>
      </c>
      <c r="D52" s="118" t="s">
        <v>70</v>
      </c>
      <c r="E52" s="118" t="str">
        <f>units</f>
        <v>$millions</v>
      </c>
      <c r="F52" s="132" t="s">
        <v>94</v>
      </c>
      <c r="G52" s="119"/>
      <c r="H52" s="119"/>
      <c r="I52" s="118"/>
      <c r="J52" s="195">
        <v>0</v>
      </c>
      <c r="K52" s="195">
        <v>1.5982162957894737</v>
      </c>
      <c r="L52" s="195">
        <v>1.7665651192982454</v>
      </c>
      <c r="M52" s="195">
        <v>1.9610311480195906</v>
      </c>
      <c r="N52" s="195">
        <v>2.1695249113868469</v>
      </c>
      <c r="O52" s="127"/>
      <c r="P52" s="127"/>
      <c r="Q52" s="127"/>
      <c r="R52" s="127"/>
      <c r="S52" s="127"/>
      <c r="T52" s="127"/>
      <c r="U52" s="17"/>
      <c r="V52" s="63" t="str">
        <f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5"/>
      <c r="D53" s="118" t="s">
        <v>70</v>
      </c>
      <c r="E53" s="118" t="str">
        <f>units</f>
        <v>$millions</v>
      </c>
      <c r="F53" s="132" t="s">
        <v>94</v>
      </c>
      <c r="G53" s="119"/>
      <c r="H53" s="119"/>
      <c r="I53" s="118"/>
      <c r="J53" s="195"/>
      <c r="K53" s="195"/>
      <c r="L53" s="195"/>
      <c r="M53" s="195"/>
      <c r="N53" s="195"/>
      <c r="O53" s="127"/>
      <c r="P53" s="127"/>
      <c r="Q53" s="127"/>
      <c r="R53" s="127"/>
      <c r="S53" s="127"/>
      <c r="T53" s="127"/>
      <c r="U53" s="17"/>
      <c r="V53" s="63" t="str">
        <f>IF(ISBLANK(C53),IF(COUNT(J53:T53)=0,"Ok","Check"),IF(AND(COUNT(J53:T53)&gt;=COUNTIF($J$33:$T$33,"Actual"),COUNT(J53:T53)&lt;=COUNT($J$34:$T$34)),"Ok","Check"))</f>
        <v>Ok</v>
      </c>
    </row>
    <row r="54" spans="1:22">
      <c r="A54" s="17"/>
      <c r="B54" s="17"/>
      <c r="C54" s="125"/>
      <c r="D54" s="118" t="s">
        <v>70</v>
      </c>
      <c r="E54" s="118" t="str">
        <f>units</f>
        <v>$millions</v>
      </c>
      <c r="F54" s="132" t="s">
        <v>94</v>
      </c>
      <c r="G54" s="119"/>
      <c r="H54" s="119"/>
      <c r="I54" s="118"/>
      <c r="J54" s="195"/>
      <c r="K54" s="195"/>
      <c r="L54" s="195"/>
      <c r="M54" s="195"/>
      <c r="N54" s="195"/>
      <c r="O54" s="127"/>
      <c r="Q54" s="127"/>
      <c r="R54" s="127"/>
      <c r="S54" s="127"/>
      <c r="T54" s="127"/>
      <c r="U54" s="17"/>
      <c r="V54" s="63" t="str">
        <f>IF(ISBLANK(C54),IF(COUNT(J54:T54)=0,"Ok","Check"),IF(AND(COUNT(J54:T54)&gt;=COUNTIF($J$33:$T$33,"Actual"),COUNT(J54:T54)&lt;=COUNT($J$34:$T$34)),"Ok","Check"))</f>
        <v>Ok</v>
      </c>
    </row>
    <row r="55" spans="1:22">
      <c r="A55" s="17"/>
      <c r="B55" s="17"/>
      <c r="C55" s="125"/>
      <c r="D55" s="118" t="s">
        <v>70</v>
      </c>
      <c r="E55" s="118" t="str">
        <f>units</f>
        <v>$millions</v>
      </c>
      <c r="F55" s="132" t="s">
        <v>94</v>
      </c>
      <c r="G55" s="119"/>
      <c r="H55" s="119"/>
      <c r="I55" s="118"/>
      <c r="J55" s="195"/>
      <c r="K55" s="195"/>
      <c r="L55" s="195"/>
      <c r="M55" s="195"/>
      <c r="N55" s="195"/>
      <c r="O55" s="127"/>
      <c r="P55" s="127"/>
      <c r="Q55" s="127"/>
      <c r="R55" s="127"/>
      <c r="S55" s="127"/>
      <c r="T55" s="127"/>
      <c r="U55" s="17"/>
      <c r="V55" s="63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3"/>
      <c r="D56" s="118"/>
      <c r="E56" s="118"/>
      <c r="F56" s="118"/>
      <c r="G56" s="119"/>
      <c r="H56" s="119"/>
      <c r="I56" s="118"/>
      <c r="J56" s="17"/>
      <c r="K56" s="17"/>
      <c r="L56" s="17"/>
      <c r="M56" s="17"/>
      <c r="N56" s="134"/>
      <c r="O56" s="134"/>
      <c r="P56" s="134"/>
      <c r="Q56" s="134"/>
      <c r="R56" s="134"/>
      <c r="S56" s="134"/>
      <c r="T56" s="134"/>
      <c r="U56" s="17"/>
      <c r="V56" s="8"/>
    </row>
    <row r="57" spans="1:22" ht="10.5">
      <c r="A57" s="17"/>
      <c r="B57" s="17"/>
      <c r="C57" s="128" t="s">
        <v>144</v>
      </c>
      <c r="D57" s="129" t="s">
        <v>30</v>
      </c>
      <c r="E57" s="133" t="str">
        <f>units</f>
        <v>$millions</v>
      </c>
      <c r="F57" s="130" t="s">
        <v>94</v>
      </c>
      <c r="G57" s="119"/>
      <c r="H57" s="119"/>
      <c r="I57" s="118"/>
      <c r="J57" s="196">
        <f>SUM(J51:J55)</f>
        <v>190.04448436000001</v>
      </c>
      <c r="K57" s="196">
        <f t="shared" ref="K57:S57" si="9">SUM(K51:K55)</f>
        <v>248.41275228578945</v>
      </c>
      <c r="L57" s="196">
        <f t="shared" si="9"/>
        <v>258.59751011929825</v>
      </c>
      <c r="M57" s="196">
        <f t="shared" si="9"/>
        <v>269.94881614801955</v>
      </c>
      <c r="N57" s="196">
        <f t="shared" si="9"/>
        <v>276.08956632653695</v>
      </c>
      <c r="O57" s="135">
        <f t="shared" si="9"/>
        <v>0</v>
      </c>
      <c r="P57" s="135">
        <f>SUM(P51:P55)</f>
        <v>0</v>
      </c>
      <c r="Q57" s="135">
        <f t="shared" si="9"/>
        <v>0</v>
      </c>
      <c r="R57" s="135">
        <f t="shared" si="9"/>
        <v>0</v>
      </c>
      <c r="S57" s="135">
        <f t="shared" si="9"/>
        <v>0</v>
      </c>
      <c r="T57" s="135"/>
      <c r="U57" s="17"/>
      <c r="V57" s="63"/>
    </row>
    <row r="58" spans="1:22">
      <c r="A58" s="17"/>
      <c r="B58" s="17"/>
      <c r="C58" s="17"/>
      <c r="D58" s="118"/>
      <c r="E58" s="118"/>
      <c r="F58" s="118"/>
      <c r="G58" s="119"/>
      <c r="H58" s="119"/>
      <c r="I58" s="118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3">
      <c r="A59" s="32"/>
      <c r="B59" s="38" t="s">
        <v>103</v>
      </c>
      <c r="C59" s="32"/>
      <c r="D59" s="32"/>
      <c r="E59" s="32"/>
      <c r="F59" s="116"/>
      <c r="G59" s="116"/>
      <c r="H59" s="116"/>
      <c r="I59" s="116"/>
      <c r="J59" s="34"/>
      <c r="K59" s="117"/>
      <c r="L59" s="34"/>
      <c r="M59" s="117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18"/>
      <c r="E60" s="118"/>
      <c r="F60" s="118"/>
      <c r="G60" s="118"/>
      <c r="H60" s="118"/>
      <c r="I60" s="118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 ht="10.5">
      <c r="A61" s="17"/>
      <c r="B61" s="17"/>
      <c r="C61" s="120" t="s">
        <v>104</v>
      </c>
      <c r="D61" s="119" t="s">
        <v>7</v>
      </c>
      <c r="E61" s="119" t="s">
        <v>8</v>
      </c>
      <c r="F61" s="119" t="s">
        <v>22</v>
      </c>
      <c r="G61" s="119"/>
      <c r="H61" s="119"/>
      <c r="I61" s="119"/>
      <c r="J61" s="121" t="str">
        <f t="shared" ref="J61:S61" si="10">IF(YEAR(J$4)=PPLastYear,J$4,"")</f>
        <v/>
      </c>
      <c r="K61" s="121" t="str">
        <f t="shared" si="10"/>
        <v/>
      </c>
      <c r="L61" s="121" t="str">
        <f t="shared" si="10"/>
        <v/>
      </c>
      <c r="M61" s="121">
        <v>46082</v>
      </c>
      <c r="N61" s="121"/>
      <c r="O61" s="121" t="str">
        <f t="shared" si="10"/>
        <v/>
      </c>
      <c r="P61" s="121" t="str">
        <f t="shared" si="10"/>
        <v/>
      </c>
      <c r="Q61" s="121" t="str">
        <f t="shared" si="10"/>
        <v/>
      </c>
      <c r="R61" s="121" t="str">
        <f t="shared" si="10"/>
        <v/>
      </c>
      <c r="S61" s="121" t="str">
        <f t="shared" si="10"/>
        <v/>
      </c>
      <c r="T61" s="121"/>
      <c r="U61" s="17"/>
      <c r="V61" s="8"/>
    </row>
    <row r="62" spans="1:22" ht="10.5">
      <c r="A62" s="17"/>
      <c r="B62" s="17"/>
      <c r="C62" s="120"/>
      <c r="D62" s="119"/>
      <c r="E62" s="119"/>
      <c r="F62" s="119"/>
      <c r="G62" s="119"/>
      <c r="H62" s="119"/>
      <c r="I62" s="119"/>
      <c r="J62" s="136"/>
      <c r="K62" s="136"/>
      <c r="L62" s="136"/>
      <c r="N62" s="136"/>
      <c r="O62" s="136"/>
      <c r="P62" s="136"/>
      <c r="Q62" s="136"/>
      <c r="R62" s="136"/>
      <c r="S62" s="136"/>
      <c r="T62" s="136"/>
      <c r="U62" s="17"/>
      <c r="V62" s="8"/>
    </row>
    <row r="63" spans="1:22" ht="10.5">
      <c r="A63" s="17"/>
      <c r="B63" s="17"/>
      <c r="C63" s="125" t="s">
        <v>216</v>
      </c>
      <c r="D63" s="118" t="s">
        <v>34</v>
      </c>
      <c r="E63" s="118" t="str">
        <f>units</f>
        <v>$millions</v>
      </c>
      <c r="F63" s="137">
        <v>46447</v>
      </c>
      <c r="G63" s="119"/>
      <c r="H63" s="119"/>
      <c r="I63" s="119"/>
      <c r="J63" s="127"/>
      <c r="K63" s="127"/>
      <c r="L63" s="127"/>
      <c r="M63" s="197">
        <v>-2.3844115319199997</v>
      </c>
      <c r="N63" s="197"/>
      <c r="O63" s="127"/>
      <c r="P63" s="127"/>
      <c r="Q63" s="127"/>
      <c r="R63" s="127"/>
      <c r="S63" s="127"/>
      <c r="T63" s="127"/>
      <c r="U63" s="17" t="s">
        <v>160</v>
      </c>
      <c r="V63" s="63" t="str">
        <f>IF(ISBLANK(C63),IF(COUNT(J63:T63)=0,"Ok","Check"),IF(AND(NOT(ISBLANK(INDEX(J63:T63,1,MATCH(SUM($J$61:$T$61),J61:T61,0)))),COUNT(J63:T63)=COUNT($J$61:$T$61)),"Ok","Check"))</f>
        <v>Ok</v>
      </c>
    </row>
    <row r="64" spans="1:22" ht="10.5">
      <c r="A64" s="17"/>
      <c r="B64" s="17"/>
      <c r="C64" s="125"/>
      <c r="D64" s="118" t="s">
        <v>34</v>
      </c>
      <c r="E64" s="118" t="str">
        <f>units</f>
        <v>$millions</v>
      </c>
      <c r="F64" s="137">
        <f>DATE(PPLastYear,MONTH(month),1)</f>
        <v>46447</v>
      </c>
      <c r="G64" s="119"/>
      <c r="H64" s="119"/>
      <c r="I64" s="119"/>
      <c r="J64" s="127"/>
      <c r="K64" s="127"/>
      <c r="L64" s="127"/>
      <c r="M64" s="127"/>
      <c r="N64" s="195"/>
      <c r="O64" s="127"/>
      <c r="P64" s="127"/>
      <c r="Q64" s="127"/>
      <c r="R64" s="127"/>
      <c r="S64" s="127"/>
      <c r="T64" s="127"/>
      <c r="U64" s="120"/>
      <c r="V64" s="63" t="str">
        <f>IF(ISBLANK(C64),IF(COUNT(J64:T64)=0,"Ok","Check"),IF(AND(NOT(ISBLANK(INDEX(J64:T64,1,MATCH(SUM($J$61:$T$61),J62:T62,0)))),COUNT(J64:T64)=COUNT($J$61:$T$61)),"Ok","Check"))</f>
        <v>Ok</v>
      </c>
    </row>
    <row r="65" spans="1:22" ht="10.5">
      <c r="A65" s="17"/>
      <c r="B65" s="17"/>
      <c r="C65" s="125"/>
      <c r="D65" s="118" t="s">
        <v>34</v>
      </c>
      <c r="E65" s="118" t="str">
        <f>units</f>
        <v>$millions</v>
      </c>
      <c r="F65" s="137">
        <f>DATE(PPLastYear,MONTH(month),1)</f>
        <v>46447</v>
      </c>
      <c r="G65" s="119"/>
      <c r="H65" s="119"/>
      <c r="I65" s="119"/>
      <c r="J65" s="127"/>
      <c r="K65" s="127"/>
      <c r="L65" s="127"/>
      <c r="M65" s="127"/>
      <c r="N65" s="195"/>
      <c r="O65" s="127"/>
      <c r="P65" s="127"/>
      <c r="Q65" s="127"/>
      <c r="R65" s="127"/>
      <c r="S65" s="127"/>
      <c r="T65" s="127"/>
      <c r="U65" s="120"/>
      <c r="V65" s="63" t="str">
        <f>IF(ISBLANK(C65),IF(COUNT(J65:T65)=0,"Ok","Check"),IF(AND(NOT(ISBLANK(INDEX(J65:T65,1,MATCH(SUM($J$61:$T$61),J63:T63,0)))),COUNT(J65:T65)=COUNT($J$61:$T$61)),"Ok","Check"))</f>
        <v>Ok</v>
      </c>
    </row>
    <row r="66" spans="1:22" ht="10.5">
      <c r="A66" s="17"/>
      <c r="B66" s="17"/>
      <c r="C66" s="125"/>
      <c r="D66" s="118" t="s">
        <v>34</v>
      </c>
      <c r="E66" s="118" t="str">
        <f>units</f>
        <v>$millions</v>
      </c>
      <c r="F66" s="137">
        <f>DATE(PPLastYear,MONTH(month),1)</f>
        <v>46447</v>
      </c>
      <c r="G66" s="119"/>
      <c r="H66" s="119"/>
      <c r="I66" s="119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0"/>
      <c r="V66" s="63" t="str">
        <f>IF(ISBLANK(C66),IF(COUNT(J66:T66)=0,"Ok","Check"),IF(AND(NOT(ISBLANK(INDEX(J66:T66,1,MATCH(SUM($J$61:$T$61),J64:T64,0)))),COUNT(J66:T66)=COUNT($J$61:$T$61)),"Ok","Check"))</f>
        <v>Ok</v>
      </c>
    </row>
    <row r="67" spans="1:22" ht="10.5">
      <c r="A67" s="17"/>
      <c r="B67" s="17"/>
      <c r="C67" s="125"/>
      <c r="D67" s="118" t="s">
        <v>34</v>
      </c>
      <c r="E67" s="118" t="str">
        <f>units</f>
        <v>$millions</v>
      </c>
      <c r="F67" s="137">
        <f>DATE(PPLastYear,MONTH(month),1)</f>
        <v>46447</v>
      </c>
      <c r="G67" s="119"/>
      <c r="H67" s="119"/>
      <c r="I67" s="119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0"/>
      <c r="V67" s="63" t="str">
        <f>IF(ISBLANK(C67),IF(COUNT(J67:T67)=0,"Ok","Check"),IF(AND(NOT(ISBLANK(INDEX(J67:T67,1,MATCH(SUM($J$61:$T$61),J65:T65,0)))),COUNT(J67:T67)=COUNT($J$61:$T$61)),"Ok","Check"))</f>
        <v>Ok</v>
      </c>
    </row>
    <row r="68" spans="1:22" ht="10.5">
      <c r="A68" s="17"/>
      <c r="B68" s="17"/>
      <c r="C68" s="138"/>
      <c r="D68" s="118"/>
      <c r="E68" s="118"/>
      <c r="F68" s="119"/>
      <c r="G68" s="119"/>
      <c r="H68" s="119"/>
      <c r="I68" s="11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20"/>
      <c r="V68" s="8"/>
    </row>
    <row r="69" spans="1:22">
      <c r="A69" s="17"/>
      <c r="B69" s="17"/>
      <c r="C69" s="140" t="s">
        <v>156</v>
      </c>
      <c r="D69" s="118" t="s">
        <v>34</v>
      </c>
      <c r="E69" s="118" t="str">
        <f>units</f>
        <v>$millions</v>
      </c>
      <c r="F69" s="137">
        <f>DATE(PPLastYear,MONTH(month),1)</f>
        <v>46447</v>
      </c>
      <c r="G69" s="119"/>
      <c r="H69" s="119"/>
      <c r="I69" s="119"/>
      <c r="J69" s="127"/>
      <c r="K69" s="127"/>
      <c r="L69" s="127"/>
      <c r="M69" s="127">
        <v>0</v>
      </c>
      <c r="N69" s="195"/>
      <c r="O69" s="127"/>
      <c r="P69" s="127"/>
      <c r="Q69" s="127"/>
      <c r="R69" s="127"/>
      <c r="S69" s="127"/>
      <c r="T69" s="127"/>
      <c r="U69" s="17" t="s">
        <v>198</v>
      </c>
      <c r="V69" s="63" t="str">
        <f>IF(AND(NOT(ISBLANK(INDEX(J69:T69,1,MATCH(SUM($J$61:$T$61),J67:T67,0)))),COUNT(J69:T69)=COUNT($J$61:$T$61)),"Ok","Check")</f>
        <v>Ok</v>
      </c>
    </row>
    <row r="70" spans="1:22" ht="10.5">
      <c r="A70" s="17"/>
      <c r="B70" s="17"/>
      <c r="C70" s="140"/>
      <c r="D70" s="118"/>
      <c r="E70" s="118"/>
      <c r="F70" s="119"/>
      <c r="G70" s="119"/>
      <c r="H70" s="119"/>
      <c r="I70" s="11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20"/>
      <c r="V70" s="8"/>
    </row>
    <row r="71" spans="1:22">
      <c r="A71" s="17"/>
      <c r="B71" s="17"/>
      <c r="C71" s="140" t="s">
        <v>84</v>
      </c>
      <c r="D71" s="118" t="s">
        <v>34</v>
      </c>
      <c r="E71" s="118" t="s">
        <v>31</v>
      </c>
      <c r="F71" s="119"/>
      <c r="G71" s="119"/>
      <c r="H71" s="119"/>
      <c r="I71" s="119"/>
      <c r="J71" s="141"/>
      <c r="K71" s="141"/>
      <c r="L71" s="141"/>
      <c r="M71" s="141">
        <v>0</v>
      </c>
      <c r="N71" s="141"/>
      <c r="O71" s="141"/>
      <c r="P71" s="141"/>
      <c r="Q71" s="141"/>
      <c r="R71" s="141"/>
      <c r="S71" s="141"/>
      <c r="T71" s="141"/>
      <c r="U71" s="17" t="s">
        <v>197</v>
      </c>
      <c r="V71" s="63" t="str">
        <f>IF(AND(NOT(ISBLANK(INDEX(J71:T71,1,MATCH(SUM($J$61:$T$61),J69:T69,0)))),COUNT(J71:T71)=COUNT($J$61:$T$61)),"Ok","Check")</f>
        <v>Ok</v>
      </c>
    </row>
    <row r="72" spans="1:22">
      <c r="A72" s="17"/>
      <c r="B72" s="17"/>
      <c r="C72" s="123"/>
      <c r="D72" s="118"/>
      <c r="E72" s="118"/>
      <c r="F72" s="118"/>
      <c r="G72" s="119"/>
      <c r="H72" s="119"/>
      <c r="I72" s="118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3">
      <c r="A73" s="32"/>
      <c r="B73" s="38" t="s">
        <v>21</v>
      </c>
      <c r="C73" s="32"/>
      <c r="D73" s="32"/>
      <c r="E73" s="32"/>
      <c r="F73" s="116"/>
      <c r="G73" s="116"/>
      <c r="H73" s="116"/>
      <c r="I73" s="116"/>
      <c r="J73" s="34"/>
      <c r="K73" s="117"/>
      <c r="L73" s="34"/>
      <c r="M73" s="117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51:N55 R54:T54 O55:T55">
    <cfRule type="expression" dxfId="150" priority="76">
      <formula>J$34=J$4</formula>
    </cfRule>
  </conditionalFormatting>
  <conditionalFormatting sqref="J13:T13">
    <cfRule type="expression" dxfId="149" priority="35">
      <formula>J$10=J$4</formula>
    </cfRule>
  </conditionalFormatting>
  <conditionalFormatting sqref="J15:T15">
    <cfRule type="cellIs" dxfId="148" priority="38" operator="equal">
      <formula>0</formula>
    </cfRule>
  </conditionalFormatting>
  <conditionalFormatting sqref="J19:T27">
    <cfRule type="expression" dxfId="147" priority="1">
      <formula>J$10=J$4</formula>
    </cfRule>
  </conditionalFormatting>
  <conditionalFormatting sqref="J29:T29">
    <cfRule type="cellIs" dxfId="146" priority="4" operator="equal">
      <formula>0</formula>
    </cfRule>
  </conditionalFormatting>
  <conditionalFormatting sqref="J33:T33 N37:T37 J41:T45 O51:T51 P52:T53">
    <cfRule type="expression" dxfId="145" priority="36">
      <formula>J$34=J$4</formula>
    </cfRule>
  </conditionalFormatting>
  <conditionalFormatting sqref="J37:T37">
    <cfRule type="expression" dxfId="144" priority="34">
      <formula>J$10=J$4</formula>
    </cfRule>
  </conditionalFormatting>
  <conditionalFormatting sqref="J47:T47">
    <cfRule type="cellIs" dxfId="143" priority="3" operator="equal">
      <formula>0</formula>
    </cfRule>
  </conditionalFormatting>
  <conditionalFormatting sqref="J57:T57">
    <cfRule type="cellIs" dxfId="142" priority="2" operator="equal">
      <formula>0</formula>
    </cfRule>
  </conditionalFormatting>
  <conditionalFormatting sqref="J63:T67 J69:T69 J71:T71">
    <cfRule type="expression" dxfId="141" priority="67">
      <formula>J$61=J$4</formula>
    </cfRule>
  </conditionalFormatting>
  <conditionalFormatting sqref="O52:O54">
    <cfRule type="expression" dxfId="140" priority="29">
      <formula>O$34=O$4</formula>
    </cfRule>
  </conditionalFormatting>
  <conditionalFormatting sqref="Q54">
    <cfRule type="expression" dxfId="139" priority="188">
      <formula>P$34=P$4</formula>
    </cfRule>
  </conditionalFormatting>
  <conditionalFormatting sqref="S1:T1">
    <cfRule type="cellIs" dxfId="138" priority="56" operator="equal">
      <formula>"Ok"</formula>
    </cfRule>
    <cfRule type="cellIs" dxfId="137" priority="55" operator="equal">
      <formula>"Check"</formula>
    </cfRule>
  </conditionalFormatting>
  <conditionalFormatting sqref="V1">
    <cfRule type="cellIs" dxfId="136" priority="85" operator="equal">
      <formula>"Ok"</formula>
    </cfRule>
    <cfRule type="cellIs" dxfId="135" priority="84" operator="equal">
      <formula>"Check"</formula>
    </cfRule>
  </conditionalFormatting>
  <conditionalFormatting sqref="V13">
    <cfRule type="cellIs" dxfId="134" priority="23" operator="equal">
      <formula>"Check"</formula>
    </cfRule>
    <cfRule type="cellIs" dxfId="133" priority="24" operator="equal">
      <formula>"Ok"</formula>
    </cfRule>
  </conditionalFormatting>
  <conditionalFormatting sqref="V15">
    <cfRule type="cellIs" dxfId="132" priority="87" operator="equal">
      <formula>"Ok"</formula>
    </cfRule>
    <cfRule type="cellIs" dxfId="131" priority="86" operator="equal">
      <formula>"Check"</formula>
    </cfRule>
  </conditionalFormatting>
  <conditionalFormatting sqref="V19:V27">
    <cfRule type="cellIs" dxfId="130" priority="22" operator="equal">
      <formula>"Ok"</formula>
    </cfRule>
    <cfRule type="cellIs" dxfId="129" priority="21" operator="equal">
      <formula>"Check"</formula>
    </cfRule>
  </conditionalFormatting>
  <conditionalFormatting sqref="V29">
    <cfRule type="cellIs" dxfId="128" priority="63" operator="equal">
      <formula>"Check"</formula>
    </cfRule>
    <cfRule type="cellIs" dxfId="127" priority="64" operator="equal">
      <formula>"Ok"</formula>
    </cfRule>
  </conditionalFormatting>
  <conditionalFormatting sqref="V37">
    <cfRule type="cellIs" dxfId="126" priority="18" operator="equal">
      <formula>"Ok"</formula>
    </cfRule>
    <cfRule type="cellIs" dxfId="125" priority="17" operator="equal">
      <formula>"Check"</formula>
    </cfRule>
  </conditionalFormatting>
  <conditionalFormatting sqref="V41:V45">
    <cfRule type="cellIs" dxfId="124" priority="14" operator="equal">
      <formula>"Ok"</formula>
    </cfRule>
    <cfRule type="cellIs" dxfId="123" priority="13" operator="equal">
      <formula>"Check"</formula>
    </cfRule>
  </conditionalFormatting>
  <conditionalFormatting sqref="V47">
    <cfRule type="cellIs" dxfId="122" priority="70" operator="equal">
      <formula>"Check"</formula>
    </cfRule>
    <cfRule type="cellIs" dxfId="121" priority="71" operator="equal">
      <formula>"Ok"</formula>
    </cfRule>
  </conditionalFormatting>
  <conditionalFormatting sqref="V48:V50">
    <cfRule type="cellIs" dxfId="120" priority="79" operator="equal">
      <formula>"Ok"</formula>
    </cfRule>
    <cfRule type="cellIs" dxfId="119" priority="78" operator="equal">
      <formula>"Check"</formula>
    </cfRule>
  </conditionalFormatting>
  <conditionalFormatting sqref="V51:V55">
    <cfRule type="cellIs" dxfId="118" priority="12" operator="equal">
      <formula>"Ok"</formula>
    </cfRule>
    <cfRule type="cellIs" dxfId="117" priority="11" operator="equal">
      <formula>"Check"</formula>
    </cfRule>
  </conditionalFormatting>
  <conditionalFormatting sqref="V52:V55">
    <cfRule type="cellIs" dxfId="116" priority="90" operator="equal">
      <formula>"Check"</formula>
    </cfRule>
    <cfRule type="cellIs" dxfId="115" priority="91" operator="equal">
      <formula>"Ok"</formula>
    </cfRule>
  </conditionalFormatting>
  <conditionalFormatting sqref="V57">
    <cfRule type="cellIs" dxfId="114" priority="88" operator="equal">
      <formula>"Check"</formula>
    </cfRule>
    <cfRule type="cellIs" dxfId="113" priority="89" operator="equal">
      <formula>"Ok"</formula>
    </cfRule>
  </conditionalFormatting>
  <conditionalFormatting sqref="V63:V67">
    <cfRule type="cellIs" dxfId="112" priority="10" operator="equal">
      <formula>"Ok"</formula>
    </cfRule>
    <cfRule type="cellIs" dxfId="111" priority="9" operator="equal">
      <formula>"Check"</formula>
    </cfRule>
  </conditionalFormatting>
  <conditionalFormatting sqref="V69">
    <cfRule type="cellIs" dxfId="110" priority="8" operator="equal">
      <formula>"Ok"</formula>
    </cfRule>
    <cfRule type="cellIs" dxfId="109" priority="7" operator="equal">
      <formula>"Check"</formula>
    </cfRule>
  </conditionalFormatting>
  <conditionalFormatting sqref="V71">
    <cfRule type="cellIs" dxfId="108" priority="5" operator="equal">
      <formula>"Check"</formula>
    </cfRule>
    <cfRule type="cellIs" dxfId="107" priority="6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Q54:T54 O23:T25 J19:T22 J37:T37 J55:T55 J54:O54 J24:N25 J13:T13 J26:T27 J51:T53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zoomScale="115" zoomScaleNormal="115" workbookViewId="0">
      <selection activeCell="K1" sqref="K1"/>
    </sheetView>
  </sheetViews>
  <sheetFormatPr defaultColWidth="0" defaultRowHeight="10" zeroHeight="1" outlineLevelRow="1"/>
  <cols>
    <col min="1" max="2" width="1.44140625" style="8" customWidth="1"/>
    <col min="3" max="3" width="34.109375" style="8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4" width="10.77734375" style="8" customWidth="1"/>
    <col min="25" max="16384" width="10.44140625" style="8" hidden="1"/>
  </cols>
  <sheetData>
    <row r="1" spans="1:34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4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5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1"/>
      <c r="G2" s="51"/>
      <c r="H2" s="51"/>
      <c r="I2" s="51"/>
      <c r="J2" s="51"/>
    </row>
    <row r="3" spans="1:34" s="52" customFormat="1" ht="10.5">
      <c r="D3" s="104"/>
      <c r="E3" s="104"/>
      <c r="F3" s="104"/>
      <c r="G3" s="104"/>
      <c r="H3" s="104"/>
      <c r="I3" s="104"/>
      <c r="J3" s="95" t="s">
        <v>108</v>
      </c>
      <c r="K3" s="202"/>
      <c r="L3" s="202"/>
      <c r="M3" s="202"/>
      <c r="N3" s="104"/>
      <c r="O3" s="202"/>
      <c r="P3" s="202"/>
      <c r="Q3" s="202"/>
      <c r="R3" s="202"/>
      <c r="S3" s="202"/>
      <c r="T3" s="202"/>
      <c r="U3" s="104"/>
      <c r="V3" s="53"/>
      <c r="W3" s="53"/>
      <c r="X3" s="53"/>
      <c r="Y3" s="53"/>
      <c r="Z3" s="53"/>
      <c r="AA3" s="53"/>
      <c r="AB3" s="53"/>
      <c r="AC3" s="53"/>
      <c r="AD3" s="53"/>
    </row>
    <row r="4" spans="1:34" s="62" customFormat="1">
      <c r="A4" s="54"/>
      <c r="B4" s="54"/>
      <c r="C4" s="54"/>
      <c r="D4" s="55" t="s">
        <v>7</v>
      </c>
      <c r="E4" s="55" t="s">
        <v>8</v>
      </c>
      <c r="F4" s="142" t="s">
        <v>22</v>
      </c>
      <c r="G4" s="143"/>
      <c r="H4" s="143"/>
      <c r="I4" s="143"/>
      <c r="J4" s="93">
        <f>DATE(PPFirstYear-1,MONTH('Input|General'!$G$9),1)</f>
        <v>44621</v>
      </c>
      <c r="K4" s="93">
        <f>DATE(PPFirstYear,MONTH('Input|General'!$G$9),1)</f>
        <v>44986</v>
      </c>
      <c r="L4" s="93">
        <f>DATE(PPFirstYear+1,MONTH('Input|General'!$G$9),1)</f>
        <v>45352</v>
      </c>
      <c r="M4" s="93">
        <f>DATE(PPFirstYear+2,MONTH('Input|General'!$G$9),1)</f>
        <v>45717</v>
      </c>
      <c r="N4" s="93">
        <f>DATE(PPFirstYear+3,MONTH('Input|General'!$G$9),1)</f>
        <v>46082</v>
      </c>
      <c r="O4" s="93">
        <f>DATE(PPFirstYear+4,MONTH('Input|General'!$G$9),1)</f>
        <v>46447</v>
      </c>
      <c r="P4" s="93">
        <f>DATE(PPFirstYear+5,MONTH('Input|General'!$G$9),1)</f>
        <v>46813</v>
      </c>
      <c r="Q4" s="93">
        <f>DATE(PPFirstYear+6,MONTH('Input|General'!$G$9),1)</f>
        <v>47178</v>
      </c>
      <c r="R4" s="93">
        <f>DATE(PPFirstYear+7,MONTH('Input|General'!$G$9),1)</f>
        <v>47543</v>
      </c>
      <c r="S4" s="93">
        <f>DATE(PPFirstYear+8,MONTH('Input|General'!$G$9),1)</f>
        <v>47908</v>
      </c>
      <c r="T4" s="93">
        <f>DATE(PPFirstYear+9,MONTH('Input|General'!$G$9),1)</f>
        <v>48274</v>
      </c>
      <c r="U4" s="93">
        <f>DATE(PPFirstYear+10,MONTH('Input|General'!$G$9),1)</f>
        <v>48639</v>
      </c>
      <c r="V4" s="58"/>
      <c r="W4" s="58"/>
      <c r="X4" s="59"/>
      <c r="Y4" s="60"/>
      <c r="Z4" s="60"/>
      <c r="AA4" s="60"/>
      <c r="AB4" s="60"/>
      <c r="AC4" s="60"/>
      <c r="AD4" s="60"/>
      <c r="AE4" s="60"/>
      <c r="AF4" s="60"/>
      <c r="AG4" s="61"/>
      <c r="AH4" s="61"/>
    </row>
    <row r="5" spans="1:34" s="6" customFormat="1" ht="3" customHeight="1">
      <c r="A5" s="144"/>
      <c r="B5" s="144"/>
      <c r="C5" s="144"/>
      <c r="D5" s="145"/>
      <c r="E5" s="145"/>
      <c r="F5" s="145"/>
      <c r="G5" s="145"/>
      <c r="H5" s="145"/>
      <c r="I5" s="145"/>
      <c r="J5" s="145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</row>
    <row r="6" spans="1:34" s="6" customFormat="1" ht="9" customHeight="1">
      <c r="A6" s="144"/>
      <c r="B6" s="144"/>
      <c r="C6" s="144"/>
      <c r="D6" s="145"/>
      <c r="E6" s="145"/>
      <c r="F6" s="145"/>
      <c r="G6" s="145"/>
      <c r="H6" s="145"/>
      <c r="I6" s="145"/>
      <c r="J6" s="145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</row>
    <row r="7" spans="1:34" s="6" customFormat="1" ht="3" customHeight="1">
      <c r="A7" s="144"/>
      <c r="B7" s="144"/>
      <c r="C7" s="144"/>
      <c r="D7" s="145"/>
      <c r="E7" s="145"/>
      <c r="F7" s="145"/>
      <c r="G7" s="145"/>
      <c r="H7" s="145"/>
      <c r="I7" s="145"/>
      <c r="J7" s="145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</row>
    <row r="8" spans="1:34" customFormat="1" ht="13">
      <c r="A8" s="32"/>
      <c r="B8" s="38" t="s">
        <v>35</v>
      </c>
      <c r="C8" s="32"/>
      <c r="D8" s="32"/>
      <c r="E8" s="32"/>
      <c r="F8" s="116"/>
      <c r="G8" s="116"/>
      <c r="H8" s="116"/>
      <c r="I8" s="116"/>
      <c r="J8" s="116"/>
      <c r="K8" s="34"/>
      <c r="L8" s="117"/>
      <c r="M8" s="34"/>
      <c r="N8" s="117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18"/>
      <c r="E9" s="118"/>
      <c r="F9" s="118"/>
      <c r="G9" s="118"/>
      <c r="H9" s="118"/>
      <c r="I9" s="118"/>
      <c r="J9" s="118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0" t="s">
        <v>33</v>
      </c>
      <c r="D10" s="118"/>
      <c r="E10" s="118"/>
      <c r="F10" s="118"/>
      <c r="G10" s="118"/>
      <c r="H10" s="118"/>
      <c r="I10" s="118"/>
      <c r="J10" s="121">
        <f t="shared" ref="J10:T10" si="0">IF(YEAR(J$4)&lt;=PPLastYear,J$4,"")</f>
        <v>44621</v>
      </c>
      <c r="K10" s="121">
        <f t="shared" si="0"/>
        <v>44986</v>
      </c>
      <c r="L10" s="121">
        <f t="shared" si="0"/>
        <v>45352</v>
      </c>
      <c r="M10" s="121">
        <f t="shared" si="0"/>
        <v>45717</v>
      </c>
      <c r="N10" s="121">
        <f t="shared" si="0"/>
        <v>46082</v>
      </c>
      <c r="O10" s="121">
        <f t="shared" si="0"/>
        <v>46447</v>
      </c>
      <c r="P10" s="121" t="str">
        <f t="shared" si="0"/>
        <v/>
      </c>
      <c r="Q10" s="121" t="str">
        <f t="shared" si="0"/>
        <v/>
      </c>
      <c r="R10" s="121" t="str">
        <f t="shared" si="0"/>
        <v/>
      </c>
      <c r="S10" s="121" t="str">
        <f t="shared" si="0"/>
        <v/>
      </c>
      <c r="T10" s="121" t="str">
        <f t="shared" si="0"/>
        <v/>
      </c>
      <c r="U10" s="136"/>
      <c r="V10" s="17"/>
      <c r="W10" s="17"/>
    </row>
    <row r="11" spans="1:34" ht="11.25" customHeight="1" outlineLevel="1">
      <c r="A11" s="17"/>
      <c r="B11" s="17"/>
      <c r="C11" s="120"/>
      <c r="D11" s="118"/>
      <c r="E11" s="118"/>
      <c r="F11" s="118"/>
      <c r="G11" s="118"/>
      <c r="H11" s="118"/>
      <c r="I11" s="118"/>
      <c r="J11" s="17"/>
      <c r="K11" s="17"/>
      <c r="L11" s="17"/>
      <c r="M11" s="17"/>
      <c r="N11" s="17"/>
      <c r="O11" s="17"/>
      <c r="P11" s="146"/>
      <c r="Q11" s="146"/>
      <c r="R11" s="146"/>
      <c r="S11" s="146"/>
      <c r="T11" s="146"/>
      <c r="U11" s="146"/>
      <c r="V11" s="147"/>
      <c r="W11" s="147"/>
      <c r="X11" s="14"/>
    </row>
    <row r="12" spans="1:34" ht="11.25" customHeight="1" outlineLevel="1">
      <c r="A12" s="17"/>
      <c r="B12" s="17"/>
      <c r="C12" s="123" t="s">
        <v>33</v>
      </c>
      <c r="D12" s="148" t="s">
        <v>92</v>
      </c>
      <c r="E12" s="118" t="str">
        <f>percent</f>
        <v>Per cent</v>
      </c>
      <c r="F12" s="118"/>
      <c r="G12" s="118"/>
      <c r="H12" s="118"/>
      <c r="I12" s="118"/>
      <c r="J12" s="146">
        <f>IF(J10=J4,LOOKUP(EOMONTH(J4,0),'Input|Inflation'!$C$9:$C$84,'Input|Inflation'!$I$9:$I$84),"")</f>
        <v>5.1056553071943123E-2</v>
      </c>
      <c r="K12" s="146">
        <f>IF(K10=K4,LOOKUP(EOMONTH(K4,0),'Input|Inflation'!$C$9:$C$84,'Input|Inflation'!$I$9:$I$84),"")</f>
        <v>7.007553747821027E-2</v>
      </c>
      <c r="L12" s="146">
        <f>IF(L10=L4,LOOKUP(EOMONTH(L4,0),'Input|Inflation'!$C$9:$C$84,'Input|Inflation'!$I$9:$I$84),"")</f>
        <v>3.6164205039096453E-2</v>
      </c>
      <c r="M12" s="146">
        <f>IF(M10=M4,LOOKUP(EOMONTH(M4,0),'Input|Inflation'!$C$9:$C$84,'Input|Inflation'!$I$9:$I$84),"")</f>
        <v>2.4001676973063768E-2</v>
      </c>
      <c r="N12" s="146">
        <f>IF(N10=N4,LOOKUP(EOMONTH(N4,0),'Input|Inflation'!$C$9:$C$90,'Input|Inflation'!$I$9:$I$90),"")</f>
        <v>4.0941658137154446E-2</v>
      </c>
      <c r="O12" s="146">
        <f>IF(O10=O4,LOOKUP(EOMONTH(O4,0),'Input|Inflation'!$C$9:$C$90,'Input|Inflation'!$I$9:$I$90),"")</f>
        <v>3.2267214159292124E-2</v>
      </c>
      <c r="P12" s="146" t="str">
        <f>IF(P10=P4,LOOKUP(EOMONTH(P4,0),'Input|Inflation'!$C$9:$C$84,'Input|Inflation'!$I$9:$I$84),"")</f>
        <v/>
      </c>
      <c r="Q12" s="146" t="str">
        <f>IF(Q10=Q4,LOOKUP(EOMONTH(Q4,0),'Input|Inflation'!$C$9:$C$84,'Input|Inflation'!$I$9:$I$84),"")</f>
        <v/>
      </c>
      <c r="R12" s="146" t="str">
        <f>IF(R10=R4,LOOKUP(EOMONTH(R4,0),'Input|Inflation'!$C$9:$C$84,'Input|Inflation'!$I$9:$I$84),"")</f>
        <v/>
      </c>
      <c r="S12" s="146" t="str">
        <f>IF(S10=S4,LOOKUP(EOMONTH(S4,0),'Input|Inflation'!$C$9:$C$84,'Input|Inflation'!$I$9:$I$84),"")</f>
        <v/>
      </c>
      <c r="T12" s="146" t="str">
        <f>IF(T10=T4,LOOKUP(EOMONTH(T4,0),'Input|Inflation'!$C$9:$C$84,'Input|Inflation'!$I$9:$I$84),"")</f>
        <v/>
      </c>
      <c r="U12" s="146"/>
      <c r="V12" s="149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0" t="s">
        <v>93</v>
      </c>
      <c r="D14" s="118"/>
      <c r="E14" s="118"/>
      <c r="F14" s="118"/>
      <c r="G14" s="118"/>
      <c r="H14" s="118"/>
      <c r="I14" s="17"/>
      <c r="J14" s="121">
        <f t="shared" ref="J14:T14" si="1">IF(YEAR(J$4)&lt;=PPLastYear,J$4,"")</f>
        <v>44621</v>
      </c>
      <c r="K14" s="121">
        <f t="shared" si="1"/>
        <v>44986</v>
      </c>
      <c r="L14" s="121">
        <f t="shared" si="1"/>
        <v>45352</v>
      </c>
      <c r="M14" s="121">
        <f t="shared" si="1"/>
        <v>45717</v>
      </c>
      <c r="N14" s="121">
        <f t="shared" si="1"/>
        <v>46082</v>
      </c>
      <c r="O14" s="121">
        <f t="shared" si="1"/>
        <v>46447</v>
      </c>
      <c r="P14" s="121" t="str">
        <f t="shared" si="1"/>
        <v/>
      </c>
      <c r="Q14" s="121" t="str">
        <f t="shared" si="1"/>
        <v/>
      </c>
      <c r="R14" s="121" t="str">
        <f t="shared" si="1"/>
        <v/>
      </c>
      <c r="S14" s="121" t="str">
        <f t="shared" si="1"/>
        <v/>
      </c>
      <c r="T14" s="121" t="str">
        <f t="shared" si="1"/>
        <v/>
      </c>
      <c r="U14" s="136"/>
      <c r="V14" s="17"/>
      <c r="W14" s="17"/>
    </row>
    <row r="15" spans="1:34" ht="11.25" customHeight="1" outlineLevel="1">
      <c r="A15" s="17"/>
      <c r="B15" s="17"/>
      <c r="C15" s="120"/>
      <c r="D15" s="118"/>
      <c r="E15" s="118"/>
      <c r="F15" s="118"/>
      <c r="G15" s="118"/>
      <c r="H15" s="118"/>
      <c r="I15" s="17"/>
      <c r="J15" s="147"/>
      <c r="K15" s="147"/>
      <c r="L15" s="147"/>
      <c r="M15" s="147"/>
      <c r="N15" s="147"/>
      <c r="O15" s="147"/>
      <c r="P15" s="150"/>
      <c r="Q15" s="150"/>
      <c r="R15" s="150"/>
      <c r="S15" s="150"/>
      <c r="T15" s="150"/>
      <c r="U15" s="150"/>
      <c r="V15" s="17"/>
      <c r="W15" s="17"/>
    </row>
    <row r="16" spans="1:34" ht="11.25" customHeight="1" outlineLevel="1">
      <c r="A16" s="17"/>
      <c r="B16" s="17"/>
      <c r="C16" s="151">
        <f t="array" ref="C16:C22">TRANSPOSE(J10:P10)</f>
        <v>44621</v>
      </c>
      <c r="D16" s="148" t="str">
        <f t="shared" ref="D16:D22" si="2">IF(ISNONTEXT($C16),"calculated","")</f>
        <v>calculated</v>
      </c>
      <c r="E16" s="118" t="str">
        <f>IF(ISNONTEXT($C16),"index","")</f>
        <v>index</v>
      </c>
      <c r="F16" s="118"/>
      <c r="G16" s="118"/>
      <c r="H16" s="118"/>
      <c r="I16" s="118"/>
      <c r="J16" s="152">
        <f t="shared" ref="J16:O22" si="3">IF(AND($C16&gt;J$14,ISNONTEXT($C16)),K16/(1+K$12),IF(AND($C16=J$14,J$14=J$4),1,IF(AND($C16&lt;J$14,J$14=J$4),I16*(1+J$12),0)))</f>
        <v>1</v>
      </c>
      <c r="K16" s="152">
        <f t="shared" si="3"/>
        <v>1.0700755374782103</v>
      </c>
      <c r="L16" s="152">
        <f t="shared" si="3"/>
        <v>1.1087739686228937</v>
      </c>
      <c r="M16" s="152">
        <f t="shared" si="3"/>
        <v>1.1353864032539223</v>
      </c>
      <c r="N16" s="152">
        <f t="shared" si="3"/>
        <v>1.1818710052295178</v>
      </c>
      <c r="O16" s="152">
        <f t="shared" si="3"/>
        <v>1.2200066900639166</v>
      </c>
      <c r="P16" s="152">
        <f t="shared" ref="P16:P21" si="4">IF(AND($C16&gt;P$14,ISNONTEXT($C16)),Q16/(1+P$12),IF(AND($C16=P$14,P$14=P$4),1,IF(AND($C16&lt;P$14,P$14=P$4),O16*(1+P$12),0)))</f>
        <v>0</v>
      </c>
      <c r="Q16" s="153"/>
      <c r="R16" s="153"/>
      <c r="S16" s="153"/>
      <c r="T16" s="153"/>
      <c r="U16" s="153"/>
      <c r="V16" s="17"/>
      <c r="W16" s="17"/>
    </row>
    <row r="17" spans="1:23" ht="11.25" customHeight="1" outlineLevel="1">
      <c r="A17" s="17"/>
      <c r="B17" s="17"/>
      <c r="C17" s="151">
        <v>44986</v>
      </c>
      <c r="D17" s="148" t="str">
        <f t="shared" si="2"/>
        <v>calculated</v>
      </c>
      <c r="E17" s="118" t="str">
        <f t="shared" ref="E17:E22" si="5">IF(ISNONTEXT($C17),"index","")</f>
        <v>index</v>
      </c>
      <c r="F17" s="118"/>
      <c r="G17" s="118"/>
      <c r="H17" s="118"/>
      <c r="I17" s="152"/>
      <c r="J17" s="152">
        <f t="shared" si="3"/>
        <v>0.93451346655082546</v>
      </c>
      <c r="K17" s="152">
        <f t="shared" si="3"/>
        <v>1</v>
      </c>
      <c r="L17" s="152">
        <f t="shared" si="3"/>
        <v>1.0361642050390965</v>
      </c>
      <c r="M17" s="152">
        <f t="shared" si="3"/>
        <v>1.0610338835794964</v>
      </c>
      <c r="N17" s="152">
        <f t="shared" si="3"/>
        <v>1.1044743701129454</v>
      </c>
      <c r="O17" s="152">
        <f t="shared" si="3"/>
        <v>1.140112681146829</v>
      </c>
      <c r="P17" s="152">
        <f t="shared" si="4"/>
        <v>0</v>
      </c>
      <c r="Q17" s="153"/>
      <c r="R17" s="153"/>
      <c r="S17" s="153"/>
      <c r="T17" s="153"/>
      <c r="U17" s="153"/>
      <c r="V17" s="17"/>
      <c r="W17" s="17"/>
    </row>
    <row r="18" spans="1:23" ht="11.25" customHeight="1" outlineLevel="1">
      <c r="A18" s="17"/>
      <c r="B18" s="17"/>
      <c r="C18" s="151">
        <v>45352</v>
      </c>
      <c r="D18" s="148" t="str">
        <f t="shared" si="2"/>
        <v>calculated</v>
      </c>
      <c r="E18" s="118" t="str">
        <f t="shared" si="5"/>
        <v>index</v>
      </c>
      <c r="F18" s="118"/>
      <c r="G18" s="118"/>
      <c r="H18" s="118"/>
      <c r="I18" s="152"/>
      <c r="J18" s="152">
        <f t="shared" si="3"/>
        <v>0.90189707577822031</v>
      </c>
      <c r="K18" s="152">
        <f t="shared" si="3"/>
        <v>0.96509799811340524</v>
      </c>
      <c r="L18" s="152">
        <f t="shared" si="3"/>
        <v>1</v>
      </c>
      <c r="M18" s="152">
        <f t="shared" si="3"/>
        <v>1.0240016769730638</v>
      </c>
      <c r="N18" s="152">
        <f t="shared" si="3"/>
        <v>1.0659260035635678</v>
      </c>
      <c r="O18" s="152">
        <f t="shared" si="3"/>
        <v>1.1003204661985118</v>
      </c>
      <c r="P18" s="152">
        <f t="shared" si="4"/>
        <v>0</v>
      </c>
      <c r="Q18" s="153"/>
      <c r="R18" s="153"/>
      <c r="S18" s="153"/>
      <c r="T18" s="153"/>
      <c r="U18" s="153"/>
      <c r="V18" s="17"/>
      <c r="W18" s="17"/>
    </row>
    <row r="19" spans="1:23" ht="11.25" customHeight="1" outlineLevel="1">
      <c r="A19" s="17"/>
      <c r="B19" s="17"/>
      <c r="C19" s="151">
        <v>45717</v>
      </c>
      <c r="D19" s="148" t="str">
        <f t="shared" si="2"/>
        <v>calculated</v>
      </c>
      <c r="E19" s="118" t="str">
        <f t="shared" si="5"/>
        <v>index</v>
      </c>
      <c r="F19" s="118"/>
      <c r="G19" s="118"/>
      <c r="H19" s="118"/>
      <c r="I19" s="152"/>
      <c r="J19" s="152">
        <f t="shared" si="3"/>
        <v>0.88075742067553719</v>
      </c>
      <c r="K19" s="152">
        <f t="shared" si="3"/>
        <v>0.9424769703172976</v>
      </c>
      <c r="L19" s="152">
        <f t="shared" si="3"/>
        <v>0.97656090071647883</v>
      </c>
      <c r="M19" s="152">
        <f t="shared" si="3"/>
        <v>1</v>
      </c>
      <c r="N19" s="152">
        <f t="shared" si="3"/>
        <v>1.0409416581371544</v>
      </c>
      <c r="O19" s="152">
        <f t="shared" si="3"/>
        <v>1.0745299455475947</v>
      </c>
      <c r="P19" s="152">
        <f t="shared" si="4"/>
        <v>0</v>
      </c>
      <c r="Q19" s="153"/>
      <c r="R19" s="153"/>
      <c r="S19" s="153"/>
      <c r="T19" s="153"/>
      <c r="U19" s="153"/>
      <c r="V19" s="17"/>
      <c r="W19" s="17"/>
    </row>
    <row r="20" spans="1:23" ht="11.25" customHeight="1" outlineLevel="1">
      <c r="A20" s="17"/>
      <c r="B20" s="17"/>
      <c r="C20" s="151">
        <v>46082</v>
      </c>
      <c r="D20" s="148" t="str">
        <f t="shared" si="2"/>
        <v>calculated</v>
      </c>
      <c r="E20" s="118" t="str">
        <f t="shared" si="5"/>
        <v>index</v>
      </c>
      <c r="F20" s="118"/>
      <c r="G20" s="118"/>
      <c r="H20" s="118"/>
      <c r="I20" s="152"/>
      <c r="J20" s="152">
        <f t="shared" si="3"/>
        <v>0.8461160275319568</v>
      </c>
      <c r="K20" s="152">
        <f t="shared" si="3"/>
        <v>0.90540806293018683</v>
      </c>
      <c r="L20" s="152">
        <f t="shared" si="3"/>
        <v>0.93815142576204524</v>
      </c>
      <c r="M20" s="152">
        <f t="shared" si="3"/>
        <v>0.96066863323500506</v>
      </c>
      <c r="N20" s="152">
        <f t="shared" si="3"/>
        <v>1</v>
      </c>
      <c r="O20" s="152">
        <f t="shared" si="3"/>
        <v>1.0322672141592921</v>
      </c>
      <c r="P20" s="152">
        <f t="shared" si="4"/>
        <v>0</v>
      </c>
      <c r="Q20" s="153"/>
      <c r="R20" s="153"/>
      <c r="S20" s="153"/>
      <c r="T20" s="153"/>
      <c r="U20" s="153"/>
      <c r="V20" s="17"/>
      <c r="W20" s="17"/>
    </row>
    <row r="21" spans="1:23" ht="11.25" customHeight="1" outlineLevel="1">
      <c r="A21" s="17"/>
      <c r="B21" s="17"/>
      <c r="C21" s="151">
        <v>46447</v>
      </c>
      <c r="D21" s="148" t="str">
        <f t="shared" si="2"/>
        <v>calculated</v>
      </c>
      <c r="E21" s="118" t="str">
        <f t="shared" si="5"/>
        <v>index</v>
      </c>
      <c r="F21" s="118"/>
      <c r="G21" s="118"/>
      <c r="H21" s="118"/>
      <c r="I21" s="152"/>
      <c r="J21" s="152">
        <f t="shared" si="3"/>
        <v>0.81966763636977258</v>
      </c>
      <c r="K21" s="152">
        <f t="shared" si="3"/>
        <v>0.87710628654187861</v>
      </c>
      <c r="L21" s="152">
        <f t="shared" si="3"/>
        <v>0.90882613812945956</v>
      </c>
      <c r="M21" s="152">
        <f t="shared" si="3"/>
        <v>0.93063948952151987</v>
      </c>
      <c r="N21" s="152">
        <f t="shared" si="3"/>
        <v>0.96874141335044583</v>
      </c>
      <c r="O21" s="152">
        <f t="shared" si="3"/>
        <v>1</v>
      </c>
      <c r="P21" s="152">
        <f t="shared" si="4"/>
        <v>0</v>
      </c>
      <c r="Q21" s="153"/>
      <c r="R21" s="153"/>
      <c r="S21" s="153"/>
      <c r="T21" s="153"/>
      <c r="U21" s="153"/>
      <c r="V21" s="17"/>
      <c r="W21" s="17"/>
    </row>
    <row r="22" spans="1:23" ht="11.25" customHeight="1" outlineLevel="1">
      <c r="A22" s="17"/>
      <c r="B22" s="17"/>
      <c r="C22" s="151" t="str">
        <v/>
      </c>
      <c r="D22" s="148" t="str">
        <f t="shared" si="2"/>
        <v/>
      </c>
      <c r="E22" s="118" t="str">
        <f t="shared" si="5"/>
        <v/>
      </c>
      <c r="F22" s="118"/>
      <c r="G22" s="118"/>
      <c r="H22" s="118"/>
      <c r="I22" s="152"/>
      <c r="J22" s="152">
        <f t="shared" si="3"/>
        <v>0</v>
      </c>
      <c r="K22" s="152">
        <f t="shared" si="3"/>
        <v>0</v>
      </c>
      <c r="L22" s="152">
        <f t="shared" si="3"/>
        <v>0</v>
      </c>
      <c r="M22" s="152">
        <f t="shared" si="3"/>
        <v>0</v>
      </c>
      <c r="N22" s="152">
        <f t="shared" si="3"/>
        <v>0</v>
      </c>
      <c r="O22" s="152">
        <f t="shared" si="3"/>
        <v>0</v>
      </c>
      <c r="P22" s="152">
        <f>IF(AND($C22&gt;P$14,ISNONTEXT($C22)),Q22/(1+Q$12),IF(AND($C22=P$14,P$14=P$4),1,IF(AND($C22&lt;P$14,P$14=P$4),O22*(1+P$12),0)))</f>
        <v>0</v>
      </c>
      <c r="Q22" s="153"/>
      <c r="R22" s="153"/>
      <c r="S22" s="153"/>
      <c r="T22" s="153"/>
      <c r="U22" s="153"/>
      <c r="V22" s="17"/>
      <c r="W22" s="17"/>
    </row>
    <row r="23" spans="1:23" ht="11.25" customHeight="1" outlineLevel="1">
      <c r="A23" s="17"/>
      <c r="B23" s="17"/>
      <c r="C23" s="123"/>
      <c r="D23" s="118"/>
      <c r="E23" s="118"/>
      <c r="F23" s="118"/>
      <c r="G23" s="118"/>
      <c r="H23" s="118"/>
      <c r="I23" s="118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7"/>
      <c r="W23" s="17"/>
    </row>
    <row r="24" spans="1:23" ht="11.25" customHeight="1" outlineLevel="1">
      <c r="A24" s="17"/>
      <c r="B24" s="17"/>
      <c r="C24" s="120" t="s">
        <v>46</v>
      </c>
      <c r="D24" s="118"/>
      <c r="E24" s="118"/>
      <c r="F24" s="118"/>
      <c r="G24" s="118"/>
      <c r="H24" s="118"/>
      <c r="I24" s="118"/>
      <c r="J24" s="121">
        <f t="shared" ref="J24:T24" si="6">IF(YEAR(J$4)&lt;=PPLastYear,J$4,"")</f>
        <v>44621</v>
      </c>
      <c r="K24" s="121">
        <f t="shared" si="6"/>
        <v>44986</v>
      </c>
      <c r="L24" s="121">
        <f t="shared" si="6"/>
        <v>45352</v>
      </c>
      <c r="M24" s="121">
        <f t="shared" si="6"/>
        <v>45717</v>
      </c>
      <c r="N24" s="121">
        <f t="shared" si="6"/>
        <v>46082</v>
      </c>
      <c r="O24" s="121">
        <f t="shared" si="6"/>
        <v>46447</v>
      </c>
      <c r="P24" s="121" t="str">
        <f t="shared" si="6"/>
        <v/>
      </c>
      <c r="Q24" s="121" t="str">
        <f t="shared" si="6"/>
        <v/>
      </c>
      <c r="R24" s="121" t="str">
        <f t="shared" si="6"/>
        <v/>
      </c>
      <c r="S24" s="121" t="str">
        <f t="shared" si="6"/>
        <v/>
      </c>
      <c r="T24" s="121" t="str">
        <f t="shared" si="6"/>
        <v/>
      </c>
      <c r="U24" s="136"/>
      <c r="V24" s="17"/>
      <c r="W24" s="17"/>
    </row>
    <row r="25" spans="1:23" ht="11.25" customHeight="1" outlineLevel="1">
      <c r="A25" s="17"/>
      <c r="B25" s="17"/>
      <c r="C25" s="123"/>
      <c r="D25" s="118"/>
      <c r="E25" s="118"/>
      <c r="F25" s="118"/>
      <c r="G25" s="118"/>
      <c r="H25" s="118"/>
      <c r="I25" s="118"/>
      <c r="J25" s="17"/>
      <c r="K25" s="17"/>
      <c r="L25" s="17"/>
      <c r="M25" s="17"/>
      <c r="N25" s="17"/>
      <c r="O25" s="17"/>
      <c r="P25" s="17"/>
      <c r="Q25" s="152"/>
      <c r="R25" s="152"/>
      <c r="S25" s="152"/>
      <c r="T25" s="152"/>
      <c r="U25" s="152"/>
      <c r="V25" s="17"/>
      <c r="W25" s="17"/>
    </row>
    <row r="26" spans="1:23" ht="11.25" customHeight="1" outlineLevel="1">
      <c r="A26" s="17"/>
      <c r="B26" s="17"/>
      <c r="C26" s="151">
        <f t="array" ref="C26:C32">TRANSPOSE(J10:P10)</f>
        <v>44621</v>
      </c>
      <c r="D26" s="148" t="str">
        <f t="shared" ref="D26:D32" si="7">IF(ISNONTEXT($C26),"calculated","")</f>
        <v>calculated</v>
      </c>
      <c r="E26" s="118" t="str">
        <f>IF(ISNONTEXT($C26),"index","")</f>
        <v>index</v>
      </c>
      <c r="F26" s="118"/>
      <c r="G26" s="118"/>
      <c r="H26" s="118"/>
      <c r="I26" s="152"/>
      <c r="J26" s="152">
        <f>IF(AND(J$24=J$4,ISNONTEXT($C26)),1/J16*(1+J$12)^0.5,0)</f>
        <v>1.025210492080501</v>
      </c>
      <c r="K26" s="152">
        <f t="shared" ref="K26:T26" si="8">IF(AND(K$24=K$4,ISNONTEXT($C26)),1/K16*(1+K$12)^0.5,0)</f>
        <v>0.96670236709693913</v>
      </c>
      <c r="L26" s="152">
        <f t="shared" si="8"/>
        <v>0.91806043524245018</v>
      </c>
      <c r="M26" s="152">
        <f t="shared" si="8"/>
        <v>0.89126457473481735</v>
      </c>
      <c r="N26" s="152">
        <f t="shared" si="8"/>
        <v>0.86326297847253819</v>
      </c>
      <c r="O26" s="152">
        <f t="shared" ref="O26" si="9">IF(AND(O$24=O$4,ISNONTEXT($C26)),1/O16*(1+O$12)^0.5,0)</f>
        <v>0.83278684210408849</v>
      </c>
      <c r="P26" s="152">
        <f t="shared" si="8"/>
        <v>0</v>
      </c>
      <c r="Q26" s="152">
        <f t="shared" si="8"/>
        <v>0</v>
      </c>
      <c r="R26" s="152">
        <f t="shared" si="8"/>
        <v>0</v>
      </c>
      <c r="S26" s="152">
        <f t="shared" si="8"/>
        <v>0</v>
      </c>
      <c r="T26" s="152">
        <f t="shared" si="8"/>
        <v>0</v>
      </c>
      <c r="U26" s="152"/>
      <c r="V26" s="154"/>
      <c r="W26" s="154"/>
    </row>
    <row r="27" spans="1:23" ht="11.25" customHeight="1" outlineLevel="1">
      <c r="A27" s="17"/>
      <c r="B27" s="17"/>
      <c r="C27" s="151">
        <v>44986</v>
      </c>
      <c r="D27" s="148" t="str">
        <f t="shared" si="7"/>
        <v>calculated</v>
      </c>
      <c r="E27" s="118" t="str">
        <f t="shared" ref="E27:E32" si="10">IF(ISNONTEXT($C27),"index","")</f>
        <v>index</v>
      </c>
      <c r="F27" s="118"/>
      <c r="G27" s="118"/>
      <c r="H27" s="118"/>
      <c r="I27" s="152"/>
      <c r="J27" s="152">
        <f t="shared" ref="J27:T27" si="11">IF(AND(J$24=J$4,ISNONTEXT($C27)),1/J17*(1+J$12)^0.5,0)</f>
        <v>1.0970526683413424</v>
      </c>
      <c r="K27" s="152">
        <f t="shared" si="11"/>
        <v>1.0344445550527153</v>
      </c>
      <c r="L27" s="152">
        <f t="shared" si="11"/>
        <v>0.98239401367954449</v>
      </c>
      <c r="M27" s="152">
        <f t="shared" si="11"/>
        <v>0.95372041884464809</v>
      </c>
      <c r="N27" s="152">
        <f t="shared" si="11"/>
        <v>0.92375659567404189</v>
      </c>
      <c r="O27" s="152">
        <f t="shared" ref="O27" si="12">IF(AND(O$24=O$4,ISNONTEXT($C27)),1/O17*(1+O$12)^0.5,0)</f>
        <v>0.89114482766931413</v>
      </c>
      <c r="P27" s="152">
        <f t="shared" si="11"/>
        <v>0</v>
      </c>
      <c r="Q27" s="152">
        <f t="shared" si="11"/>
        <v>0</v>
      </c>
      <c r="R27" s="152">
        <f t="shared" si="11"/>
        <v>0</v>
      </c>
      <c r="S27" s="152">
        <f t="shared" si="11"/>
        <v>0</v>
      </c>
      <c r="T27" s="152">
        <f t="shared" si="11"/>
        <v>0</v>
      </c>
      <c r="U27" s="152"/>
      <c r="V27" s="154"/>
      <c r="W27" s="154"/>
    </row>
    <row r="28" spans="1:23" ht="11.25" customHeight="1" outlineLevel="1">
      <c r="A28" s="17"/>
      <c r="B28" s="17"/>
      <c r="C28" s="151">
        <v>45352</v>
      </c>
      <c r="D28" s="148" t="str">
        <f t="shared" si="7"/>
        <v>calculated</v>
      </c>
      <c r="E28" s="118" t="str">
        <f t="shared" si="10"/>
        <v>index</v>
      </c>
      <c r="F28" s="118"/>
      <c r="G28" s="118"/>
      <c r="H28" s="118"/>
      <c r="I28" s="152"/>
      <c r="J28" s="152">
        <f t="shared" ref="J28:T28" si="13">IF(AND(J$24=J$4,ISNONTEXT($C28)),1/J18*(1+J$12)^0.5,0)</f>
        <v>1.1367267059779267</v>
      </c>
      <c r="K28" s="152">
        <f t="shared" si="13"/>
        <v>1.0718544200432185</v>
      </c>
      <c r="L28" s="152">
        <f t="shared" si="13"/>
        <v>1.0179215122194325</v>
      </c>
      <c r="M28" s="152">
        <f t="shared" si="13"/>
        <v>0.9882109596217189</v>
      </c>
      <c r="N28" s="152">
        <f t="shared" si="13"/>
        <v>0.95716351860621574</v>
      </c>
      <c r="O28" s="152">
        <f t="shared" ref="O28" si="14">IF(AND(O$24=O$4,ISNONTEXT($C28)),1/O18*(1+O$12)^0.5,0)</f>
        <v>0.92337237193667743</v>
      </c>
      <c r="P28" s="152">
        <f t="shared" si="13"/>
        <v>0</v>
      </c>
      <c r="Q28" s="152">
        <f t="shared" si="13"/>
        <v>0</v>
      </c>
      <c r="R28" s="152">
        <f t="shared" si="13"/>
        <v>0</v>
      </c>
      <c r="S28" s="152">
        <f t="shared" si="13"/>
        <v>0</v>
      </c>
      <c r="T28" s="152">
        <f t="shared" si="13"/>
        <v>0</v>
      </c>
      <c r="U28" s="152"/>
      <c r="V28" s="154"/>
      <c r="W28" s="154"/>
    </row>
    <row r="29" spans="1:23" ht="11.25" customHeight="1" outlineLevel="1">
      <c r="A29" s="17"/>
      <c r="B29" s="17"/>
      <c r="C29" s="151">
        <v>45717</v>
      </c>
      <c r="D29" s="148" t="str">
        <f t="shared" si="7"/>
        <v>calculated</v>
      </c>
      <c r="E29" s="118" t="str">
        <f t="shared" si="10"/>
        <v>index</v>
      </c>
      <c r="F29" s="118"/>
      <c r="G29" s="118"/>
      <c r="H29" s="118"/>
      <c r="I29" s="152"/>
      <c r="J29" s="152">
        <f t="shared" ref="J29:T29" si="15">IF(AND(J$24=J$4,ISNONTEXT($C29)),1/J19*(1+J$12)^0.5,0)</f>
        <v>1.1640100531814637</v>
      </c>
      <c r="K29" s="152">
        <f t="shared" si="15"/>
        <v>1.0975807235952466</v>
      </c>
      <c r="L29" s="152">
        <f t="shared" si="15"/>
        <v>1.0423533355396559</v>
      </c>
      <c r="M29" s="152">
        <f t="shared" si="15"/>
        <v>1.0119296798558008</v>
      </c>
      <c r="N29" s="152">
        <f t="shared" si="15"/>
        <v>0.98013704819020331</v>
      </c>
      <c r="O29" s="152">
        <f t="shared" ref="O29" si="16">IF(AND(O$24=O$4,ISNONTEXT($C29)),1/O19*(1+O$12)^0.5,0)</f>
        <v>0.9455348573337532</v>
      </c>
      <c r="P29" s="152">
        <f t="shared" si="15"/>
        <v>0</v>
      </c>
      <c r="Q29" s="152">
        <f t="shared" si="15"/>
        <v>0</v>
      </c>
      <c r="R29" s="152">
        <f t="shared" si="15"/>
        <v>0</v>
      </c>
      <c r="S29" s="152">
        <f t="shared" si="15"/>
        <v>0</v>
      </c>
      <c r="T29" s="152">
        <f t="shared" si="15"/>
        <v>0</v>
      </c>
      <c r="U29" s="152"/>
      <c r="V29" s="154"/>
      <c r="W29" s="154"/>
    </row>
    <row r="30" spans="1:23" ht="11.25" customHeight="1" outlineLevel="1">
      <c r="A30" s="17"/>
      <c r="B30" s="17"/>
      <c r="C30" s="151">
        <v>46082</v>
      </c>
      <c r="D30" s="148" t="str">
        <f t="shared" si="7"/>
        <v>calculated</v>
      </c>
      <c r="E30" s="118" t="str">
        <f t="shared" si="10"/>
        <v>index</v>
      </c>
      <c r="F30" s="118"/>
      <c r="G30" s="118"/>
      <c r="H30" s="118"/>
      <c r="I30" s="152"/>
      <c r="J30" s="152">
        <f t="shared" ref="J30:T30" si="17">IF(AND(J$24=J$4,ISNONTEXT($C30)),1/J20*(1+J$12)^0.5,0)</f>
        <v>1.21166655484703</v>
      </c>
      <c r="K30" s="152">
        <f t="shared" si="17"/>
        <v>1.1425174983586137</v>
      </c>
      <c r="L30" s="152">
        <f t="shared" si="17"/>
        <v>1.0850290094614432</v>
      </c>
      <c r="M30" s="152">
        <f t="shared" si="17"/>
        <v>1.0533597588672972</v>
      </c>
      <c r="N30" s="152">
        <f t="shared" si="17"/>
        <v>1.0202654841447663</v>
      </c>
      <c r="O30" s="152">
        <f t="shared" ref="O30" si="18">IF(AND(O$24=O$4,ISNONTEXT($C30)),1/O20*(1+O$12)^0.5,0)</f>
        <v>0.9842466222194749</v>
      </c>
      <c r="P30" s="152">
        <f t="shared" si="17"/>
        <v>0</v>
      </c>
      <c r="Q30" s="152">
        <f t="shared" si="17"/>
        <v>0</v>
      </c>
      <c r="R30" s="152">
        <f t="shared" si="17"/>
        <v>0</v>
      </c>
      <c r="S30" s="152">
        <f t="shared" si="17"/>
        <v>0</v>
      </c>
      <c r="T30" s="152">
        <f t="shared" si="17"/>
        <v>0</v>
      </c>
      <c r="U30" s="152"/>
      <c r="V30" s="154"/>
      <c r="W30" s="154"/>
    </row>
    <row r="31" spans="1:23" ht="11.25" customHeight="1" outlineLevel="1">
      <c r="A31" s="17"/>
      <c r="B31" s="17"/>
      <c r="C31" s="151">
        <v>46447</v>
      </c>
      <c r="D31" s="148" t="str">
        <f t="shared" si="7"/>
        <v>calculated</v>
      </c>
      <c r="E31" s="118" t="str">
        <f t="shared" si="10"/>
        <v>index</v>
      </c>
      <c r="F31" s="118"/>
      <c r="G31" s="118"/>
      <c r="H31" s="118"/>
      <c r="I31" s="152"/>
      <c r="J31" s="152">
        <f t="shared" ref="J31:T32" si="19">IF(AND(J$24=J$4,ISNONTEXT($C31)),1/J21*(1+J$12)^0.5,0)</f>
        <v>1.2507636590619309</v>
      </c>
      <c r="K31" s="152">
        <f t="shared" si="19"/>
        <v>1.1793833551588897</v>
      </c>
      <c r="L31" s="152">
        <f t="shared" si="19"/>
        <v>1.1200398728787802</v>
      </c>
      <c r="M31" s="152">
        <f t="shared" si="19"/>
        <v>1.0873487437934484</v>
      </c>
      <c r="N31" s="152">
        <f t="shared" si="19"/>
        <v>1.0531866090209994</v>
      </c>
      <c r="O31" s="152">
        <f t="shared" si="19"/>
        <v>1.0160055187641905</v>
      </c>
      <c r="P31" s="152">
        <f t="shared" si="19"/>
        <v>0</v>
      </c>
      <c r="Q31" s="152">
        <f t="shared" si="19"/>
        <v>0</v>
      </c>
      <c r="R31" s="152">
        <f t="shared" si="19"/>
        <v>0</v>
      </c>
      <c r="S31" s="152">
        <f t="shared" si="19"/>
        <v>0</v>
      </c>
      <c r="T31" s="152">
        <f t="shared" si="19"/>
        <v>0</v>
      </c>
      <c r="U31" s="152"/>
      <c r="V31" s="154"/>
      <c r="W31" s="154"/>
    </row>
    <row r="32" spans="1:23" ht="11.25" customHeight="1" outlineLevel="1">
      <c r="A32" s="17"/>
      <c r="B32" s="17"/>
      <c r="C32" s="151" t="str">
        <v/>
      </c>
      <c r="D32" s="148" t="str">
        <f t="shared" si="7"/>
        <v/>
      </c>
      <c r="E32" s="118" t="str">
        <f t="shared" si="10"/>
        <v/>
      </c>
      <c r="F32" s="118"/>
      <c r="G32" s="118"/>
      <c r="H32" s="118"/>
      <c r="I32" s="152"/>
      <c r="J32" s="152">
        <f t="shared" si="19"/>
        <v>0</v>
      </c>
      <c r="K32" s="152">
        <f t="shared" si="19"/>
        <v>0</v>
      </c>
      <c r="L32" s="152">
        <f t="shared" si="19"/>
        <v>0</v>
      </c>
      <c r="M32" s="152">
        <f t="shared" si="19"/>
        <v>0</v>
      </c>
      <c r="N32" s="152">
        <f t="shared" si="19"/>
        <v>0</v>
      </c>
      <c r="O32" s="152">
        <f t="shared" si="19"/>
        <v>0</v>
      </c>
      <c r="P32" s="152">
        <f t="shared" si="19"/>
        <v>0</v>
      </c>
      <c r="Q32" s="152">
        <f t="shared" si="19"/>
        <v>0</v>
      </c>
      <c r="R32" s="152">
        <f t="shared" si="19"/>
        <v>0</v>
      </c>
      <c r="S32" s="152">
        <f t="shared" si="19"/>
        <v>0</v>
      </c>
      <c r="T32" s="152">
        <f t="shared" si="19"/>
        <v>0</v>
      </c>
      <c r="U32" s="152"/>
      <c r="V32" s="154"/>
      <c r="W32" s="154"/>
    </row>
    <row r="33" spans="1:34">
      <c r="A33" s="17"/>
      <c r="B33" s="17"/>
      <c r="C33" s="123"/>
      <c r="D33" s="118"/>
      <c r="E33" s="118"/>
      <c r="F33" s="118"/>
      <c r="G33" s="118"/>
      <c r="H33" s="118"/>
      <c r="I33" s="118"/>
      <c r="J33" s="118"/>
      <c r="K33" s="152"/>
      <c r="L33" s="152"/>
      <c r="M33" s="152"/>
      <c r="N33" s="152"/>
      <c r="O33" s="152"/>
      <c r="P33" s="150"/>
      <c r="Q33" s="152"/>
      <c r="R33" s="152"/>
      <c r="S33" s="152"/>
      <c r="T33" s="152"/>
      <c r="U33" s="152"/>
      <c r="V33" s="17"/>
      <c r="W33" s="17"/>
    </row>
    <row r="34" spans="1:34" customFormat="1" ht="13">
      <c r="A34" s="32"/>
      <c r="B34" s="38" t="s">
        <v>72</v>
      </c>
      <c r="C34" s="32"/>
      <c r="D34" s="32"/>
      <c r="E34" s="32"/>
      <c r="F34" s="116"/>
      <c r="G34" s="116"/>
      <c r="H34" s="116"/>
      <c r="I34" s="116"/>
      <c r="J34" s="116"/>
      <c r="K34" s="34"/>
      <c r="L34" s="117"/>
      <c r="M34" s="34"/>
      <c r="N34" s="117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7"/>
      <c r="W35" s="17"/>
    </row>
    <row r="36" spans="1:34" ht="11.25" customHeight="1" outlineLevel="1">
      <c r="A36" s="17"/>
      <c r="B36" s="17"/>
      <c r="C36" s="120" t="s">
        <v>75</v>
      </c>
      <c r="D36" s="119" t="s">
        <v>7</v>
      </c>
      <c r="E36" s="119" t="s">
        <v>8</v>
      </c>
      <c r="F36" s="118"/>
      <c r="G36" s="118"/>
      <c r="H36" s="118"/>
      <c r="I36" s="118"/>
      <c r="J36" s="136" t="str">
        <f t="shared" ref="J36:U36" si="20">IF(YEAR(J$4)&gt;=FPFirstYear,IF(YEAR(J$4)&lt;=FPLastYear,J$4,""),"")</f>
        <v/>
      </c>
      <c r="K36" s="136" t="str">
        <f t="shared" si="20"/>
        <v/>
      </c>
      <c r="L36" s="136" t="str">
        <f t="shared" si="20"/>
        <v/>
      </c>
      <c r="M36" s="136" t="str">
        <f t="shared" si="20"/>
        <v/>
      </c>
      <c r="N36" s="136" t="str">
        <f t="shared" si="20"/>
        <v/>
      </c>
      <c r="O36" s="136" t="str">
        <f t="shared" si="20"/>
        <v/>
      </c>
      <c r="P36" s="136">
        <f t="shared" si="20"/>
        <v>46813</v>
      </c>
      <c r="Q36" s="136">
        <f t="shared" si="20"/>
        <v>47178</v>
      </c>
      <c r="R36" s="136">
        <f t="shared" si="20"/>
        <v>47543</v>
      </c>
      <c r="S36" s="136">
        <f t="shared" si="20"/>
        <v>47908</v>
      </c>
      <c r="T36" s="136">
        <f t="shared" si="20"/>
        <v>48274</v>
      </c>
      <c r="U36" s="136" t="str">
        <f t="shared" si="20"/>
        <v/>
      </c>
      <c r="V36" s="17"/>
      <c r="W36" s="17"/>
    </row>
    <row r="37" spans="1:34" ht="11.25" customHeight="1" outlineLevel="1">
      <c r="A37" s="17"/>
      <c r="B37" s="17"/>
      <c r="C37" s="17"/>
      <c r="D37" s="118"/>
      <c r="E37" s="118"/>
      <c r="F37" s="118"/>
      <c r="G37" s="118"/>
      <c r="H37" s="118"/>
      <c r="I37" s="118"/>
      <c r="J37" s="118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5" t="s">
        <v>227</v>
      </c>
      <c r="D38" s="118" t="s">
        <v>95</v>
      </c>
      <c r="E38" s="118" t="str">
        <f t="shared" ref="E38:E45" si="21">percent</f>
        <v>Per cent</v>
      </c>
      <c r="F38" s="118"/>
      <c r="G38" s="118"/>
      <c r="H38" s="118"/>
      <c r="I38" s="118"/>
      <c r="J38" s="155"/>
      <c r="K38" s="156"/>
      <c r="L38" s="156"/>
      <c r="M38" s="156"/>
      <c r="N38" s="156"/>
      <c r="O38" s="156"/>
      <c r="P38" s="157">
        <v>7.2355957756888856E-3</v>
      </c>
      <c r="Q38" s="157">
        <v>8.4987632532935731E-3</v>
      </c>
      <c r="R38" s="157">
        <v>8.7211063749346174E-3</v>
      </c>
      <c r="S38" s="157">
        <v>9.1410375757572382E-3</v>
      </c>
      <c r="T38" s="157">
        <f>AVERAGE(P38:S38)</f>
        <v>8.3991257449185786E-3</v>
      </c>
      <c r="U38" s="17"/>
      <c r="V38" s="17"/>
      <c r="W38" s="17"/>
    </row>
    <row r="39" spans="1:34" ht="11.25" customHeight="1" outlineLevel="1">
      <c r="A39" s="17"/>
      <c r="B39" s="17"/>
      <c r="C39" s="159" t="s">
        <v>226</v>
      </c>
      <c r="D39" s="118" t="s">
        <v>95</v>
      </c>
      <c r="E39" s="118" t="str">
        <f t="shared" si="21"/>
        <v>Per cent</v>
      </c>
      <c r="F39" s="118"/>
      <c r="G39" s="118"/>
      <c r="H39" s="118"/>
      <c r="I39" s="118"/>
      <c r="J39" s="155"/>
      <c r="K39" s="156"/>
      <c r="L39" s="156"/>
      <c r="M39" s="156"/>
      <c r="N39" s="156"/>
      <c r="O39" s="156"/>
      <c r="P39" s="158">
        <v>9.7167112576105781E-3</v>
      </c>
      <c r="Q39" s="158">
        <v>1.2509981063376197E-2</v>
      </c>
      <c r="R39" s="158">
        <v>1.3480376168036013E-2</v>
      </c>
      <c r="S39" s="158">
        <v>1.1964706087105283E-2</v>
      </c>
      <c r="T39" s="158">
        <f>AVERAGE(P39:S39)</f>
        <v>1.1917943644032019E-2</v>
      </c>
      <c r="U39" s="17"/>
      <c r="V39" s="17"/>
      <c r="W39" s="17"/>
    </row>
    <row r="40" spans="1:34" ht="11.25" customHeight="1" outlineLevel="1">
      <c r="A40" s="17"/>
      <c r="B40" s="17"/>
      <c r="C40" s="125" t="s">
        <v>173</v>
      </c>
      <c r="D40" s="118" t="s">
        <v>95</v>
      </c>
      <c r="E40" s="118" t="str">
        <f t="shared" si="21"/>
        <v>Per cent</v>
      </c>
      <c r="F40" s="118"/>
      <c r="G40" s="118"/>
      <c r="H40" s="118"/>
      <c r="I40" s="118"/>
      <c r="J40" s="155"/>
      <c r="K40" s="156"/>
      <c r="L40" s="156"/>
      <c r="M40" s="156"/>
      <c r="N40" s="156"/>
      <c r="O40" s="156"/>
      <c r="P40" s="158">
        <f>AVERAGE(P38:P39)</f>
        <v>8.4761535166497318E-3</v>
      </c>
      <c r="Q40" s="158">
        <f>AVERAGE(Q38:Q39)</f>
        <v>1.0504372158334885E-2</v>
      </c>
      <c r="R40" s="158">
        <f>AVERAGE(R38:R39)</f>
        <v>1.1100741271485314E-2</v>
      </c>
      <c r="S40" s="158">
        <f>AVERAGE(S38:S39)</f>
        <v>1.0552871831431261E-2</v>
      </c>
      <c r="T40" s="158">
        <f>AVERAGE(T38:T39)</f>
        <v>1.0158534694475299E-2</v>
      </c>
      <c r="U40" s="17"/>
      <c r="V40" s="17"/>
      <c r="W40" s="17"/>
    </row>
    <row r="41" spans="1:34" ht="11.25" customHeight="1" outlineLevel="1">
      <c r="A41" s="17"/>
      <c r="B41" s="17"/>
      <c r="C41" s="125"/>
      <c r="D41" s="118" t="s">
        <v>95</v>
      </c>
      <c r="E41" s="118" t="str">
        <f t="shared" si="21"/>
        <v>Per cent</v>
      </c>
      <c r="F41" s="118"/>
      <c r="G41" s="118"/>
      <c r="H41" s="118"/>
      <c r="I41" s="118"/>
      <c r="J41" s="155"/>
      <c r="K41" s="156"/>
      <c r="L41" s="156"/>
      <c r="M41" s="156"/>
      <c r="N41" s="156"/>
      <c r="O41" s="156"/>
      <c r="P41" s="158"/>
      <c r="Q41" s="158"/>
      <c r="R41" s="158"/>
      <c r="S41" s="158"/>
      <c r="T41" s="158"/>
      <c r="U41" s="160"/>
      <c r="V41" s="161"/>
      <c r="W41" s="17"/>
    </row>
    <row r="42" spans="1:34" ht="11.25" customHeight="1" outlineLevel="1">
      <c r="A42" s="17"/>
      <c r="B42" s="17"/>
      <c r="C42" s="125" t="s">
        <v>210</v>
      </c>
      <c r="D42" s="118" t="s">
        <v>95</v>
      </c>
      <c r="E42" s="118" t="str">
        <f t="shared" si="21"/>
        <v>Per cent</v>
      </c>
      <c r="F42" s="118"/>
      <c r="G42" s="118"/>
      <c r="H42" s="118"/>
      <c r="I42" s="118"/>
      <c r="J42" s="155"/>
      <c r="K42" s="156"/>
      <c r="L42" s="156"/>
      <c r="M42" s="156"/>
      <c r="N42" s="156"/>
      <c r="O42" s="156"/>
      <c r="P42" s="158">
        <f>P41+P40</f>
        <v>8.4761535166497318E-3</v>
      </c>
      <c r="Q42" s="158">
        <f>Q41+Q40</f>
        <v>1.0504372158334885E-2</v>
      </c>
      <c r="R42" s="158">
        <f>R41+R40</f>
        <v>1.1100741271485314E-2</v>
      </c>
      <c r="S42" s="158">
        <f>S41+S40</f>
        <v>1.0552871831431261E-2</v>
      </c>
      <c r="T42" s="158">
        <f>T41+T40</f>
        <v>1.0158534694475299E-2</v>
      </c>
      <c r="U42" s="160"/>
      <c r="V42" s="17"/>
      <c r="W42" s="17"/>
    </row>
    <row r="43" spans="1:34" ht="11.25" customHeight="1" outlineLevel="1">
      <c r="A43" s="17"/>
      <c r="B43" s="17"/>
      <c r="C43" s="125"/>
      <c r="D43" s="118" t="s">
        <v>95</v>
      </c>
      <c r="E43" s="118" t="str">
        <f t="shared" si="21"/>
        <v>Per cent</v>
      </c>
      <c r="F43" s="118"/>
      <c r="G43" s="118"/>
      <c r="H43" s="118"/>
      <c r="I43" s="118"/>
      <c r="J43" s="155"/>
      <c r="K43" s="156"/>
      <c r="L43" s="156"/>
      <c r="M43" s="156"/>
      <c r="N43" s="156"/>
      <c r="O43" s="156"/>
      <c r="P43" s="162"/>
      <c r="Q43" s="162"/>
      <c r="R43" s="162"/>
      <c r="S43" s="162"/>
      <c r="T43" s="162"/>
      <c r="U43" s="160"/>
      <c r="V43" s="17"/>
      <c r="W43" s="17"/>
    </row>
    <row r="44" spans="1:34" ht="11.25" customHeight="1" outlineLevel="1">
      <c r="A44" s="17"/>
      <c r="B44" s="17"/>
      <c r="C44" s="125"/>
      <c r="D44" s="118" t="s">
        <v>95</v>
      </c>
      <c r="E44" s="118" t="str">
        <f t="shared" si="21"/>
        <v>Per cent</v>
      </c>
      <c r="F44" s="118"/>
      <c r="G44" s="118"/>
      <c r="H44" s="118"/>
      <c r="I44" s="118"/>
      <c r="J44" s="155"/>
      <c r="K44" s="156"/>
      <c r="L44" s="156"/>
      <c r="M44" s="156"/>
      <c r="N44" s="156"/>
      <c r="O44" s="156"/>
      <c r="P44" s="162"/>
      <c r="Q44" s="162"/>
      <c r="R44" s="162"/>
      <c r="S44" s="162"/>
      <c r="T44" s="162"/>
      <c r="U44" s="160"/>
      <c r="V44" s="17"/>
      <c r="W44" s="17"/>
    </row>
    <row r="45" spans="1:34" ht="11.25" customHeight="1" outlineLevel="1">
      <c r="A45" s="17"/>
      <c r="B45" s="17"/>
      <c r="C45" s="125" t="s">
        <v>76</v>
      </c>
      <c r="D45" s="118" t="s">
        <v>95</v>
      </c>
      <c r="E45" s="118" t="str">
        <f t="shared" si="21"/>
        <v>Per cent</v>
      </c>
      <c r="F45" s="118"/>
      <c r="G45" s="118"/>
      <c r="H45" s="118"/>
      <c r="I45" s="118"/>
      <c r="J45" s="155"/>
      <c r="K45" s="156"/>
      <c r="L45" s="156"/>
      <c r="M45" s="156"/>
      <c r="N45" s="156"/>
      <c r="O45" s="156"/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60"/>
      <c r="V45" s="17"/>
      <c r="W45" s="17"/>
    </row>
    <row r="46" spans="1:34" ht="11.25" customHeight="1" outlineLevel="1">
      <c r="A46" s="17"/>
      <c r="B46" s="17"/>
      <c r="C46" s="17"/>
      <c r="D46" s="118"/>
      <c r="E46" s="118"/>
      <c r="F46" s="118"/>
      <c r="G46" s="118"/>
      <c r="H46" s="118"/>
      <c r="I46" s="118"/>
      <c r="J46" s="118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18" t="s">
        <v>92</v>
      </c>
      <c r="E47" s="118" t="s">
        <v>28</v>
      </c>
      <c r="F47" s="118" t="s">
        <v>36</v>
      </c>
      <c r="G47" s="118"/>
      <c r="H47" s="118"/>
      <c r="I47" s="118"/>
      <c r="J47" s="163" t="str">
        <f t="shared" ref="J47:S47" si="22">IF(J36=J4,IF(COUNTA($C38:$C45)=COUNT(J38:J45),"Ok","Check"),"")</f>
        <v/>
      </c>
      <c r="K47" s="163" t="str">
        <f t="shared" si="22"/>
        <v/>
      </c>
      <c r="L47" s="163" t="str">
        <f t="shared" si="22"/>
        <v/>
      </c>
      <c r="M47" s="163" t="str">
        <f t="shared" si="22"/>
        <v/>
      </c>
      <c r="N47" s="163" t="str">
        <f t="shared" si="22"/>
        <v/>
      </c>
      <c r="O47" s="163" t="str">
        <f t="shared" si="22"/>
        <v/>
      </c>
      <c r="P47" s="163" t="str">
        <f t="shared" si="22"/>
        <v>Ok</v>
      </c>
      <c r="Q47" s="163" t="str">
        <f t="shared" si="22"/>
        <v>Ok</v>
      </c>
      <c r="R47" s="163" t="str">
        <f t="shared" si="22"/>
        <v>Ok</v>
      </c>
      <c r="S47" s="163" t="str">
        <f t="shared" si="22"/>
        <v>Ok</v>
      </c>
      <c r="T47" s="163" t="str">
        <f>IF(T36=T4,IF(COUNTA($C38:$C45)=COUNT(T38:T45),"Ok","Check"),"")</f>
        <v>Ok</v>
      </c>
      <c r="U47" s="163" t="str">
        <f>IF(U36=U4,IF(COUNTA($C38:$C45)=COUNT(U38:U45),"Ok","Check"),"")</f>
        <v/>
      </c>
      <c r="V47" s="164"/>
      <c r="W47" s="17"/>
      <c r="X47" s="80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18"/>
      <c r="E48" s="118"/>
      <c r="F48" s="118"/>
      <c r="G48" s="118"/>
      <c r="H48" s="118"/>
      <c r="I48" s="118"/>
      <c r="J48" s="118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0" t="s">
        <v>43</v>
      </c>
      <c r="D49" s="119" t="s">
        <v>7</v>
      </c>
      <c r="E49" s="119" t="s">
        <v>8</v>
      </c>
      <c r="F49" s="118"/>
      <c r="G49" s="118"/>
      <c r="H49" s="118"/>
      <c r="I49" s="118"/>
      <c r="J49" s="136" t="str">
        <f t="shared" ref="J49:U49" si="23">IF(YEAR(J$4)&gt;=FPFirstYear,IF(YEAR(J$4)&lt;=FPLastYear,J$4,""),"")</f>
        <v/>
      </c>
      <c r="K49" s="136" t="str">
        <f t="shared" si="23"/>
        <v/>
      </c>
      <c r="L49" s="136" t="str">
        <f t="shared" si="23"/>
        <v/>
      </c>
      <c r="M49" s="136" t="str">
        <f t="shared" si="23"/>
        <v/>
      </c>
      <c r="N49" s="136" t="str">
        <f t="shared" si="23"/>
        <v/>
      </c>
      <c r="O49" s="136" t="str">
        <f t="shared" si="23"/>
        <v/>
      </c>
      <c r="P49" s="136">
        <f t="shared" si="23"/>
        <v>46813</v>
      </c>
      <c r="Q49" s="136">
        <f t="shared" si="23"/>
        <v>47178</v>
      </c>
      <c r="R49" s="136">
        <f t="shared" si="23"/>
        <v>47543</v>
      </c>
      <c r="S49" s="136">
        <f t="shared" si="23"/>
        <v>47908</v>
      </c>
      <c r="T49" s="136">
        <f t="shared" si="23"/>
        <v>48274</v>
      </c>
      <c r="U49" s="136" t="str">
        <f t="shared" si="23"/>
        <v/>
      </c>
      <c r="V49" s="17"/>
      <c r="W49" s="17"/>
    </row>
    <row r="50" spans="1:34" ht="11.25" customHeight="1" outlineLevel="1">
      <c r="A50" s="17"/>
      <c r="B50" s="17"/>
      <c r="C50" s="17"/>
      <c r="D50" s="118"/>
      <c r="E50" s="118"/>
      <c r="F50" s="118"/>
      <c r="G50" s="118"/>
      <c r="H50" s="118"/>
      <c r="I50" s="118"/>
      <c r="J50" s="118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5" t="str">
        <f t="shared" ref="C51:C58" si="24">C38</f>
        <v>WPI – Deloitte Access Economics</v>
      </c>
      <c r="D51" s="118" t="s">
        <v>95</v>
      </c>
      <c r="E51" s="118" t="str">
        <f t="shared" ref="E51:E58" si="25">percent</f>
        <v>Per cent</v>
      </c>
      <c r="F51" s="118"/>
      <c r="G51" s="118"/>
      <c r="H51" s="118"/>
      <c r="I51" s="118"/>
      <c r="J51" s="155"/>
      <c r="K51" s="156"/>
      <c r="L51" s="156"/>
      <c r="M51" s="156"/>
      <c r="N51" s="156"/>
      <c r="O51" s="156"/>
      <c r="P51" s="141"/>
      <c r="Q51" s="141"/>
      <c r="R51" s="141"/>
      <c r="S51" s="141"/>
      <c r="T51" s="141"/>
      <c r="U51" s="166"/>
      <c r="V51" s="17"/>
      <c r="W51" s="17"/>
    </row>
    <row r="52" spans="1:34" ht="11.25" customHeight="1" outlineLevel="1">
      <c r="A52" s="17"/>
      <c r="B52" s="17"/>
      <c r="C52" s="165" t="str">
        <f t="shared" si="24"/>
        <v>WPI – BIS Oxford Economics</v>
      </c>
      <c r="D52" s="118" t="s">
        <v>95</v>
      </c>
      <c r="E52" s="118" t="str">
        <f t="shared" si="25"/>
        <v>Per cent</v>
      </c>
      <c r="F52" s="118"/>
      <c r="G52" s="118"/>
      <c r="H52" s="118"/>
      <c r="I52" s="118"/>
      <c r="J52" s="155"/>
      <c r="K52" s="156"/>
      <c r="L52" s="156"/>
      <c r="M52" s="156"/>
      <c r="N52" s="156"/>
      <c r="O52" s="156"/>
      <c r="P52" s="141"/>
      <c r="Q52" s="141"/>
      <c r="R52" s="141"/>
      <c r="S52" s="141"/>
      <c r="T52" s="141"/>
      <c r="U52" s="166"/>
      <c r="V52" s="17"/>
      <c r="W52" s="17"/>
    </row>
    <row r="53" spans="1:34" ht="11.25" customHeight="1" outlineLevel="1">
      <c r="A53" s="17"/>
      <c r="B53" s="17"/>
      <c r="C53" s="165" t="str">
        <f t="shared" si="24"/>
        <v>WPI - average</v>
      </c>
      <c r="D53" s="118" t="s">
        <v>95</v>
      </c>
      <c r="E53" s="118" t="str">
        <f t="shared" si="25"/>
        <v>Per cent</v>
      </c>
      <c r="F53" s="118"/>
      <c r="G53" s="118"/>
      <c r="H53" s="118"/>
      <c r="I53" s="118"/>
      <c r="J53" s="155"/>
      <c r="K53" s="156"/>
      <c r="L53" s="156"/>
      <c r="M53" s="156"/>
      <c r="N53" s="156"/>
      <c r="O53" s="156"/>
      <c r="P53" s="141"/>
      <c r="Q53" s="141"/>
      <c r="R53" s="141"/>
      <c r="S53" s="141"/>
      <c r="T53" s="141"/>
      <c r="U53" s="166"/>
      <c r="V53" s="17"/>
      <c r="W53" s="17"/>
    </row>
    <row r="54" spans="1:34" ht="11.25" customHeight="1" outlineLevel="1">
      <c r="A54" s="17"/>
      <c r="B54" s="17"/>
      <c r="C54" s="165">
        <f t="shared" si="24"/>
        <v>0</v>
      </c>
      <c r="D54" s="118" t="s">
        <v>95</v>
      </c>
      <c r="E54" s="118" t="str">
        <f t="shared" si="25"/>
        <v>Per cent</v>
      </c>
      <c r="F54" s="118"/>
      <c r="G54" s="118"/>
      <c r="H54" s="118"/>
      <c r="I54" s="118"/>
      <c r="J54" s="155"/>
      <c r="K54" s="156"/>
      <c r="L54" s="156"/>
      <c r="M54" s="156"/>
      <c r="N54" s="156"/>
      <c r="O54" s="156"/>
      <c r="P54" s="141"/>
      <c r="Q54" s="141"/>
      <c r="R54" s="141"/>
      <c r="S54" s="141"/>
      <c r="T54" s="141"/>
      <c r="U54" s="166"/>
      <c r="V54" s="161"/>
      <c r="W54" s="17"/>
    </row>
    <row r="55" spans="1:34" ht="11.25" customHeight="1" outlineLevel="1">
      <c r="A55" s="17"/>
      <c r="B55" s="17"/>
      <c r="C55" s="165" t="str">
        <f t="shared" si="24"/>
        <v xml:space="preserve">WPI - average </v>
      </c>
      <c r="D55" s="118" t="s">
        <v>95</v>
      </c>
      <c r="E55" s="118" t="str">
        <f t="shared" si="25"/>
        <v>Per cent</v>
      </c>
      <c r="F55" s="118"/>
      <c r="G55" s="118"/>
      <c r="H55" s="118"/>
      <c r="I55" s="118"/>
      <c r="J55" s="155"/>
      <c r="K55" s="156"/>
      <c r="L55" s="156"/>
      <c r="M55" s="156"/>
      <c r="N55" s="156"/>
      <c r="O55" s="156"/>
      <c r="P55" s="167">
        <v>0.70399999999999996</v>
      </c>
      <c r="Q55" s="167">
        <v>0.70399999999999996</v>
      </c>
      <c r="R55" s="167">
        <v>0.70399999999999996</v>
      </c>
      <c r="S55" s="167">
        <v>0.70399999999999996</v>
      </c>
      <c r="T55" s="167">
        <v>0.70399999999999996</v>
      </c>
      <c r="U55" s="166"/>
      <c r="V55" s="17"/>
      <c r="W55" s="17"/>
    </row>
    <row r="56" spans="1:34" ht="11.25" customHeight="1" outlineLevel="1">
      <c r="A56" s="17"/>
      <c r="B56" s="17"/>
      <c r="C56" s="165">
        <f t="shared" si="24"/>
        <v>0</v>
      </c>
      <c r="D56" s="118" t="s">
        <v>95</v>
      </c>
      <c r="E56" s="118" t="str">
        <f t="shared" si="25"/>
        <v>Per cent</v>
      </c>
      <c r="F56" s="118"/>
      <c r="G56" s="118"/>
      <c r="H56" s="118"/>
      <c r="I56" s="118"/>
      <c r="J56" s="155"/>
      <c r="K56" s="156"/>
      <c r="L56" s="156"/>
      <c r="M56" s="156"/>
      <c r="N56" s="156"/>
      <c r="O56" s="156"/>
      <c r="P56" s="141"/>
      <c r="Q56" s="141"/>
      <c r="R56" s="141"/>
      <c r="S56" s="141"/>
      <c r="T56" s="141"/>
      <c r="U56" s="166"/>
      <c r="V56" s="17"/>
      <c r="W56" s="17"/>
    </row>
    <row r="57" spans="1:34" ht="11.25" customHeight="1" outlineLevel="1">
      <c r="A57" s="17"/>
      <c r="B57" s="17"/>
      <c r="C57" s="165">
        <f t="shared" si="24"/>
        <v>0</v>
      </c>
      <c r="D57" s="118" t="s">
        <v>95</v>
      </c>
      <c r="E57" s="118" t="str">
        <f t="shared" si="25"/>
        <v>Per cent</v>
      </c>
      <c r="F57" s="118"/>
      <c r="G57" s="118"/>
      <c r="H57" s="118"/>
      <c r="I57" s="118"/>
      <c r="J57" s="155"/>
      <c r="K57" s="156"/>
      <c r="L57" s="156"/>
      <c r="M57" s="156"/>
      <c r="N57" s="156"/>
      <c r="O57" s="156"/>
      <c r="P57" s="141"/>
      <c r="Q57" s="141"/>
      <c r="R57" s="141"/>
      <c r="S57" s="141"/>
      <c r="T57" s="141"/>
      <c r="U57" s="166"/>
      <c r="V57" s="17"/>
      <c r="W57" s="17"/>
    </row>
    <row r="58" spans="1:34" ht="11.25" customHeight="1" outlineLevel="1">
      <c r="A58" s="17"/>
      <c r="B58" s="17"/>
      <c r="C58" s="165" t="str">
        <f t="shared" si="24"/>
        <v>CPI</v>
      </c>
      <c r="D58" s="118" t="s">
        <v>95</v>
      </c>
      <c r="E58" s="118" t="str">
        <f t="shared" si="25"/>
        <v>Per cent</v>
      </c>
      <c r="F58" s="118"/>
      <c r="G58" s="118"/>
      <c r="H58" s="118"/>
      <c r="I58" s="118"/>
      <c r="J58" s="155"/>
      <c r="K58" s="156"/>
      <c r="L58" s="156"/>
      <c r="M58" s="156"/>
      <c r="N58" s="156"/>
      <c r="O58" s="156"/>
      <c r="P58" s="141">
        <f>1-P55</f>
        <v>0.29600000000000004</v>
      </c>
      <c r="Q58" s="141">
        <f t="shared" ref="Q58:T58" si="26">1-Q55</f>
        <v>0.29600000000000004</v>
      </c>
      <c r="R58" s="141">
        <f t="shared" si="26"/>
        <v>0.29600000000000004</v>
      </c>
      <c r="S58" s="141">
        <f t="shared" si="26"/>
        <v>0.29600000000000004</v>
      </c>
      <c r="T58" s="141">
        <f t="shared" si="26"/>
        <v>0.29600000000000004</v>
      </c>
      <c r="U58" s="166"/>
      <c r="V58" s="17"/>
      <c r="W58" s="17"/>
    </row>
    <row r="59" spans="1:34" ht="11.25" customHeight="1" outlineLevel="1">
      <c r="A59" s="17"/>
      <c r="B59" s="17"/>
      <c r="C59" s="17"/>
      <c r="D59" s="118"/>
      <c r="E59" s="118"/>
      <c r="F59" s="118"/>
      <c r="G59" s="118"/>
      <c r="H59" s="118"/>
      <c r="I59" s="118"/>
      <c r="J59" s="118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ht="10.5" outlineLevel="1">
      <c r="A60" s="17"/>
      <c r="B60" s="17"/>
      <c r="C60" s="17" t="s">
        <v>40</v>
      </c>
      <c r="D60" s="118" t="s">
        <v>92</v>
      </c>
      <c r="E60" s="118" t="s">
        <v>28</v>
      </c>
      <c r="F60" s="118" t="s">
        <v>36</v>
      </c>
      <c r="G60" s="118"/>
      <c r="H60" s="118"/>
      <c r="I60" s="118"/>
      <c r="J60" s="163" t="str">
        <f t="shared" ref="J60:S60" si="27">IF(J49=J$4,IF(SUM(J51:J58)=1,"Ok","Check"),"")</f>
        <v/>
      </c>
      <c r="K60" s="163" t="str">
        <f t="shared" si="27"/>
        <v/>
      </c>
      <c r="L60" s="163" t="str">
        <f t="shared" si="27"/>
        <v/>
      </c>
      <c r="M60" s="163" t="str">
        <f t="shared" si="27"/>
        <v/>
      </c>
      <c r="N60" s="163" t="str">
        <f t="shared" si="27"/>
        <v/>
      </c>
      <c r="O60" s="163" t="str">
        <f t="shared" si="27"/>
        <v/>
      </c>
      <c r="P60" s="163" t="str">
        <f t="shared" si="27"/>
        <v>Ok</v>
      </c>
      <c r="Q60" s="163" t="str">
        <f t="shared" si="27"/>
        <v>Ok</v>
      </c>
      <c r="R60" s="163" t="str">
        <f t="shared" si="27"/>
        <v>Ok</v>
      </c>
      <c r="S60" s="163" t="str">
        <f t="shared" si="27"/>
        <v>Ok</v>
      </c>
      <c r="T60" s="163" t="str">
        <f>IF(T49=T$4,IF(SUM(T51:T58)=1,"Ok","Check"),"")</f>
        <v>Ok</v>
      </c>
      <c r="U60" s="163" t="str">
        <f>IF(U49=U$4,IF(SUM(U51:U58)=1,"Ok","Check"),"")</f>
        <v/>
      </c>
      <c r="V60" s="164"/>
      <c r="W60" s="17"/>
      <c r="X60" s="80" t="str">
        <f>IF(COUNTIF(J60:U60,"Check")=0,"Ok","Check")</f>
        <v>Ok</v>
      </c>
    </row>
    <row r="61" spans="1:34">
      <c r="A61" s="17"/>
      <c r="B61" s="17"/>
      <c r="C61" s="17"/>
      <c r="D61" s="118"/>
      <c r="E61" s="118"/>
      <c r="F61" s="118"/>
      <c r="G61" s="118"/>
      <c r="H61" s="118"/>
      <c r="I61" s="118"/>
      <c r="J61" s="118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3">
      <c r="A62" s="32"/>
      <c r="B62" s="38" t="s">
        <v>79</v>
      </c>
      <c r="C62" s="32"/>
      <c r="D62" s="32"/>
      <c r="E62" s="32"/>
      <c r="F62" s="116"/>
      <c r="G62" s="116"/>
      <c r="H62" s="116"/>
      <c r="I62" s="116"/>
      <c r="J62" s="116"/>
      <c r="K62" s="34"/>
      <c r="L62" s="117"/>
      <c r="M62" s="34"/>
      <c r="N62" s="117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18"/>
      <c r="E63" s="118"/>
      <c r="F63" s="118"/>
      <c r="G63" s="119"/>
      <c r="H63" s="119"/>
      <c r="I63" s="118"/>
      <c r="J63" s="118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ht="10.5" outlineLevel="1">
      <c r="A64" s="17"/>
      <c r="B64" s="17"/>
      <c r="C64" s="120" t="s">
        <v>80</v>
      </c>
      <c r="D64" s="119" t="s">
        <v>7</v>
      </c>
      <c r="E64" s="119" t="s">
        <v>8</v>
      </c>
      <c r="F64" s="119" t="s">
        <v>22</v>
      </c>
      <c r="G64" s="119"/>
      <c r="H64" s="119"/>
      <c r="I64" s="118"/>
      <c r="J64" s="136" t="str">
        <f t="shared" ref="J64:U64" si="28">IF(YEAR(J$4)&gt;=PPLastYear,IF(YEAR(J$4)&lt;=FPLastYear,J$4,""),"")</f>
        <v/>
      </c>
      <c r="K64" s="136" t="str">
        <f t="shared" si="28"/>
        <v/>
      </c>
      <c r="L64" s="136" t="str">
        <f t="shared" si="28"/>
        <v/>
      </c>
      <c r="M64" s="136" t="str">
        <f t="shared" si="28"/>
        <v/>
      </c>
      <c r="N64" s="136" t="str">
        <f t="shared" si="28"/>
        <v/>
      </c>
      <c r="O64" s="136">
        <f t="shared" si="28"/>
        <v>46447</v>
      </c>
      <c r="P64" s="136">
        <f t="shared" si="28"/>
        <v>46813</v>
      </c>
      <c r="Q64" s="136">
        <f t="shared" si="28"/>
        <v>47178</v>
      </c>
      <c r="R64" s="136">
        <f t="shared" si="28"/>
        <v>47543</v>
      </c>
      <c r="S64" s="136">
        <f t="shared" si="28"/>
        <v>47908</v>
      </c>
      <c r="T64" s="136">
        <f t="shared" si="28"/>
        <v>48274</v>
      </c>
      <c r="U64" s="136" t="str">
        <f t="shared" si="28"/>
        <v/>
      </c>
      <c r="V64" s="17"/>
      <c r="W64" s="17"/>
    </row>
    <row r="65" spans="1:24" ht="10.5" outlineLevel="1">
      <c r="A65" s="17"/>
      <c r="B65" s="17"/>
      <c r="C65" s="123"/>
      <c r="D65" s="118"/>
      <c r="E65" s="118"/>
      <c r="F65" s="118"/>
      <c r="G65" s="119"/>
      <c r="H65" s="119"/>
      <c r="I65" s="118"/>
      <c r="J65" s="118"/>
      <c r="K65" s="124"/>
      <c r="L65" s="124"/>
      <c r="M65" s="124"/>
      <c r="N65" s="124"/>
      <c r="O65" s="124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5"/>
      <c r="D66" s="118" t="s">
        <v>95</v>
      </c>
      <c r="E66" s="118" t="s">
        <v>18</v>
      </c>
      <c r="F66" s="118" t="s">
        <v>36</v>
      </c>
      <c r="G66" s="119"/>
      <c r="H66" s="119"/>
      <c r="I66" s="118"/>
      <c r="J66" s="155"/>
      <c r="K66" s="168"/>
      <c r="L66" s="168"/>
      <c r="M66" s="168"/>
      <c r="N66" s="168"/>
      <c r="O66" s="139"/>
      <c r="P66" s="139"/>
      <c r="Q66" s="139"/>
      <c r="R66" s="139"/>
      <c r="S66" s="139"/>
      <c r="T66" s="139"/>
      <c r="U66" s="139"/>
      <c r="V66" s="17"/>
      <c r="W66" s="17"/>
    </row>
    <row r="67" spans="1:24" outlineLevel="1">
      <c r="A67" s="17"/>
      <c r="B67" s="17"/>
      <c r="C67" s="125"/>
      <c r="D67" s="118" t="s">
        <v>95</v>
      </c>
      <c r="E67" s="118" t="s">
        <v>18</v>
      </c>
      <c r="F67" s="118" t="s">
        <v>36</v>
      </c>
      <c r="G67" s="119"/>
      <c r="H67" s="119"/>
      <c r="I67" s="118"/>
      <c r="J67" s="155"/>
      <c r="K67" s="168"/>
      <c r="L67" s="168"/>
      <c r="M67" s="168"/>
      <c r="N67" s="168"/>
      <c r="O67" s="139"/>
      <c r="P67" s="139"/>
      <c r="Q67" s="139"/>
      <c r="R67" s="139"/>
      <c r="S67" s="139"/>
      <c r="T67" s="139"/>
      <c r="U67" s="139"/>
      <c r="V67" s="17"/>
      <c r="W67" s="17"/>
    </row>
    <row r="68" spans="1:24" outlineLevel="1">
      <c r="A68" s="17"/>
      <c r="B68" s="17"/>
      <c r="C68" s="125"/>
      <c r="D68" s="118" t="s">
        <v>95</v>
      </c>
      <c r="E68" s="118" t="s">
        <v>18</v>
      </c>
      <c r="F68" s="118" t="s">
        <v>36</v>
      </c>
      <c r="G68" s="119"/>
      <c r="H68" s="119"/>
      <c r="I68" s="118"/>
      <c r="J68" s="155"/>
      <c r="K68" s="168"/>
      <c r="L68" s="168"/>
      <c r="M68" s="168"/>
      <c r="N68" s="168"/>
      <c r="O68" s="139"/>
      <c r="P68" s="139"/>
      <c r="Q68" s="139"/>
      <c r="R68" s="139"/>
      <c r="S68" s="139"/>
      <c r="T68" s="139"/>
      <c r="U68" s="139"/>
      <c r="V68" s="17"/>
      <c r="W68" s="17"/>
    </row>
    <row r="69" spans="1:24" outlineLevel="1">
      <c r="A69" s="17"/>
      <c r="B69" s="17"/>
      <c r="C69" s="125"/>
      <c r="D69" s="118" t="s">
        <v>95</v>
      </c>
      <c r="E69" s="118" t="s">
        <v>18</v>
      </c>
      <c r="F69" s="118" t="s">
        <v>36</v>
      </c>
      <c r="G69" s="119"/>
      <c r="H69" s="119"/>
      <c r="I69" s="118"/>
      <c r="J69" s="155"/>
      <c r="K69" s="168"/>
      <c r="L69" s="168"/>
      <c r="M69" s="168"/>
      <c r="N69" s="168"/>
      <c r="O69" s="139"/>
      <c r="P69" s="139"/>
      <c r="Q69" s="139"/>
      <c r="R69" s="139"/>
      <c r="S69" s="139"/>
      <c r="T69" s="139"/>
      <c r="U69" s="139"/>
      <c r="V69" s="17"/>
      <c r="W69" s="17"/>
    </row>
    <row r="70" spans="1:24" outlineLevel="1">
      <c r="A70" s="17"/>
      <c r="B70" s="17"/>
      <c r="C70" s="125"/>
      <c r="D70" s="118" t="s">
        <v>95</v>
      </c>
      <c r="E70" s="118" t="s">
        <v>18</v>
      </c>
      <c r="F70" s="118" t="s">
        <v>36</v>
      </c>
      <c r="G70" s="119"/>
      <c r="H70" s="119"/>
      <c r="I70" s="118"/>
      <c r="J70" s="155"/>
      <c r="K70" s="168"/>
      <c r="L70" s="168"/>
      <c r="M70" s="168"/>
      <c r="N70" s="168"/>
      <c r="O70" s="139"/>
      <c r="P70" s="139"/>
      <c r="Q70" s="139"/>
      <c r="R70" s="139"/>
      <c r="S70" s="139"/>
      <c r="T70" s="139"/>
      <c r="U70" s="139"/>
      <c r="V70" s="17"/>
      <c r="W70" s="17"/>
    </row>
    <row r="71" spans="1:24" outlineLevel="1">
      <c r="A71" s="17"/>
      <c r="B71" s="17"/>
      <c r="C71" s="125"/>
      <c r="D71" s="118" t="s">
        <v>95</v>
      </c>
      <c r="E71" s="118" t="s">
        <v>18</v>
      </c>
      <c r="F71" s="118" t="s">
        <v>36</v>
      </c>
      <c r="G71" s="119"/>
      <c r="H71" s="119"/>
      <c r="I71" s="118"/>
      <c r="J71" s="155"/>
      <c r="K71" s="168"/>
      <c r="L71" s="168"/>
      <c r="M71" s="168"/>
      <c r="N71" s="168"/>
      <c r="O71" s="139"/>
      <c r="P71" s="139"/>
      <c r="Q71" s="139"/>
      <c r="R71" s="139"/>
      <c r="S71" s="139"/>
      <c r="T71" s="139"/>
      <c r="U71" s="139"/>
      <c r="V71" s="17"/>
      <c r="W71" s="17"/>
    </row>
    <row r="72" spans="1:24" ht="10.5" outlineLevel="1">
      <c r="A72" s="17"/>
      <c r="B72" s="17"/>
      <c r="C72" s="123"/>
      <c r="D72" s="118"/>
      <c r="E72" s="118"/>
      <c r="F72" s="118"/>
      <c r="G72" s="119"/>
      <c r="H72" s="119"/>
      <c r="I72" s="118"/>
      <c r="J72" s="118"/>
      <c r="K72" s="124"/>
      <c r="L72" s="124"/>
      <c r="M72" s="124"/>
      <c r="N72" s="124"/>
      <c r="O72" s="124"/>
      <c r="P72" s="17"/>
      <c r="Q72" s="17"/>
      <c r="R72" s="17"/>
      <c r="S72" s="17"/>
      <c r="T72" s="17"/>
      <c r="U72" s="17"/>
      <c r="V72" s="17"/>
      <c r="W72" s="17"/>
    </row>
    <row r="73" spans="1:24" ht="10.5" outlineLevel="1">
      <c r="A73" s="17"/>
      <c r="B73" s="17"/>
      <c r="C73" s="17" t="s">
        <v>40</v>
      </c>
      <c r="D73" s="118" t="s">
        <v>92</v>
      </c>
      <c r="E73" s="118" t="s">
        <v>28</v>
      </c>
      <c r="F73" s="118" t="s">
        <v>36</v>
      </c>
      <c r="G73" s="118"/>
      <c r="H73" s="118"/>
      <c r="I73" s="118"/>
      <c r="J73" s="163" t="str">
        <f t="shared" ref="J73:S73" si="29">IF(J64=J$4,IF(COUNTA($C66:$C71)=COUNT(J66:J71),"Ok","Check"),"")</f>
        <v/>
      </c>
      <c r="K73" s="163" t="str">
        <f t="shared" si="29"/>
        <v/>
      </c>
      <c r="L73" s="163" t="str">
        <f t="shared" si="29"/>
        <v/>
      </c>
      <c r="M73" s="163" t="str">
        <f t="shared" si="29"/>
        <v/>
      </c>
      <c r="N73" s="163" t="str">
        <f t="shared" si="29"/>
        <v/>
      </c>
      <c r="O73" s="163" t="str">
        <f t="shared" si="29"/>
        <v>Ok</v>
      </c>
      <c r="P73" s="163" t="str">
        <f t="shared" si="29"/>
        <v>Ok</v>
      </c>
      <c r="Q73" s="163" t="str">
        <f t="shared" si="29"/>
        <v>Ok</v>
      </c>
      <c r="R73" s="163" t="str">
        <f t="shared" si="29"/>
        <v>Ok</v>
      </c>
      <c r="S73" s="163" t="str">
        <f t="shared" si="29"/>
        <v>Ok</v>
      </c>
      <c r="T73" s="163" t="str">
        <f>IF(T64=T$4,IF(COUNTA($C66:$C71)=COUNT(T66:T71),"Ok","Check"),"")</f>
        <v>Ok</v>
      </c>
      <c r="U73" s="163" t="str">
        <f>IF(U64=U$4,IF(COUNTA($C66:$C71)=COUNT(U66:U71),"Ok","Check"),"")</f>
        <v/>
      </c>
      <c r="V73" s="164"/>
      <c r="W73" s="17"/>
      <c r="X73" s="80" t="str">
        <f>IF(COUNTIF(J73:U73,"Check")=0,"Ok","Check")</f>
        <v>Ok</v>
      </c>
    </row>
    <row r="74" spans="1:24" ht="10.5" outlineLevel="1">
      <c r="A74" s="17"/>
      <c r="B74" s="17"/>
      <c r="C74" s="123"/>
      <c r="D74" s="118"/>
      <c r="E74" s="118"/>
      <c r="F74" s="118"/>
      <c r="G74" s="119"/>
      <c r="H74" s="119"/>
      <c r="I74" s="118"/>
      <c r="J74" s="118"/>
      <c r="K74" s="124"/>
      <c r="L74" s="124"/>
      <c r="M74" s="124"/>
      <c r="N74" s="124"/>
      <c r="O74" s="124"/>
      <c r="P74" s="17"/>
      <c r="Q74" s="17"/>
      <c r="R74" s="17"/>
      <c r="S74" s="17"/>
      <c r="T74" s="17"/>
      <c r="U74" s="17"/>
      <c r="V74" s="17"/>
      <c r="W74" s="17"/>
    </row>
    <row r="75" spans="1:24" ht="10.5" outlineLevel="1">
      <c r="A75" s="17"/>
      <c r="B75" s="17"/>
      <c r="C75" s="120" t="s">
        <v>83</v>
      </c>
      <c r="D75" s="119" t="s">
        <v>7</v>
      </c>
      <c r="E75" s="119" t="s">
        <v>8</v>
      </c>
      <c r="F75" s="119" t="s">
        <v>22</v>
      </c>
      <c r="G75" s="119"/>
      <c r="H75" s="119"/>
      <c r="I75" s="118"/>
      <c r="J75" s="136" t="str">
        <f t="shared" ref="J75:U75" si="30">IF(YEAR(J$4)&gt;=FPFirstYear,IF(YEAR(J$4)&lt;=FPLastYear,J$4,""),"")</f>
        <v/>
      </c>
      <c r="K75" s="136" t="str">
        <f t="shared" si="30"/>
        <v/>
      </c>
      <c r="L75" s="136" t="str">
        <f t="shared" si="30"/>
        <v/>
      </c>
      <c r="M75" s="136" t="str">
        <f t="shared" si="30"/>
        <v/>
      </c>
      <c r="N75" s="136" t="str">
        <f t="shared" si="30"/>
        <v/>
      </c>
      <c r="O75" s="136" t="str">
        <f t="shared" si="30"/>
        <v/>
      </c>
      <c r="P75" s="136">
        <f t="shared" si="30"/>
        <v>46813</v>
      </c>
      <c r="Q75" s="136">
        <f t="shared" si="30"/>
        <v>47178</v>
      </c>
      <c r="R75" s="136">
        <f t="shared" si="30"/>
        <v>47543</v>
      </c>
      <c r="S75" s="136">
        <f t="shared" si="30"/>
        <v>47908</v>
      </c>
      <c r="T75" s="136">
        <f t="shared" si="30"/>
        <v>48274</v>
      </c>
      <c r="U75" s="136" t="str">
        <f t="shared" si="30"/>
        <v/>
      </c>
      <c r="V75" s="17"/>
      <c r="W75" s="17"/>
    </row>
    <row r="76" spans="1:24" ht="10.5" outlineLevel="1">
      <c r="A76" s="17"/>
      <c r="B76" s="17"/>
      <c r="C76" s="123"/>
      <c r="D76" s="118"/>
      <c r="E76" s="118"/>
      <c r="F76" s="118"/>
      <c r="G76" s="119"/>
      <c r="H76" s="119"/>
      <c r="I76" s="118"/>
      <c r="J76" s="118"/>
      <c r="K76" s="124"/>
      <c r="L76" s="124"/>
      <c r="M76" s="124"/>
      <c r="N76" s="124"/>
      <c r="O76" s="124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5">
        <f t="shared" ref="C77:C82" si="31">C66</f>
        <v>0</v>
      </c>
      <c r="D77" s="118" t="s">
        <v>92</v>
      </c>
      <c r="E77" s="118" t="s">
        <v>18</v>
      </c>
      <c r="F77" s="118" t="s">
        <v>36</v>
      </c>
      <c r="G77" s="119"/>
      <c r="H77" s="119"/>
      <c r="I77" s="118"/>
      <c r="J77" s="169" t="str">
        <f>IF(ISBLANK(I66),"",IF(ISBLANK(J66),"",LN(J66)-LN(I66)))</f>
        <v/>
      </c>
      <c r="K77" s="169" t="str">
        <f>IF(ISBLANK(J66),"",IF(ISBLANK(K66),"",LN(K66)-LN(J66)))</f>
        <v/>
      </c>
      <c r="L77" s="169" t="str">
        <f>IF(ISBLANK(K66),"",IF(ISBLANK(L66),"",LN(L66)-LN(K66)))</f>
        <v/>
      </c>
      <c r="M77" s="169" t="str">
        <f>IF(ISBLANK(L66),"",IF(ISBLANK(M66),"",LN(M66)-LN(L66)))</f>
        <v/>
      </c>
      <c r="N77" s="169" t="str">
        <f>IF(ISBLANK(M66),"",IF(ISBLANK(N66),"",LN(N66)-LN(M66)))</f>
        <v/>
      </c>
      <c r="O77" s="169" t="str">
        <f t="shared" ref="O77:U77" si="32">IF(ISBLANK(N66),"",IF(ISBLANK(O66),"",LN(O66)-LN(N66)))</f>
        <v/>
      </c>
      <c r="P77" s="169" t="str">
        <f t="shared" si="32"/>
        <v/>
      </c>
      <c r="Q77" s="169" t="str">
        <f t="shared" si="32"/>
        <v/>
      </c>
      <c r="R77" s="169" t="str">
        <f t="shared" si="32"/>
        <v/>
      </c>
      <c r="S77" s="169" t="str">
        <f t="shared" si="32"/>
        <v/>
      </c>
      <c r="T77" s="169" t="str">
        <f t="shared" si="32"/>
        <v/>
      </c>
      <c r="U77" s="169" t="str">
        <f t="shared" si="32"/>
        <v/>
      </c>
      <c r="V77" s="17"/>
      <c r="W77" s="17"/>
    </row>
    <row r="78" spans="1:24" outlineLevel="1">
      <c r="A78" s="17"/>
      <c r="B78" s="17"/>
      <c r="C78" s="165">
        <f t="shared" si="31"/>
        <v>0</v>
      </c>
      <c r="D78" s="118" t="s">
        <v>92</v>
      </c>
      <c r="E78" s="118" t="s">
        <v>18</v>
      </c>
      <c r="F78" s="118" t="s">
        <v>36</v>
      </c>
      <c r="G78" s="119"/>
      <c r="H78" s="119"/>
      <c r="I78" s="118"/>
      <c r="J78" s="169" t="str">
        <f t="shared" ref="J78:U78" si="33">IF(ISBLANK(I67),"",IF(ISBLANK(J67),"",LN(J67)-LN(I67)))</f>
        <v/>
      </c>
      <c r="K78" s="169" t="str">
        <f t="shared" si="33"/>
        <v/>
      </c>
      <c r="L78" s="169" t="str">
        <f t="shared" si="33"/>
        <v/>
      </c>
      <c r="M78" s="169" t="str">
        <f t="shared" si="33"/>
        <v/>
      </c>
      <c r="N78" s="169" t="str">
        <f t="shared" si="33"/>
        <v/>
      </c>
      <c r="O78" s="169" t="str">
        <f t="shared" si="33"/>
        <v/>
      </c>
      <c r="P78" s="169" t="str">
        <f t="shared" si="33"/>
        <v/>
      </c>
      <c r="Q78" s="169" t="str">
        <f t="shared" si="33"/>
        <v/>
      </c>
      <c r="R78" s="169" t="str">
        <f t="shared" si="33"/>
        <v/>
      </c>
      <c r="S78" s="169" t="str">
        <f t="shared" si="33"/>
        <v/>
      </c>
      <c r="T78" s="169" t="str">
        <f t="shared" si="33"/>
        <v/>
      </c>
      <c r="U78" s="169" t="str">
        <f t="shared" si="33"/>
        <v/>
      </c>
      <c r="V78" s="17"/>
      <c r="W78" s="17"/>
    </row>
    <row r="79" spans="1:24" outlineLevel="1">
      <c r="A79" s="17"/>
      <c r="B79" s="17"/>
      <c r="C79" s="165">
        <f t="shared" si="31"/>
        <v>0</v>
      </c>
      <c r="D79" s="118" t="s">
        <v>92</v>
      </c>
      <c r="E79" s="118" t="s">
        <v>18</v>
      </c>
      <c r="F79" s="118" t="s">
        <v>36</v>
      </c>
      <c r="G79" s="119"/>
      <c r="H79" s="119"/>
      <c r="I79" s="118"/>
      <c r="J79" s="169" t="str">
        <f t="shared" ref="J79:U79" si="34">IF(ISBLANK(I68),"",IF(ISBLANK(J68),"",LN(J68)-LN(I68)))</f>
        <v/>
      </c>
      <c r="K79" s="169" t="str">
        <f t="shared" si="34"/>
        <v/>
      </c>
      <c r="L79" s="169" t="str">
        <f t="shared" si="34"/>
        <v/>
      </c>
      <c r="M79" s="169" t="str">
        <f t="shared" si="34"/>
        <v/>
      </c>
      <c r="N79" s="169" t="str">
        <f t="shared" si="34"/>
        <v/>
      </c>
      <c r="O79" s="169" t="str">
        <f t="shared" si="34"/>
        <v/>
      </c>
      <c r="P79" s="169" t="str">
        <f t="shared" si="34"/>
        <v/>
      </c>
      <c r="Q79" s="169" t="str">
        <f t="shared" si="34"/>
        <v/>
      </c>
      <c r="R79" s="169" t="str">
        <f t="shared" si="34"/>
        <v/>
      </c>
      <c r="S79" s="169" t="str">
        <f t="shared" si="34"/>
        <v/>
      </c>
      <c r="T79" s="169" t="str">
        <f t="shared" si="34"/>
        <v/>
      </c>
      <c r="U79" s="169" t="str">
        <f t="shared" si="34"/>
        <v/>
      </c>
      <c r="V79" s="17"/>
      <c r="W79" s="17"/>
    </row>
    <row r="80" spans="1:24" outlineLevel="1">
      <c r="A80" s="17"/>
      <c r="B80" s="17"/>
      <c r="C80" s="165">
        <f t="shared" si="31"/>
        <v>0</v>
      </c>
      <c r="D80" s="118" t="s">
        <v>92</v>
      </c>
      <c r="E80" s="118" t="s">
        <v>18</v>
      </c>
      <c r="F80" s="118" t="s">
        <v>36</v>
      </c>
      <c r="G80" s="119"/>
      <c r="H80" s="119"/>
      <c r="I80" s="118"/>
      <c r="J80" s="169" t="str">
        <f t="shared" ref="J80:U80" si="35">IF(ISBLANK(I69),"",IF(ISBLANK(J69),"",LN(J69)-LN(I69)))</f>
        <v/>
      </c>
      <c r="K80" s="169" t="str">
        <f t="shared" si="35"/>
        <v/>
      </c>
      <c r="L80" s="169" t="str">
        <f t="shared" si="35"/>
        <v/>
      </c>
      <c r="M80" s="169" t="str">
        <f t="shared" si="35"/>
        <v/>
      </c>
      <c r="N80" s="169" t="str">
        <f t="shared" si="35"/>
        <v/>
      </c>
      <c r="O80" s="169" t="str">
        <f t="shared" si="35"/>
        <v/>
      </c>
      <c r="P80" s="169" t="str">
        <f t="shared" si="35"/>
        <v/>
      </c>
      <c r="Q80" s="169" t="str">
        <f t="shared" si="35"/>
        <v/>
      </c>
      <c r="R80" s="169" t="str">
        <f t="shared" si="35"/>
        <v/>
      </c>
      <c r="S80" s="169" t="str">
        <f t="shared" si="35"/>
        <v/>
      </c>
      <c r="T80" s="169" t="str">
        <f t="shared" si="35"/>
        <v/>
      </c>
      <c r="U80" s="169" t="str">
        <f t="shared" si="35"/>
        <v/>
      </c>
      <c r="V80" s="17"/>
      <c r="W80" s="17"/>
    </row>
    <row r="81" spans="1:24" outlineLevel="1">
      <c r="A81" s="17"/>
      <c r="B81" s="17"/>
      <c r="C81" s="165">
        <f t="shared" si="31"/>
        <v>0</v>
      </c>
      <c r="D81" s="118" t="s">
        <v>92</v>
      </c>
      <c r="E81" s="118" t="s">
        <v>18</v>
      </c>
      <c r="F81" s="118" t="s">
        <v>36</v>
      </c>
      <c r="G81" s="119"/>
      <c r="H81" s="119"/>
      <c r="I81" s="118"/>
      <c r="J81" s="169" t="str">
        <f t="shared" ref="J81:T81" si="36">IF(ISBLANK(I70),"",IF(ISBLANK(J70),"",LN(J70)-LN(I70)))</f>
        <v/>
      </c>
      <c r="K81" s="169" t="str">
        <f t="shared" si="36"/>
        <v/>
      </c>
      <c r="L81" s="169" t="str">
        <f t="shared" si="36"/>
        <v/>
      </c>
      <c r="M81" s="169" t="str">
        <f t="shared" si="36"/>
        <v/>
      </c>
      <c r="N81" s="169" t="str">
        <f t="shared" si="36"/>
        <v/>
      </c>
      <c r="O81" s="169" t="str">
        <f t="shared" si="36"/>
        <v/>
      </c>
      <c r="P81" s="169" t="str">
        <f t="shared" si="36"/>
        <v/>
      </c>
      <c r="Q81" s="169" t="str">
        <f t="shared" si="36"/>
        <v/>
      </c>
      <c r="R81" s="169" t="str">
        <f t="shared" si="36"/>
        <v/>
      </c>
      <c r="S81" s="169" t="str">
        <f t="shared" si="36"/>
        <v/>
      </c>
      <c r="T81" s="169" t="str">
        <f t="shared" si="36"/>
        <v/>
      </c>
      <c r="U81" s="169"/>
      <c r="V81" s="17"/>
      <c r="W81" s="17"/>
    </row>
    <row r="82" spans="1:24" outlineLevel="1">
      <c r="A82" s="17"/>
      <c r="B82" s="17"/>
      <c r="C82" s="165">
        <f t="shared" si="31"/>
        <v>0</v>
      </c>
      <c r="D82" s="118" t="s">
        <v>92</v>
      </c>
      <c r="E82" s="118" t="s">
        <v>18</v>
      </c>
      <c r="F82" s="118" t="s">
        <v>36</v>
      </c>
      <c r="G82" s="119"/>
      <c r="H82" s="119"/>
      <c r="I82" s="118"/>
      <c r="J82" s="169" t="str">
        <f t="shared" ref="J82:T82" si="37">IF(ISBLANK(I71),"",IF(ISBLANK(J71),"",LN(J71)-LN(I71)))</f>
        <v/>
      </c>
      <c r="K82" s="169" t="str">
        <f t="shared" si="37"/>
        <v/>
      </c>
      <c r="L82" s="169" t="str">
        <f t="shared" si="37"/>
        <v/>
      </c>
      <c r="M82" s="169" t="str">
        <f t="shared" si="37"/>
        <v/>
      </c>
      <c r="N82" s="169" t="str">
        <f t="shared" si="37"/>
        <v/>
      </c>
      <c r="O82" s="169" t="str">
        <f t="shared" si="37"/>
        <v/>
      </c>
      <c r="P82" s="169" t="str">
        <f t="shared" si="37"/>
        <v/>
      </c>
      <c r="Q82" s="169" t="str">
        <f t="shared" si="37"/>
        <v/>
      </c>
      <c r="R82" s="169" t="str">
        <f t="shared" si="37"/>
        <v/>
      </c>
      <c r="S82" s="169" t="str">
        <f t="shared" si="37"/>
        <v/>
      </c>
      <c r="T82" s="169" t="str">
        <f t="shared" si="37"/>
        <v/>
      </c>
      <c r="U82" s="169"/>
      <c r="V82" s="17"/>
      <c r="W82" s="17"/>
    </row>
    <row r="83" spans="1:24" ht="10.5" outlineLevel="1">
      <c r="A83" s="17"/>
      <c r="B83" s="17"/>
      <c r="C83" s="123"/>
      <c r="D83" s="118"/>
      <c r="E83" s="118"/>
      <c r="F83" s="118"/>
      <c r="G83" s="119"/>
      <c r="H83" s="119"/>
      <c r="I83" s="118"/>
      <c r="J83" s="118"/>
      <c r="K83" s="124"/>
      <c r="L83" s="124"/>
      <c r="M83" s="124"/>
      <c r="N83" s="124"/>
      <c r="O83" s="124"/>
      <c r="P83" s="17"/>
      <c r="Q83" s="17"/>
      <c r="R83" s="17"/>
      <c r="S83" s="17"/>
      <c r="T83" s="17"/>
      <c r="U83" s="17"/>
      <c r="V83" s="17"/>
      <c r="W83" s="17"/>
    </row>
    <row r="84" spans="1:24" ht="10.5" outlineLevel="1">
      <c r="A84" s="17"/>
      <c r="B84" s="17"/>
      <c r="C84" s="120" t="s">
        <v>188</v>
      </c>
      <c r="D84" s="119" t="s">
        <v>7</v>
      </c>
      <c r="E84" s="119" t="s">
        <v>8</v>
      </c>
      <c r="F84" s="119" t="s">
        <v>22</v>
      </c>
      <c r="G84" s="119"/>
      <c r="H84" s="119"/>
      <c r="I84" s="118"/>
      <c r="J84" s="170" t="s">
        <v>181</v>
      </c>
      <c r="K84" s="170" t="s">
        <v>182</v>
      </c>
      <c r="L84" s="170" t="s">
        <v>183</v>
      </c>
      <c r="M84" s="170" t="s">
        <v>184</v>
      </c>
      <c r="N84" s="124"/>
      <c r="O84" s="190" t="s">
        <v>208</v>
      </c>
      <c r="P84" s="17"/>
      <c r="Q84" s="17"/>
      <c r="R84" s="17"/>
      <c r="S84" s="17"/>
      <c r="T84" s="17"/>
      <c r="U84" s="17"/>
      <c r="V84" s="17"/>
      <c r="W84" s="17"/>
    </row>
    <row r="85" spans="1:24" ht="10.5" outlineLevel="1">
      <c r="A85" s="17"/>
      <c r="B85" s="17"/>
      <c r="C85" s="123"/>
      <c r="D85" s="118"/>
      <c r="E85" s="118"/>
      <c r="F85" s="118"/>
      <c r="G85" s="119"/>
      <c r="H85" s="119"/>
      <c r="I85" s="118"/>
      <c r="J85" s="118"/>
      <c r="K85" s="124"/>
      <c r="L85" s="124"/>
      <c r="M85" s="124"/>
      <c r="N85" s="124"/>
      <c r="O85" s="124"/>
      <c r="P85" s="17"/>
      <c r="Q85" s="17"/>
      <c r="R85" s="17"/>
      <c r="S85" s="17"/>
      <c r="T85" s="17"/>
      <c r="U85" s="17"/>
      <c r="V85" s="17"/>
      <c r="W85" s="17"/>
    </row>
    <row r="86" spans="1:24" ht="10.5" outlineLevel="1">
      <c r="A86" s="17"/>
      <c r="B86" s="17"/>
      <c r="C86" s="165">
        <f t="shared" ref="C86:C91" si="38">C66</f>
        <v>0</v>
      </c>
      <c r="D86" s="118" t="s">
        <v>95</v>
      </c>
      <c r="E86" s="118" t="s">
        <v>18</v>
      </c>
      <c r="F86" s="118" t="s">
        <v>36</v>
      </c>
      <c r="G86" s="119"/>
      <c r="H86" s="119"/>
      <c r="I86" s="118"/>
      <c r="J86" s="171"/>
      <c r="K86" s="171"/>
      <c r="L86" s="171"/>
      <c r="M86" s="171"/>
      <c r="N86" s="124"/>
      <c r="O86" s="124"/>
      <c r="P86" s="17"/>
      <c r="Q86" s="17"/>
      <c r="R86" s="17"/>
      <c r="S86" s="17"/>
      <c r="T86" s="17"/>
      <c r="U86" s="17"/>
      <c r="V86" s="17"/>
      <c r="W86" s="17"/>
    </row>
    <row r="87" spans="1:24" ht="10.5" outlineLevel="1">
      <c r="A87" s="17"/>
      <c r="B87" s="17"/>
      <c r="C87" s="165">
        <f t="shared" si="38"/>
        <v>0</v>
      </c>
      <c r="D87" s="118" t="s">
        <v>95</v>
      </c>
      <c r="E87" s="118" t="s">
        <v>18</v>
      </c>
      <c r="F87" s="118" t="s">
        <v>36</v>
      </c>
      <c r="G87" s="119"/>
      <c r="H87" s="119"/>
      <c r="I87" s="118"/>
      <c r="J87" s="171"/>
      <c r="K87" s="171"/>
      <c r="L87" s="171"/>
      <c r="M87" s="171"/>
      <c r="N87" s="124"/>
      <c r="O87" s="124"/>
      <c r="P87" s="17"/>
      <c r="Q87" s="17"/>
      <c r="R87" s="17"/>
      <c r="S87" s="17"/>
      <c r="T87" s="17"/>
      <c r="U87" s="17"/>
      <c r="V87" s="17"/>
      <c r="W87" s="17"/>
    </row>
    <row r="88" spans="1:24" ht="10.5" outlineLevel="1">
      <c r="A88" s="17"/>
      <c r="B88" s="17"/>
      <c r="C88" s="165">
        <f t="shared" si="38"/>
        <v>0</v>
      </c>
      <c r="D88" s="118" t="s">
        <v>95</v>
      </c>
      <c r="E88" s="118" t="s">
        <v>18</v>
      </c>
      <c r="F88" s="118" t="s">
        <v>36</v>
      </c>
      <c r="G88" s="119"/>
      <c r="H88" s="119"/>
      <c r="I88" s="118"/>
      <c r="J88" s="171"/>
      <c r="K88" s="171"/>
      <c r="L88" s="171"/>
      <c r="M88" s="171"/>
      <c r="N88" s="124"/>
      <c r="O88" s="124"/>
      <c r="P88" s="17"/>
      <c r="Q88" s="17"/>
      <c r="R88" s="17"/>
      <c r="S88" s="17"/>
      <c r="T88" s="17"/>
      <c r="U88" s="17"/>
      <c r="V88" s="17"/>
      <c r="W88" s="17"/>
    </row>
    <row r="89" spans="1:24" ht="10.5" outlineLevel="1">
      <c r="A89" s="17"/>
      <c r="B89" s="17"/>
      <c r="C89" s="165">
        <f t="shared" si="38"/>
        <v>0</v>
      </c>
      <c r="D89" s="118" t="s">
        <v>95</v>
      </c>
      <c r="E89" s="118" t="s">
        <v>18</v>
      </c>
      <c r="F89" s="118" t="s">
        <v>36</v>
      </c>
      <c r="G89" s="119"/>
      <c r="H89" s="119"/>
      <c r="I89" s="118"/>
      <c r="J89" s="171"/>
      <c r="K89" s="172"/>
      <c r="L89" s="172"/>
      <c r="M89" s="171"/>
      <c r="N89" s="124"/>
      <c r="O89" s="124"/>
      <c r="P89" s="17"/>
      <c r="Q89" s="17"/>
      <c r="R89" s="17"/>
      <c r="S89" s="17"/>
      <c r="T89" s="17"/>
      <c r="U89" s="17"/>
      <c r="V89" s="17"/>
      <c r="W89" s="17"/>
    </row>
    <row r="90" spans="1:24" ht="10.5" outlineLevel="1">
      <c r="A90" s="17"/>
      <c r="B90" s="17"/>
      <c r="C90" s="165">
        <f t="shared" si="38"/>
        <v>0</v>
      </c>
      <c r="D90" s="118" t="s">
        <v>95</v>
      </c>
      <c r="E90" s="118" t="s">
        <v>18</v>
      </c>
      <c r="F90" s="118" t="s">
        <v>36</v>
      </c>
      <c r="G90" s="119"/>
      <c r="H90" s="119"/>
      <c r="I90" s="118"/>
      <c r="J90" s="172"/>
      <c r="K90" s="172"/>
      <c r="L90" s="172"/>
      <c r="M90" s="172"/>
      <c r="N90" s="124"/>
      <c r="O90" s="124"/>
      <c r="P90" s="17"/>
      <c r="Q90" s="17"/>
      <c r="R90" s="17"/>
      <c r="S90" s="17"/>
      <c r="T90" s="17"/>
      <c r="U90" s="17"/>
      <c r="V90" s="17"/>
      <c r="W90" s="17"/>
    </row>
    <row r="91" spans="1:24" ht="10.5" outlineLevel="1">
      <c r="A91" s="17"/>
      <c r="B91" s="17"/>
      <c r="C91" s="165">
        <f t="shared" si="38"/>
        <v>0</v>
      </c>
      <c r="D91" s="118" t="s">
        <v>95</v>
      </c>
      <c r="E91" s="118" t="s">
        <v>18</v>
      </c>
      <c r="F91" s="118" t="s">
        <v>36</v>
      </c>
      <c r="G91" s="119"/>
      <c r="H91" s="119"/>
      <c r="I91" s="118"/>
      <c r="J91" s="172"/>
      <c r="K91" s="172"/>
      <c r="L91" s="172"/>
      <c r="M91" s="172"/>
      <c r="N91" s="124"/>
      <c r="O91" s="124"/>
      <c r="P91" s="17"/>
      <c r="Q91" s="17"/>
      <c r="R91" s="17"/>
      <c r="S91" s="17"/>
      <c r="T91" s="17"/>
      <c r="U91" s="17"/>
      <c r="V91" s="17"/>
      <c r="W91" s="17"/>
    </row>
    <row r="92" spans="1:24" ht="10.5" outlineLevel="1">
      <c r="A92" s="17"/>
      <c r="B92" s="17"/>
      <c r="C92" s="123"/>
      <c r="D92" s="118"/>
      <c r="E92" s="118"/>
      <c r="F92" s="118"/>
      <c r="G92" s="119"/>
      <c r="H92" s="119"/>
      <c r="I92" s="118"/>
      <c r="J92" s="118"/>
      <c r="K92" s="124"/>
      <c r="L92" s="124"/>
      <c r="M92" s="124"/>
      <c r="N92" s="124"/>
      <c r="O92" s="124"/>
      <c r="P92" s="17"/>
      <c r="Q92" s="17"/>
      <c r="R92" s="17"/>
      <c r="S92" s="17"/>
      <c r="T92" s="17"/>
      <c r="U92" s="17"/>
      <c r="V92" s="17"/>
      <c r="W92" s="17"/>
    </row>
    <row r="93" spans="1:24" ht="10.5" outlineLevel="1">
      <c r="A93" s="17"/>
      <c r="B93" s="17"/>
      <c r="C93" s="17" t="s">
        <v>40</v>
      </c>
      <c r="D93" s="118" t="s">
        <v>92</v>
      </c>
      <c r="E93" s="118" t="s">
        <v>28</v>
      </c>
      <c r="F93" s="118" t="s">
        <v>36</v>
      </c>
      <c r="G93" s="118"/>
      <c r="H93" s="118"/>
      <c r="I93" s="118"/>
      <c r="J93" s="163" t="str">
        <f>IF(AND(ISBLANK(J84),COUNT(J86:J91)=0),"Ok",IF(AND(COUNTA($C66:$C71)=COUNT(J86:J91),COUNTA(J84)=1),"Ok","Check"))</f>
        <v>Ok</v>
      </c>
      <c r="K93" s="163" t="str">
        <f>IF(AND(ISBLANK(K84),COUNT(K86:K91)=0),"Ok",IF(AND(COUNTA($C66:$C71)=COUNT(K86:K91),COUNTA(K84)=1),"Ok","Check"))</f>
        <v>Ok</v>
      </c>
      <c r="L93" s="163" t="str">
        <f>IF(AND(ISBLANK(L84),COUNT(L86:L91)=0),"Ok",IF(AND(COUNTA($C66:$C71)=COUNT(L86:L91),COUNTA(L84)=1),"Ok","Check"))</f>
        <v>Ok</v>
      </c>
      <c r="M93" s="163" t="str">
        <f>IF(AND(ISBLANK(M84),COUNT(M86:M91)=0),"Ok",IF(AND(COUNTA($C66:$C71)=COUNT(M86:M91),COUNTA(M84)=1),"Ok","Check"))</f>
        <v>Ok</v>
      </c>
      <c r="N93" s="163"/>
      <c r="O93" s="163"/>
      <c r="P93" s="163"/>
      <c r="Q93" s="163"/>
      <c r="R93" s="163"/>
      <c r="S93" s="163"/>
      <c r="T93" s="163"/>
      <c r="U93" s="163"/>
      <c r="V93" s="164"/>
      <c r="W93" s="17"/>
      <c r="X93" s="80" t="str">
        <f>IF(COUNTIF(J93:T93,"Check")=0,"Ok","Check")</f>
        <v>Ok</v>
      </c>
    </row>
    <row r="94" spans="1:24" ht="10.5" outlineLevel="1">
      <c r="A94" s="17"/>
      <c r="B94" s="17"/>
      <c r="C94" s="123"/>
      <c r="D94" s="118"/>
      <c r="E94" s="118"/>
      <c r="F94" s="118"/>
      <c r="G94" s="119"/>
      <c r="H94" s="119"/>
      <c r="I94" s="118"/>
      <c r="J94" s="118"/>
      <c r="K94" s="124"/>
      <c r="L94" s="124"/>
      <c r="M94" s="124"/>
      <c r="N94" s="124"/>
      <c r="O94" s="124"/>
      <c r="P94" s="17"/>
      <c r="Q94" s="17"/>
      <c r="R94" s="17"/>
      <c r="S94" s="17"/>
      <c r="T94" s="17"/>
      <c r="U94" s="17"/>
      <c r="V94" s="17"/>
      <c r="W94" s="17"/>
    </row>
    <row r="95" spans="1:24" ht="10.5" outlineLevel="1">
      <c r="A95" s="17"/>
      <c r="B95" s="17"/>
      <c r="C95" s="120" t="s">
        <v>151</v>
      </c>
      <c r="D95" s="119" t="s">
        <v>7</v>
      </c>
      <c r="E95" s="119" t="s">
        <v>8</v>
      </c>
      <c r="F95" s="119" t="s">
        <v>22</v>
      </c>
      <c r="G95" s="119"/>
      <c r="H95" s="119"/>
      <c r="I95" s="118"/>
      <c r="J95" s="188" t="str">
        <f>J84</f>
        <v>SFA CD</v>
      </c>
      <c r="K95" s="188" t="str">
        <f>K84</f>
        <v>LSE CD</v>
      </c>
      <c r="L95" s="188" t="str">
        <f>L84</f>
        <v>LSE TLG</v>
      </c>
      <c r="M95" s="188" t="str">
        <f>M84</f>
        <v>SFA TLG</v>
      </c>
      <c r="N95" s="136"/>
      <c r="O95" s="136"/>
      <c r="P95" s="136"/>
      <c r="Q95" s="136"/>
      <c r="R95" s="136"/>
      <c r="S95" s="136"/>
      <c r="T95" s="136"/>
      <c r="U95" s="136"/>
      <c r="V95" s="17"/>
      <c r="W95" s="17"/>
    </row>
    <row r="96" spans="1:24" ht="10.5" outlineLevel="1">
      <c r="A96" s="17"/>
      <c r="B96" s="17"/>
      <c r="C96" s="123"/>
      <c r="D96" s="118"/>
      <c r="E96" s="118"/>
      <c r="F96" s="118"/>
      <c r="G96" s="119"/>
      <c r="H96" s="119"/>
      <c r="I96" s="118"/>
      <c r="J96" s="118"/>
      <c r="K96" s="124"/>
      <c r="L96" s="124"/>
      <c r="M96" s="124"/>
      <c r="N96" s="124"/>
      <c r="O96" s="173"/>
      <c r="P96" s="173"/>
      <c r="Q96" s="173"/>
      <c r="R96" s="173"/>
      <c r="S96" s="173"/>
      <c r="T96" s="173"/>
      <c r="U96" s="173"/>
      <c r="V96" s="17"/>
      <c r="W96" s="17"/>
    </row>
    <row r="97" spans="1:34" outlineLevel="1">
      <c r="A97" s="17"/>
      <c r="B97" s="17"/>
      <c r="C97" s="165">
        <f t="shared" ref="C97:C102" si="39">C66</f>
        <v>0</v>
      </c>
      <c r="D97" s="118" t="s">
        <v>92</v>
      </c>
      <c r="E97" s="118" t="str">
        <f t="shared" ref="E97:E102" si="40">percent</f>
        <v>Per cent</v>
      </c>
      <c r="F97" s="118" t="s">
        <v>36</v>
      </c>
      <c r="G97" s="119"/>
      <c r="H97" s="119"/>
      <c r="I97" s="118"/>
      <c r="J97" s="189"/>
      <c r="K97" s="189"/>
      <c r="L97" s="189"/>
      <c r="M97" s="189"/>
      <c r="N97" s="174"/>
      <c r="O97" s="174"/>
      <c r="P97" s="174"/>
      <c r="Q97" s="174"/>
      <c r="R97" s="174"/>
      <c r="S97" s="174"/>
      <c r="T97" s="174"/>
      <c r="U97" s="174"/>
      <c r="V97" s="17"/>
      <c r="W97" s="17"/>
    </row>
    <row r="98" spans="1:34" outlineLevel="1">
      <c r="A98" s="17"/>
      <c r="B98" s="17"/>
      <c r="C98" s="165">
        <f t="shared" si="39"/>
        <v>0</v>
      </c>
      <c r="D98" s="118" t="s">
        <v>92</v>
      </c>
      <c r="E98" s="118" t="str">
        <f t="shared" si="40"/>
        <v>Per cent</v>
      </c>
      <c r="F98" s="118" t="s">
        <v>36</v>
      </c>
      <c r="G98" s="119"/>
      <c r="H98" s="119"/>
      <c r="I98" s="118"/>
      <c r="J98" s="189"/>
      <c r="K98" s="189"/>
      <c r="L98" s="189"/>
      <c r="M98" s="189"/>
      <c r="N98" s="174"/>
      <c r="O98" s="174"/>
      <c r="P98" s="174"/>
      <c r="Q98" s="174"/>
      <c r="R98" s="174"/>
      <c r="S98" s="174"/>
      <c r="T98" s="174"/>
      <c r="U98" s="174"/>
      <c r="V98" s="17"/>
      <c r="W98" s="17"/>
    </row>
    <row r="99" spans="1:34" outlineLevel="1">
      <c r="A99" s="17"/>
      <c r="B99" s="17"/>
      <c r="C99" s="165">
        <f t="shared" si="39"/>
        <v>0</v>
      </c>
      <c r="D99" s="118" t="s">
        <v>92</v>
      </c>
      <c r="E99" s="118" t="str">
        <f t="shared" si="40"/>
        <v>Per cent</v>
      </c>
      <c r="F99" s="118" t="s">
        <v>36</v>
      </c>
      <c r="G99" s="119"/>
      <c r="H99" s="119"/>
      <c r="I99" s="118"/>
      <c r="J99" s="189"/>
      <c r="K99" s="189"/>
      <c r="L99" s="189"/>
      <c r="M99" s="189"/>
      <c r="N99" s="174"/>
      <c r="O99" s="174"/>
      <c r="P99" s="174"/>
      <c r="Q99" s="174"/>
      <c r="R99" s="174"/>
      <c r="S99" s="174"/>
      <c r="T99" s="174"/>
      <c r="U99" s="174"/>
      <c r="V99" s="17"/>
      <c r="W99" s="17"/>
    </row>
    <row r="100" spans="1:34" outlineLevel="1">
      <c r="A100" s="17"/>
      <c r="B100" s="17"/>
      <c r="C100" s="165">
        <f t="shared" si="39"/>
        <v>0</v>
      </c>
      <c r="D100" s="118" t="s">
        <v>92</v>
      </c>
      <c r="E100" s="118" t="str">
        <f t="shared" si="40"/>
        <v>Per cent</v>
      </c>
      <c r="F100" s="118" t="s">
        <v>36</v>
      </c>
      <c r="G100" s="119"/>
      <c r="H100" s="119"/>
      <c r="I100" s="118"/>
      <c r="J100" s="189"/>
      <c r="K100" s="189"/>
      <c r="L100" s="189"/>
      <c r="M100" s="189"/>
      <c r="N100" s="174"/>
      <c r="O100" s="174"/>
      <c r="P100" s="174"/>
      <c r="Q100" s="174"/>
      <c r="R100" s="174"/>
      <c r="S100" s="174"/>
      <c r="T100" s="174"/>
      <c r="U100" s="174"/>
      <c r="V100" s="17"/>
      <c r="W100" s="17"/>
    </row>
    <row r="101" spans="1:34" outlineLevel="1">
      <c r="A101" s="17"/>
      <c r="B101" s="17"/>
      <c r="C101" s="165">
        <f t="shared" si="39"/>
        <v>0</v>
      </c>
      <c r="D101" s="118" t="s">
        <v>92</v>
      </c>
      <c r="E101" s="118" t="str">
        <f t="shared" si="40"/>
        <v>Per cent</v>
      </c>
      <c r="F101" s="118" t="s">
        <v>36</v>
      </c>
      <c r="G101" s="119"/>
      <c r="H101" s="119"/>
      <c r="I101" s="118"/>
      <c r="J101" s="189"/>
      <c r="K101" s="189"/>
      <c r="L101" s="189"/>
      <c r="M101" s="189"/>
      <c r="N101" s="174"/>
      <c r="O101" s="174"/>
      <c r="P101" s="174"/>
      <c r="Q101" s="174"/>
      <c r="R101" s="174"/>
      <c r="S101" s="174"/>
      <c r="T101" s="174"/>
      <c r="U101" s="174"/>
      <c r="V101" s="17"/>
      <c r="W101" s="17"/>
    </row>
    <row r="102" spans="1:34" outlineLevel="1">
      <c r="A102" s="17"/>
      <c r="B102" s="17"/>
      <c r="C102" s="165">
        <f t="shared" si="39"/>
        <v>0</v>
      </c>
      <c r="D102" s="118" t="s">
        <v>92</v>
      </c>
      <c r="E102" s="118" t="str">
        <f t="shared" si="40"/>
        <v>Per cent</v>
      </c>
      <c r="F102" s="118" t="s">
        <v>36</v>
      </c>
      <c r="G102" s="119"/>
      <c r="H102" s="119"/>
      <c r="I102" s="118"/>
      <c r="J102" s="189"/>
      <c r="K102" s="189"/>
      <c r="L102" s="189"/>
      <c r="M102" s="189"/>
      <c r="N102" s="174"/>
      <c r="O102" s="174"/>
      <c r="P102" s="174"/>
      <c r="Q102" s="174"/>
      <c r="R102" s="174"/>
      <c r="S102" s="174"/>
      <c r="T102" s="174"/>
      <c r="U102" s="174"/>
      <c r="V102" s="17"/>
      <c r="W102" s="17"/>
    </row>
    <row r="103" spans="1:34" ht="10.5" outlineLevel="1">
      <c r="A103" s="17"/>
      <c r="B103" s="17"/>
      <c r="C103" s="17"/>
      <c r="D103" s="118"/>
      <c r="E103" s="118"/>
      <c r="F103" s="118"/>
      <c r="G103" s="119"/>
      <c r="H103" s="119"/>
      <c r="I103" s="118"/>
      <c r="J103" s="175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ht="10.5" outlineLevel="1">
      <c r="A104" s="17"/>
      <c r="B104" s="17"/>
      <c r="C104" s="120" t="s">
        <v>152</v>
      </c>
      <c r="D104" s="119" t="s">
        <v>7</v>
      </c>
      <c r="E104" s="119" t="s">
        <v>8</v>
      </c>
      <c r="F104" s="119" t="s">
        <v>22</v>
      </c>
      <c r="G104" s="118"/>
      <c r="H104" s="118"/>
      <c r="I104" s="118"/>
      <c r="J104" s="136" t="str">
        <f t="shared" ref="J104:U104" si="41">IF(YEAR(J$4)&gt;=FPFirstYear,IF(YEAR(J$4)&lt;=FPLastYear,J$4,""),"")</f>
        <v/>
      </c>
      <c r="K104" s="136" t="str">
        <f t="shared" si="41"/>
        <v/>
      </c>
      <c r="L104" s="136" t="str">
        <f t="shared" si="41"/>
        <v/>
      </c>
      <c r="M104" s="136" t="str">
        <f t="shared" si="41"/>
        <v/>
      </c>
      <c r="N104" s="136" t="str">
        <f t="shared" si="41"/>
        <v/>
      </c>
      <c r="O104" s="136" t="str">
        <f t="shared" si="41"/>
        <v/>
      </c>
      <c r="P104" s="136">
        <f t="shared" si="41"/>
        <v>46813</v>
      </c>
      <c r="Q104" s="136">
        <f t="shared" si="41"/>
        <v>47178</v>
      </c>
      <c r="R104" s="136">
        <f t="shared" si="41"/>
        <v>47543</v>
      </c>
      <c r="S104" s="136">
        <f t="shared" si="41"/>
        <v>47908</v>
      </c>
      <c r="T104" s="136">
        <f t="shared" si="41"/>
        <v>48274</v>
      </c>
      <c r="U104" s="136" t="str">
        <f t="shared" si="41"/>
        <v/>
      </c>
      <c r="V104" s="164"/>
      <c r="W104" s="17"/>
      <c r="X104" s="81"/>
    </row>
    <row r="105" spans="1:34" ht="10.5" outlineLevel="1">
      <c r="A105" s="17"/>
      <c r="B105" s="17"/>
      <c r="C105" s="17"/>
      <c r="D105" s="118"/>
      <c r="E105" s="118"/>
      <c r="F105" s="118"/>
      <c r="G105" s="118"/>
      <c r="H105" s="118"/>
      <c r="I105" s="118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4"/>
      <c r="W105" s="17"/>
      <c r="X105" s="81"/>
    </row>
    <row r="106" spans="1:34" ht="10.5" outlineLevel="1">
      <c r="A106" s="17"/>
      <c r="B106" s="17"/>
      <c r="C106" s="165" t="str">
        <f t="array" ref="C106:C109">TRANSPOSE(J95:M95)</f>
        <v>SFA CD</v>
      </c>
      <c r="D106" s="118" t="s">
        <v>92</v>
      </c>
      <c r="E106" s="118" t="s">
        <v>18</v>
      </c>
      <c r="F106" s="118" t="s">
        <v>36</v>
      </c>
      <c r="G106" s="118"/>
      <c r="H106" s="118"/>
      <c r="I106" s="118"/>
      <c r="J106" s="169" t="str">
        <f t="shared" ref="J106:U106" si="42">IF(J$104=J$4,SUMPRODUCT(J$77:J$82,$J$97:$J$102),"")</f>
        <v/>
      </c>
      <c r="K106" s="169" t="str">
        <f t="shared" si="42"/>
        <v/>
      </c>
      <c r="L106" s="169" t="str">
        <f t="shared" si="42"/>
        <v/>
      </c>
      <c r="M106" s="169" t="str">
        <f t="shared" si="42"/>
        <v/>
      </c>
      <c r="N106" s="169" t="str">
        <f t="shared" si="42"/>
        <v/>
      </c>
      <c r="O106" s="169" t="str">
        <f t="shared" si="42"/>
        <v/>
      </c>
      <c r="P106" s="169">
        <f t="shared" si="42"/>
        <v>0</v>
      </c>
      <c r="Q106" s="169">
        <f t="shared" si="42"/>
        <v>0</v>
      </c>
      <c r="R106" s="169">
        <f t="shared" si="42"/>
        <v>0</v>
      </c>
      <c r="S106" s="169">
        <f t="shared" si="42"/>
        <v>0</v>
      </c>
      <c r="T106" s="169">
        <f t="shared" si="42"/>
        <v>0</v>
      </c>
      <c r="U106" s="169" t="str">
        <f t="shared" si="42"/>
        <v/>
      </c>
      <c r="V106" s="164"/>
      <c r="W106" s="17"/>
      <c r="X106" s="81"/>
    </row>
    <row r="107" spans="1:34" ht="10.5" outlineLevel="1">
      <c r="A107" s="17"/>
      <c r="B107" s="17"/>
      <c r="C107" s="165" t="str">
        <v>LSE CD</v>
      </c>
      <c r="D107" s="118" t="s">
        <v>92</v>
      </c>
      <c r="E107" s="118" t="s">
        <v>18</v>
      </c>
      <c r="F107" s="118" t="s">
        <v>36</v>
      </c>
      <c r="G107" s="118"/>
      <c r="H107" s="118"/>
      <c r="I107" s="118"/>
      <c r="J107" s="169" t="str">
        <f t="shared" ref="J107:U107" si="43">IF(J$104=J$4,SUMPRODUCT(J$77:J$82,$K$97:$K$102),"")</f>
        <v/>
      </c>
      <c r="K107" s="169" t="str">
        <f t="shared" si="43"/>
        <v/>
      </c>
      <c r="L107" s="169" t="str">
        <f t="shared" si="43"/>
        <v/>
      </c>
      <c r="M107" s="169" t="str">
        <f t="shared" si="43"/>
        <v/>
      </c>
      <c r="N107" s="169" t="str">
        <f t="shared" si="43"/>
        <v/>
      </c>
      <c r="O107" s="169" t="str">
        <f t="shared" si="43"/>
        <v/>
      </c>
      <c r="P107" s="169">
        <f t="shared" si="43"/>
        <v>0</v>
      </c>
      <c r="Q107" s="169">
        <f t="shared" si="43"/>
        <v>0</v>
      </c>
      <c r="R107" s="169">
        <f t="shared" si="43"/>
        <v>0</v>
      </c>
      <c r="S107" s="169">
        <f t="shared" si="43"/>
        <v>0</v>
      </c>
      <c r="T107" s="169">
        <f t="shared" si="43"/>
        <v>0</v>
      </c>
      <c r="U107" s="169" t="str">
        <f t="shared" si="43"/>
        <v/>
      </c>
      <c r="V107" s="164"/>
      <c r="W107" s="17"/>
      <c r="X107" s="81"/>
    </row>
    <row r="108" spans="1:34" ht="10.5" outlineLevel="1">
      <c r="A108" s="17"/>
      <c r="B108" s="17"/>
      <c r="C108" s="165" t="str">
        <v>LSE TLG</v>
      </c>
      <c r="D108" s="118" t="s">
        <v>92</v>
      </c>
      <c r="E108" s="118" t="s">
        <v>18</v>
      </c>
      <c r="F108" s="118" t="s">
        <v>36</v>
      </c>
      <c r="G108" s="118"/>
      <c r="H108" s="118"/>
      <c r="I108" s="118"/>
      <c r="J108" s="169" t="str">
        <f t="shared" ref="J108:U108" si="44">IF(J$104=J$4,SUMPRODUCT(J$77:J$82,$L$97:$L$102),"")</f>
        <v/>
      </c>
      <c r="K108" s="169" t="str">
        <f t="shared" si="44"/>
        <v/>
      </c>
      <c r="L108" s="169" t="str">
        <f t="shared" si="44"/>
        <v/>
      </c>
      <c r="M108" s="169" t="str">
        <f t="shared" si="44"/>
        <v/>
      </c>
      <c r="N108" s="169" t="str">
        <f t="shared" si="44"/>
        <v/>
      </c>
      <c r="O108" s="169" t="str">
        <f t="shared" si="44"/>
        <v/>
      </c>
      <c r="P108" s="169">
        <f t="shared" si="44"/>
        <v>0</v>
      </c>
      <c r="Q108" s="169">
        <f t="shared" si="44"/>
        <v>0</v>
      </c>
      <c r="R108" s="169">
        <f t="shared" si="44"/>
        <v>0</v>
      </c>
      <c r="S108" s="169">
        <f t="shared" si="44"/>
        <v>0</v>
      </c>
      <c r="T108" s="169">
        <f t="shared" si="44"/>
        <v>0</v>
      </c>
      <c r="U108" s="169" t="str">
        <f t="shared" si="44"/>
        <v/>
      </c>
      <c r="V108" s="164"/>
      <c r="W108" s="17"/>
      <c r="X108" s="81"/>
    </row>
    <row r="109" spans="1:34" ht="10.5" outlineLevel="1">
      <c r="A109" s="17"/>
      <c r="B109" s="17"/>
      <c r="C109" s="165" t="str">
        <v>SFA TLG</v>
      </c>
      <c r="D109" s="118" t="s">
        <v>92</v>
      </c>
      <c r="E109" s="118" t="s">
        <v>18</v>
      </c>
      <c r="F109" s="118" t="s">
        <v>36</v>
      </c>
      <c r="G109" s="118"/>
      <c r="H109" s="118"/>
      <c r="I109" s="118"/>
      <c r="J109" s="169" t="str">
        <f t="shared" ref="J109:U109" si="45">IF(J$104=J$4,SUMPRODUCT(J$77:J$82,$M$97:$M$102),"")</f>
        <v/>
      </c>
      <c r="K109" s="169" t="str">
        <f t="shared" si="45"/>
        <v/>
      </c>
      <c r="L109" s="169" t="str">
        <f t="shared" si="45"/>
        <v/>
      </c>
      <c r="M109" s="169" t="str">
        <f t="shared" si="45"/>
        <v/>
      </c>
      <c r="N109" s="169" t="str">
        <f t="shared" si="45"/>
        <v/>
      </c>
      <c r="O109" s="169" t="str">
        <f t="shared" si="45"/>
        <v/>
      </c>
      <c r="P109" s="169">
        <f t="shared" si="45"/>
        <v>0</v>
      </c>
      <c r="Q109" s="169">
        <f t="shared" si="45"/>
        <v>0</v>
      </c>
      <c r="R109" s="169">
        <f t="shared" si="45"/>
        <v>0</v>
      </c>
      <c r="S109" s="169">
        <f t="shared" si="45"/>
        <v>0</v>
      </c>
      <c r="T109" s="169">
        <f t="shared" si="45"/>
        <v>0</v>
      </c>
      <c r="U109" s="169" t="str">
        <f t="shared" si="45"/>
        <v/>
      </c>
      <c r="V109" s="164"/>
      <c r="W109" s="17"/>
      <c r="X109" s="81"/>
    </row>
    <row r="110" spans="1:34" ht="10.5" outlineLevel="1">
      <c r="A110" s="17"/>
      <c r="B110" s="17"/>
      <c r="C110" s="123"/>
      <c r="D110" s="118"/>
      <c r="E110" s="118"/>
      <c r="F110" s="118"/>
      <c r="G110" s="119"/>
      <c r="H110" s="119"/>
      <c r="I110" s="118"/>
      <c r="J110" s="118"/>
      <c r="K110" s="124"/>
      <c r="L110" s="124"/>
      <c r="M110" s="124"/>
      <c r="N110" s="124"/>
      <c r="O110" s="124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3">
      <c r="A111" s="32"/>
      <c r="B111" s="38" t="s">
        <v>73</v>
      </c>
      <c r="C111" s="32"/>
      <c r="D111" s="32"/>
      <c r="E111" s="32"/>
      <c r="F111" s="116"/>
      <c r="G111" s="116"/>
      <c r="H111" s="116"/>
      <c r="I111" s="116"/>
      <c r="J111" s="116"/>
      <c r="K111" s="34"/>
      <c r="L111" s="117"/>
      <c r="M111" s="34"/>
      <c r="N111" s="117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18"/>
      <c r="E112" s="118"/>
      <c r="F112" s="118"/>
      <c r="G112" s="119"/>
      <c r="H112" s="119"/>
      <c r="I112" s="118"/>
      <c r="J112" s="118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ht="10.5" outlineLevel="1">
      <c r="A113" s="17"/>
      <c r="B113" s="17"/>
      <c r="C113" s="120" t="s">
        <v>47</v>
      </c>
      <c r="D113" s="119" t="s">
        <v>7</v>
      </c>
      <c r="E113" s="119" t="s">
        <v>8</v>
      </c>
      <c r="F113" s="119" t="s">
        <v>22</v>
      </c>
      <c r="G113" s="119"/>
      <c r="H113" s="119"/>
      <c r="I113" s="118"/>
      <c r="J113" s="136" t="str">
        <f t="shared" ref="J113:U113" si="46">IF(YEAR(J$4)&gt;=FPFirstYear,IF(YEAR(J$4)&lt;=FPLastYear,J$4,""),"")</f>
        <v/>
      </c>
      <c r="K113" s="136" t="str">
        <f t="shared" si="46"/>
        <v/>
      </c>
      <c r="L113" s="136" t="str">
        <f t="shared" si="46"/>
        <v/>
      </c>
      <c r="M113" s="136" t="str">
        <f t="shared" si="46"/>
        <v/>
      </c>
      <c r="N113" s="136" t="str">
        <f t="shared" si="46"/>
        <v/>
      </c>
      <c r="O113" s="136" t="str">
        <f t="shared" si="46"/>
        <v/>
      </c>
      <c r="P113" s="136">
        <f t="shared" si="46"/>
        <v>46813</v>
      </c>
      <c r="Q113" s="136">
        <f t="shared" si="46"/>
        <v>47178</v>
      </c>
      <c r="R113" s="136">
        <f t="shared" si="46"/>
        <v>47543</v>
      </c>
      <c r="S113" s="136">
        <f t="shared" si="46"/>
        <v>47908</v>
      </c>
      <c r="T113" s="136">
        <f t="shared" si="46"/>
        <v>48274</v>
      </c>
      <c r="U113" s="136" t="str">
        <f t="shared" si="46"/>
        <v/>
      </c>
      <c r="V113" s="17"/>
      <c r="W113" s="17"/>
    </row>
    <row r="114" spans="1:34" ht="10.5" outlineLevel="1">
      <c r="A114" s="17"/>
      <c r="B114" s="17"/>
      <c r="C114" s="123"/>
      <c r="D114" s="118"/>
      <c r="E114" s="118"/>
      <c r="F114" s="118"/>
      <c r="G114" s="119"/>
      <c r="H114" s="119"/>
      <c r="I114" s="118"/>
      <c r="J114" s="118"/>
      <c r="K114" s="124"/>
      <c r="L114" s="124"/>
      <c r="M114" s="124"/>
      <c r="N114" s="124"/>
      <c r="O114" s="124"/>
      <c r="P114" s="17"/>
      <c r="Q114" s="17"/>
      <c r="R114" s="17"/>
      <c r="S114" s="17"/>
      <c r="T114" s="17"/>
      <c r="U114" s="17"/>
      <c r="V114" s="17"/>
      <c r="W114" s="17"/>
    </row>
    <row r="115" spans="1:34" ht="10.5" outlineLevel="1">
      <c r="A115" s="17"/>
      <c r="B115" s="17"/>
      <c r="C115" s="123" t="s">
        <v>47</v>
      </c>
      <c r="D115" s="118" t="s">
        <v>95</v>
      </c>
      <c r="E115" s="118" t="str">
        <f>percent</f>
        <v>Per cent</v>
      </c>
      <c r="F115" s="118" t="s">
        <v>36</v>
      </c>
      <c r="G115" s="119"/>
      <c r="H115" s="119"/>
      <c r="I115" s="118"/>
      <c r="J115" s="155"/>
      <c r="K115" s="176"/>
      <c r="L115" s="176"/>
      <c r="M115" s="176"/>
      <c r="N115" s="176"/>
      <c r="O115" s="166"/>
      <c r="P115" s="166">
        <v>4.2169E-3</v>
      </c>
      <c r="Q115" s="166">
        <f>$P$115</f>
        <v>4.2169E-3</v>
      </c>
      <c r="R115" s="166">
        <f>$P$115</f>
        <v>4.2169E-3</v>
      </c>
      <c r="S115" s="166">
        <f>$P$115</f>
        <v>4.2169E-3</v>
      </c>
      <c r="T115" s="166">
        <f>$P$115</f>
        <v>4.2169E-3</v>
      </c>
      <c r="U115" s="166"/>
      <c r="V115" s="17"/>
      <c r="W115" s="17"/>
    </row>
    <row r="116" spans="1:34" ht="10.5" outlineLevel="1">
      <c r="A116" s="17"/>
      <c r="B116" s="17"/>
      <c r="C116" s="123"/>
      <c r="D116" s="118"/>
      <c r="E116" s="118"/>
      <c r="F116" s="118"/>
      <c r="G116" s="119"/>
      <c r="H116" s="119"/>
      <c r="I116" s="118"/>
      <c r="J116" s="118"/>
      <c r="K116" s="124"/>
      <c r="L116" s="124"/>
      <c r="M116" s="124"/>
      <c r="N116" s="124"/>
      <c r="O116" s="124"/>
      <c r="P116" s="177"/>
      <c r="Q116" s="177"/>
      <c r="R116" s="177"/>
      <c r="S116" s="177"/>
      <c r="T116" s="177"/>
      <c r="U116" s="177"/>
      <c r="V116" s="17"/>
      <c r="W116" s="17"/>
    </row>
    <row r="117" spans="1:34" ht="10.5" outlineLevel="1">
      <c r="A117" s="17"/>
      <c r="B117" s="17"/>
      <c r="C117" s="17" t="s">
        <v>40</v>
      </c>
      <c r="D117" s="118" t="s">
        <v>92</v>
      </c>
      <c r="E117" s="118" t="s">
        <v>28</v>
      </c>
      <c r="F117" s="118" t="s">
        <v>36</v>
      </c>
      <c r="G117" s="118"/>
      <c r="H117" s="118"/>
      <c r="I117" s="118"/>
      <c r="J117" s="163" t="str">
        <f t="shared" ref="J117:S117" si="47">IF(J113=J$4,IF(ISBLANK(J115),"Check","Ok"),"")</f>
        <v/>
      </c>
      <c r="K117" s="163" t="str">
        <f t="shared" si="47"/>
        <v/>
      </c>
      <c r="L117" s="163" t="str">
        <f t="shared" si="47"/>
        <v/>
      </c>
      <c r="M117" s="163" t="str">
        <f t="shared" si="47"/>
        <v/>
      </c>
      <c r="N117" s="163" t="str">
        <f t="shared" si="47"/>
        <v/>
      </c>
      <c r="O117" s="163" t="str">
        <f t="shared" si="47"/>
        <v/>
      </c>
      <c r="P117" s="163" t="str">
        <f t="shared" si="47"/>
        <v>Ok</v>
      </c>
      <c r="Q117" s="163" t="str">
        <f t="shared" si="47"/>
        <v>Ok</v>
      </c>
      <c r="R117" s="163" t="str">
        <f t="shared" si="47"/>
        <v>Ok</v>
      </c>
      <c r="S117" s="163" t="str">
        <f t="shared" si="47"/>
        <v>Ok</v>
      </c>
      <c r="T117" s="163" t="str">
        <f>IF(T113=T$4,IF(ISBLANK(T115),"Check","Ok"),"")</f>
        <v>Ok</v>
      </c>
      <c r="U117" s="163" t="str">
        <f>IF(U113=U$4,IF(ISBLANK(U115),"Check","Ok"),"")</f>
        <v/>
      </c>
      <c r="V117" s="164"/>
      <c r="W117" s="17"/>
      <c r="X117" s="80" t="str">
        <f>IF(COUNTIF(J117:T117,"Check")=0,"Ok","Check")</f>
        <v>Ok</v>
      </c>
    </row>
    <row r="118" spans="1:34" ht="10.5" outlineLevel="1">
      <c r="A118" s="17"/>
      <c r="B118" s="17"/>
      <c r="C118" s="123"/>
      <c r="D118" s="118"/>
      <c r="E118" s="118"/>
      <c r="F118" s="118"/>
      <c r="G118" s="119"/>
      <c r="H118" s="119"/>
      <c r="I118" s="118"/>
      <c r="J118" s="118"/>
      <c r="K118" s="124"/>
      <c r="L118" s="124"/>
      <c r="M118" s="124"/>
      <c r="N118" s="124"/>
      <c r="O118" s="124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3">
      <c r="A119" s="32"/>
      <c r="B119" s="38" t="s">
        <v>21</v>
      </c>
      <c r="C119" s="32"/>
      <c r="D119" s="32"/>
      <c r="E119" s="32"/>
      <c r="F119" s="116"/>
      <c r="G119" s="116"/>
      <c r="H119" s="116"/>
      <c r="I119" s="116"/>
      <c r="J119" s="116"/>
      <c r="K119" s="34"/>
      <c r="L119" s="117"/>
      <c r="M119" s="34"/>
      <c r="N119" s="117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06" priority="56">
      <formula>J$36=J$4</formula>
    </cfRule>
  </conditionalFormatting>
  <conditionalFormatting sqref="J16:U22">
    <cfRule type="cellIs" dxfId="105" priority="23" operator="equal">
      <formula>0</formula>
    </cfRule>
  </conditionalFormatting>
  <conditionalFormatting sqref="J26:U32">
    <cfRule type="cellIs" dxfId="104" priority="24" operator="equal">
      <formula>0</formula>
    </cfRule>
  </conditionalFormatting>
  <conditionalFormatting sqref="J36:U36">
    <cfRule type="expression" dxfId="103" priority="58">
      <formula>J$36=J$4</formula>
    </cfRule>
  </conditionalFormatting>
  <conditionalFormatting sqref="J47:U47">
    <cfRule type="cellIs" dxfId="102" priority="44" operator="equal">
      <formula>"Ok"</formula>
    </cfRule>
    <cfRule type="cellIs" dxfId="101" priority="43" operator="equal">
      <formula>"Check"</formula>
    </cfRule>
  </conditionalFormatting>
  <conditionalFormatting sqref="J49:U49">
    <cfRule type="expression" dxfId="100" priority="28">
      <formula>J$36=J$4</formula>
    </cfRule>
  </conditionalFormatting>
  <conditionalFormatting sqref="J51:U58">
    <cfRule type="expression" dxfId="99" priority="9">
      <formula>J$49=J$4</formula>
    </cfRule>
  </conditionalFormatting>
  <conditionalFormatting sqref="J60:U60">
    <cfRule type="cellIs" dxfId="98" priority="68" operator="equal">
      <formula>"Ok"</formula>
    </cfRule>
    <cfRule type="cellIs" dxfId="97" priority="67" operator="equal">
      <formula>"Check"</formula>
    </cfRule>
  </conditionalFormatting>
  <conditionalFormatting sqref="J64:U64">
    <cfRule type="expression" dxfId="96" priority="33">
      <formula>J$64=J$4</formula>
    </cfRule>
  </conditionalFormatting>
  <conditionalFormatting sqref="J66:U71">
    <cfRule type="expression" dxfId="95" priority="31">
      <formula>J$64=J$4</formula>
    </cfRule>
  </conditionalFormatting>
  <conditionalFormatting sqref="J73:U73">
    <cfRule type="cellIs" dxfId="94" priority="39" operator="equal">
      <formula>"Check"</formula>
    </cfRule>
    <cfRule type="cellIs" dxfId="93" priority="40" operator="equal">
      <formula>"Ok"</formula>
    </cfRule>
  </conditionalFormatting>
  <conditionalFormatting sqref="J75:U75">
    <cfRule type="expression" dxfId="92" priority="27">
      <formula>J$36=J$4</formula>
    </cfRule>
  </conditionalFormatting>
  <conditionalFormatting sqref="J93:U93">
    <cfRule type="cellIs" dxfId="91" priority="4" operator="equal">
      <formula>"Ok"</formula>
    </cfRule>
    <cfRule type="cellIs" dxfId="90" priority="3" operator="equal">
      <formula>"Check"</formula>
    </cfRule>
  </conditionalFormatting>
  <conditionalFormatting sqref="J104:U104">
    <cfRule type="expression" dxfId="89" priority="178">
      <formula>J$104=J$4</formula>
    </cfRule>
  </conditionalFormatting>
  <conditionalFormatting sqref="J105:U105">
    <cfRule type="cellIs" dxfId="88" priority="16" operator="equal">
      <formula>"Check"</formula>
    </cfRule>
    <cfRule type="cellIs" dxfId="87" priority="17" operator="equal">
      <formula>"Ok"</formula>
    </cfRule>
  </conditionalFormatting>
  <conditionalFormatting sqref="J113:U113">
    <cfRule type="expression" dxfId="86" priority="26">
      <formula>J$36=J$4</formula>
    </cfRule>
  </conditionalFormatting>
  <conditionalFormatting sqref="J115:U115">
    <cfRule type="expression" dxfId="85" priority="179">
      <formula>J$113=J$4</formula>
    </cfRule>
  </conditionalFormatting>
  <conditionalFormatting sqref="J117:U117">
    <cfRule type="cellIs" dxfId="84" priority="47" operator="equal">
      <formula>"Check"</formula>
    </cfRule>
    <cfRule type="cellIs" dxfId="83" priority="48" operator="equal">
      <formula>"Ok"</formula>
    </cfRule>
  </conditionalFormatting>
  <conditionalFormatting sqref="K89:M91">
    <cfRule type="expression" dxfId="82" priority="175">
      <formula>K$95=K$4</formula>
    </cfRule>
  </conditionalFormatting>
  <conditionalFormatting sqref="P38:T45">
    <cfRule type="expression" dxfId="81" priority="11">
      <formula>P$36=P$4</formula>
    </cfRule>
  </conditionalFormatting>
  <conditionalFormatting sqref="T1:U1">
    <cfRule type="cellIs" dxfId="80" priority="87" operator="equal">
      <formula>"Check"</formula>
    </cfRule>
    <cfRule type="cellIs" dxfId="79" priority="88" operator="equal">
      <formula>"Ok"</formula>
    </cfRule>
  </conditionalFormatting>
  <conditionalFormatting sqref="X1 X104:X109">
    <cfRule type="cellIs" dxfId="78" priority="123" operator="equal">
      <formula>"Check"</formula>
    </cfRule>
    <cfRule type="cellIs" dxfId="77" priority="124" operator="equal">
      <formula>"Ok"</formula>
    </cfRule>
  </conditionalFormatting>
  <conditionalFormatting sqref="X47">
    <cfRule type="cellIs" dxfId="76" priority="45" operator="equal">
      <formula>"Check"</formula>
    </cfRule>
    <cfRule type="cellIs" dxfId="75" priority="46" operator="equal">
      <formula>"Ok"</formula>
    </cfRule>
  </conditionalFormatting>
  <conditionalFormatting sqref="X60">
    <cfRule type="cellIs" dxfId="74" priority="75" operator="equal">
      <formula>"Check"</formula>
    </cfRule>
    <cfRule type="cellIs" dxfId="73" priority="76" operator="equal">
      <formula>"Ok"</formula>
    </cfRule>
  </conditionalFormatting>
  <conditionalFormatting sqref="X73">
    <cfRule type="cellIs" dxfId="72" priority="42" operator="equal">
      <formula>"Ok"</formula>
    </cfRule>
    <cfRule type="cellIs" dxfId="71" priority="41" operator="equal">
      <formula>"Check"</formula>
    </cfRule>
  </conditionalFormatting>
  <conditionalFormatting sqref="X93">
    <cfRule type="cellIs" dxfId="70" priority="5" operator="equal">
      <formula>"Check"</formula>
    </cfRule>
    <cfRule type="cellIs" dxfId="69" priority="6" operator="equal">
      <formula>"Ok"</formula>
    </cfRule>
  </conditionalFormatting>
  <conditionalFormatting sqref="X117">
    <cfRule type="cellIs" dxfId="68" priority="49" operator="equal">
      <formula>"Check"</formula>
    </cfRule>
    <cfRule type="cellIs" dxfId="67" priority="50" operator="equal">
      <formula>"Ok"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7"/>
  <sheetViews>
    <sheetView zoomScale="110" zoomScaleNormal="110" workbookViewId="0">
      <selection activeCell="K44" sqref="K44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10.44140625" style="8" hidden="1" customWidth="1"/>
    <col min="48" max="16384" width="0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IF(COUNTA($W$8:$W$240)=COUNTIF($W$8:$W$240,"OK"),"OK","Check")</f>
        <v>OK</v>
      </c>
      <c r="U1" s="185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1"/>
      <c r="G2" s="51"/>
      <c r="H2" s="51"/>
      <c r="I2" s="51"/>
    </row>
    <row r="3" spans="1:30" s="52" customFormat="1" ht="10.5">
      <c r="D3" s="104"/>
      <c r="E3" s="104"/>
      <c r="F3" s="104"/>
      <c r="G3" s="104"/>
      <c r="H3" s="104"/>
      <c r="I3" s="104"/>
      <c r="J3" s="95" t="s">
        <v>108</v>
      </c>
      <c r="K3" s="99"/>
      <c r="L3" s="99"/>
      <c r="M3" s="104"/>
      <c r="N3" s="202"/>
      <c r="O3" s="202"/>
      <c r="P3" s="202"/>
      <c r="Q3" s="202"/>
      <c r="R3" s="202"/>
      <c r="S3" s="202"/>
      <c r="T3" s="53"/>
      <c r="U3" s="53"/>
      <c r="V3" s="53"/>
      <c r="W3" s="53"/>
      <c r="X3" s="53"/>
      <c r="Y3" s="53"/>
      <c r="Z3" s="53"/>
    </row>
    <row r="4" spans="1:30" customFormat="1">
      <c r="A4" s="54"/>
      <c r="B4" s="54"/>
      <c r="C4" s="54"/>
      <c r="D4" s="55" t="s">
        <v>7</v>
      </c>
      <c r="E4" s="55" t="s">
        <v>8</v>
      </c>
      <c r="F4" s="142" t="s">
        <v>22</v>
      </c>
      <c r="G4" s="143"/>
      <c r="H4" s="143"/>
      <c r="I4" s="143"/>
      <c r="J4" s="93">
        <f>DATE(PPFirstYear,MONTH('Input|General'!$G$9),1)</f>
        <v>44986</v>
      </c>
      <c r="K4" s="93">
        <f>DATE(PPFirstYear+1,MONTH('Input|General'!$G$9),1)</f>
        <v>45352</v>
      </c>
      <c r="L4" s="93">
        <f>DATE(PPFirstYear+2,MONTH('Input|General'!$G$9),1)</f>
        <v>45717</v>
      </c>
      <c r="M4" s="93">
        <f>DATE(PPFirstYear+3,MONTH('Input|General'!$G$9),1)</f>
        <v>46082</v>
      </c>
      <c r="N4" s="93">
        <f>DATE(PPFirstYear+4,MONTH('Input|General'!$G$9),1)</f>
        <v>46447</v>
      </c>
      <c r="O4" s="93">
        <f>DATE(PPFirstYear+5,MONTH('Input|General'!$G$9),1)</f>
        <v>46813</v>
      </c>
      <c r="P4" s="93">
        <f>DATE(PPFirstYear+6,MONTH('Input|General'!$G$9),1)</f>
        <v>47178</v>
      </c>
      <c r="Q4" s="93">
        <f>DATE(PPFirstYear+7,MONTH('Input|General'!$G$9),1)</f>
        <v>47543</v>
      </c>
      <c r="R4" s="93">
        <f>DATE(PPFirstYear+8,MONTH('Input|General'!$G$9),1)</f>
        <v>47908</v>
      </c>
      <c r="S4" s="93">
        <f>DATE(PPFirstYear+9,MONTH('Input|General'!$G$9),1)</f>
        <v>48274</v>
      </c>
      <c r="T4" s="93">
        <f>DATE(PPFirstYear+10,MONTH('Input|General'!$G$9),1)</f>
        <v>48639</v>
      </c>
      <c r="U4" s="58"/>
      <c r="V4" s="178"/>
      <c r="W4" s="59"/>
    </row>
    <row r="5" spans="1:30" s="6" customFormat="1" ht="3" customHeight="1">
      <c r="A5" s="144"/>
      <c r="B5" s="144"/>
      <c r="C5" s="144"/>
      <c r="D5" s="145"/>
      <c r="E5" s="145"/>
      <c r="F5" s="145"/>
      <c r="G5" s="145"/>
      <c r="H5" s="145"/>
      <c r="I5" s="145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</row>
    <row r="6" spans="1:30" s="6" customFormat="1" ht="9" customHeight="1">
      <c r="A6" s="144"/>
      <c r="B6" s="144"/>
      <c r="C6" s="144"/>
      <c r="D6" s="145"/>
      <c r="E6" s="145"/>
      <c r="F6" s="145"/>
      <c r="G6" s="145"/>
      <c r="H6" s="145"/>
      <c r="I6" s="145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</row>
    <row r="7" spans="1:30" s="6" customFormat="1" ht="3" customHeight="1">
      <c r="A7" s="144"/>
      <c r="B7" s="144"/>
      <c r="C7" s="144"/>
      <c r="D7" s="145"/>
      <c r="E7" s="145"/>
      <c r="F7" s="145"/>
      <c r="G7" s="145"/>
      <c r="H7" s="145"/>
      <c r="I7" s="145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</row>
    <row r="8" spans="1:30" customFormat="1" ht="13">
      <c r="A8" s="32"/>
      <c r="B8" s="38" t="s">
        <v>49</v>
      </c>
      <c r="C8" s="32"/>
      <c r="D8" s="32"/>
      <c r="E8" s="32"/>
      <c r="F8" s="116"/>
      <c r="G8" s="116"/>
      <c r="H8" s="116"/>
      <c r="I8" s="116"/>
      <c r="J8" s="34"/>
      <c r="K8" s="117"/>
      <c r="L8" s="34"/>
      <c r="M8" s="117"/>
      <c r="N8" s="34"/>
      <c r="O8" s="34"/>
      <c r="P8" s="34"/>
      <c r="Q8" s="34"/>
      <c r="R8" s="34"/>
      <c r="S8" s="34"/>
      <c r="T8" s="34"/>
      <c r="U8" s="34"/>
      <c r="V8" s="117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18"/>
      <c r="E9" s="118"/>
      <c r="F9" s="118"/>
      <c r="G9" s="119"/>
      <c r="H9" s="119"/>
      <c r="I9" s="118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ht="10.5" outlineLevel="1">
      <c r="A10" s="17"/>
      <c r="B10" s="17"/>
      <c r="C10" s="120" t="s">
        <v>74</v>
      </c>
      <c r="D10" s="119" t="s">
        <v>7</v>
      </c>
      <c r="E10" s="119" t="s">
        <v>8</v>
      </c>
      <c r="F10" s="119" t="s">
        <v>22</v>
      </c>
      <c r="G10" s="119"/>
      <c r="H10" s="119"/>
      <c r="I10" s="136"/>
      <c r="J10" s="136" t="str">
        <f t="shared" ref="J10:T10" si="0">IF(YEAR(J$4)&gt;=FPFirstYear,IF(YEAR(J$4)&lt;=FPLastYear,J$4,""),"")</f>
        <v/>
      </c>
      <c r="K10" s="136" t="str">
        <f t="shared" si="0"/>
        <v/>
      </c>
      <c r="L10" s="136" t="str">
        <f t="shared" si="0"/>
        <v/>
      </c>
      <c r="M10" s="136" t="str">
        <f t="shared" si="0"/>
        <v/>
      </c>
      <c r="N10" s="136" t="str">
        <f t="shared" si="0"/>
        <v/>
      </c>
      <c r="O10" s="136">
        <f t="shared" si="0"/>
        <v>46813</v>
      </c>
      <c r="P10" s="136">
        <f t="shared" si="0"/>
        <v>47178</v>
      </c>
      <c r="Q10" s="136">
        <f t="shared" si="0"/>
        <v>47543</v>
      </c>
      <c r="R10" s="136">
        <f t="shared" si="0"/>
        <v>47908</v>
      </c>
      <c r="S10" s="136">
        <f t="shared" si="0"/>
        <v>48274</v>
      </c>
      <c r="T10" s="136" t="str">
        <f t="shared" si="0"/>
        <v/>
      </c>
      <c r="U10" s="17"/>
      <c r="V10" s="17"/>
    </row>
    <row r="11" spans="1:30" outlineLevel="1">
      <c r="A11" s="17"/>
      <c r="B11" s="17"/>
      <c r="C11" s="17"/>
      <c r="D11" s="118"/>
      <c r="E11" s="118"/>
      <c r="F11" s="118"/>
      <c r="G11" s="119"/>
      <c r="H11" s="119"/>
      <c r="I11" s="118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ht="10.5" outlineLevel="1">
      <c r="A12" s="17"/>
      <c r="B12" s="17"/>
      <c r="C12" s="125" t="s">
        <v>217</v>
      </c>
      <c r="D12" s="118" t="s">
        <v>64</v>
      </c>
      <c r="E12" s="118" t="str">
        <f t="shared" ref="E12:E23" si="1">units</f>
        <v>$millions</v>
      </c>
      <c r="F12" s="192">
        <v>45717</v>
      </c>
      <c r="G12" s="119"/>
      <c r="H12" s="119"/>
      <c r="I12" s="118"/>
      <c r="J12" s="156"/>
      <c r="K12" s="156"/>
      <c r="L12" s="156"/>
      <c r="M12" s="156"/>
      <c r="N12" s="156"/>
      <c r="O12" s="179">
        <v>6.1907999999999994</v>
      </c>
      <c r="P12" s="179">
        <v>9.9786163265306129</v>
      </c>
      <c r="Q12" s="179">
        <v>6.4915244897959195</v>
      </c>
      <c r="R12" s="179">
        <v>7.5715244897959186</v>
      </c>
      <c r="S12" s="179">
        <v>8.3590244897959192</v>
      </c>
      <c r="T12" s="179"/>
      <c r="U12" s="17"/>
      <c r="V12" s="17"/>
      <c r="W12" s="80" t="str">
        <f>IF(ISBLANK(C12),IF(COUNT(J12:T12)=0,"Ok","Check"),IF(COUNT(J12:T12)=COUNT(J$10:T$10),"Ok","Check"))</f>
        <v>Ok</v>
      </c>
    </row>
    <row r="13" spans="1:30" ht="10.5" outlineLevel="1">
      <c r="A13" s="17"/>
      <c r="B13" s="17"/>
      <c r="C13" s="125" t="s">
        <v>218</v>
      </c>
      <c r="D13" s="118" t="s">
        <v>64</v>
      </c>
      <c r="E13" s="118" t="str">
        <f t="shared" si="1"/>
        <v>$millions</v>
      </c>
      <c r="F13" s="192">
        <v>46448</v>
      </c>
      <c r="G13" s="119"/>
      <c r="H13" s="119"/>
      <c r="I13" s="118"/>
      <c r="J13" s="156"/>
      <c r="K13" s="156"/>
      <c r="L13" s="156"/>
      <c r="M13" s="156"/>
      <c r="N13" s="156"/>
      <c r="O13" s="179">
        <v>0</v>
      </c>
      <c r="P13" s="179">
        <v>0</v>
      </c>
      <c r="Q13" s="179">
        <v>0</v>
      </c>
      <c r="R13" s="179">
        <v>0</v>
      </c>
      <c r="S13" s="179">
        <v>0</v>
      </c>
      <c r="T13" s="179"/>
      <c r="U13" s="17"/>
      <c r="V13" s="17"/>
      <c r="W13" s="80" t="str">
        <f t="shared" ref="W13:W14" si="2">IF(ISBLANK(C13),IF(COUNT(J13:T13)=0,"Ok","Check"),IF(COUNT(J13:T13)=COUNT(J$10:T$10),"Ok","Check"))</f>
        <v>Ok</v>
      </c>
    </row>
    <row r="14" spans="1:30" ht="10.5" outlineLevel="1">
      <c r="A14" s="17"/>
      <c r="B14" s="17"/>
      <c r="C14" s="125" t="s">
        <v>213</v>
      </c>
      <c r="D14" s="118" t="s">
        <v>64</v>
      </c>
      <c r="E14" s="118" t="str">
        <f t="shared" si="1"/>
        <v>$millions</v>
      </c>
      <c r="F14" s="192">
        <v>46449</v>
      </c>
      <c r="G14" s="119"/>
      <c r="H14" s="119"/>
      <c r="I14" s="118"/>
      <c r="J14" s="156"/>
      <c r="K14" s="156"/>
      <c r="L14" s="156"/>
      <c r="M14" s="156"/>
      <c r="N14" s="156"/>
      <c r="O14" s="179">
        <v>4.11905690625</v>
      </c>
      <c r="P14" s="179">
        <v>4.2502359676646337</v>
      </c>
      <c r="Q14" s="179">
        <v>4.3871741098243016</v>
      </c>
      <c r="R14" s="179">
        <v>4.5301241704202475</v>
      </c>
      <c r="S14" s="179">
        <v>4.6793500873350391</v>
      </c>
      <c r="T14" s="179"/>
      <c r="U14" s="17"/>
      <c r="V14" s="17"/>
      <c r="W14" s="80" t="str">
        <f t="shared" si="2"/>
        <v>Ok</v>
      </c>
    </row>
    <row r="15" spans="1:30" ht="10.5" outlineLevel="1">
      <c r="A15" s="17"/>
      <c r="B15" s="17"/>
      <c r="C15" s="125"/>
      <c r="D15" s="118" t="s">
        <v>64</v>
      </c>
      <c r="E15" s="118" t="str">
        <f t="shared" si="1"/>
        <v>$millions</v>
      </c>
      <c r="F15" s="192">
        <v>46450</v>
      </c>
      <c r="G15" s="119"/>
      <c r="H15" s="119"/>
      <c r="I15" s="118"/>
      <c r="J15" s="156"/>
      <c r="K15" s="156"/>
      <c r="L15" s="156"/>
      <c r="M15" s="156"/>
      <c r="N15" s="156"/>
      <c r="O15" s="179"/>
      <c r="P15" s="179"/>
      <c r="Q15" s="179"/>
      <c r="R15" s="179"/>
      <c r="S15" s="179"/>
      <c r="T15" s="179"/>
      <c r="U15" s="17"/>
      <c r="V15" s="17"/>
      <c r="W15" s="80" t="str">
        <f t="shared" ref="W15:W23" si="3">IF(ISBLANK(C15),IF(COUNT(J15:T15)=0,"Ok","Check"),IF(COUNT(J15:T15)=COUNT(J$10:T$10),"Ok","Check"))</f>
        <v>Ok</v>
      </c>
    </row>
    <row r="16" spans="1:30" ht="10.5" outlineLevel="1">
      <c r="A16" s="17"/>
      <c r="B16" s="17"/>
      <c r="C16" s="125"/>
      <c r="D16" s="118" t="s">
        <v>64</v>
      </c>
      <c r="E16" s="118" t="str">
        <f t="shared" si="1"/>
        <v>$millions</v>
      </c>
      <c r="F16" s="192">
        <v>46451</v>
      </c>
      <c r="G16" s="119"/>
      <c r="H16" s="119"/>
      <c r="I16" s="118"/>
      <c r="J16" s="156"/>
      <c r="K16" s="156"/>
      <c r="L16" s="156"/>
      <c r="M16" s="156"/>
      <c r="N16" s="156"/>
      <c r="O16" s="179"/>
      <c r="P16" s="179"/>
      <c r="Q16" s="179"/>
      <c r="R16" s="179"/>
      <c r="S16" s="179"/>
      <c r="T16" s="179"/>
      <c r="U16" s="17"/>
      <c r="V16" s="17"/>
      <c r="W16" s="80" t="str">
        <f t="shared" si="3"/>
        <v>Ok</v>
      </c>
    </row>
    <row r="17" spans="1:30" ht="10.5" outlineLevel="1">
      <c r="A17" s="17"/>
      <c r="B17" s="17"/>
      <c r="C17" s="125"/>
      <c r="D17" s="118" t="s">
        <v>64</v>
      </c>
      <c r="E17" s="118" t="str">
        <f t="shared" si="1"/>
        <v>$millions</v>
      </c>
      <c r="F17" s="192">
        <v>46452</v>
      </c>
      <c r="G17" s="119"/>
      <c r="H17" s="119"/>
      <c r="I17" s="118"/>
      <c r="J17" s="156"/>
      <c r="K17" s="156"/>
      <c r="L17" s="156"/>
      <c r="M17" s="156"/>
      <c r="N17" s="156"/>
      <c r="O17" s="179"/>
      <c r="P17" s="179"/>
      <c r="Q17" s="179"/>
      <c r="R17" s="179"/>
      <c r="S17" s="179"/>
      <c r="T17" s="179"/>
      <c r="U17" s="17"/>
      <c r="V17" s="17"/>
      <c r="W17" s="80" t="str">
        <f t="shared" si="3"/>
        <v>Ok</v>
      </c>
    </row>
    <row r="18" spans="1:30" ht="10.5" outlineLevel="1">
      <c r="A18" s="17"/>
      <c r="B18" s="17"/>
      <c r="C18" s="125"/>
      <c r="D18" s="118" t="s">
        <v>64</v>
      </c>
      <c r="E18" s="118" t="str">
        <f t="shared" si="1"/>
        <v>$millions</v>
      </c>
      <c r="F18" s="192">
        <v>46453</v>
      </c>
      <c r="G18" s="119"/>
      <c r="H18" s="119"/>
      <c r="I18" s="118"/>
      <c r="J18" s="156"/>
      <c r="K18" s="156"/>
      <c r="L18" s="156"/>
      <c r="M18" s="156"/>
      <c r="N18" s="156"/>
      <c r="O18" s="179"/>
      <c r="P18" s="179"/>
      <c r="Q18" s="179"/>
      <c r="R18" s="179"/>
      <c r="S18" s="179"/>
      <c r="T18" s="179"/>
      <c r="U18" s="17"/>
      <c r="V18" s="17"/>
      <c r="W18" s="80" t="str">
        <f t="shared" si="3"/>
        <v>Ok</v>
      </c>
    </row>
    <row r="19" spans="1:30" ht="10.5" outlineLevel="1">
      <c r="A19" s="17"/>
      <c r="B19" s="17"/>
      <c r="C19" s="125"/>
      <c r="D19" s="118" t="s">
        <v>64</v>
      </c>
      <c r="E19" s="118" t="str">
        <f t="shared" si="1"/>
        <v>$millions</v>
      </c>
      <c r="F19" s="192">
        <v>46454</v>
      </c>
      <c r="G19" s="119"/>
      <c r="H19" s="119"/>
      <c r="I19" s="118"/>
      <c r="J19" s="156"/>
      <c r="K19" s="156"/>
      <c r="L19" s="156"/>
      <c r="M19" s="156"/>
      <c r="N19" s="156"/>
      <c r="O19" s="179"/>
      <c r="P19" s="179"/>
      <c r="Q19" s="179"/>
      <c r="R19" s="179"/>
      <c r="S19" s="179"/>
      <c r="T19" s="179"/>
      <c r="U19" s="17"/>
      <c r="V19" s="17"/>
      <c r="W19" s="80" t="str">
        <f t="shared" si="3"/>
        <v>Ok</v>
      </c>
    </row>
    <row r="20" spans="1:30" ht="10.5" outlineLevel="1">
      <c r="A20" s="17"/>
      <c r="B20" s="17"/>
      <c r="C20" s="125"/>
      <c r="D20" s="118" t="s">
        <v>64</v>
      </c>
      <c r="E20" s="118" t="str">
        <f t="shared" si="1"/>
        <v>$millions</v>
      </c>
      <c r="F20" s="192">
        <v>46455</v>
      </c>
      <c r="G20" s="119"/>
      <c r="H20" s="119"/>
      <c r="I20" s="118"/>
      <c r="J20" s="156"/>
      <c r="K20" s="156"/>
      <c r="L20" s="156"/>
      <c r="M20" s="156"/>
      <c r="N20" s="156"/>
      <c r="O20" s="179"/>
      <c r="P20" s="179"/>
      <c r="Q20" s="179"/>
      <c r="R20" s="179"/>
      <c r="S20" s="179"/>
      <c r="T20" s="179"/>
      <c r="U20" s="17"/>
      <c r="V20" s="17"/>
      <c r="W20" s="80" t="str">
        <f t="shared" si="3"/>
        <v>Ok</v>
      </c>
    </row>
    <row r="21" spans="1:30" ht="10.5" outlineLevel="1">
      <c r="A21" s="17"/>
      <c r="B21" s="17"/>
      <c r="C21" s="125"/>
      <c r="D21" s="118" t="s">
        <v>64</v>
      </c>
      <c r="E21" s="118" t="str">
        <f t="shared" si="1"/>
        <v>$millions</v>
      </c>
      <c r="F21" s="192">
        <v>46456</v>
      </c>
      <c r="G21" s="119"/>
      <c r="H21" s="119"/>
      <c r="I21" s="118"/>
      <c r="J21" s="156"/>
      <c r="K21" s="156"/>
      <c r="L21" s="156"/>
      <c r="M21" s="156"/>
      <c r="N21" s="156"/>
      <c r="O21" s="179"/>
      <c r="P21" s="179"/>
      <c r="Q21" s="179"/>
      <c r="R21" s="179"/>
      <c r="S21" s="179"/>
      <c r="T21" s="179"/>
      <c r="U21" s="17"/>
      <c r="V21" s="17"/>
      <c r="W21" s="80" t="str">
        <f t="shared" si="3"/>
        <v>Ok</v>
      </c>
    </row>
    <row r="22" spans="1:30" ht="10.5" outlineLevel="1">
      <c r="A22" s="17"/>
      <c r="B22" s="17"/>
      <c r="C22" s="125"/>
      <c r="D22" s="118" t="s">
        <v>64</v>
      </c>
      <c r="E22" s="118" t="str">
        <f t="shared" si="1"/>
        <v>$millions</v>
      </c>
      <c r="F22" s="192">
        <v>46457</v>
      </c>
      <c r="G22" s="119"/>
      <c r="H22" s="119"/>
      <c r="I22" s="118"/>
      <c r="J22" s="156"/>
      <c r="K22" s="156"/>
      <c r="L22" s="156"/>
      <c r="M22" s="156"/>
      <c r="N22" s="156"/>
      <c r="O22" s="179"/>
      <c r="P22" s="179"/>
      <c r="Q22" s="179"/>
      <c r="R22" s="179"/>
      <c r="S22" s="179"/>
      <c r="T22" s="179"/>
      <c r="U22" s="17"/>
      <c r="V22" s="17"/>
      <c r="W22" s="80" t="str">
        <f t="shared" ref="W22" si="4">IF(ISBLANK(C22),IF(COUNT(J22:T22)=0,"Ok","Check"),IF(COUNT(J22:T22)=COUNT(J$10:T$10),"Ok","Check"))</f>
        <v>Ok</v>
      </c>
    </row>
    <row r="23" spans="1:30" ht="10.5" outlineLevel="1">
      <c r="A23" s="17"/>
      <c r="B23" s="17"/>
      <c r="C23" s="125"/>
      <c r="D23" s="118" t="s">
        <v>64</v>
      </c>
      <c r="E23" s="118" t="str">
        <f t="shared" si="1"/>
        <v>$millions</v>
      </c>
      <c r="F23" s="192">
        <v>46458</v>
      </c>
      <c r="G23" s="119"/>
      <c r="H23" s="119"/>
      <c r="I23" s="118"/>
      <c r="J23" s="156"/>
      <c r="K23" s="156"/>
      <c r="L23" s="156"/>
      <c r="M23" s="156"/>
      <c r="N23" s="156"/>
      <c r="O23" s="179"/>
      <c r="P23" s="179"/>
      <c r="Q23" s="179"/>
      <c r="R23" s="179"/>
      <c r="S23" s="179"/>
      <c r="T23" s="179"/>
      <c r="U23" s="17"/>
      <c r="V23" s="17"/>
      <c r="W23" s="80" t="str">
        <f t="shared" si="3"/>
        <v>Ok</v>
      </c>
    </row>
    <row r="24" spans="1:30" outlineLevel="1">
      <c r="A24" s="17"/>
      <c r="B24" s="17"/>
      <c r="C24" s="17"/>
      <c r="D24" s="118"/>
      <c r="E24" s="118"/>
      <c r="F24" s="118"/>
      <c r="G24" s="119"/>
      <c r="H24" s="119"/>
      <c r="I24" s="118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 spans="1:30" ht="10.5" outlineLevel="1">
      <c r="A25" s="17"/>
      <c r="B25" s="17"/>
      <c r="C25" s="17" t="s">
        <v>40</v>
      </c>
      <c r="D25" s="118" t="s">
        <v>92</v>
      </c>
      <c r="E25" s="118" t="s">
        <v>28</v>
      </c>
      <c r="F25" s="118" t="s">
        <v>36</v>
      </c>
      <c r="G25" s="118"/>
      <c r="H25" s="118"/>
      <c r="I25" s="118"/>
      <c r="J25" s="163" t="str">
        <f t="shared" ref="J25:T25" si="5">IF(J10=J4,IF(COUNTA($C12:$C23)=COUNT(J12:J23),"Ok","Check"),"")</f>
        <v/>
      </c>
      <c r="K25" s="163" t="str">
        <f t="shared" si="5"/>
        <v/>
      </c>
      <c r="L25" s="163" t="str">
        <f t="shared" si="5"/>
        <v/>
      </c>
      <c r="M25" s="163" t="str">
        <f t="shared" si="5"/>
        <v/>
      </c>
      <c r="N25" s="163" t="str">
        <f t="shared" si="5"/>
        <v/>
      </c>
      <c r="O25" s="163" t="str">
        <f t="shared" si="5"/>
        <v>Ok</v>
      </c>
      <c r="P25" s="163" t="str">
        <f t="shared" si="5"/>
        <v>Ok</v>
      </c>
      <c r="Q25" s="163" t="str">
        <f t="shared" si="5"/>
        <v>Ok</v>
      </c>
      <c r="R25" s="163" t="str">
        <f t="shared" si="5"/>
        <v>Ok</v>
      </c>
      <c r="S25" s="163" t="str">
        <f t="shared" si="5"/>
        <v>Ok</v>
      </c>
      <c r="T25" s="163" t="str">
        <f t="shared" si="5"/>
        <v/>
      </c>
      <c r="U25" s="164"/>
      <c r="V25" s="17"/>
      <c r="W25" s="80" t="str">
        <f>IF(COUNTIF(J25:T25,"Check")=0,"Ok","Check")</f>
        <v>Ok</v>
      </c>
    </row>
    <row r="26" spans="1:30">
      <c r="A26" s="17"/>
      <c r="B26" s="17"/>
      <c r="C26" s="17"/>
      <c r="D26" s="118"/>
      <c r="E26" s="118"/>
      <c r="F26" s="118"/>
      <c r="G26" s="119"/>
      <c r="H26" s="119"/>
      <c r="I26" s="118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30" customFormat="1" ht="13">
      <c r="A27" s="32"/>
      <c r="B27" s="38" t="s">
        <v>105</v>
      </c>
      <c r="C27" s="32"/>
      <c r="D27" s="32"/>
      <c r="E27" s="32"/>
      <c r="F27" s="116"/>
      <c r="G27" s="116"/>
      <c r="H27" s="116"/>
      <c r="I27" s="116"/>
      <c r="J27" s="34"/>
      <c r="K27" s="117"/>
      <c r="L27" s="34"/>
      <c r="M27" s="117"/>
      <c r="N27" s="34"/>
      <c r="O27" s="34"/>
      <c r="P27" s="34"/>
      <c r="Q27" s="34"/>
      <c r="R27" s="34"/>
      <c r="S27" s="34"/>
      <c r="T27" s="34"/>
      <c r="U27" s="34"/>
      <c r="V27" s="117"/>
      <c r="W27" s="35"/>
      <c r="X27" s="36"/>
      <c r="Y27" s="36"/>
      <c r="Z27" s="36"/>
      <c r="AA27" s="36"/>
      <c r="AB27" s="36"/>
      <c r="AC27" s="37"/>
      <c r="AD27" s="37"/>
    </row>
    <row r="28" spans="1:30" outlineLevel="1">
      <c r="A28" s="17"/>
      <c r="B28" s="17"/>
      <c r="C28" s="17"/>
      <c r="D28" s="118"/>
      <c r="E28" s="118"/>
      <c r="F28" s="118"/>
      <c r="G28" s="119"/>
      <c r="H28" s="119"/>
      <c r="I28" s="118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30" ht="10.5" outlineLevel="1">
      <c r="A29" s="17"/>
      <c r="B29" s="17"/>
      <c r="C29" s="120" t="s">
        <v>101</v>
      </c>
      <c r="D29" s="119" t="s">
        <v>7</v>
      </c>
      <c r="E29" s="119" t="s">
        <v>8</v>
      </c>
      <c r="F29" s="119" t="s">
        <v>22</v>
      </c>
      <c r="G29" s="119"/>
      <c r="H29" s="119"/>
      <c r="I29" s="118"/>
      <c r="J29" s="136" t="str">
        <f t="shared" ref="J29:T29" si="6">IF(YEAR(J$4)&gt;=FPFirstYear,IF(YEAR(J$4)&lt;=FPLastYear,J$4,""),"")</f>
        <v/>
      </c>
      <c r="K29" s="136" t="str">
        <f t="shared" si="6"/>
        <v/>
      </c>
      <c r="L29" s="136" t="str">
        <f t="shared" si="6"/>
        <v/>
      </c>
      <c r="M29" s="136" t="str">
        <f t="shared" si="6"/>
        <v/>
      </c>
      <c r="N29" s="136" t="str">
        <f t="shared" si="6"/>
        <v/>
      </c>
      <c r="O29" s="136">
        <f t="shared" si="6"/>
        <v>46813</v>
      </c>
      <c r="P29" s="136">
        <f t="shared" si="6"/>
        <v>47178</v>
      </c>
      <c r="Q29" s="136">
        <f t="shared" si="6"/>
        <v>47543</v>
      </c>
      <c r="R29" s="136">
        <f t="shared" si="6"/>
        <v>47908</v>
      </c>
      <c r="S29" s="136">
        <f t="shared" si="6"/>
        <v>48274</v>
      </c>
      <c r="T29" s="136" t="str">
        <f t="shared" si="6"/>
        <v/>
      </c>
      <c r="U29" s="17"/>
      <c r="V29" s="17"/>
    </row>
    <row r="30" spans="1:30" outlineLevel="1">
      <c r="A30" s="17"/>
      <c r="B30" s="17"/>
      <c r="C30" s="17"/>
      <c r="D30" s="118"/>
      <c r="E30" s="118"/>
      <c r="F30" s="118"/>
      <c r="G30" s="119"/>
      <c r="H30" s="119"/>
      <c r="I30" s="118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 spans="1:30" ht="10.5" outlineLevel="1">
      <c r="A31" s="17"/>
      <c r="B31" s="17"/>
      <c r="C31" s="180" t="s">
        <v>219</v>
      </c>
      <c r="D31" s="118" t="s">
        <v>64</v>
      </c>
      <c r="E31" s="118" t="str">
        <f>units</f>
        <v>$millions</v>
      </c>
      <c r="F31" s="192">
        <f>DATE(PPLastYear,MONTH(month),1)</f>
        <v>46447</v>
      </c>
      <c r="G31" s="119"/>
      <c r="H31" s="119"/>
      <c r="I31" s="118"/>
      <c r="J31" s="156"/>
      <c r="K31" s="156"/>
      <c r="L31" s="156"/>
      <c r="M31" s="156"/>
      <c r="N31" s="179"/>
      <c r="O31" s="194">
        <v>277.06348565069851</v>
      </c>
      <c r="P31" s="194">
        <v>279.96100717162147</v>
      </c>
      <c r="Q31" s="194">
        <v>282.88883088463774</v>
      </c>
      <c r="R31" s="194">
        <v>285.84727368915213</v>
      </c>
      <c r="S31" s="194">
        <v>288.83665579869387</v>
      </c>
      <c r="T31" s="179"/>
      <c r="U31" s="17"/>
      <c r="V31" s="17"/>
      <c r="W31" s="80" t="str">
        <f>IF(ISBLANK(C31),IF(COUNT(J31:T31)=0,"Ok","Check"),IF(COUNT(J31:T31)=COUNT(J$10:T$10),"Ok","Check"))</f>
        <v>Ok</v>
      </c>
    </row>
    <row r="32" spans="1:30" ht="10.5" outlineLevel="1">
      <c r="A32" s="17"/>
      <c r="B32" s="17"/>
      <c r="C32" s="180"/>
      <c r="D32" s="118" t="s">
        <v>64</v>
      </c>
      <c r="E32" s="118" t="str">
        <f>units</f>
        <v>$millions</v>
      </c>
      <c r="F32" s="192">
        <v>46447</v>
      </c>
      <c r="G32" s="119"/>
      <c r="H32" s="119"/>
      <c r="I32" s="118"/>
      <c r="J32" s="156"/>
      <c r="K32" s="156"/>
      <c r="L32" s="156"/>
      <c r="M32" s="156"/>
      <c r="N32" s="179"/>
      <c r="O32" s="179"/>
      <c r="P32" s="179"/>
      <c r="Q32" s="179"/>
      <c r="R32" s="179"/>
      <c r="S32" s="179"/>
      <c r="T32" s="179"/>
      <c r="U32" s="17"/>
      <c r="V32" s="17"/>
      <c r="W32" s="80" t="str">
        <f>IF(ISBLANK(C32),IF(COUNT(O32:T32)=0,"Ok","Check"),IF(COUNT(O32:T32)=COUNT(J$10:T$10),"Ok","Check"))</f>
        <v>Ok</v>
      </c>
    </row>
    <row r="33" spans="1:30" ht="10.5" outlineLevel="1">
      <c r="A33" s="17"/>
      <c r="B33" s="17"/>
      <c r="C33" s="180" t="s">
        <v>220</v>
      </c>
      <c r="D33" s="118" t="s">
        <v>64</v>
      </c>
      <c r="E33" s="118" t="str">
        <f>units</f>
        <v>$millions</v>
      </c>
      <c r="F33" s="192">
        <f>DATE(PPLastYear,MONTH(month),1)</f>
        <v>46447</v>
      </c>
      <c r="O33" s="179">
        <v>4.4082744700637582</v>
      </c>
      <c r="P33" s="179">
        <v>4.4082744700637582</v>
      </c>
      <c r="Q33" s="179">
        <v>4.4082744700637582</v>
      </c>
      <c r="R33" s="179">
        <v>4.4082744700637582</v>
      </c>
      <c r="S33" s="179">
        <v>4.4082744700637582</v>
      </c>
      <c r="T33" s="179"/>
      <c r="U33" s="17"/>
      <c r="V33" s="17"/>
      <c r="W33" s="80" t="str">
        <f>IF(ISBLANK(C33),IF(COUNT(J33:T33)=0,"Ok","Check"),IF(COUNT(J33:T33)=COUNT(J$10:T$10),"Ok","Check"))</f>
        <v>Ok</v>
      </c>
    </row>
    <row r="34" spans="1:30" ht="10.5" outlineLevel="1">
      <c r="A34" s="17"/>
      <c r="B34" s="17"/>
      <c r="C34" s="181"/>
      <c r="D34" s="118" t="s">
        <v>64</v>
      </c>
      <c r="E34" s="118" t="str">
        <f>units</f>
        <v>$millions</v>
      </c>
      <c r="F34" s="192">
        <f>DATE(PPLastYear,MONTH(month),1)</f>
        <v>46447</v>
      </c>
      <c r="G34" s="119"/>
      <c r="H34" s="119"/>
      <c r="I34" s="118"/>
      <c r="J34" s="156"/>
      <c r="K34" s="156"/>
      <c r="M34" s="156"/>
      <c r="N34" s="179"/>
      <c r="O34" s="179"/>
      <c r="P34" s="179"/>
      <c r="Q34" s="179"/>
      <c r="R34" s="179"/>
      <c r="S34" s="179"/>
      <c r="T34" s="179"/>
      <c r="U34" s="17"/>
      <c r="V34" s="17"/>
      <c r="W34" s="80" t="str">
        <f>IF(ISBLANK(C34),IF(COUNT(J34:T34)=0,"Ok","Check"),IF(COUNT(J34:T34)=COUNT(J$10:T$10),"Ok","Check"))</f>
        <v>Ok</v>
      </c>
    </row>
    <row r="35" spans="1:30" ht="10.5" outlineLevel="1">
      <c r="A35" s="17"/>
      <c r="B35" s="17"/>
      <c r="C35" s="125"/>
      <c r="D35" s="118" t="s">
        <v>64</v>
      </c>
      <c r="E35" s="118" t="str">
        <f>units</f>
        <v>$millions</v>
      </c>
      <c r="F35" s="192">
        <f>DATE(PPLastYear,MONTH(month),1)</f>
        <v>46447</v>
      </c>
      <c r="G35" s="119"/>
      <c r="H35" s="119"/>
      <c r="I35" s="118"/>
      <c r="J35" s="156"/>
      <c r="K35" s="156"/>
      <c r="L35" s="156"/>
      <c r="M35" s="156"/>
      <c r="N35" s="179"/>
      <c r="O35" s="179"/>
      <c r="P35" s="179"/>
      <c r="Q35" s="179"/>
      <c r="R35" s="179"/>
      <c r="S35" s="179"/>
      <c r="T35" s="179"/>
      <c r="U35" s="17"/>
      <c r="V35" s="17"/>
      <c r="W35" s="80" t="str">
        <f>IF(ISBLANK(C35),IF(COUNT(J35:T35)=0,"Ok","Check"),IF(COUNT(J35:T35)=COUNT(J$10:T$10),"Ok","Check"))</f>
        <v>Ok</v>
      </c>
    </row>
    <row r="36" spans="1:30" outlineLevel="1">
      <c r="A36" s="17"/>
      <c r="B36" s="17"/>
      <c r="C36" s="17"/>
      <c r="D36" s="118"/>
      <c r="E36" s="118"/>
      <c r="F36" s="118"/>
      <c r="G36" s="119"/>
      <c r="H36" s="119"/>
      <c r="I36" s="118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30" ht="10.5" outlineLevel="1">
      <c r="A37" s="17"/>
      <c r="B37" s="17"/>
      <c r="C37" s="17" t="s">
        <v>40</v>
      </c>
      <c r="D37" s="118" t="s">
        <v>92</v>
      </c>
      <c r="E37" s="118" t="s">
        <v>28</v>
      </c>
      <c r="F37" s="118" t="s">
        <v>36</v>
      </c>
      <c r="G37" s="118"/>
      <c r="H37" s="118"/>
      <c r="I37" s="118"/>
      <c r="J37" s="163" t="str">
        <f t="shared" ref="J37:T37" si="7">IF(J29=J4,IF(COUNTA($C31:$C35)=COUNT(J31:J35),"Ok","Check"),"")</f>
        <v/>
      </c>
      <c r="K37" s="163" t="str">
        <f t="shared" si="7"/>
        <v/>
      </c>
      <c r="L37" s="163" t="str">
        <f t="shared" si="7"/>
        <v/>
      </c>
      <c r="M37" s="163" t="str">
        <f t="shared" si="7"/>
        <v/>
      </c>
      <c r="N37" s="163" t="str">
        <f t="shared" si="7"/>
        <v/>
      </c>
      <c r="O37" s="163" t="str">
        <f t="shared" si="7"/>
        <v>Ok</v>
      </c>
      <c r="P37" s="163" t="str">
        <f t="shared" si="7"/>
        <v>Ok</v>
      </c>
      <c r="Q37" s="163" t="str">
        <f t="shared" si="7"/>
        <v>Ok</v>
      </c>
      <c r="R37" s="163" t="str">
        <f t="shared" si="7"/>
        <v>Ok</v>
      </c>
      <c r="S37" s="163" t="str">
        <f t="shared" si="7"/>
        <v>Ok</v>
      </c>
      <c r="T37" s="163" t="str">
        <f t="shared" si="7"/>
        <v/>
      </c>
      <c r="U37" s="164"/>
      <c r="V37" s="17"/>
      <c r="W37" s="80" t="str">
        <f>IF(COUNTIF(J37:T37,"Check")=0,"Ok","Check")</f>
        <v>Ok</v>
      </c>
    </row>
    <row r="38" spans="1:30">
      <c r="A38" s="17"/>
      <c r="B38" s="17"/>
      <c r="C38" s="17"/>
      <c r="D38" s="118"/>
      <c r="E38" s="118"/>
      <c r="F38" s="118"/>
      <c r="G38" s="119"/>
      <c r="H38" s="119"/>
      <c r="I38" s="118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 spans="1:30" customFormat="1" ht="13">
      <c r="A39" s="32"/>
      <c r="B39" s="38" t="s">
        <v>44</v>
      </c>
      <c r="C39" s="32"/>
      <c r="D39" s="32"/>
      <c r="E39" s="32"/>
      <c r="F39" s="116"/>
      <c r="G39" s="116"/>
      <c r="H39" s="116"/>
      <c r="I39" s="116"/>
      <c r="J39" s="34"/>
      <c r="K39" s="117"/>
      <c r="L39" s="34"/>
      <c r="M39" s="117"/>
      <c r="N39" s="34"/>
      <c r="O39" s="34"/>
      <c r="P39" s="34"/>
      <c r="Q39" s="34"/>
      <c r="R39" s="34"/>
      <c r="S39" s="34"/>
      <c r="T39" s="34"/>
      <c r="U39" s="34"/>
      <c r="V39" s="117"/>
      <c r="W39" s="35"/>
      <c r="X39" s="36"/>
      <c r="Y39" s="36"/>
      <c r="Z39" s="36"/>
      <c r="AA39" s="36"/>
      <c r="AB39" s="36"/>
      <c r="AC39" s="37"/>
      <c r="AD39" s="37"/>
    </row>
    <row r="40" spans="1:30" outlineLevel="1">
      <c r="A40" s="17"/>
      <c r="B40" s="17"/>
      <c r="C40" s="17"/>
      <c r="D40" s="118"/>
      <c r="E40" s="118"/>
      <c r="F40" s="118"/>
      <c r="G40" s="119"/>
      <c r="H40" s="119"/>
      <c r="I40" s="118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pans="1:30" ht="10.5" outlineLevel="1">
      <c r="A41" s="17"/>
      <c r="B41" s="17"/>
      <c r="C41" s="120" t="s">
        <v>32</v>
      </c>
      <c r="D41" s="119" t="s">
        <v>7</v>
      </c>
      <c r="E41" s="119" t="s">
        <v>8</v>
      </c>
      <c r="F41" s="119" t="s">
        <v>22</v>
      </c>
      <c r="G41" s="119"/>
      <c r="H41" s="119"/>
      <c r="I41" s="118"/>
      <c r="J41" s="136" t="str">
        <f t="shared" ref="J41:T41" si="8">IF(YEAR(J$4)&gt;=FPFirstYear,IF(YEAR(J$4)&lt;=FPLastYear,J$4,""),"")</f>
        <v/>
      </c>
      <c r="K41" s="136" t="str">
        <f t="shared" si="8"/>
        <v/>
      </c>
      <c r="L41" s="136" t="str">
        <f t="shared" si="8"/>
        <v/>
      </c>
      <c r="M41" s="136" t="str">
        <f t="shared" si="8"/>
        <v/>
      </c>
      <c r="N41" s="136" t="str">
        <f t="shared" si="8"/>
        <v/>
      </c>
      <c r="O41" s="136">
        <f t="shared" si="8"/>
        <v>46813</v>
      </c>
      <c r="P41" s="136">
        <f t="shared" si="8"/>
        <v>47178</v>
      </c>
      <c r="Q41" s="136">
        <f t="shared" si="8"/>
        <v>47543</v>
      </c>
      <c r="R41" s="136">
        <f t="shared" si="8"/>
        <v>47908</v>
      </c>
      <c r="S41" s="136">
        <f t="shared" si="8"/>
        <v>48274</v>
      </c>
      <c r="T41" s="136" t="str">
        <f t="shared" si="8"/>
        <v/>
      </c>
      <c r="U41" s="17"/>
      <c r="V41" s="17"/>
    </row>
    <row r="42" spans="1:30" outlineLevel="1">
      <c r="A42" s="17"/>
      <c r="B42" s="17"/>
      <c r="C42" s="17"/>
      <c r="D42" s="118"/>
      <c r="E42" s="118"/>
      <c r="F42" s="118"/>
      <c r="G42" s="119"/>
      <c r="H42" s="119"/>
      <c r="I42" s="118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spans="1:30" outlineLevel="1">
      <c r="A43" s="17"/>
      <c r="B43" s="17"/>
      <c r="C43" s="123" t="s">
        <v>39</v>
      </c>
      <c r="D43" s="118" t="s">
        <v>67</v>
      </c>
      <c r="E43" s="118" t="s">
        <v>15</v>
      </c>
      <c r="F43" s="192">
        <f>DATE(PPLastYear,MONTH(month),1)</f>
        <v>46447</v>
      </c>
      <c r="G43" s="119"/>
      <c r="H43" s="119"/>
      <c r="I43" s="119"/>
      <c r="J43" s="179"/>
      <c r="K43" s="179"/>
      <c r="L43" s="179"/>
      <c r="M43" s="179"/>
      <c r="N43" s="179"/>
      <c r="O43" s="179">
        <v>2.4537830298686001</v>
      </c>
      <c r="P43" s="179">
        <v>2.5779140981143844</v>
      </c>
      <c r="Q43" s="179">
        <v>2.6742859072259275</v>
      </c>
      <c r="R43" s="179">
        <v>2.6917828722331616</v>
      </c>
      <c r="S43" s="179">
        <v>2.6968426260997949</v>
      </c>
      <c r="T43" s="179"/>
      <c r="U43" s="17"/>
      <c r="V43" s="17"/>
    </row>
    <row r="44" spans="1:30" outlineLevel="1">
      <c r="A44" s="17"/>
      <c r="B44" s="17"/>
      <c r="C44" s="17"/>
      <c r="D44" s="118"/>
      <c r="E44" s="118"/>
      <c r="F44" s="118"/>
      <c r="G44" s="119"/>
      <c r="H44" s="119"/>
      <c r="I44" s="118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</row>
    <row r="45" spans="1:30" ht="10.5" outlineLevel="1">
      <c r="A45" s="17"/>
      <c r="B45" s="17"/>
      <c r="C45" s="17" t="s">
        <v>40</v>
      </c>
      <c r="D45" s="118" t="s">
        <v>92</v>
      </c>
      <c r="E45" s="118" t="s">
        <v>28</v>
      </c>
      <c r="F45" s="118" t="s">
        <v>36</v>
      </c>
      <c r="G45" s="118"/>
      <c r="H45" s="118"/>
      <c r="I45" s="118"/>
      <c r="J45" s="163" t="str">
        <f t="shared" ref="J45:T45" si="9">IF(J41=J4,IF(ISBLANK(J43),"Check","Ok"),"")</f>
        <v/>
      </c>
      <c r="K45" s="163" t="str">
        <f t="shared" si="9"/>
        <v/>
      </c>
      <c r="L45" s="163" t="str">
        <f t="shared" si="9"/>
        <v/>
      </c>
      <c r="M45" s="163" t="str">
        <f t="shared" si="9"/>
        <v/>
      </c>
      <c r="N45" s="163" t="str">
        <f t="shared" si="9"/>
        <v/>
      </c>
      <c r="O45" s="163" t="str">
        <f t="shared" si="9"/>
        <v>Ok</v>
      </c>
      <c r="P45" s="163" t="str">
        <f t="shared" si="9"/>
        <v>Ok</v>
      </c>
      <c r="Q45" s="163" t="str">
        <f t="shared" si="9"/>
        <v>Ok</v>
      </c>
      <c r="R45" s="163" t="str">
        <f t="shared" si="9"/>
        <v>Ok</v>
      </c>
      <c r="S45" s="163" t="str">
        <f t="shared" si="9"/>
        <v>Ok</v>
      </c>
      <c r="T45" s="163" t="str">
        <f t="shared" si="9"/>
        <v/>
      </c>
      <c r="U45" s="164"/>
      <c r="V45" s="17"/>
      <c r="W45" s="80" t="str">
        <f>IF(COUNTIF(J45:T45,"Check")=0,"Ok","Check")</f>
        <v>Ok</v>
      </c>
    </row>
    <row r="46" spans="1:30">
      <c r="A46" s="17"/>
      <c r="B46" s="17"/>
      <c r="C46" s="17"/>
      <c r="D46" s="118"/>
      <c r="E46" s="118"/>
      <c r="F46" s="118"/>
      <c r="G46" s="119"/>
      <c r="H46" s="119"/>
      <c r="I46" s="11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</row>
    <row r="47" spans="1:30" customFormat="1" ht="13">
      <c r="A47" s="32"/>
      <c r="B47" s="38" t="s">
        <v>21</v>
      </c>
      <c r="C47" s="32"/>
      <c r="D47" s="32"/>
      <c r="E47" s="32"/>
      <c r="F47" s="116"/>
      <c r="G47" s="116"/>
      <c r="H47" s="116"/>
      <c r="I47" s="116"/>
      <c r="J47" s="34"/>
      <c r="K47" s="117"/>
      <c r="L47" s="34"/>
      <c r="M47" s="117"/>
      <c r="N47" s="34"/>
      <c r="O47" s="34"/>
      <c r="P47" s="34"/>
      <c r="Q47" s="34"/>
      <c r="R47" s="34"/>
      <c r="S47" s="34"/>
      <c r="T47" s="34"/>
      <c r="U47" s="34"/>
      <c r="V47" s="117"/>
      <c r="W47" s="35"/>
      <c r="X47" s="36"/>
      <c r="Y47" s="36"/>
      <c r="Z47" s="36"/>
      <c r="AA47" s="36"/>
      <c r="AB47" s="36"/>
      <c r="AC47" s="37"/>
      <c r="AD47" s="37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  <row r="57" spans="7:8" hidden="1">
      <c r="G57" s="20"/>
      <c r="H57" s="20"/>
    </row>
  </sheetData>
  <mergeCells count="1">
    <mergeCell ref="N3:S3"/>
  </mergeCells>
  <conditionalFormatting sqref="J31:M32 J34:M35 O34:O35">
    <cfRule type="expression" dxfId="66" priority="25">
      <formula>J$29=J$4</formula>
    </cfRule>
  </conditionalFormatting>
  <conditionalFormatting sqref="J10:T10">
    <cfRule type="expression" dxfId="65" priority="37">
      <formula>J$10=J$4</formula>
    </cfRule>
  </conditionalFormatting>
  <conditionalFormatting sqref="J12:T23">
    <cfRule type="expression" dxfId="64" priority="13">
      <formula>J$10=J$4</formula>
    </cfRule>
  </conditionalFormatting>
  <conditionalFormatting sqref="J25:T25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9:T29">
    <cfRule type="expression" dxfId="61" priority="15">
      <formula>J$10=J$4</formula>
    </cfRule>
  </conditionalFormatting>
  <conditionalFormatting sqref="J37:T37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41:T41">
    <cfRule type="expression" dxfId="58" priority="14">
      <formula>J$10=J$4</formula>
    </cfRule>
  </conditionalFormatting>
  <conditionalFormatting sqref="J43:T43">
    <cfRule type="expression" dxfId="57" priority="16">
      <formula>J$41=J$4</formula>
    </cfRule>
  </conditionalFormatting>
  <conditionalFormatting sqref="J45:T45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31:N32 N34:N35">
    <cfRule type="expression" dxfId="54" priority="36">
      <formula>N$10=N$4</formula>
    </cfRule>
  </conditionalFormatting>
  <conditionalFormatting sqref="O31:T33 P34:T35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3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5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31:W35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7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5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6 F36 F38 F46" xr:uid="{00000000-0002-0000-0600-000000000000}">
      <formula1>"Real 2010,Real 2011,Real 2012,Real 2013,Real 2014,Real 2015,Nominal"</formula1>
    </dataValidation>
    <dataValidation type="list" allowBlank="1" showInputMessage="1" showErrorMessage="1" sqref="U31:U36 I46 U26 I26 U46 U38 I38 I34:I36 I31:I32 U12:U24" xr:uid="{00000000-0002-0000-0600-000001000000}">
      <formula1>#REF!</formula1>
    </dataValidation>
    <dataValidation type="decimal" operator="greaterThanOrEqual" allowBlank="1" showInputMessage="1" showErrorMessage="1" sqref="J43:T43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E43 E24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7"/>
  <sheetViews>
    <sheetView tabSelected="1" workbookViewId="0">
      <selection activeCell="U108" sqref="U108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4" width="10.77734375" style="8" customWidth="1"/>
    <col min="25" max="39" width="10.44140625" style="8" hidden="1" customWidth="1"/>
    <col min="40" max="16384" width="10.44140625" style="8" hidden="1"/>
  </cols>
  <sheetData>
    <row r="1" spans="1:31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5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1"/>
      <c r="G2" s="51"/>
      <c r="H2" s="51"/>
      <c r="I2" s="51"/>
    </row>
    <row r="3" spans="1:31" s="52" customFormat="1" ht="10.5">
      <c r="D3" s="104"/>
      <c r="E3" s="104"/>
      <c r="F3" s="104"/>
      <c r="G3" s="104"/>
      <c r="H3" s="104"/>
      <c r="I3" s="104"/>
      <c r="J3" s="99" t="s">
        <v>108</v>
      </c>
      <c r="K3" s="99"/>
      <c r="L3" s="99"/>
      <c r="M3" s="104"/>
      <c r="N3" s="202"/>
      <c r="O3" s="202"/>
      <c r="P3" s="202"/>
      <c r="Q3" s="202"/>
      <c r="R3" s="202"/>
      <c r="S3" s="202"/>
      <c r="T3" s="104"/>
      <c r="U3" s="53"/>
      <c r="V3" s="53"/>
      <c r="W3" s="53"/>
      <c r="X3" s="53"/>
      <c r="Y3" s="53"/>
      <c r="Z3" s="53"/>
      <c r="AA3" s="53"/>
    </row>
    <row r="4" spans="1:31" customFormat="1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44986</v>
      </c>
      <c r="K4" s="93">
        <f>DATE(PPFirstYear+1,MONTH('Input|General'!$G$9),1)</f>
        <v>45352</v>
      </c>
      <c r="L4" s="93">
        <f>DATE(PPFirstYear+2,MONTH('Input|General'!$G$9),1)</f>
        <v>45717</v>
      </c>
      <c r="M4" s="93">
        <f>DATE(PPFirstYear+3,MONTH('Input|General'!$G$9),1)</f>
        <v>46082</v>
      </c>
      <c r="N4" s="93">
        <f>DATE(PPFirstYear+4,MONTH('Input|General'!$G$9),1)</f>
        <v>46447</v>
      </c>
      <c r="O4" s="93">
        <f>DATE(PPFirstYear+5,MONTH('Input|General'!$G$9),1)</f>
        <v>46813</v>
      </c>
      <c r="P4" s="93">
        <f>DATE(PPFirstYear+6,MONTH('Input|General'!$G$9),1)</f>
        <v>47178</v>
      </c>
      <c r="Q4" s="93">
        <f>DATE(PPFirstYear+7,MONTH('Input|General'!$G$9),1)</f>
        <v>47543</v>
      </c>
      <c r="R4" s="93">
        <f>DATE(PPFirstYear+8,MONTH('Input|General'!$G$9),1)</f>
        <v>47908</v>
      </c>
      <c r="S4" s="93">
        <f>DATE(PPFirstYear+9,MONTH('Input|General'!$G$9),1)</f>
        <v>48274</v>
      </c>
      <c r="T4" s="93">
        <f>DATE(PPFirstYear+10,MONTH('Input|General'!$G$9),1)</f>
        <v>48639</v>
      </c>
      <c r="U4" s="58"/>
      <c r="V4" s="58"/>
      <c r="W4" s="59"/>
      <c r="X4" s="59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3">
      <c r="A8" s="32"/>
      <c r="B8" s="38" t="s">
        <v>81</v>
      </c>
      <c r="C8" s="32"/>
      <c r="D8" s="32"/>
      <c r="E8" s="50" t="s">
        <v>15</v>
      </c>
      <c r="F8" s="109">
        <f>DATE(PPLastYear,MONTH('Input|General'!$G$9),1)</f>
        <v>46447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ht="10.5" outlineLevel="1">
      <c r="C10" s="9"/>
      <c r="D10" s="20" t="s">
        <v>7</v>
      </c>
      <c r="E10" s="20" t="s">
        <v>8</v>
      </c>
      <c r="F10" s="20" t="s">
        <v>22</v>
      </c>
      <c r="J10" s="98">
        <f t="shared" ref="J10:S10" si="0">IF(YEAR(J$4)&lt;=PPLastYear,J$4,"")</f>
        <v>44986</v>
      </c>
      <c r="K10" s="98">
        <f t="shared" si="0"/>
        <v>45352</v>
      </c>
      <c r="L10" s="98">
        <f t="shared" si="0"/>
        <v>45717</v>
      </c>
      <c r="M10" s="98">
        <f t="shared" si="0"/>
        <v>46082</v>
      </c>
      <c r="N10" s="98">
        <f t="shared" si="0"/>
        <v>46447</v>
      </c>
      <c r="O10" s="98" t="str">
        <f t="shared" si="0"/>
        <v/>
      </c>
      <c r="P10" s="98" t="str">
        <f t="shared" si="0"/>
        <v/>
      </c>
      <c r="Q10" s="98" t="str">
        <f t="shared" si="0"/>
        <v/>
      </c>
      <c r="R10" s="98" t="str">
        <f t="shared" si="0"/>
        <v/>
      </c>
      <c r="S10" s="98" t="str">
        <f t="shared" si="0"/>
        <v/>
      </c>
      <c r="T10" s="98"/>
    </row>
    <row r="11" spans="1:31" outlineLevel="1">
      <c r="C11" s="15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31" outlineLevel="1">
      <c r="C12" s="15" t="s">
        <v>146</v>
      </c>
      <c r="D12" s="64" t="s">
        <v>87</v>
      </c>
      <c r="E12" s="16" t="str">
        <f>'Input|Reported opex'!E57</f>
        <v>$millions</v>
      </c>
      <c r="F12" s="97" t="str">
        <f>'Input|Reported opex'!F57</f>
        <v>nominal</v>
      </c>
      <c r="J12" s="65">
        <f>IF(YEAR(J$4)=BaseYear,'Input|Reported opex'!J47,0)</f>
        <v>0</v>
      </c>
      <c r="K12" s="65">
        <f>IF(YEAR(K$4)=BaseYear,'Input|Reported opex'!K47,0)</f>
        <v>0</v>
      </c>
      <c r="L12" s="65">
        <f>IF(YEAR(L$4)=BaseYear,'Input|Reported opex'!L47,0)</f>
        <v>0</v>
      </c>
      <c r="M12" s="65">
        <f>IF(YEAR(M$4)=BaseYear,'Input|Reported opex'!M47,0)</f>
        <v>391.92603075064312</v>
      </c>
      <c r="N12" s="65">
        <f>IF(YEAR(N$4)=BaseYear,'Input|Reported opex'!N47,0)</f>
        <v>0</v>
      </c>
      <c r="O12" s="65">
        <f>IF(YEAR(O$4)=BaseYear,'Input|Reported opex'!O47,0)</f>
        <v>0</v>
      </c>
      <c r="P12" s="65">
        <f>IF(YEAR(P$4)=BaseYear,'Input|Reported opex'!P47,0)</f>
        <v>0</v>
      </c>
      <c r="Q12" s="65">
        <f>IF(YEAR(Q$4)=BaseYear,'Input|Reported opex'!Q47,0)</f>
        <v>0</v>
      </c>
      <c r="R12" s="65">
        <f>IF(YEAR(R$4)=BaseYear,'Input|Reported opex'!R47,0)</f>
        <v>0</v>
      </c>
      <c r="S12" s="65">
        <f>IF(YEAR(S$4)=BaseYear,'Input|Reported opex'!S47,0)</f>
        <v>0</v>
      </c>
      <c r="T12" s="65">
        <f>IF(YEAR(T$4)=BaseYear,'Input|Reported opex'!T47,0)</f>
        <v>0</v>
      </c>
    </row>
    <row r="13" spans="1:31" outlineLevel="1">
      <c r="C13" s="15" t="s">
        <v>146</v>
      </c>
      <c r="D13" s="16" t="s">
        <v>30</v>
      </c>
      <c r="E13" s="16" t="str">
        <f>$E$8</f>
        <v>$millions</v>
      </c>
      <c r="F13" s="97">
        <f>$F$8</f>
        <v>46447</v>
      </c>
      <c r="J13" s="65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5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5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5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412.77124731332975</v>
      </c>
      <c r="N13" s="65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5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5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5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5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5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5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203</v>
      </c>
      <c r="D14" s="64" t="s">
        <v>87</v>
      </c>
      <c r="E14" s="16" t="str">
        <f>'Input|Reported opex'!E15</f>
        <v>$millions</v>
      </c>
      <c r="F14" s="97">
        <f>'Input|Reported opex'!F15</f>
        <v>44621</v>
      </c>
      <c r="J14" s="65">
        <f>IF(YEAR(J$4)=BaseYear,'Input|Reported opex'!J15,0)</f>
        <v>0</v>
      </c>
      <c r="K14" s="65">
        <f>IF(YEAR(K$4)=BaseYear,'Input|Reported opex'!K15,0)</f>
        <v>0</v>
      </c>
      <c r="L14" s="65">
        <f>IF(YEAR(L$4)=BaseYear,'Input|Reported opex'!L15,0)</f>
        <v>0</v>
      </c>
      <c r="M14" s="65">
        <f>IF(YEAR(M$4)=BaseYear,'Input|Reported opex'!M15,0)</f>
        <v>277.43568847410671</v>
      </c>
      <c r="N14" s="65">
        <f>IF(YEAR(N$4)=BaseYear,'Input|Reported opex'!N15,0)</f>
        <v>0</v>
      </c>
      <c r="O14" s="65">
        <f>IF(YEAR(O$4)=BaseYear,'Input|Reported opex'!O15,0)</f>
        <v>0</v>
      </c>
      <c r="P14" s="65">
        <f>IF(YEAR(P$4)=BaseYear,'Input|Reported opex'!P15,0)</f>
        <v>0</v>
      </c>
      <c r="Q14" s="65">
        <f>IF(YEAR(Q$4)=BaseYear,'Input|Reported opex'!Q15,0)</f>
        <v>0</v>
      </c>
      <c r="R14" s="65">
        <f>IF(YEAR(R$4)=BaseYear,'Input|Reported opex'!R15,0)</f>
        <v>0</v>
      </c>
      <c r="S14" s="65">
        <f>IF(YEAR(S$4)=BaseYear,'Input|Reported opex'!S15,0)</f>
        <v>0</v>
      </c>
      <c r="T14" s="65"/>
    </row>
    <row r="15" spans="1:31" outlineLevel="1">
      <c r="C15" s="15" t="s">
        <v>203</v>
      </c>
      <c r="D15" s="16" t="s">
        <v>30</v>
      </c>
      <c r="E15" s="16" t="str">
        <f>$E$8</f>
        <v>$millions</v>
      </c>
      <c r="F15" s="97">
        <f>$F$8</f>
        <v>46447</v>
      </c>
      <c r="J15" s="65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5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5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5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338.47339600089884</v>
      </c>
      <c r="N15" s="65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5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5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5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5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5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5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204</v>
      </c>
      <c r="D16" s="64" t="s">
        <v>87</v>
      </c>
      <c r="E16" s="16" t="str">
        <f>'Input|Reported opex'!E15</f>
        <v>$millions</v>
      </c>
      <c r="F16" s="97">
        <f>'Input|Reported opex'!F15</f>
        <v>44621</v>
      </c>
      <c r="J16" s="65">
        <f>IF(YEAR(J$4)=PPLastYear,'Input|Reported opex'!J15,0)</f>
        <v>0</v>
      </c>
      <c r="K16" s="65">
        <f>IF(YEAR(K$4)=PPLastYear,'Input|Reported opex'!K15,0)</f>
        <v>0</v>
      </c>
      <c r="L16" s="65">
        <f>IF(YEAR(L$4)=PPLastYear,'Input|Reported opex'!L15,0)</f>
        <v>0</v>
      </c>
      <c r="M16" s="65">
        <f>IF(YEAR(M$4)=PPLastYear,'Input|Reported opex'!M15,0)</f>
        <v>0</v>
      </c>
      <c r="N16" s="65">
        <f>IF(YEAR(N$4)=PPLastYear,'Input|Reported opex'!N15,0)</f>
        <v>277.61030396251664</v>
      </c>
      <c r="O16" s="65">
        <f>IF(YEAR(O$4)=PPLastYear,'Input|Reported opex'!O15,0)</f>
        <v>0</v>
      </c>
      <c r="P16" s="65">
        <f>IF(YEAR(P$4)=PPLastYear,'Input|Reported opex'!P15,0)</f>
        <v>0</v>
      </c>
      <c r="Q16" s="65">
        <f>IF(YEAR(Q$4)=PPLastYear,'Input|Reported opex'!Q15,0)</f>
        <v>0</v>
      </c>
      <c r="R16" s="65">
        <f>IF(YEAR(R$4)=PPLastYear,'Input|Reported opex'!R15,0)</f>
        <v>0</v>
      </c>
      <c r="S16" s="65">
        <f>IF(YEAR(S$4)=PPLastYear,'Input|Reported opex'!S15,0)</f>
        <v>0</v>
      </c>
      <c r="T16" s="65"/>
    </row>
    <row r="17" spans="3:20" outlineLevel="1">
      <c r="C17" s="15" t="s">
        <v>204</v>
      </c>
      <c r="D17" s="16" t="s">
        <v>30</v>
      </c>
      <c r="E17" s="16" t="str">
        <f>$E$8</f>
        <v>$millions</v>
      </c>
      <c r="F17" s="97">
        <f>$F$8</f>
        <v>46447</v>
      </c>
      <c r="J17" s="65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5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5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5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5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338.68642806494773</v>
      </c>
      <c r="O17" s="65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5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5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5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5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5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7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</row>
    <row r="19" spans="3:20" outlineLevel="1">
      <c r="C19" s="15" t="s">
        <v>147</v>
      </c>
      <c r="D19" s="64" t="s">
        <v>87</v>
      </c>
      <c r="E19" s="16" t="str">
        <f>'Input|Reported opex'!E64</f>
        <v>$millions</v>
      </c>
      <c r="F19" s="97" t="str">
        <f>'Input|Reported opex'!F57</f>
        <v>nominal</v>
      </c>
      <c r="J19" s="65">
        <f>IF(YEAR(J$4)=BaseYear,'Input|Reported opex'!J57,0)</f>
        <v>0</v>
      </c>
      <c r="K19" s="65">
        <f>IF(YEAR(K$4)=BaseYear,'Input|Reported opex'!K57,0)</f>
        <v>0</v>
      </c>
      <c r="L19" s="65">
        <f>IF(YEAR(L$4)=BaseYear,'Input|Reported opex'!L57,0)</f>
        <v>0</v>
      </c>
      <c r="M19" s="65">
        <f>IF(YEAR(M$4)=BaseYear,'Input|Reported opex'!M57,0)</f>
        <v>269.94881614801955</v>
      </c>
      <c r="N19" s="65">
        <f>IF(YEAR(N$4)=BaseYear,'Input|Reported opex'!N57,0)</f>
        <v>0</v>
      </c>
      <c r="O19" s="65">
        <f>IF(YEAR(O$4)=BaseYear,'Input|Reported opex'!O57,0)</f>
        <v>0</v>
      </c>
      <c r="P19" s="65">
        <f>IF(YEAR(P$4)=BaseYear,'Input|Reported opex'!P57,0)</f>
        <v>0</v>
      </c>
      <c r="Q19" s="65">
        <f>IF(YEAR(Q$4)=BaseYear,'Input|Reported opex'!Q57,0)</f>
        <v>0</v>
      </c>
      <c r="R19" s="65">
        <f>IF(YEAR(R$4)=BaseYear,'Input|Reported opex'!R57,0)</f>
        <v>0</v>
      </c>
      <c r="S19" s="65">
        <f>IF(YEAR(S$4)=BaseYear,'Input|Reported opex'!S57,0)</f>
        <v>0</v>
      </c>
      <c r="T19" s="65"/>
    </row>
    <row r="20" spans="3:20" outlineLevel="1">
      <c r="C20" s="15" t="s">
        <v>147</v>
      </c>
      <c r="D20" s="16" t="s">
        <v>30</v>
      </c>
      <c r="E20" s="16" t="str">
        <f>$E$8</f>
        <v>$millions</v>
      </c>
      <c r="F20" s="97">
        <f>$F$8</f>
        <v>46447</v>
      </c>
      <c r="J20" s="65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5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5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5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284.30647828816592</v>
      </c>
      <c r="N20" s="65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5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5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5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5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5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5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205</v>
      </c>
      <c r="D21" s="64" t="s">
        <v>87</v>
      </c>
      <c r="E21" s="16" t="str">
        <f>'Input|Reported opex'!E22</f>
        <v>$millions</v>
      </c>
      <c r="F21" s="97">
        <f>'Input|Reported opex'!F29</f>
        <v>44621</v>
      </c>
      <c r="J21" s="65">
        <f>IF(YEAR(J$4)=BaseYear,'Input|Reported opex'!J29,0)</f>
        <v>0</v>
      </c>
      <c r="K21" s="65">
        <f>IF(YEAR(K$4)=BaseYear,'Input|Reported opex'!K29,0)</f>
        <v>0</v>
      </c>
      <c r="L21" s="65">
        <f>IF(YEAR(L$4)=BaseYear,'Input|Reported opex'!L29,0)</f>
        <v>0</v>
      </c>
      <c r="M21" s="65">
        <f>IF(YEAR(M$4)=BaseYear,'Input|Reported opex'!M29,0)</f>
        <v>176.97869148602226</v>
      </c>
      <c r="N21" s="65">
        <f>IF(YEAR(N$4)=BaseYear,'Input|Reported opex'!N29,0)</f>
        <v>0</v>
      </c>
      <c r="O21" s="65">
        <f>IF(YEAR(O$4)=BaseYear,'Input|Reported opex'!O29,0)</f>
        <v>0</v>
      </c>
      <c r="P21" s="65">
        <f>IF(YEAR(P$4)=BaseYear,'Input|Reported opex'!P29,0)</f>
        <v>0</v>
      </c>
      <c r="Q21" s="65">
        <f>IF(YEAR(Q$4)=BaseYear,'Input|Reported opex'!Q29,0)</f>
        <v>0</v>
      </c>
      <c r="R21" s="65">
        <f>IF(YEAR(R$4)=BaseYear,'Input|Reported opex'!R29,0)</f>
        <v>0</v>
      </c>
      <c r="S21" s="65">
        <f>IF(YEAR(S$4)=BaseYear,'Input|Reported opex'!S29,0)</f>
        <v>0</v>
      </c>
      <c r="T21" s="65"/>
    </row>
    <row r="22" spans="3:20" outlineLevel="1">
      <c r="C22" s="15" t="s">
        <v>205</v>
      </c>
      <c r="D22" s="16" t="s">
        <v>30</v>
      </c>
      <c r="E22" s="16" t="str">
        <f>$E$8</f>
        <v>$millions</v>
      </c>
      <c r="F22" s="97">
        <f>$F$8</f>
        <v>46447</v>
      </c>
      <c r="J22" s="65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5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5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5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215.91518761170505</v>
      </c>
      <c r="N22" s="65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5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5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5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5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5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5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206</v>
      </c>
      <c r="D23" s="64" t="s">
        <v>87</v>
      </c>
      <c r="E23" s="16" t="str">
        <f>'Input|Reported opex'!E22</f>
        <v>$millions</v>
      </c>
      <c r="F23" s="97">
        <f>'Input|Reported opex'!F29</f>
        <v>44621</v>
      </c>
      <c r="J23" s="65">
        <f>IF(YEAR(J$4)=PPLastYear,'Input|Reported opex'!J29,0)</f>
        <v>0</v>
      </c>
      <c r="K23" s="65">
        <f>IF(YEAR(K$4)=PPLastYear,'Input|Reported opex'!K29,0)</f>
        <v>0</v>
      </c>
      <c r="L23" s="65">
        <f>IF(YEAR(L$4)=PPLastYear,'Input|Reported opex'!L29,0)</f>
        <v>0</v>
      </c>
      <c r="M23" s="65">
        <f>IF(YEAR(M$4)=PPLastYear,'Input|Reported opex'!M29,0)</f>
        <v>0</v>
      </c>
      <c r="N23" s="65">
        <f>IF(YEAR(N$4)=PPLastYear,'Input|Reported opex'!N29,0)</f>
        <v>177.08681020712555</v>
      </c>
      <c r="O23" s="65">
        <f>IF(YEAR(O$4)=PPLastYear,'Input|Reported opex'!O29,0)</f>
        <v>0</v>
      </c>
      <c r="P23" s="65">
        <f>IF(YEAR(P$4)=PPLastYear,'Input|Reported opex'!P29,0)</f>
        <v>0</v>
      </c>
      <c r="Q23" s="65">
        <f>IF(YEAR(Q$4)=PPLastYear,'Input|Reported opex'!Q29,0)</f>
        <v>0</v>
      </c>
      <c r="R23" s="65">
        <f>IF(YEAR(R$4)=PPLastYear,'Input|Reported opex'!R29,0)</f>
        <v>0</v>
      </c>
      <c r="S23" s="65">
        <f>IF(YEAR(S$4)=PPLastYear,'Input|Reported opex'!S29,0)</f>
        <v>0</v>
      </c>
      <c r="T23" s="65"/>
    </row>
    <row r="24" spans="3:20" outlineLevel="1">
      <c r="C24" s="15" t="s">
        <v>206</v>
      </c>
      <c r="D24" s="16" t="s">
        <v>30</v>
      </c>
      <c r="E24" s="16" t="str">
        <f>$E$8</f>
        <v>$millions</v>
      </c>
      <c r="F24" s="97">
        <f>$F$8</f>
        <v>46447</v>
      </c>
      <c r="J24" s="65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5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5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5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5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216.04709317477224</v>
      </c>
      <c r="O24" s="65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5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5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5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5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5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6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</row>
    <row r="26" spans="3:20" ht="10.5" outlineLevel="1">
      <c r="C26" s="67" t="s">
        <v>125</v>
      </c>
      <c r="D26" s="68" t="s">
        <v>30</v>
      </c>
      <c r="E26" s="68" t="str">
        <f>$E$8</f>
        <v>$millions</v>
      </c>
      <c r="F26" s="97">
        <f>$F$8</f>
        <v>46447</v>
      </c>
      <c r="J26" s="69">
        <f ca="1">J13</f>
        <v>0</v>
      </c>
      <c r="K26" s="69">
        <f t="shared" ref="K26:S26" ca="1" si="1">K13</f>
        <v>0</v>
      </c>
      <c r="L26" s="69">
        <f t="shared" ca="1" si="1"/>
        <v>0</v>
      </c>
      <c r="M26" s="69">
        <f t="shared" ca="1" si="1"/>
        <v>412.77124731332975</v>
      </c>
      <c r="N26" s="69">
        <f t="shared" ca="1" si="1"/>
        <v>0</v>
      </c>
      <c r="O26" s="69">
        <f t="shared" ca="1" si="1"/>
        <v>0</v>
      </c>
      <c r="P26" s="69">
        <f t="shared" ca="1" si="1"/>
        <v>0</v>
      </c>
      <c r="Q26" s="69">
        <f t="shared" ca="1" si="1"/>
        <v>0</v>
      </c>
      <c r="R26" s="69">
        <f t="shared" ca="1" si="1"/>
        <v>0</v>
      </c>
      <c r="S26" s="69">
        <f t="shared" ca="1" si="1"/>
        <v>0</v>
      </c>
      <c r="T26" s="69"/>
    </row>
    <row r="27" spans="3:20" ht="10.5" outlineLevel="1">
      <c r="C27" s="76"/>
      <c r="F27" s="97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</row>
    <row r="28" spans="3:20" ht="10.5" outlineLevel="1">
      <c r="C28" s="76" t="s">
        <v>145</v>
      </c>
      <c r="D28" s="64" t="s">
        <v>87</v>
      </c>
      <c r="E28" s="16" t="str">
        <f>'Input|Reported opex'!E69</f>
        <v>$millions</v>
      </c>
      <c r="F28" s="97">
        <f>'Input|Reported opex'!F69</f>
        <v>46447</v>
      </c>
      <c r="J28" s="69">
        <f>IF('Input|Reported opex'!J$61='Input|Reported opex'!J$10,'Input|Reported opex'!J69,0)</f>
        <v>0</v>
      </c>
      <c r="K28" s="69">
        <f>IF('Input|Reported opex'!K$61='Input|Reported opex'!K$10,'Input|Reported opex'!K69,0)</f>
        <v>0</v>
      </c>
      <c r="L28" s="69">
        <f>IF('Input|Reported opex'!L$61='Input|Reported opex'!L$10,'Input|Reported opex'!L69,0)</f>
        <v>0</v>
      </c>
      <c r="M28" s="69">
        <f>IF('Input|Reported opex'!M$61='Input|Reported opex'!M$10,'Input|Reported opex'!M69,0)</f>
        <v>0</v>
      </c>
      <c r="N28" s="69">
        <f>IF('Input|Reported opex'!N$61='Input|Reported opex'!N$10,'Input|Reported opex'!N69,0)</f>
        <v>0</v>
      </c>
      <c r="O28" s="69">
        <f>IF('Input|Reported opex'!O$61='Input|Reported opex'!O$10,'Input|Reported opex'!O69,0)</f>
        <v>0</v>
      </c>
      <c r="P28" s="69">
        <f>IF('Input|Reported opex'!P$61='Input|Reported opex'!P$10,'Input|Reported opex'!P69,0)</f>
        <v>0</v>
      </c>
      <c r="Q28" s="69">
        <f>IF('Input|Reported opex'!Q$61='Input|Reported opex'!Q$10,'Input|Reported opex'!Q69,0)</f>
        <v>0</v>
      </c>
      <c r="R28" s="69">
        <f>IF('Input|Reported opex'!R$61='Input|Reported opex'!R$10,'Input|Reported opex'!R69,0)</f>
        <v>0</v>
      </c>
      <c r="S28" s="69">
        <f>IF('Input|Reported opex'!S$61='Input|Reported opex'!S$10,'Input|Reported opex'!S69,0)</f>
        <v>0</v>
      </c>
      <c r="T28" s="69"/>
    </row>
    <row r="29" spans="3:20" ht="10.5" outlineLevel="1">
      <c r="C29" s="76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7">
        <f>$F$8</f>
        <v>46447</v>
      </c>
      <c r="J29" s="69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69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69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69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69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69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69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69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69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69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69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ht="10.5" outlineLevel="1">
      <c r="C30" s="76"/>
      <c r="F30" s="97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</row>
    <row r="31" spans="3:20" ht="10.5" outlineLevel="1">
      <c r="C31" s="76" t="s">
        <v>143</v>
      </c>
      <c r="D31" s="16" t="s">
        <v>30</v>
      </c>
      <c r="E31" s="16" t="str">
        <f>$E$8</f>
        <v>$millions</v>
      </c>
      <c r="F31" s="97">
        <f>$F$8</f>
        <v>46447</v>
      </c>
      <c r="J31" s="69">
        <f t="shared" ref="J31:S31" si="2">IF(YEAR(J$4)=PPLastYear,-SUM($J15:$S15)+SUM($J17:$S17),0)</f>
        <v>0</v>
      </c>
      <c r="K31" s="69">
        <f t="shared" si="2"/>
        <v>0</v>
      </c>
      <c r="L31" s="69">
        <f t="shared" si="2"/>
        <v>0</v>
      </c>
      <c r="M31" s="69">
        <f t="shared" si="2"/>
        <v>0</v>
      </c>
      <c r="N31" s="69">
        <f t="shared" si="2"/>
        <v>0.21303206404888897</v>
      </c>
      <c r="O31" s="69">
        <f t="shared" si="2"/>
        <v>0</v>
      </c>
      <c r="P31" s="69">
        <f t="shared" si="2"/>
        <v>0</v>
      </c>
      <c r="Q31" s="69">
        <f t="shared" si="2"/>
        <v>0</v>
      </c>
      <c r="R31" s="69">
        <f t="shared" si="2"/>
        <v>0</v>
      </c>
      <c r="S31" s="69">
        <f t="shared" si="2"/>
        <v>0</v>
      </c>
      <c r="T31" s="69"/>
    </row>
    <row r="32" spans="3:20" ht="10.5" outlineLevel="1">
      <c r="C32" s="76"/>
      <c r="F32" s="97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</row>
    <row r="33" spans="3:20" ht="10.5" outlineLevel="1">
      <c r="C33" s="76" t="s">
        <v>98</v>
      </c>
      <c r="D33" s="16" t="s">
        <v>30</v>
      </c>
      <c r="E33" s="16" t="str">
        <f>$E$8</f>
        <v>$millions</v>
      </c>
      <c r="F33" s="97">
        <f>$F$8</f>
        <v>46447</v>
      </c>
      <c r="J33" s="69">
        <f t="shared" ref="J33:S33" si="3">IF(YEAR(J$4)=PPLastYear,SUM($J26:$S26,$J29:$S29,$J31:$S31),0)</f>
        <v>0</v>
      </c>
      <c r="K33" s="69">
        <f t="shared" si="3"/>
        <v>0</v>
      </c>
      <c r="L33" s="69">
        <f t="shared" si="3"/>
        <v>0</v>
      </c>
      <c r="M33" s="69">
        <f t="shared" si="3"/>
        <v>0</v>
      </c>
      <c r="N33" s="69">
        <f t="shared" ca="1" si="3"/>
        <v>412.98427937737864</v>
      </c>
      <c r="O33" s="69">
        <f t="shared" si="3"/>
        <v>0</v>
      </c>
      <c r="P33" s="69">
        <f t="shared" si="3"/>
        <v>0</v>
      </c>
      <c r="Q33" s="69">
        <f t="shared" si="3"/>
        <v>0</v>
      </c>
      <c r="R33" s="69">
        <f t="shared" si="3"/>
        <v>0</v>
      </c>
      <c r="S33" s="69">
        <f t="shared" si="3"/>
        <v>0</v>
      </c>
      <c r="T33" s="69"/>
    </row>
    <row r="34" spans="3:20" ht="10.5" outlineLevel="1">
      <c r="C34" s="76"/>
      <c r="F34" s="97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</row>
    <row r="35" spans="3:20" ht="10.5" outlineLevel="1">
      <c r="C35" s="76" t="s">
        <v>148</v>
      </c>
      <c r="D35" s="16" t="s">
        <v>30</v>
      </c>
      <c r="E35" s="16" t="str">
        <f>$E$8</f>
        <v>$millions</v>
      </c>
      <c r="F35" s="97">
        <f>$F$8</f>
        <v>46447</v>
      </c>
      <c r="J35" s="69">
        <f t="shared" ref="J35:S35" si="4">IF(YEAR(J$4)=PPLastYear,-(SUM($J20:$S20)-SUM($J22:$S22)+SUM($J24:$S24)),0)</f>
        <v>0</v>
      </c>
      <c r="K35" s="69">
        <f t="shared" si="4"/>
        <v>0</v>
      </c>
      <c r="L35" s="69">
        <f t="shared" si="4"/>
        <v>0</v>
      </c>
      <c r="M35" s="69">
        <f t="shared" si="4"/>
        <v>0</v>
      </c>
      <c r="N35" s="69">
        <f t="shared" si="4"/>
        <v>-284.43838385123308</v>
      </c>
      <c r="O35" s="69">
        <f t="shared" si="4"/>
        <v>0</v>
      </c>
      <c r="P35" s="69">
        <f t="shared" si="4"/>
        <v>0</v>
      </c>
      <c r="Q35" s="69">
        <f t="shared" si="4"/>
        <v>0</v>
      </c>
      <c r="R35" s="69">
        <f t="shared" si="4"/>
        <v>0</v>
      </c>
      <c r="S35" s="69">
        <f t="shared" si="4"/>
        <v>0</v>
      </c>
      <c r="T35" s="69"/>
    </row>
    <row r="36" spans="3:20" ht="10.5" outlineLevel="1">
      <c r="C36" s="76"/>
      <c r="F36" s="97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</row>
    <row r="37" spans="3:20" ht="10.5" outlineLevel="1">
      <c r="C37" s="76" t="str">
        <f>'Input|Reported opex'!$C$63</f>
        <v>Non-recurrent digital opex</v>
      </c>
      <c r="D37" s="64" t="s">
        <v>87</v>
      </c>
      <c r="E37" s="16" t="str">
        <f>'Input|Reported opex'!E63</f>
        <v>$millions</v>
      </c>
      <c r="F37" s="97">
        <f>'Input|Reported opex'!F63</f>
        <v>46447</v>
      </c>
      <c r="J37" s="65">
        <f>IF(YEAR(J$4)=PPLastYear,'Input|Reported opex'!J63,0)</f>
        <v>0</v>
      </c>
      <c r="K37" s="65">
        <f>IF(YEAR(K$4)=PPLastYear,'Input|Reported opex'!K63,0)</f>
        <v>0</v>
      </c>
      <c r="L37" s="65">
        <f>IF(YEAR(L$4)=PPLastYear,'Input|Reported opex'!L63,0)</f>
        <v>0</v>
      </c>
      <c r="M37" s="65"/>
      <c r="N37" s="65">
        <f>IF(YEAR(N$4)=PPLastYear,'Input|Reported opex'!M63,0)</f>
        <v>-2.3844115319199997</v>
      </c>
      <c r="O37" s="65">
        <f>IF(YEAR(O$4)=PPLastYear,'Input|Reported opex'!O63,0)</f>
        <v>0</v>
      </c>
      <c r="P37" s="65">
        <f>IF(YEAR(P$4)=PPLastYear,'Input|Reported opex'!P63,0)</f>
        <v>0</v>
      </c>
      <c r="Q37" s="65">
        <f>IF(YEAR(Q$4)=PPLastYear,'Input|Reported opex'!Q63,0)</f>
        <v>0</v>
      </c>
      <c r="R37" s="65">
        <f>IF(YEAR(R$4)=PPLastYear,'Input|Reported opex'!R63,0)</f>
        <v>0</v>
      </c>
      <c r="S37" s="65">
        <f>IF(YEAR(S$4)=PPLastYear,'Input|Reported opex'!S63,0)</f>
        <v>0</v>
      </c>
      <c r="T37" s="65"/>
    </row>
    <row r="38" spans="3:20" ht="10.5" outlineLevel="1">
      <c r="C38" s="76" t="str">
        <f>C37</f>
        <v>Non-recurrent digital opex</v>
      </c>
      <c r="D38" s="16" t="s">
        <v>30</v>
      </c>
      <c r="E38" s="16" t="str">
        <f>$E$8</f>
        <v>$millions</v>
      </c>
      <c r="F38" s="97">
        <f>$F$8</f>
        <v>46447</v>
      </c>
      <c r="J38" s="69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69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69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69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69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-2.3844115319199997</v>
      </c>
      <c r="O38" s="69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69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69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69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69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69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ht="10.5" outlineLevel="1">
      <c r="C39" s="76"/>
      <c r="F39" s="97"/>
      <c r="J39" s="69"/>
      <c r="K39" s="69"/>
      <c r="L39" s="69"/>
      <c r="M39" s="69"/>
      <c r="N39" s="69"/>
      <c r="O39" s="69"/>
      <c r="P39" s="69"/>
      <c r="Q39" s="69"/>
      <c r="R39" s="65"/>
      <c r="S39" s="65"/>
      <c r="T39" s="65"/>
    </row>
    <row r="40" spans="3:20" ht="10.5" outlineLevel="1">
      <c r="C40" s="76">
        <f>'Input|Reported opex'!$C$64</f>
        <v>0</v>
      </c>
      <c r="D40" s="64" t="s">
        <v>87</v>
      </c>
      <c r="E40" s="16" t="str">
        <f>'Input|Reported opex'!$E$64</f>
        <v>$millions</v>
      </c>
      <c r="F40" s="97">
        <f>'Input|Reported opex'!$F$64</f>
        <v>46447</v>
      </c>
      <c r="J40" s="65">
        <f>IF(YEAR(J$4)=PPLastYear,'Input|Reported opex'!J64,0)</f>
        <v>0</v>
      </c>
      <c r="K40" s="65">
        <f>IF(YEAR(K$4)=PPLastYear,'Input|Reported opex'!K64,0)</f>
        <v>0</v>
      </c>
      <c r="L40" s="65">
        <f>IF(YEAR(L$4)=PPLastYear,'Input|Reported opex'!L64,0)</f>
        <v>0</v>
      </c>
      <c r="M40" s="65">
        <f>IF(YEAR(M$4)=PPLastYear,'Input|Reported opex'!M64,0)</f>
        <v>0</v>
      </c>
      <c r="N40" s="65">
        <f>IF(YEAR(N$4)=PPLastYear,'Input|Reported opex'!N64,0)</f>
        <v>0</v>
      </c>
      <c r="O40" s="65">
        <f>IF(YEAR(O$4)=PPLastYear,'Input|Reported opex'!O64,0)</f>
        <v>0</v>
      </c>
      <c r="P40" s="65">
        <f>IF(YEAR(P$4)=PPLastYear,'Input|Reported opex'!P64,0)</f>
        <v>0</v>
      </c>
      <c r="Q40" s="65">
        <f>IF(YEAR(Q$4)=PPLastYear,'Input|Reported opex'!Q64,0)</f>
        <v>0</v>
      </c>
      <c r="R40" s="65">
        <f>IF(YEAR(R$4)=PPLastYear,'Input|Reported opex'!R64,0)</f>
        <v>0</v>
      </c>
      <c r="S40" s="65">
        <f>IF(YEAR(S$4)=PPLastYear,'Input|Reported opex'!S64,0)</f>
        <v>0</v>
      </c>
      <c r="T40" s="65"/>
    </row>
    <row r="41" spans="3:20" ht="10.5" outlineLevel="1">
      <c r="C41" s="76">
        <f>C40</f>
        <v>0</v>
      </c>
      <c r="D41" s="16" t="s">
        <v>30</v>
      </c>
      <c r="E41" s="16" t="str">
        <f>$E$8</f>
        <v>$millions</v>
      </c>
      <c r="F41" s="97">
        <f>$F$8</f>
        <v>46447</v>
      </c>
      <c r="J41" s="69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69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69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69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69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69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69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69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69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69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69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ht="10.5" outlineLevel="1">
      <c r="C42" s="76"/>
      <c r="F42" s="97"/>
      <c r="J42" s="69"/>
      <c r="K42" s="69"/>
      <c r="L42" s="69"/>
      <c r="M42" s="69"/>
      <c r="N42" s="69"/>
      <c r="O42" s="69"/>
      <c r="P42" s="69"/>
      <c r="Q42" s="69"/>
      <c r="R42" s="65"/>
      <c r="S42" s="65"/>
      <c r="T42" s="65"/>
    </row>
    <row r="43" spans="3:20" ht="10.5" outlineLevel="1">
      <c r="C43" s="76">
        <f>'Input|Reported opex'!$C$65</f>
        <v>0</v>
      </c>
      <c r="D43" s="64" t="s">
        <v>87</v>
      </c>
      <c r="E43" s="16" t="str">
        <f>'Input|Reported opex'!$E$65</f>
        <v>$millions</v>
      </c>
      <c r="F43" s="97">
        <f>'Input|Reported opex'!$F$65</f>
        <v>46447</v>
      </c>
      <c r="J43" s="65">
        <f>IF(YEAR(J$4)=PPLastYear,'Input|Reported opex'!J65,0)</f>
        <v>0</v>
      </c>
      <c r="K43" s="65">
        <f>IF(YEAR(K$4)=PPLastYear,'Input|Reported opex'!K65,0)</f>
        <v>0</v>
      </c>
      <c r="L43" s="65">
        <f>IF(YEAR(L$4)=PPLastYear,'Input|Reported opex'!L65,0)</f>
        <v>0</v>
      </c>
      <c r="M43" s="65">
        <f>IF(YEAR(M$4)=PPLastYear,'Input|Reported opex'!M65,0)</f>
        <v>0</v>
      </c>
      <c r="N43" s="65">
        <f>IF(YEAR(N$4)=PPLastYear,'Input|Reported opex'!N65,0)</f>
        <v>0</v>
      </c>
      <c r="O43" s="65">
        <f>IF(YEAR(O$4)=PPLastYear,'Input|Reported opex'!O65,0)</f>
        <v>0</v>
      </c>
      <c r="P43" s="65">
        <f>IF(YEAR(P$4)=PPLastYear,'Input|Reported opex'!P65,0)</f>
        <v>0</v>
      </c>
      <c r="Q43" s="65">
        <f>IF(YEAR(Q$4)=PPLastYear,'Input|Reported opex'!Q65,0)</f>
        <v>0</v>
      </c>
      <c r="R43" s="65">
        <f>IF(YEAR(R$4)=PPLastYear,'Input|Reported opex'!R65,0)</f>
        <v>0</v>
      </c>
      <c r="S43" s="65">
        <f>IF(YEAR(S$4)=PPLastYear,'Input|Reported opex'!S65,0)</f>
        <v>0</v>
      </c>
      <c r="T43" s="65"/>
    </row>
    <row r="44" spans="3:20" ht="10.5" outlineLevel="1">
      <c r="C44" s="76">
        <f>C43</f>
        <v>0</v>
      </c>
      <c r="D44" s="16" t="s">
        <v>30</v>
      </c>
      <c r="E44" s="16" t="str">
        <f>$E$8</f>
        <v>$millions</v>
      </c>
      <c r="F44" s="97">
        <f>$F$8</f>
        <v>46447</v>
      </c>
      <c r="J44" s="69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69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69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69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69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69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69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69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69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69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69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ht="10.5" outlineLevel="1">
      <c r="C45" s="76"/>
      <c r="F45" s="97"/>
      <c r="J45" s="69"/>
      <c r="K45" s="69"/>
      <c r="L45" s="69"/>
      <c r="M45" s="69"/>
      <c r="N45" s="69"/>
      <c r="O45" s="69"/>
      <c r="P45" s="69"/>
      <c r="Q45" s="69"/>
      <c r="R45" s="65"/>
      <c r="S45" s="65"/>
      <c r="T45" s="65"/>
    </row>
    <row r="46" spans="3:20" ht="10.5" outlineLevel="1">
      <c r="C46" s="76">
        <f>'Input|Reported opex'!$C$66</f>
        <v>0</v>
      </c>
      <c r="D46" s="64" t="s">
        <v>87</v>
      </c>
      <c r="E46" s="16" t="str">
        <f>'Input|Reported opex'!$E$66</f>
        <v>$millions</v>
      </c>
      <c r="F46" s="97">
        <f>'Input|Reported opex'!$F$66</f>
        <v>46447</v>
      </c>
      <c r="J46" s="65">
        <f>IF(YEAR(J$4)=PPLastYear,'Input|Reported opex'!J66,0)</f>
        <v>0</v>
      </c>
      <c r="K46" s="65">
        <f>IF(YEAR(K$4)=PPLastYear,'Input|Reported opex'!K66,0)</f>
        <v>0</v>
      </c>
      <c r="L46" s="65">
        <f>IF(YEAR(L$4)=PPLastYear,'Input|Reported opex'!L66,0)</f>
        <v>0</v>
      </c>
      <c r="M46" s="65">
        <f>IF(YEAR(M$4)=PPLastYear,'Input|Reported opex'!M66,0)</f>
        <v>0</v>
      </c>
      <c r="N46" s="65">
        <f>IF(YEAR(N$4)=PPLastYear,'Input|Reported opex'!N66,0)</f>
        <v>0</v>
      </c>
      <c r="O46" s="65">
        <f>IF(YEAR(O$4)=PPLastYear,'Input|Reported opex'!O66,0)</f>
        <v>0</v>
      </c>
      <c r="P46" s="65">
        <f>IF(YEAR(P$4)=PPLastYear,'Input|Reported opex'!P66,0)</f>
        <v>0</v>
      </c>
      <c r="Q46" s="65">
        <f>IF(YEAR(Q$4)=PPLastYear,'Input|Reported opex'!Q66,0)</f>
        <v>0</v>
      </c>
      <c r="R46" s="65">
        <f>IF(YEAR(R$4)=PPLastYear,'Input|Reported opex'!R66,0)</f>
        <v>0</v>
      </c>
      <c r="S46" s="65">
        <f>IF(YEAR(S$4)=PPLastYear,'Input|Reported opex'!S66,0)</f>
        <v>0</v>
      </c>
      <c r="T46" s="65"/>
    </row>
    <row r="47" spans="3:20" ht="10.5" outlineLevel="1">
      <c r="C47" s="76">
        <f>C46</f>
        <v>0</v>
      </c>
      <c r="D47" s="16" t="s">
        <v>30</v>
      </c>
      <c r="E47" s="16" t="str">
        <f>$E$8</f>
        <v>$millions</v>
      </c>
      <c r="F47" s="97">
        <f>$F$8</f>
        <v>46447</v>
      </c>
      <c r="J47" s="69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69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69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69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69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69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69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69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69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69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69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ht="10.5" outlineLevel="1">
      <c r="C48" s="76"/>
      <c r="F48" s="97"/>
      <c r="J48" s="69"/>
      <c r="K48" s="69"/>
      <c r="L48" s="69"/>
      <c r="M48" s="69"/>
      <c r="N48" s="69"/>
      <c r="O48" s="69"/>
      <c r="P48" s="69"/>
      <c r="Q48" s="69"/>
      <c r="R48" s="65"/>
      <c r="S48" s="65"/>
      <c r="T48" s="65"/>
    </row>
    <row r="49" spans="1:31" ht="10.5" outlineLevel="1">
      <c r="C49" s="76">
        <f>'Input|Reported opex'!$C$67</f>
        <v>0</v>
      </c>
      <c r="D49" s="64" t="s">
        <v>87</v>
      </c>
      <c r="E49" s="16" t="str">
        <f>'Input|Reported opex'!$E$67</f>
        <v>$millions</v>
      </c>
      <c r="F49" s="97">
        <f>'Input|Reported opex'!$F$67</f>
        <v>46447</v>
      </c>
      <c r="J49" s="65">
        <f>IF(YEAR(J$4)=PPLastYear,'Input|Reported opex'!J67,0)</f>
        <v>0</v>
      </c>
      <c r="K49" s="65">
        <f>IF(YEAR(K$4)=PPLastYear,'Input|Reported opex'!K67,0)</f>
        <v>0</v>
      </c>
      <c r="L49" s="65">
        <f>IF(YEAR(L$4)=PPLastYear,'Input|Reported opex'!L67,0)</f>
        <v>0</v>
      </c>
      <c r="M49" s="65">
        <f>IF(YEAR(M$4)=PPLastYear,'Input|Reported opex'!M67,0)</f>
        <v>0</v>
      </c>
      <c r="N49" s="65">
        <f>IF(YEAR(N$4)=PPLastYear,'Input|Reported opex'!N67,0)</f>
        <v>0</v>
      </c>
      <c r="O49" s="65">
        <f>IF(YEAR(O$4)=PPLastYear,'Input|Reported opex'!O67,0)</f>
        <v>0</v>
      </c>
      <c r="P49" s="65">
        <f>IF(YEAR(P$4)=PPLastYear,'Input|Reported opex'!P67,0)</f>
        <v>0</v>
      </c>
      <c r="Q49" s="65">
        <f>IF(YEAR(Q$4)=PPLastYear,'Input|Reported opex'!Q67,0)</f>
        <v>0</v>
      </c>
      <c r="R49" s="65">
        <f>IF(YEAR(R$4)=PPLastYear,'Input|Reported opex'!R67,0)</f>
        <v>0</v>
      </c>
      <c r="S49" s="65">
        <f>IF(YEAR(S$4)=PPLastYear,'Input|Reported opex'!S67,0)</f>
        <v>0</v>
      </c>
      <c r="T49" s="65"/>
    </row>
    <row r="50" spans="1:31" ht="10.5" outlineLevel="1">
      <c r="C50" s="76">
        <f>C49</f>
        <v>0</v>
      </c>
      <c r="D50" s="16" t="s">
        <v>30</v>
      </c>
      <c r="E50" s="16" t="str">
        <f>$E$8</f>
        <v>$millions</v>
      </c>
      <c r="F50" s="97">
        <f>$F$8</f>
        <v>46447</v>
      </c>
      <c r="J50" s="69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69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69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69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69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69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69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69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69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69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69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ht="10.5" outlineLevel="1">
      <c r="C51" s="76"/>
      <c r="F51" s="97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</row>
    <row r="52" spans="1:31" ht="10.5" outlineLevel="1">
      <c r="C52" s="76" t="s">
        <v>84</v>
      </c>
      <c r="D52" s="16" t="s">
        <v>92</v>
      </c>
      <c r="E52" s="16" t="str">
        <f>$E$8</f>
        <v>$millions</v>
      </c>
      <c r="F52" s="97">
        <f>$F$8</f>
        <v>46447</v>
      </c>
      <c r="J52" s="69">
        <f>SUM(J33,J38,J41,J44,J47,J50)*'Input|Reported opex'!J71</f>
        <v>0</v>
      </c>
      <c r="K52" s="69">
        <f>SUM(K33,K38,K41,K44,K47,K50)*'Input|Reported opex'!K71</f>
        <v>0</v>
      </c>
      <c r="L52" s="69">
        <f>SUM(L33,L38,L41,L44,L47,L50)*'Input|Reported opex'!L71</f>
        <v>0</v>
      </c>
      <c r="M52" s="69">
        <f>SUM(M33,M38,M41,M44,M47,M50)*'Input|Reported opex'!M71</f>
        <v>0</v>
      </c>
      <c r="N52" s="69">
        <f ca="1">SUM(N33,N38,N41,N44,N47,N50)*'Input|Reported opex'!N71</f>
        <v>0</v>
      </c>
      <c r="O52" s="69">
        <f>SUM(O33,O38,O41,O44,O47,O50)*'Input|Reported opex'!O71</f>
        <v>0</v>
      </c>
      <c r="P52" s="69">
        <f>SUM(P33,P38,P41,P44,P47,P50)*'Input|Reported opex'!P71</f>
        <v>0</v>
      </c>
      <c r="Q52" s="69">
        <f>SUM(Q33,Q38,Q41,Q44,Q47,Q50)*'Input|Reported opex'!Q71</f>
        <v>0</v>
      </c>
      <c r="R52" s="69">
        <f>SUM(R33,R38,R41,R44,R47,R50)*'Input|Reported opex'!R71</f>
        <v>0</v>
      </c>
      <c r="S52" s="69">
        <f>SUM(S33,S38,S41,S44,S47,S50)*'Input|Reported opex'!S71</f>
        <v>0</v>
      </c>
      <c r="T52" s="69"/>
    </row>
    <row r="53" spans="1:31" ht="10.5" outlineLevel="1">
      <c r="C53" s="76"/>
      <c r="F53" s="97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</row>
    <row r="54" spans="1:31" ht="10.5" outlineLevel="1">
      <c r="C54" s="101" t="s">
        <v>149</v>
      </c>
      <c r="D54" s="66" t="s">
        <v>92</v>
      </c>
      <c r="E54" s="66" t="str">
        <f>$E$8</f>
        <v>$millions</v>
      </c>
      <c r="F54" s="102">
        <f>$F$8</f>
        <v>46447</v>
      </c>
      <c r="J54" s="69">
        <f>SUM(J33,J35,J38,J41,J44,J47,J50,J52)</f>
        <v>0</v>
      </c>
      <c r="K54" s="69">
        <f t="shared" ref="K54:S54" si="5">SUM(K33,K35,K38,K41,K44,K47,K50,K52)</f>
        <v>0</v>
      </c>
      <c r="L54" s="69">
        <f t="shared" si="5"/>
        <v>0</v>
      </c>
      <c r="M54" s="69">
        <f t="shared" si="5"/>
        <v>0</v>
      </c>
      <c r="N54" s="69">
        <f t="shared" ca="1" si="5"/>
        <v>126.16148399422556</v>
      </c>
      <c r="O54" s="69">
        <f t="shared" si="5"/>
        <v>0</v>
      </c>
      <c r="P54" s="69">
        <f t="shared" si="5"/>
        <v>0</v>
      </c>
      <c r="Q54" s="69">
        <f t="shared" si="5"/>
        <v>0</v>
      </c>
      <c r="R54" s="69">
        <f t="shared" si="5"/>
        <v>0</v>
      </c>
      <c r="S54" s="69">
        <f t="shared" si="5"/>
        <v>0</v>
      </c>
      <c r="T54" s="69"/>
    </row>
    <row r="55" spans="1:31">
      <c r="J55" s="63"/>
      <c r="K55" s="63"/>
      <c r="L55" s="63"/>
    </row>
    <row r="56" spans="1:31" customFormat="1" ht="13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1:31" ht="10.5" outlineLevel="1">
      <c r="C58" s="9" t="s">
        <v>42</v>
      </c>
      <c r="D58" s="20" t="s">
        <v>7</v>
      </c>
      <c r="E58" s="20" t="s">
        <v>8</v>
      </c>
      <c r="F58" s="20" t="s">
        <v>22</v>
      </c>
      <c r="J58" s="98" t="str">
        <f>IF(YEAR(J$4)&gt;='Input|General'!$G$13,IF(YEAR(J$4)&lt;='Input|General'!$G$14,J$4,""),"")</f>
        <v/>
      </c>
      <c r="K58" s="98" t="str">
        <f>IF(YEAR(K$4)&gt;='Input|General'!$G$13,IF(YEAR(K$4)&lt;='Input|General'!$G$14,K$4,""),"")</f>
        <v/>
      </c>
      <c r="L58" s="98" t="str">
        <f>IF(YEAR(L$4)&gt;='Input|General'!$G$13,IF(YEAR(L$4)&lt;='Input|General'!$G$14,L$4,""),"")</f>
        <v/>
      </c>
      <c r="M58" s="98" t="str">
        <f>IF(YEAR(M$4)&gt;='Input|General'!$G$13,IF(YEAR(M$4)&lt;='Input|General'!$G$14,M$4,""),"")</f>
        <v/>
      </c>
      <c r="N58" s="98" t="str">
        <f>IF(YEAR(N$4)&gt;='Input|General'!$G$13,IF(YEAR(N$4)&lt;='Input|General'!$G$14,N$4,""),"")</f>
        <v/>
      </c>
      <c r="O58" s="98">
        <f>IF(YEAR(O$4)&gt;='Input|General'!$G$13,IF(YEAR(O$4)&lt;='Input|General'!$G$14,O$4,""),"")</f>
        <v>46813</v>
      </c>
      <c r="P58" s="98">
        <f>IF(YEAR(P$4)&gt;='Input|General'!$G$13,IF(YEAR(P$4)&lt;='Input|General'!$G$14,P$4,""),"")</f>
        <v>47178</v>
      </c>
      <c r="Q58" s="98">
        <f>IF(YEAR(Q$4)&gt;='Input|General'!$G$13,IF(YEAR(Q$4)&lt;='Input|General'!$G$14,Q$4,""),"")</f>
        <v>47543</v>
      </c>
      <c r="R58" s="98">
        <f>IF(YEAR(R$4)&gt;='Input|General'!$G$13,IF(YEAR(R$4)&lt;='Input|General'!$G$14,R$4,""),"")</f>
        <v>47908</v>
      </c>
      <c r="S58" s="98">
        <f>IF(YEAR(S$4)&gt;='Input|General'!$G$13,IF(YEAR(S$4)&lt;='Input|General'!$G$14,S$4,""),"")</f>
        <v>48274</v>
      </c>
      <c r="T58" s="98" t="str">
        <f>IF(YEAR(T$4)&gt;='Input|General'!$G$13,IF(YEAR(T$4)&lt;='Input|General'!$G$14,T$4,""),"")</f>
        <v/>
      </c>
    </row>
    <row r="59" spans="1:31" ht="10.5" outlineLevel="1">
      <c r="C59" s="9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1:31" ht="10.5" outlineLevel="1">
      <c r="B60" s="9"/>
      <c r="C60" s="70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1">
        <f ca="1">IF(J58=J4,AVERAGE(OFFSET('Input|Rate of change'!K106,0,0,COUNTA('Input|Rate of change'!$J$84:$M$84),1)),0)</f>
        <v>0</v>
      </c>
      <c r="K61" s="71">
        <f ca="1">IF(K58=K4,AVERAGE(OFFSET('Input|Rate of change'!L106,0,0,COUNTA('Input|Rate of change'!$J$84:$M$84),1)),0)</f>
        <v>0</v>
      </c>
      <c r="L61" s="71">
        <f ca="1">IF(L58=L4,AVERAGE(OFFSET('Input|Rate of change'!M106,0,0,COUNTA('Input|Rate of change'!$J$84:$M$84),1)),0)</f>
        <v>0</v>
      </c>
      <c r="M61" s="71">
        <f ca="1">IF(M58=M4,AVERAGE(OFFSET('Input|Rate of change'!N106,0,0,COUNTA('Input|Rate of change'!$J$84:$M$84),1)),0)</f>
        <v>0</v>
      </c>
      <c r="N61" s="71">
        <f ca="1">IF(N58=N4,AVERAGE(OFFSET('Input|Rate of change'!O106,0,0,COUNTA('Input|Rate of change'!$J$84:$M$84),1)),0)</f>
        <v>0</v>
      </c>
      <c r="O61" s="71">
        <f ca="1">IF(O58=O4,AVERAGE(OFFSET('Input|Rate of change'!P106,0,0,COUNTA('Input|Rate of change'!$J$84:$M$84),1)),0)</f>
        <v>0</v>
      </c>
      <c r="P61" s="71">
        <f ca="1">IF(P58=P4,AVERAGE(OFFSET('Input|Rate of change'!Q106,0,0,COUNTA('Input|Rate of change'!$J$84:$M$84),1)),0)</f>
        <v>0</v>
      </c>
      <c r="Q61" s="71">
        <f ca="1">IF(Q58=Q4,AVERAGE(OFFSET('Input|Rate of change'!R106,0,0,COUNTA('Input|Rate of change'!$J$84:$M$84),1)),0)</f>
        <v>0</v>
      </c>
      <c r="R61" s="71">
        <f ca="1">IF(R58=R4,AVERAGE(OFFSET('Input|Rate of change'!S106,0,0,COUNTA('Input|Rate of change'!$J$84:$M$84),1)),0)</f>
        <v>0</v>
      </c>
      <c r="S61" s="71">
        <f ca="1">IF(S58=S4,AVERAGE(OFFSET('Input|Rate of change'!T106,0,0,COUNTA('Input|Rate of change'!$J$84:$M$84),1)),0)</f>
        <v>0</v>
      </c>
      <c r="T61" s="71">
        <f ca="1">IF(T58=T4,AVERAGE(OFFSET('Input|Rate of change'!U106,0,0,COUNTA('Input|Rate of change'!$J$95:$M$95),1)),0)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1">
        <f t="array" ref="J62">IF(J$58=J$4,PRODUCT(1+$J61:J61)-1,0)</f>
        <v>0</v>
      </c>
      <c r="K62" s="71">
        <f t="array" ref="K62">IF(K$58=K$4,PRODUCT(1+$J61:K61)-1,0)</f>
        <v>0</v>
      </c>
      <c r="L62" s="71">
        <f t="array" ref="L62">IF(L$58=L$4,PRODUCT(1+$J61:L61)-1,0)</f>
        <v>0</v>
      </c>
      <c r="M62" s="71">
        <f t="array" ref="M62">IF(M$58=M$4,PRODUCT(1+$J61:M61)-1,0)</f>
        <v>0</v>
      </c>
      <c r="N62" s="71">
        <f t="array" ref="N62">IF(N$58=N$4,PRODUCT(1+$J61:N61)-1,0)</f>
        <v>0</v>
      </c>
      <c r="O62" s="71">
        <f t="array" aca="1" ref="O62" ca="1">IF(O$58=O$4,PRODUCT(1+$J61:O61)-1,0)</f>
        <v>0</v>
      </c>
      <c r="P62" s="71">
        <f t="array" aca="1" ref="P62" ca="1">IF(P$58=P$4,PRODUCT(1+$J61:P61)-1,0)</f>
        <v>0</v>
      </c>
      <c r="Q62" s="71">
        <f t="array" aca="1" ref="Q62" ca="1">IF(Q$58=Q$4,PRODUCT(1+$J61:Q61)-1,0)</f>
        <v>0</v>
      </c>
      <c r="R62" s="71">
        <f t="array" aca="1" ref="R62" ca="1">IF(R$58=R$4,PRODUCT(1+$J61:R61)-1,0)</f>
        <v>0</v>
      </c>
      <c r="S62" s="71">
        <f t="array" aca="1" ref="S62" ca="1">IF(S$58=S$4,PRODUCT(1+$J61:S61)-1,0)</f>
        <v>0</v>
      </c>
      <c r="T62" s="71">
        <f t="array" ref="T62">IF(T$58=T$4,PRODUCT(1+$J61:T61)-1,0)</f>
        <v>0</v>
      </c>
    </row>
    <row r="63" spans="1:31" outlineLevel="1"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1">
        <f>SUMPRODUCT('Input|Rate of change'!K38:K45,'Input|Rate of change'!K51:K58)</f>
        <v>0</v>
      </c>
      <c r="K64" s="71">
        <f>SUMPRODUCT('Input|Rate of change'!L38:L45,'Input|Rate of change'!L51:L58)</f>
        <v>0</v>
      </c>
      <c r="L64" s="71">
        <f>SUMPRODUCT('Input|Rate of change'!M38:M45,'Input|Rate of change'!M51:M58)</f>
        <v>0</v>
      </c>
      <c r="M64" s="71">
        <f>SUMPRODUCT('Input|Rate of change'!N38:N45,'Input|Rate of change'!N51:N58)</f>
        <v>0</v>
      </c>
      <c r="N64" s="71">
        <f>SUMPRODUCT('Input|Rate of change'!O38:O45,'Input|Rate of change'!O51:O58)</f>
        <v>0</v>
      </c>
      <c r="O64" s="71">
        <f>SUMPRODUCT('Input|Rate of change'!P38:P45,'Input|Rate of change'!P51:P58)</f>
        <v>5.9672120757214113E-3</v>
      </c>
      <c r="P64" s="71">
        <f>SUMPRODUCT('Input|Rate of change'!Q38:Q45,'Input|Rate of change'!Q51:Q58)</f>
        <v>7.3950779994677585E-3</v>
      </c>
      <c r="Q64" s="71">
        <f>SUMPRODUCT('Input|Rate of change'!R38:R45,'Input|Rate of change'!R51:R58)</f>
        <v>7.8149218551256602E-3</v>
      </c>
      <c r="R64" s="71">
        <f>SUMPRODUCT('Input|Rate of change'!S38:S45,'Input|Rate of change'!S51:S58)</f>
        <v>7.4292217693276074E-3</v>
      </c>
      <c r="S64" s="71">
        <f>SUMPRODUCT('Input|Rate of change'!T38:T45,'Input|Rate of change'!T51:T58)</f>
        <v>7.1516084249106096E-3</v>
      </c>
      <c r="T64" s="71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1">
        <f t="array" ref="J65">IF(J$58=J$4,PRODUCT(1+$J64:J64)-1,0)</f>
        <v>0</v>
      </c>
      <c r="K65" s="71">
        <f t="array" ref="K65">IF(K$58=K$4,PRODUCT(1+$J64:K64)-1,0)</f>
        <v>0</v>
      </c>
      <c r="L65" s="71">
        <f t="array" ref="L65">IF(L$58=L$4,PRODUCT(1+$J64:L64)-1,0)</f>
        <v>0</v>
      </c>
      <c r="M65" s="71">
        <f t="array" ref="M65">IF(M$58=M$4,PRODUCT(1+$J64:M64)-1,0)</f>
        <v>0</v>
      </c>
      <c r="N65" s="71">
        <f t="array" ref="N65">IF(N$58=N$4,PRODUCT(1+$J64:N64)-1,0)</f>
        <v>0</v>
      </c>
      <c r="O65" s="71">
        <f t="array" ref="O65">IF(O$58=O$4,PRODUCT(1+$J64:O64)-1,0)</f>
        <v>5.9672120757214842E-3</v>
      </c>
      <c r="P65" s="71">
        <f t="array" ref="P65">IF(P$58=P$4,PRODUCT(1+$J64:P64)-1,0)</f>
        <v>1.3406418073928617E-2</v>
      </c>
      <c r="Q65" s="71">
        <f t="array" ref="Q65">IF(Q$58=Q$4,PRODUCT(1+$J64:Q64)-1,0)</f>
        <v>2.132611003865903E-2</v>
      </c>
      <c r="R65" s="71">
        <f t="array" ref="R65">IF(R$58=R$4,PRODUCT(1+$J64:R64)-1,0)</f>
        <v>2.8913768208941093E-2</v>
      </c>
      <c r="S65" s="71">
        <f t="array" ref="S65">IF(S$58=S$4,PRODUCT(1+$J64:S64)-1,0)</f>
        <v>3.6272156582170645E-2</v>
      </c>
      <c r="T65" s="71">
        <f t="array" ref="T65">IF(T$58=T$4,PRODUCT(1+$J64:T64)-1,0)</f>
        <v>0</v>
      </c>
    </row>
    <row r="66" spans="1:31" outlineLevel="1">
      <c r="C66" s="15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1">
        <f>'Input|Rate of change'!K115</f>
        <v>0</v>
      </c>
      <c r="K67" s="71">
        <f>'Input|Rate of change'!L115</f>
        <v>0</v>
      </c>
      <c r="L67" s="71">
        <f>'Input|Rate of change'!M115</f>
        <v>0</v>
      </c>
      <c r="M67" s="71">
        <f>'Input|Rate of change'!N115</f>
        <v>0</v>
      </c>
      <c r="N67" s="71">
        <f>'Input|Rate of change'!O115</f>
        <v>0</v>
      </c>
      <c r="O67" s="71">
        <f>'Input|Rate of change'!P115</f>
        <v>4.2169E-3</v>
      </c>
      <c r="P67" s="71">
        <f>'Input|Rate of change'!Q115</f>
        <v>4.2169E-3</v>
      </c>
      <c r="Q67" s="71">
        <f>'Input|Rate of change'!R115</f>
        <v>4.2169E-3</v>
      </c>
      <c r="R67" s="71">
        <f>'Input|Rate of change'!S115</f>
        <v>4.2169E-3</v>
      </c>
      <c r="S67" s="71">
        <f>'Input|Rate of change'!T115</f>
        <v>4.2169E-3</v>
      </c>
      <c r="T67" s="71"/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1">
        <f t="array" ref="J68">IF(J$58=J$4,PRODUCT(1+$J67:J67)-1,0)</f>
        <v>0</v>
      </c>
      <c r="K68" s="71">
        <f t="array" ref="K68">IF(K$58=K$4,PRODUCT(1+$J67:K67)-1,0)</f>
        <v>0</v>
      </c>
      <c r="L68" s="71">
        <f t="array" ref="L68">IF(L$58=L$4,PRODUCT(1+$J67:L67)-1,0)</f>
        <v>0</v>
      </c>
      <c r="M68" s="71">
        <f t="array" ref="M68">IF(M$58=M$4,PRODUCT(1+$J67:M67)-1,0)</f>
        <v>0</v>
      </c>
      <c r="N68" s="71">
        <f t="array" ref="N68">IF(N$58=N$4,PRODUCT(1+$J67:N67)-1,0)</f>
        <v>0</v>
      </c>
      <c r="O68" s="71">
        <f t="array" ref="O68">IF(O$58=O$4,PRODUCT(1+$J67:O67)-1,0)</f>
        <v>4.2169000000000789E-3</v>
      </c>
      <c r="P68" s="71">
        <f t="array" ref="P68">IF(P$58=P$4,PRODUCT(1+$J67:P67)-1,0)</f>
        <v>8.4515822456101564E-3</v>
      </c>
      <c r="Q68" s="71">
        <f t="array" ref="Q68">IF(Q$58=Q$4,PRODUCT(1+$J67:Q67)-1,0)</f>
        <v>1.2704121722781681E-2</v>
      </c>
      <c r="R68" s="71">
        <f t="array" ref="R68">IF(R$58=R$4,PRODUCT(1+$J67:R67)-1,0)</f>
        <v>1.6974593733674492E-2</v>
      </c>
      <c r="S68" s="71">
        <f t="array" ref="S68">IF(S$58=S$4,PRODUCT(1+$J67:S67)-1,0)</f>
        <v>2.1263073897990203E-2</v>
      </c>
      <c r="T68" s="71">
        <f t="array" ref="T68">IF(T$58=T$4,PRODUCT(1+$J67:T67)-1,0)</f>
        <v>0</v>
      </c>
    </row>
    <row r="69" spans="1:31" outlineLevel="1">
      <c r="C69" s="15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1:31" ht="10.5" outlineLevel="1">
      <c r="C70" s="72" t="s">
        <v>126</v>
      </c>
      <c r="D70" s="68" t="s">
        <v>30</v>
      </c>
      <c r="E70" s="68" t="s">
        <v>31</v>
      </c>
      <c r="F70" s="68" t="s">
        <v>36</v>
      </c>
      <c r="J70" s="87">
        <f ca="1">(1+J61)*(1+J64)*(1-J67)-1</f>
        <v>0</v>
      </c>
      <c r="K70" s="87">
        <f t="shared" ref="K70:S70" ca="1" si="6">(1+K61)*(1+K64)*(1-K67)-1</f>
        <v>0</v>
      </c>
      <c r="L70" s="87">
        <f t="shared" ca="1" si="6"/>
        <v>0</v>
      </c>
      <c r="M70" s="87">
        <f t="shared" ca="1" si="6"/>
        <v>0</v>
      </c>
      <c r="N70" s="87">
        <f t="shared" ca="1" si="6"/>
        <v>0</v>
      </c>
      <c r="O70" s="87">
        <f t="shared" ca="1" si="6"/>
        <v>1.7251489391194585E-3</v>
      </c>
      <c r="P70" s="87">
        <f t="shared" ca="1" si="6"/>
        <v>3.1469936950518917E-3</v>
      </c>
      <c r="Q70" s="87">
        <f t="shared" ca="1" si="6"/>
        <v>3.5650671111546739E-3</v>
      </c>
      <c r="R70" s="87">
        <f t="shared" ca="1" si="6"/>
        <v>3.1809934840485443E-3</v>
      </c>
      <c r="S70" s="87">
        <f t="shared" ca="1" si="6"/>
        <v>2.9045508073435311E-3</v>
      </c>
      <c r="T70" s="87">
        <f ca="1">(1+T61)*(1+T64)*(1-T67)-1</f>
        <v>0</v>
      </c>
    </row>
    <row r="71" spans="1:31" ht="10.5" outlineLevel="1">
      <c r="C71" s="9" t="s">
        <v>127</v>
      </c>
      <c r="D71" s="16" t="s">
        <v>30</v>
      </c>
      <c r="E71" s="16" t="s">
        <v>31</v>
      </c>
      <c r="F71" s="16" t="s">
        <v>36</v>
      </c>
      <c r="J71" s="71" t="str">
        <f t="array" ref="J71">IF(J$58=J$4,PRODUCT(1+$J70:J70)-1,"")</f>
        <v/>
      </c>
      <c r="K71" s="71" t="str">
        <f t="array" ref="K71">IF(K$58=K$4,PRODUCT(1+$J70:K70)-1,"")</f>
        <v/>
      </c>
      <c r="L71" s="71" t="str">
        <f t="array" ref="L71">IF(L$58=L$4,PRODUCT(1+$J70:L70)-1,"")</f>
        <v/>
      </c>
      <c r="M71" s="71" t="str">
        <f t="array" ref="M71">IF(M$58=M$4,PRODUCT(1+$J70:M70)-1,"")</f>
        <v/>
      </c>
      <c r="N71" s="71" t="str">
        <f t="array" ref="N71">IF(N$58=N$4,PRODUCT(1+$J70:N70)-1,"")</f>
        <v/>
      </c>
      <c r="O71" s="71">
        <f t="array" aca="1" ref="O71" ca="1">IF(O$58=O$4,PRODUCT(1+$J70:O70)-1,"")</f>
        <v>1.7251489391194585E-3</v>
      </c>
      <c r="P71" s="71">
        <f t="array" aca="1" ref="P71" ca="1">IF(P$58=P$4,PRODUCT(1+$J70:P70)-1,"")</f>
        <v>4.8775716670057534E-3</v>
      </c>
      <c r="Q71" s="71">
        <f t="array" aca="1" ref="Q71" ca="1">IF(Q$58=Q$4,PRODUCT(1+$J70:Q70)-1,"")</f>
        <v>8.4600276484927406E-3</v>
      </c>
      <c r="R71" s="71">
        <f t="array" aca="1" ref="R71" ca="1">IF(R$58=R$4,PRODUCT(1+$J70:R70)-1,"")</f>
        <v>1.1667932425365901E-2</v>
      </c>
      <c r="S71" s="71">
        <f t="array" aca="1" ref="S71" ca="1">IF(S$58=S$4,PRODUCT(1+$J70:S70)-1,"")</f>
        <v>1.4606373335255496E-2</v>
      </c>
      <c r="T71" s="71" t="str">
        <f t="array" ref="T71">IF(T$58=T$4,PRODUCT(1+$J70:T70)-1,"")</f>
        <v/>
      </c>
    </row>
    <row r="72" spans="1:31">
      <c r="J72" s="63"/>
      <c r="K72" s="63"/>
      <c r="L72" s="63"/>
      <c r="M72" s="63"/>
      <c r="N72" s="63"/>
      <c r="O72" s="73"/>
      <c r="P72" s="73"/>
      <c r="Q72" s="73"/>
      <c r="R72" s="73"/>
      <c r="S72" s="73"/>
      <c r="T72" s="73"/>
    </row>
    <row r="73" spans="1:31" customFormat="1" ht="13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3"/>
      <c r="K74" s="63"/>
      <c r="L74" s="63"/>
    </row>
    <row r="75" spans="1:31" ht="10.5" outlineLevel="1">
      <c r="C75" s="9" t="s">
        <v>96</v>
      </c>
      <c r="D75" s="20" t="s">
        <v>7</v>
      </c>
      <c r="E75" s="20" t="s">
        <v>8</v>
      </c>
      <c r="F75" s="20" t="s">
        <v>22</v>
      </c>
      <c r="J75" s="98" t="str">
        <f>IF(YEAR(J$4)&gt;='Input|General'!$G$13,IF(YEAR(J$4)&lt;='Input|General'!$G$14,J$4,""),"")</f>
        <v/>
      </c>
      <c r="K75" s="98" t="str">
        <f>IF(YEAR(K$4)&gt;='Input|General'!$G$13,IF(YEAR(K$4)&lt;='Input|General'!$G$14,K$4,""),"")</f>
        <v/>
      </c>
      <c r="L75" s="98" t="str">
        <f>IF(YEAR(L$4)&gt;='Input|General'!$G$13,IF(YEAR(L$4)&lt;='Input|General'!$G$14,L$4,""),"")</f>
        <v/>
      </c>
      <c r="M75" s="98" t="str">
        <f>IF(YEAR(M$4)&gt;='Input|General'!$G$13,IF(YEAR(M$4)&lt;='Input|General'!$G$14,M$4,""),"")</f>
        <v/>
      </c>
      <c r="N75" s="98" t="str">
        <f>IF(YEAR(N$4)&gt;='Input|General'!$G$13,IF(YEAR(N$4)&lt;='Input|General'!$G$14,N$4,""),"")</f>
        <v/>
      </c>
      <c r="O75" s="98">
        <f>IF(YEAR(O$4)&gt;='Input|General'!$G$13,IF(YEAR(O$4)&lt;='Input|General'!$G$14,O$4,""),"")</f>
        <v>46813</v>
      </c>
      <c r="P75" s="98">
        <f>IF(YEAR(P$4)&gt;='Input|General'!$G$13,IF(YEAR(P$4)&lt;='Input|General'!$G$14,P$4,""),"")</f>
        <v>47178</v>
      </c>
      <c r="Q75" s="98">
        <f>IF(YEAR(Q$4)&gt;='Input|General'!$G$13,IF(YEAR(Q$4)&lt;='Input|General'!$G$14,Q$4,""),"")</f>
        <v>47543</v>
      </c>
      <c r="R75" s="98">
        <f>IF(YEAR(R$4)&gt;='Input|General'!$G$13,IF(YEAR(R$4)&lt;='Input|General'!$G$14,R$4,""),"")</f>
        <v>47908</v>
      </c>
      <c r="S75" s="98">
        <f>IF(YEAR(S$4)&gt;='Input|General'!$G$13,IF(YEAR(S$4)&lt;='Input|General'!$G$14,S$4,""),"")</f>
        <v>48274</v>
      </c>
      <c r="T75" s="98" t="str">
        <f>IF(YEAR(T$4)&gt;='Input|General'!$G$13,IF(YEAR(T$4)&lt;='Input|General'!$G$14,T$4,""),"")</f>
        <v/>
      </c>
    </row>
    <row r="76" spans="1:31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4" t="str">
        <f>'Input|Step changes'!C12</f>
        <v>Digital (inc SaaS, etc)</v>
      </c>
      <c r="D77" s="16" t="s">
        <v>30</v>
      </c>
      <c r="E77" s="16" t="str">
        <f t="shared" ref="E77:E100" si="7">$E$8</f>
        <v>$millions</v>
      </c>
      <c r="F77" s="97">
        <f t="shared" ref="F77:F90" si="8">$F$8</f>
        <v>46447</v>
      </c>
      <c r="J77" s="78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8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8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8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8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8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6.6521999868960489</v>
      </c>
      <c r="P77" s="78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10.722322057987279</v>
      </c>
      <c r="Q77" s="78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6.9753374565412871</v>
      </c>
      <c r="R77" s="78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8.1358297977326881</v>
      </c>
      <c r="S77" s="78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8.9820221298514191</v>
      </c>
      <c r="T77" s="78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4" t="str">
        <f>'Input|Step changes'!C13</f>
        <v>Landholder Engagement</v>
      </c>
      <c r="D78" s="16" t="s">
        <v>30</v>
      </c>
      <c r="E78" s="16" t="str">
        <f t="shared" si="7"/>
        <v>$millions</v>
      </c>
      <c r="F78" s="97">
        <f t="shared" si="8"/>
        <v>46447</v>
      </c>
      <c r="J78" s="78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8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8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8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8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8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P78" s="78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Q78" s="78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R78" s="78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S78" s="78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T78" s="78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4" t="str">
        <f>'Input|Step changes'!C14</f>
        <v>AEMO participant fees</v>
      </c>
      <c r="D79" s="16" t="s">
        <v>30</v>
      </c>
      <c r="E79" s="16" t="str">
        <f t="shared" si="7"/>
        <v>$millions</v>
      </c>
      <c r="F79" s="97">
        <f t="shared" si="8"/>
        <v>46447</v>
      </c>
      <c r="J79" s="78"/>
      <c r="K79" s="78"/>
      <c r="L79" s="78"/>
      <c r="M79" s="78"/>
      <c r="N79" s="78"/>
      <c r="O79" s="78">
        <f>'Input|Step changes'!O14</f>
        <v>4.11905690625</v>
      </c>
      <c r="P79" s="78">
        <f>'Input|Step changes'!P14</f>
        <v>4.2502359676646337</v>
      </c>
      <c r="Q79" s="78">
        <f>'Input|Step changes'!Q14</f>
        <v>4.3871741098243016</v>
      </c>
      <c r="R79" s="78">
        <f>'Input|Step changes'!R14</f>
        <v>4.5301241704202475</v>
      </c>
      <c r="S79" s="78">
        <f>'Input|Step changes'!S14</f>
        <v>4.6793500873350391</v>
      </c>
      <c r="T79" s="78"/>
    </row>
    <row r="80" spans="1:31" outlineLevel="1">
      <c r="C80" s="74">
        <f>'Input|Step changes'!C15</f>
        <v>0</v>
      </c>
      <c r="D80" s="16" t="s">
        <v>30</v>
      </c>
      <c r="E80" s="16" t="str">
        <f t="shared" si="7"/>
        <v>$millions</v>
      </c>
      <c r="F80" s="97">
        <f t="shared" si="8"/>
        <v>46447</v>
      </c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</row>
    <row r="81" spans="1:31" outlineLevel="1">
      <c r="C81" s="74">
        <f>'Input|Step changes'!C16</f>
        <v>0</v>
      </c>
      <c r="D81" s="16" t="s">
        <v>30</v>
      </c>
      <c r="E81" s="16" t="str">
        <f t="shared" si="7"/>
        <v>$millions</v>
      </c>
      <c r="F81" s="97">
        <f t="shared" si="8"/>
        <v>46447</v>
      </c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</row>
    <row r="82" spans="1:31" outlineLevel="1">
      <c r="C82" s="74">
        <f>'Input|Step changes'!C17</f>
        <v>0</v>
      </c>
      <c r="D82" s="16" t="s">
        <v>30</v>
      </c>
      <c r="E82" s="16" t="str">
        <f t="shared" si="7"/>
        <v>$millions</v>
      </c>
      <c r="F82" s="97">
        <f t="shared" si="8"/>
        <v>46447</v>
      </c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</row>
    <row r="83" spans="1:31" outlineLevel="1">
      <c r="C83" s="74">
        <f>'Input|Step changes'!C18</f>
        <v>0</v>
      </c>
      <c r="D83" s="16" t="s">
        <v>30</v>
      </c>
      <c r="E83" s="16" t="str">
        <f t="shared" si="7"/>
        <v>$millions</v>
      </c>
      <c r="F83" s="97">
        <f t="shared" si="8"/>
        <v>46447</v>
      </c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</row>
    <row r="84" spans="1:31" outlineLevel="1">
      <c r="C84" s="74">
        <f>'Input|Step changes'!C19</f>
        <v>0</v>
      </c>
      <c r="D84" s="16" t="s">
        <v>30</v>
      </c>
      <c r="E84" s="16" t="str">
        <f t="shared" si="7"/>
        <v>$millions</v>
      </c>
      <c r="F84" s="97">
        <f t="shared" si="8"/>
        <v>46447</v>
      </c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</row>
    <row r="85" spans="1:31" outlineLevel="1">
      <c r="C85" s="74">
        <f>'Input|Step changes'!C20</f>
        <v>0</v>
      </c>
      <c r="D85" s="16" t="s">
        <v>30</v>
      </c>
      <c r="E85" s="16" t="str">
        <f t="shared" si="7"/>
        <v>$millions</v>
      </c>
      <c r="F85" s="97">
        <f t="shared" si="8"/>
        <v>46447</v>
      </c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</row>
    <row r="86" spans="1:31" outlineLevel="1">
      <c r="C86" s="74">
        <f>'Input|Step changes'!C21</f>
        <v>0</v>
      </c>
      <c r="D86" s="16" t="s">
        <v>30</v>
      </c>
      <c r="E86" s="16" t="str">
        <f t="shared" si="7"/>
        <v>$millions</v>
      </c>
      <c r="F86" s="97">
        <f t="shared" si="8"/>
        <v>46447</v>
      </c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</row>
    <row r="87" spans="1:31" outlineLevel="1">
      <c r="C87" s="74" t="s">
        <v>211</v>
      </c>
      <c r="D87" s="16" t="s">
        <v>30</v>
      </c>
      <c r="E87" s="16" t="str">
        <f t="shared" si="7"/>
        <v>$millions</v>
      </c>
      <c r="F87" s="97">
        <f t="shared" si="8"/>
        <v>46447</v>
      </c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</row>
    <row r="88" spans="1:31" outlineLevel="1">
      <c r="C88" s="74">
        <f>'Input|Step changes'!C23</f>
        <v>0</v>
      </c>
      <c r="D88" s="16" t="s">
        <v>30</v>
      </c>
      <c r="E88" s="16" t="str">
        <f t="shared" si="7"/>
        <v>$millions</v>
      </c>
      <c r="F88" s="97">
        <f t="shared" si="8"/>
        <v>46447</v>
      </c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</row>
    <row r="89" spans="1:31" outlineLevel="1">
      <c r="C89" s="74"/>
      <c r="F89" s="66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</row>
    <row r="90" spans="1:31" ht="10.5" outlineLevel="1">
      <c r="C90" s="67" t="s">
        <v>48</v>
      </c>
      <c r="D90" s="75" t="s">
        <v>30</v>
      </c>
      <c r="E90" s="75" t="str">
        <f>$E$8</f>
        <v>$millions</v>
      </c>
      <c r="F90" s="100">
        <f t="shared" si="8"/>
        <v>46447</v>
      </c>
      <c r="G90" s="20"/>
      <c r="H90" s="20"/>
      <c r="I90" s="20"/>
      <c r="J90" s="79">
        <f>SUM(J76:J89)</f>
        <v>0</v>
      </c>
      <c r="K90" s="79">
        <f t="shared" ref="K90:S90" si="9">SUM(K76:K89)</f>
        <v>0</v>
      </c>
      <c r="L90" s="79">
        <f t="shared" si="9"/>
        <v>0</v>
      </c>
      <c r="M90" s="79">
        <f t="shared" si="9"/>
        <v>0</v>
      </c>
      <c r="N90" s="79">
        <f t="shared" si="9"/>
        <v>0</v>
      </c>
      <c r="O90" s="79">
        <f t="shared" si="9"/>
        <v>10.771256893146049</v>
      </c>
      <c r="P90" s="79">
        <f t="shared" si="9"/>
        <v>14.972558025651914</v>
      </c>
      <c r="Q90" s="79">
        <f t="shared" si="9"/>
        <v>11.362511566365589</v>
      </c>
      <c r="R90" s="79">
        <f t="shared" si="9"/>
        <v>12.665953968152936</v>
      </c>
      <c r="S90" s="79">
        <f t="shared" si="9"/>
        <v>13.661372217186457</v>
      </c>
      <c r="T90" s="79">
        <f>SUM(T76:T89)</f>
        <v>0</v>
      </c>
    </row>
    <row r="91" spans="1:31" ht="10.5">
      <c r="C91" s="76"/>
      <c r="J91" s="63"/>
      <c r="K91" s="63"/>
      <c r="L91" s="63"/>
      <c r="M91" s="63"/>
      <c r="N91" s="22"/>
      <c r="O91" s="22"/>
      <c r="P91" s="22"/>
      <c r="Q91" s="22"/>
      <c r="R91" s="22"/>
      <c r="S91" s="22"/>
      <c r="T91" s="22"/>
    </row>
    <row r="92" spans="1:31" customFormat="1" ht="13">
      <c r="A92" s="32"/>
      <c r="B92" s="38" t="s">
        <v>106</v>
      </c>
      <c r="C92" s="32"/>
      <c r="D92" s="32"/>
      <c r="E92" s="32"/>
      <c r="F92" s="33"/>
      <c r="G92" s="33"/>
      <c r="H92" s="33"/>
      <c r="I92" s="33"/>
      <c r="J92" s="34"/>
      <c r="K92" s="35"/>
      <c r="L92" s="34"/>
      <c r="M92" s="35"/>
      <c r="N92" s="34"/>
      <c r="O92" s="34"/>
      <c r="P92" s="34"/>
      <c r="Q92" s="34"/>
      <c r="R92" s="34"/>
      <c r="S92" s="34"/>
      <c r="T92" s="34"/>
      <c r="U92" s="34"/>
      <c r="V92" s="34"/>
      <c r="W92" s="35"/>
      <c r="X92" s="35"/>
      <c r="Y92" s="36"/>
      <c r="Z92" s="36"/>
      <c r="AA92" s="36"/>
      <c r="AB92" s="36"/>
      <c r="AC92" s="36"/>
      <c r="AD92" s="37"/>
      <c r="AE92" s="37"/>
    </row>
    <row r="93" spans="1:31" outlineLevel="1">
      <c r="C93" s="15"/>
      <c r="J93" s="63"/>
      <c r="K93" s="63"/>
      <c r="L93" s="63"/>
    </row>
    <row r="94" spans="1:31" ht="10.5" outlineLevel="1">
      <c r="C94" s="9" t="s">
        <v>101</v>
      </c>
      <c r="D94" s="20" t="s">
        <v>7</v>
      </c>
      <c r="E94" s="20" t="s">
        <v>8</v>
      </c>
      <c r="F94" s="20" t="s">
        <v>22</v>
      </c>
      <c r="J94" s="98"/>
      <c r="K94" s="98"/>
      <c r="L94" s="98"/>
      <c r="M94" s="98"/>
      <c r="N94" s="98"/>
      <c r="O94" s="98">
        <f>IF(YEAR(O$4)&gt;='Input|General'!$G$13,IF(YEAR(O$4)&lt;='Input|General'!$G$14,O$4,""),"")</f>
        <v>46813</v>
      </c>
      <c r="P94" s="98">
        <f>IF(YEAR(P$4)&gt;='Input|General'!$G$13,IF(YEAR(P$4)&lt;='Input|General'!$G$14,P$4,""),"")</f>
        <v>47178</v>
      </c>
      <c r="Q94" s="98">
        <f>IF(YEAR(Q$4)&gt;='Input|General'!$G$13,IF(YEAR(Q$4)&lt;='Input|General'!$G$14,Q$4,""),"")</f>
        <v>47543</v>
      </c>
      <c r="R94" s="98">
        <f>IF(YEAR(R$4)&gt;='Input|General'!$G$13,IF(YEAR(R$4)&lt;='Input|General'!$G$14,R$4,""),"")</f>
        <v>47908</v>
      </c>
      <c r="S94" s="98">
        <f>IF(YEAR(S$4)&gt;='Input|General'!$G$13,IF(YEAR(S$4)&lt;='Input|General'!$G$14,S$4,""),"")</f>
        <v>48274</v>
      </c>
      <c r="T94" s="98" t="str">
        <f>IF(YEAR(T$4)&gt;='Input|General'!$G$13,IF(YEAR(T$4)&lt;='Input|General'!$G$14,T$4,""),"")</f>
        <v/>
      </c>
    </row>
    <row r="95" spans="1:31" ht="10.5" outlineLevel="1">
      <c r="C95" s="9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1:31" outlineLevel="1">
      <c r="C96" s="74" t="str">
        <f>'Input|Step changes'!C31</f>
        <v>Easement land tax</v>
      </c>
      <c r="D96" s="16" t="s">
        <v>30</v>
      </c>
      <c r="E96" s="16" t="str">
        <f t="shared" si="7"/>
        <v>$millions</v>
      </c>
      <c r="F96" s="97">
        <f>$F$8</f>
        <v>46447</v>
      </c>
      <c r="J96" s="78"/>
      <c r="K96" s="78"/>
      <c r="L96" s="78"/>
      <c r="M96" s="78"/>
      <c r="N96" s="78"/>
      <c r="O96" s="78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277.06348565069851</v>
      </c>
      <c r="P96" s="78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279.96100717162147</v>
      </c>
      <c r="Q96" s="78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282.88883088463774</v>
      </c>
      <c r="R96" s="78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285.84727368915213</v>
      </c>
      <c r="S96" s="78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288.83665579869387</v>
      </c>
      <c r="T96" s="78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4">
        <f>'Input|Step changes'!C32</f>
        <v>0</v>
      </c>
      <c r="D97" s="16" t="s">
        <v>30</v>
      </c>
      <c r="E97" s="16" t="str">
        <f t="shared" si="7"/>
        <v>$millions</v>
      </c>
      <c r="F97" s="97">
        <f>$F$8</f>
        <v>46447</v>
      </c>
      <c r="J97" s="78"/>
      <c r="K97" s="78"/>
      <c r="L97" s="78"/>
      <c r="M97" s="78"/>
      <c r="N97" s="78"/>
      <c r="O97" s="78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8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8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8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8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8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4" t="str">
        <f>'Input|Step changes'!C33</f>
        <v>Growth Assets Roll In</v>
      </c>
      <c r="D98" s="16" t="s">
        <v>30</v>
      </c>
      <c r="E98" s="16" t="str">
        <f t="shared" si="7"/>
        <v>$millions</v>
      </c>
      <c r="F98" s="97">
        <f>$F$8</f>
        <v>46447</v>
      </c>
      <c r="J98" s="78"/>
      <c r="K98" s="78"/>
      <c r="L98" s="78"/>
      <c r="M98" s="78"/>
      <c r="N98" s="78"/>
      <c r="O98" s="78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4.4082744700637582</v>
      </c>
      <c r="P98" s="78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4.4082744700637582</v>
      </c>
      <c r="Q98" s="78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4.4082744700637582</v>
      </c>
      <c r="R98" s="78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4.4082744700637582</v>
      </c>
      <c r="S98" s="78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4.4082744700637582</v>
      </c>
      <c r="T98" s="78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4">
        <f>'Input|Step changes'!C34</f>
        <v>0</v>
      </c>
      <c r="D99" s="16" t="s">
        <v>30</v>
      </c>
      <c r="E99" s="16" t="str">
        <f t="shared" si="7"/>
        <v>$millions</v>
      </c>
      <c r="F99" s="97">
        <f>$F$8</f>
        <v>46447</v>
      </c>
      <c r="J99" s="78"/>
      <c r="K99" s="78"/>
      <c r="L99" s="78"/>
      <c r="M99" s="78"/>
      <c r="N99" s="78"/>
      <c r="O99" s="78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8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8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8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8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8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</row>
    <row r="100" spans="1:39" outlineLevel="1">
      <c r="C100" s="74">
        <f>'Input|Step changes'!C35</f>
        <v>0</v>
      </c>
      <c r="D100" s="16" t="s">
        <v>30</v>
      </c>
      <c r="E100" s="16" t="str">
        <f t="shared" si="7"/>
        <v>$millions</v>
      </c>
      <c r="F100" s="97">
        <f>$F$8</f>
        <v>46447</v>
      </c>
      <c r="J100" s="78"/>
      <c r="K100" s="78"/>
      <c r="L100" s="78"/>
      <c r="M100" s="78"/>
      <c r="N100" s="78"/>
      <c r="O100" s="78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P100" s="78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Q100" s="78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R100" s="78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S100" s="78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T100" s="78">
        <f>'Input|Step changes'!T35*INDEX('Input|Rate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</row>
    <row r="101" spans="1:39" outlineLevel="1">
      <c r="C101" s="74"/>
      <c r="F101" s="66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</row>
    <row r="102" spans="1:39" ht="10.5" outlineLevel="1">
      <c r="C102" s="67" t="s">
        <v>107</v>
      </c>
      <c r="D102" s="75" t="s">
        <v>30</v>
      </c>
      <c r="E102" s="75" t="str">
        <f>$E$8</f>
        <v>$millions</v>
      </c>
      <c r="F102" s="100">
        <f>$F$8</f>
        <v>46447</v>
      </c>
      <c r="G102" s="20"/>
      <c r="H102" s="20"/>
      <c r="I102" s="20"/>
      <c r="J102" s="79"/>
      <c r="K102" s="79"/>
      <c r="L102" s="79"/>
      <c r="M102" s="79"/>
      <c r="N102" s="79"/>
      <c r="O102" s="79">
        <f t="shared" ref="O102:T102" si="10">SUM(O95:O100)</f>
        <v>281.47176012076227</v>
      </c>
      <c r="P102" s="79">
        <f t="shared" si="10"/>
        <v>284.36928164168523</v>
      </c>
      <c r="Q102" s="79">
        <f t="shared" si="10"/>
        <v>287.2971053547015</v>
      </c>
      <c r="R102" s="79">
        <f t="shared" si="10"/>
        <v>290.25554815921589</v>
      </c>
      <c r="S102" s="79">
        <f t="shared" si="10"/>
        <v>293.24493026875763</v>
      </c>
      <c r="T102" s="79">
        <f t="shared" si="10"/>
        <v>0</v>
      </c>
    </row>
    <row r="103" spans="1:39" ht="10.5">
      <c r="C103" s="76"/>
      <c r="J103" s="63"/>
      <c r="K103" s="63"/>
      <c r="L103" s="63"/>
      <c r="M103" s="63"/>
      <c r="N103" s="22"/>
      <c r="O103" s="22"/>
      <c r="P103" s="22"/>
      <c r="Q103" s="22"/>
      <c r="R103" s="22"/>
      <c r="S103" s="22"/>
      <c r="T103" s="22"/>
    </row>
    <row r="104" spans="1:39" customFormat="1" ht="13">
      <c r="A104" s="32"/>
      <c r="B104" s="38" t="s">
        <v>86</v>
      </c>
      <c r="C104" s="32"/>
      <c r="D104" s="32"/>
      <c r="E104" s="32"/>
      <c r="F104" s="33"/>
      <c r="G104" s="33"/>
      <c r="H104" s="33"/>
      <c r="I104" s="33"/>
      <c r="J104" s="34"/>
      <c r="K104" s="35"/>
      <c r="L104" s="34"/>
      <c r="M104" s="35"/>
      <c r="N104" s="34"/>
      <c r="O104" s="34"/>
      <c r="P104" s="34"/>
      <c r="Q104" s="34"/>
      <c r="R104" s="34"/>
      <c r="S104" s="34"/>
      <c r="T104" s="34"/>
      <c r="U104" s="34"/>
      <c r="V104" s="34"/>
      <c r="W104" s="35"/>
      <c r="X104" s="35"/>
      <c r="Y104" s="36"/>
      <c r="Z104" s="36"/>
      <c r="AA104" s="36"/>
      <c r="AB104" s="36"/>
      <c r="AC104" s="36"/>
      <c r="AD104" s="37"/>
      <c r="AE104" s="37"/>
    </row>
    <row r="105" spans="1:39" outlineLevel="1">
      <c r="C105" s="15"/>
      <c r="J105" s="63"/>
      <c r="K105" s="63"/>
      <c r="L105" s="63"/>
    </row>
    <row r="106" spans="1:39" ht="10.5" outlineLevel="1">
      <c r="C106" s="9"/>
      <c r="J106" s="98" t="str">
        <f>IF(YEAR(J$4)&gt;='Input|General'!$G$13,IF(YEAR(J$4)&lt;='Input|General'!$G$14,J$4,""),"")</f>
        <v/>
      </c>
      <c r="K106" s="98" t="str">
        <f>IF(YEAR(K$4)&gt;='Input|General'!$G$13,IF(YEAR(K$4)&lt;='Input|General'!$G$14,K$4,""),"")</f>
        <v/>
      </c>
      <c r="L106" s="98" t="str">
        <f>IF(YEAR(L$4)&gt;='Input|General'!$G$13,IF(YEAR(L$4)&lt;='Input|General'!$G$14,L$4,""),"")</f>
        <v/>
      </c>
      <c r="M106" s="98" t="str">
        <f>IF(YEAR(M$4)&gt;='Input|General'!$G$13,IF(YEAR(M$4)&lt;='Input|General'!$G$14,M$4,""),"")</f>
        <v/>
      </c>
      <c r="N106" s="98" t="str">
        <f>IF(YEAR(N$4)&gt;='Input|General'!$G$13,IF(YEAR(N$4)&lt;='Input|General'!$G$14,N$4,""),"")</f>
        <v/>
      </c>
      <c r="O106" s="98">
        <f>IF(YEAR(O$4)&gt;='Input|General'!$G$13,IF(YEAR(O$4)&lt;='Input|General'!$G$14,O$4,""),"")</f>
        <v>46813</v>
      </c>
      <c r="P106" s="98">
        <f>IF(YEAR(P$4)&gt;='Input|General'!$G$13,IF(YEAR(P$4)&lt;='Input|General'!$G$14,P$4,""),"")</f>
        <v>47178</v>
      </c>
      <c r="Q106" s="98">
        <f>IF(YEAR(Q$4)&gt;='Input|General'!$G$13,IF(YEAR(Q$4)&lt;='Input|General'!$G$14,Q$4,""),"")</f>
        <v>47543</v>
      </c>
      <c r="R106" s="98">
        <f>IF(YEAR(R$4)&gt;='Input|General'!$G$13,IF(YEAR(R$4)&lt;='Input|General'!$G$14,R$4,""),"")</f>
        <v>47908</v>
      </c>
      <c r="S106" s="98">
        <f>IF(YEAR(S$4)&gt;='Input|General'!$G$13,IF(YEAR(S$4)&lt;='Input|General'!$G$14,S$4,""),"")</f>
        <v>48274</v>
      </c>
      <c r="T106" s="98" t="str">
        <f>IF(YEAR(T$4)&gt;='Input|General'!$G$13,IF(YEAR(T$4)&lt;='Input|General'!$G$14,T$4,""),"")</f>
        <v/>
      </c>
    </row>
    <row r="107" spans="1:39" ht="10.5" outlineLevel="1">
      <c r="C107" s="9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</row>
    <row r="108" spans="1:39" ht="10.5" outlineLevel="1">
      <c r="C108" s="76" t="s">
        <v>123</v>
      </c>
      <c r="D108" s="20" t="s">
        <v>30</v>
      </c>
      <c r="E108" s="20" t="str">
        <f>$E$8</f>
        <v>$millions</v>
      </c>
      <c r="F108" s="100">
        <f>$F$8</f>
        <v>46447</v>
      </c>
      <c r="J108" s="89" t="str">
        <f t="shared" ref="J108:T108" si="11">IF(YEAR(J$4)&gt;=FPFirstYear,IF(YEAR(J$4)&lt;=FPLastYear,IF(ISBLANK(J106),"",(1+J71)*SUM($J54:$S54)+J90),""),"")</f>
        <v/>
      </c>
      <c r="K108" s="89" t="str">
        <f t="shared" si="11"/>
        <v/>
      </c>
      <c r="L108" s="89" t="str">
        <f t="shared" si="11"/>
        <v/>
      </c>
      <c r="M108" s="89" t="str">
        <f t="shared" si="11"/>
        <v/>
      </c>
      <c r="N108" s="89" t="str">
        <f t="shared" si="11"/>
        <v/>
      </c>
      <c r="O108" s="89">
        <f t="shared" ca="1" si="11"/>
        <v>137.15038823764198</v>
      </c>
      <c r="P108" s="89">
        <f t="shared" ca="1" si="11"/>
        <v>141.7494036996751</v>
      </c>
      <c r="Q108" s="89">
        <f t="shared" ca="1" si="11"/>
        <v>138.59132520335717</v>
      </c>
      <c r="R108" s="89">
        <f t="shared" ca="1" si="11"/>
        <v>140.29948163230702</v>
      </c>
      <c r="S108" s="89">
        <f t="shared" ca="1" si="11"/>
        <v>141.66561794716154</v>
      </c>
      <c r="T108" s="89" t="str">
        <f t="shared" si="11"/>
        <v/>
      </c>
    </row>
    <row r="109" spans="1:39" ht="10.5" outlineLevel="1">
      <c r="C109" s="76" t="s">
        <v>99</v>
      </c>
      <c r="D109" s="20" t="s">
        <v>30</v>
      </c>
      <c r="E109" s="20" t="str">
        <f>$E$8</f>
        <v>$millions</v>
      </c>
      <c r="F109" s="100">
        <f>$F$8</f>
        <v>46447</v>
      </c>
      <c r="J109" s="89" t="str">
        <f t="shared" ref="J109:T109" si="12">IF(YEAR(J$4)&gt;=FPFirstYear,IF(YEAR(J$4)&lt;=FPLastYear,IF(ISBLANK(J106),"",(1+J71)*SUM($J54:$S54)+J90+J102),""),"")</f>
        <v/>
      </c>
      <c r="K109" s="89" t="str">
        <f t="shared" si="12"/>
        <v/>
      </c>
      <c r="L109" s="89" t="str">
        <f t="shared" si="12"/>
        <v/>
      </c>
      <c r="M109" s="89" t="str">
        <f t="shared" si="12"/>
        <v/>
      </c>
      <c r="N109" s="89" t="str">
        <f t="shared" si="12"/>
        <v/>
      </c>
      <c r="O109" s="89">
        <f t="shared" ca="1" si="12"/>
        <v>418.62214835840427</v>
      </c>
      <c r="P109" s="89">
        <f t="shared" ca="1" si="12"/>
        <v>426.11868534136033</v>
      </c>
      <c r="Q109" s="89">
        <f t="shared" ca="1" si="12"/>
        <v>425.88843055805864</v>
      </c>
      <c r="R109" s="89">
        <f t="shared" ca="1" si="12"/>
        <v>430.55502979152288</v>
      </c>
      <c r="S109" s="89">
        <f t="shared" ca="1" si="12"/>
        <v>434.91054821591916</v>
      </c>
      <c r="T109" s="89" t="str">
        <f t="shared" si="12"/>
        <v/>
      </c>
    </row>
    <row r="110" spans="1:39" ht="10.5" outlineLevel="1">
      <c r="C110" s="76" t="s">
        <v>100</v>
      </c>
      <c r="D110" s="20" t="s">
        <v>30</v>
      </c>
      <c r="E110" s="20" t="str">
        <f>$E$8</f>
        <v>$millions</v>
      </c>
      <c r="F110" s="100">
        <f>$F$8</f>
        <v>46447</v>
      </c>
      <c r="J110" s="89" t="str">
        <f>IF(YEAR(J$4)&gt;=FPFirstYear,IF(YEAR(J$4)&lt;=FPLastYear,J109+'Input|Step changes'!J43,""),"")</f>
        <v/>
      </c>
      <c r="K110" s="89" t="str">
        <f>IF(YEAR(K$4)&gt;=FPFirstYear,IF(YEAR(K$4)&lt;=FPLastYear,K109+'Input|Step changes'!K43,""),"")</f>
        <v/>
      </c>
      <c r="L110" s="89" t="str">
        <f>IF(YEAR(L$4)&gt;=FPFirstYear,IF(YEAR(L$4)&lt;=FPLastYear,L109+'Input|Step changes'!L43,""),"")</f>
        <v/>
      </c>
      <c r="M110" s="89" t="str">
        <f>IF(YEAR(M$4)&gt;=FPFirstYear,IF(YEAR(M$4)&lt;=FPLastYear,M109+'Input|Step changes'!M43,""),"")</f>
        <v/>
      </c>
      <c r="N110" s="89" t="str">
        <f>IF(YEAR(N$4)&gt;=FPFirstYear,IF(YEAR(N$4)&lt;=FPLastYear,N109+'Input|Step changes'!N43,""),"")</f>
        <v/>
      </c>
      <c r="O110" s="89">
        <f ca="1">IF(YEAR(O$4)&gt;=FPFirstYear,IF(YEAR(O$4)&lt;=FPLastYear,O109+'Input|Step changes'!O43,""),"")</f>
        <v>421.07593138827286</v>
      </c>
      <c r="P110" s="89">
        <f ca="1">IF(YEAR(P$4)&gt;=FPFirstYear,IF(YEAR(P$4)&lt;=FPLastYear,P109+'Input|Step changes'!P43,""),"")</f>
        <v>428.69659943947471</v>
      </c>
      <c r="Q110" s="89">
        <f ca="1">IF(YEAR(Q$4)&gt;=FPFirstYear,IF(YEAR(Q$4)&lt;=FPLastYear,Q109+'Input|Step changes'!Q43,""),"")</f>
        <v>428.56271646528455</v>
      </c>
      <c r="R110" s="89">
        <f ca="1">IF(YEAR(R$4)&gt;=FPFirstYear,IF(YEAR(R$4)&lt;=FPLastYear,R109+'Input|Step changes'!R43,""),"")</f>
        <v>433.24681266375603</v>
      </c>
      <c r="S110" s="89">
        <f ca="1">IF(YEAR(S$4)&gt;=FPFirstYear,IF(YEAR(S$4)&lt;=FPLastYear,S109+'Input|Step changes'!S43,""),"")</f>
        <v>437.60739084201896</v>
      </c>
      <c r="T110" s="89" t="str">
        <f>IF(YEAR(T$4)&gt;=FPFirstYear,IF(YEAR(T$4)&lt;=FPLastYear,T109+'Input|Step changes'!T43,""),"")</f>
        <v/>
      </c>
    </row>
    <row r="111" spans="1:39" ht="10.5">
      <c r="C111" s="76"/>
      <c r="J111" s="63"/>
      <c r="K111" s="63"/>
      <c r="L111" s="63"/>
      <c r="M111" s="63"/>
      <c r="N111" s="22"/>
      <c r="O111" s="22"/>
      <c r="P111" s="22"/>
      <c r="Q111" s="22"/>
      <c r="R111" s="22"/>
      <c r="S111" s="22"/>
      <c r="T111" s="22"/>
    </row>
    <row r="112" spans="1:39" customFormat="1" ht="13">
      <c r="A112" s="32"/>
      <c r="B112" s="38" t="s">
        <v>21</v>
      </c>
      <c r="C112" s="32"/>
      <c r="D112" s="32"/>
      <c r="E112" s="32"/>
      <c r="F112" s="33"/>
      <c r="G112" s="33"/>
      <c r="H112" s="33"/>
      <c r="I112" s="33"/>
      <c r="J112" s="34"/>
      <c r="K112" s="35"/>
      <c r="L112" s="34"/>
      <c r="M112" s="35"/>
      <c r="N112" s="34"/>
      <c r="O112" s="34"/>
      <c r="P112" s="34"/>
      <c r="Q112" s="34"/>
      <c r="R112" s="34"/>
      <c r="S112" s="34"/>
      <c r="T112" s="34"/>
      <c r="U112" s="34"/>
      <c r="V112" s="34"/>
      <c r="W112" s="35"/>
      <c r="X112" s="35"/>
      <c r="Y112" s="36"/>
      <c r="Z112" s="36"/>
      <c r="AA112" s="36"/>
      <c r="AB112" s="36"/>
      <c r="AC112" s="36"/>
      <c r="AD112" s="37"/>
      <c r="AE112" s="37"/>
    </row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  <row r="197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4:T94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8 J96:T102">
    <cfRule type="cellIs" dxfId="29" priority="98" operator="equal">
      <formula>0</formula>
    </cfRule>
  </conditionalFormatting>
  <conditionalFormatting sqref="J90:T90">
    <cfRule type="expression" dxfId="28" priority="116">
      <formula>J$75=J$4</formula>
    </cfRule>
    <cfRule type="cellIs" dxfId="27" priority="117" operator="equal">
      <formula>0</formula>
    </cfRule>
  </conditionalFormatting>
  <conditionalFormatting sqref="J102:T102">
    <cfRule type="expression" dxfId="26" priority="114">
      <formula>J$94=J$4</formula>
    </cfRule>
  </conditionalFormatting>
  <conditionalFormatting sqref="J106:T106">
    <cfRule type="expression" dxfId="25" priority="121">
      <formula>J$106=J$4</formula>
    </cfRule>
  </conditionalFormatting>
  <conditionalFormatting sqref="J108:T110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3 F91 F111" xr:uid="{00000000-0002-0000-0700-000000000000}">
      <formula1>"Real 2010,Real 2011,Real 2012,Real 2013,Real 2014,Real 2015,Nominal"</formula1>
    </dataValidation>
    <dataValidation type="list" allowBlank="1" showInputMessage="1" showErrorMessage="1" sqref="F89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workbookViewId="0">
      <selection activeCell="M16" sqref="M16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4" width="10.77734375" style="8" customWidth="1"/>
    <col min="25" max="48" width="0" style="8" hidden="1" customWidth="1"/>
    <col min="49" max="16384" width="10.44140625" style="8" hidden="1"/>
  </cols>
  <sheetData>
    <row r="1" spans="1:27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5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1"/>
      <c r="G2" s="51"/>
      <c r="H2" s="51"/>
      <c r="I2" s="51"/>
    </row>
    <row r="3" spans="1:27" s="52" customFormat="1" ht="10.5">
      <c r="D3" s="104"/>
      <c r="E3" s="104"/>
      <c r="F3" s="104"/>
      <c r="G3" s="104"/>
      <c r="H3" s="104"/>
      <c r="I3" s="104"/>
      <c r="J3" s="99" t="s">
        <v>108</v>
      </c>
      <c r="K3" s="99"/>
      <c r="L3" s="99"/>
      <c r="M3" s="104"/>
      <c r="N3" s="202"/>
      <c r="O3" s="202"/>
      <c r="P3" s="202"/>
      <c r="Q3" s="202"/>
      <c r="R3" s="202"/>
      <c r="S3" s="202"/>
      <c r="T3" s="104"/>
      <c r="U3" s="53"/>
      <c r="V3" s="53"/>
      <c r="W3" s="53"/>
      <c r="X3" s="53"/>
      <c r="Y3" s="53"/>
      <c r="Z3" s="53"/>
      <c r="AA3" s="53"/>
    </row>
    <row r="4" spans="1:27" customFormat="1">
      <c r="A4" s="54"/>
      <c r="B4" s="54"/>
      <c r="C4" s="54"/>
      <c r="D4" s="55" t="s">
        <v>7</v>
      </c>
      <c r="E4" s="55" t="s">
        <v>8</v>
      </c>
      <c r="F4" s="56" t="s">
        <v>22</v>
      </c>
      <c r="G4" s="57"/>
      <c r="H4" s="57"/>
      <c r="I4" s="57"/>
      <c r="J4" s="93">
        <f>DATE(PPFirstYear,MONTH('Input|General'!$G$9),1)</f>
        <v>44986</v>
      </c>
      <c r="K4" s="93">
        <f>DATE(PPFirstYear+1,MONTH('Input|General'!$G$9),1)</f>
        <v>45352</v>
      </c>
      <c r="L4" s="93">
        <f>DATE(PPFirstYear+2,MONTH('Input|General'!$G$9),1)</f>
        <v>45717</v>
      </c>
      <c r="M4" s="93">
        <f>DATE(PPFirstYear+3,MONTH('Input|General'!$G$9),1)</f>
        <v>46082</v>
      </c>
      <c r="N4" s="93">
        <f>DATE(PPFirstYear+4,MONTH('Input|General'!$G$9),1)</f>
        <v>46447</v>
      </c>
      <c r="O4" s="93">
        <f>DATE(PPFirstYear+5,MONTH('Input|General'!$G$9),1)</f>
        <v>46813</v>
      </c>
      <c r="P4" s="93">
        <f>DATE(PPFirstYear+6,MONTH('Input|General'!$G$9),1)</f>
        <v>47178</v>
      </c>
      <c r="Q4" s="93">
        <f>DATE(PPFirstYear+7,MONTH('Input|General'!$G$9),1)</f>
        <v>47543</v>
      </c>
      <c r="R4" s="93">
        <f>DATE(PPFirstYear+8,MONTH('Input|General'!$G$9),1)</f>
        <v>47908</v>
      </c>
      <c r="S4" s="93">
        <f>DATE(PPFirstYear+9,MONTH('Input|General'!$G$9),1)</f>
        <v>48274</v>
      </c>
      <c r="T4" s="93">
        <f>DATE(PPFirstYear+10,MONTH('Input|General'!$G$9),1)</f>
        <v>48639</v>
      </c>
      <c r="U4" s="58"/>
      <c r="V4" s="58"/>
      <c r="W4" s="59"/>
      <c r="X4" s="59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3">
      <c r="A8" s="32"/>
      <c r="B8" s="38" t="s">
        <v>52</v>
      </c>
      <c r="C8" s="32"/>
      <c r="D8" s="32"/>
      <c r="E8" s="50" t="s">
        <v>15</v>
      </c>
      <c r="F8" s="109">
        <f>DATE(PPLastYear,MONTH('Input|General'!$G$9),1)</f>
        <v>46447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3"/>
      <c r="N10" s="63"/>
      <c r="O10" s="63"/>
      <c r="P10" s="63"/>
      <c r="Q10" s="63"/>
      <c r="R10" s="63"/>
      <c r="S10" s="63"/>
      <c r="T10" s="63"/>
    </row>
    <row r="11" spans="1:27" ht="10.5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8" t="str">
        <f>IF(YEAR(J$4)&gt;='Input|General'!$G$13,IF(YEAR(J$4)&lt;='Input|General'!$G$14,J$4,""),"")</f>
        <v/>
      </c>
      <c r="K11" s="98" t="str">
        <f>IF(YEAR(K$4)&gt;='Input|General'!$G$13,IF(YEAR(K$4)&lt;='Input|General'!$G$14,K$4,""),"")</f>
        <v/>
      </c>
      <c r="L11" s="98" t="str">
        <f>IF(YEAR(L$4)&gt;='Input|General'!$G$13,IF(YEAR(L$4)&lt;='Input|General'!$G$14,L$4,""),"")</f>
        <v/>
      </c>
      <c r="M11" s="98" t="str">
        <f>IF(YEAR(M$4)&gt;='Input|General'!$G$13,IF(YEAR(M$4)&lt;='Input|General'!$G$14,M$4,""),"")</f>
        <v/>
      </c>
      <c r="N11" s="98" t="str">
        <f>IF(YEAR(N$4)&gt;='Input|General'!$G$13,IF(YEAR(N$4)&lt;='Input|General'!$G$14,N$4,""),"")</f>
        <v/>
      </c>
      <c r="O11" s="98">
        <f>IF(YEAR(O$4)&gt;='Input|General'!$G$13,IF(YEAR(O$4)&lt;='Input|General'!$G$14,O$4,""),"")</f>
        <v>46813</v>
      </c>
      <c r="P11" s="98">
        <f>IF(YEAR(P$4)&gt;='Input|General'!$G$13,IF(YEAR(P$4)&lt;='Input|General'!$G$14,P$4,""),"")</f>
        <v>47178</v>
      </c>
      <c r="Q11" s="98">
        <f>IF(YEAR(Q$4)&gt;='Input|General'!$G$13,IF(YEAR(Q$4)&lt;='Input|General'!$G$14,Q$4,""),"")</f>
        <v>47543</v>
      </c>
      <c r="R11" s="98">
        <f>IF(YEAR(R$4)&gt;='Input|General'!$G$13,IF(YEAR(R$4)&lt;='Input|General'!$G$14,R$4,""),"")</f>
        <v>47908</v>
      </c>
      <c r="S11" s="98">
        <f>IF(YEAR(S$4)&gt;='Input|General'!$G$13,IF(YEAR(S$4)&lt;='Input|General'!$G$14,S$4,""),"")</f>
        <v>48274</v>
      </c>
      <c r="T11" s="98" t="str">
        <f>IF(YEAR(T$4)&gt;='Input|General'!$G$13,IF(YEAR(T$4)&lt;='Input|General'!$G$14,T$4,""),"")</f>
        <v/>
      </c>
      <c r="V11" s="85" t="s">
        <v>51</v>
      </c>
      <c r="W11" s="86"/>
      <c r="X11" s="86"/>
    </row>
    <row r="12" spans="1:27" ht="10.5">
      <c r="C12" s="9"/>
      <c r="D12" s="20"/>
      <c r="E12" s="20"/>
      <c r="F12" s="20"/>
      <c r="H12" s="20"/>
      <c r="I12" s="20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V12" s="9"/>
    </row>
    <row r="13" spans="1:27">
      <c r="C13" s="15" t="str">
        <f>'Calc|Opex forecast'!C108</f>
        <v>Total forecast opex, excluding category specific forecasts</v>
      </c>
      <c r="D13" s="24" t="s">
        <v>97</v>
      </c>
      <c r="E13" s="16" t="str">
        <f t="shared" ref="E13:E18" si="0">$E$8</f>
        <v>$millions</v>
      </c>
      <c r="F13" s="97">
        <f t="shared" ref="F13:F18" si="1">$F$8</f>
        <v>46447</v>
      </c>
      <c r="H13" s="20"/>
      <c r="I13" s="20"/>
      <c r="J13" s="103">
        <f>IF(J11="",0,'Calc|Opex forecast'!J108*INDEX('Input|Rate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K13" s="103">
        <f>IF(K11="",0,'Calc|Opex forecast'!K108*INDEX('Input|Rate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L13" s="103">
        <f>IF(L11="",0,'Calc|Opex forecast'!L108*INDEX('Input|Rate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M13" s="103">
        <f>IF(M11="",0,'Calc|Opex forecast'!M108*INDEX('Input|Rate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N13" s="103">
        <f>IF(N11="",0,'Calc|Opex forecast'!N108*INDEX('Input|Rate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O13" s="103">
        <f ca="1">IF(O11="",0,'Calc|Opex forecast'!O108*INDEX('Input|Rate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137.15038823764198</v>
      </c>
      <c r="P13" s="103">
        <f ca="1">IF(P11="",0,'Calc|Opex forecast'!P108*INDEX('Input|Rate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141.7494036996751</v>
      </c>
      <c r="Q13" s="103">
        <f ca="1">IF(Q11="",0,'Calc|Opex forecast'!Q108*INDEX('Input|Rate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138.59132520335717</v>
      </c>
      <c r="R13" s="103">
        <f ca="1">IF(R11="",0,'Calc|Opex forecast'!R108*INDEX('Input|Rate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140.29948163230702</v>
      </c>
      <c r="S13" s="103">
        <f ca="1">IF(S11="",0,'Calc|Opex forecast'!S108*INDEX('Input|Rate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141.66561794716154</v>
      </c>
      <c r="T13" s="103">
        <f>IF(T11="",0,'Calc|Opex forecast'!T108*INDEX('Input|Rate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U13" s="15"/>
      <c r="V13" s="90"/>
    </row>
    <row r="14" spans="1:27">
      <c r="C14" s="15" t="str">
        <f>'Input|Step changes'!C31</f>
        <v>Easement land tax</v>
      </c>
      <c r="D14" s="24" t="s">
        <v>97</v>
      </c>
      <c r="E14" s="16" t="str">
        <f t="shared" si="0"/>
        <v>$millions</v>
      </c>
      <c r="F14" s="97">
        <f t="shared" si="1"/>
        <v>46447</v>
      </c>
      <c r="H14" s="20"/>
      <c r="I14" s="20"/>
      <c r="J14" s="103">
        <f>IF(J$11="",0,'Calc|Opex forecast'!J96*INDEX('Input|Rate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K14" s="103">
        <f>IF(K$11="",0,'Calc|Opex forecast'!K96*INDEX('Input|Rate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L14" s="103">
        <f>IF(L$11="",0,'Calc|Opex forecast'!L96*INDEX('Input|Rate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M14" s="103">
        <f>IF(M$11="",0,'Calc|Opex forecast'!M96*INDEX('Input|Rate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N14" s="103">
        <f>IF(N$11="",0,'Calc|Opex forecast'!N96*INDEX('Input|Rate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O14" s="103">
        <f>IF(O$11="",0,'Calc|Opex forecast'!O96*INDEX('Input|Rate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277.06348565069851</v>
      </c>
      <c r="P14" s="103">
        <f>IF(P$11="",0,'Calc|Opex forecast'!P96*INDEX('Input|Rate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279.96100717162147</v>
      </c>
      <c r="Q14" s="103">
        <f>IF(Q$11="",0,'Calc|Opex forecast'!Q96*INDEX('Input|Rate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282.88883088463774</v>
      </c>
      <c r="R14" s="103">
        <f>IF(R$11="",0,'Calc|Opex forecast'!R96*INDEX('Input|Rate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285.84727368915213</v>
      </c>
      <c r="S14" s="103">
        <f>IF(S$11="",0,'Calc|Opex forecast'!S96*INDEX('Input|Rate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288.83665579869387</v>
      </c>
      <c r="T14" s="103">
        <f>IF(T$11="",0,'Calc|Opex forecast'!T96*INDEX('Input|Rate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U14" s="15"/>
      <c r="V14" s="90"/>
    </row>
    <row r="15" spans="1:27">
      <c r="C15" s="15">
        <f>'Input|Step changes'!C32</f>
        <v>0</v>
      </c>
      <c r="D15" s="24" t="s">
        <v>97</v>
      </c>
      <c r="E15" s="16" t="str">
        <f t="shared" si="0"/>
        <v>$millions</v>
      </c>
      <c r="F15" s="97">
        <f t="shared" si="1"/>
        <v>46447</v>
      </c>
      <c r="H15" s="20"/>
      <c r="I15" s="20"/>
      <c r="J15" s="103">
        <f>IF(J$11="",0,'Calc|Opex forecast'!J97*INDEX('Input|Rate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K15" s="103">
        <f>IF(K$11="",0,'Calc|Opex forecast'!K97*INDEX('Input|Rate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L15" s="103">
        <f>IF(L$11="",0,'Calc|Opex forecast'!L97*INDEX('Input|Rate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M15" s="103">
        <f>IF(M$11="",0,'Calc|Opex forecast'!M97*INDEX('Input|Rate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N15" s="103">
        <f>IF(N$11="",0,'Calc|Opex forecast'!N97*INDEX('Input|Rate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O15" s="103">
        <f>IF(O$11="",0,'Calc|Opex forecast'!O97*INDEX('Input|Rate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P15" s="103">
        <f>IF(P$11="",0,'Calc|Opex forecast'!P97*INDEX('Input|Rate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Q15" s="103">
        <f>IF(Q$11="",0,'Calc|Opex forecast'!Q97*INDEX('Input|Rate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R15" s="103">
        <f>IF(R$11="",0,'Calc|Opex forecast'!R97*INDEX('Input|Rate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S15" s="103">
        <f>IF(S$11="",0,'Calc|Opex forecast'!S97*INDEX('Input|Rate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T15" s="103">
        <f>IF(T$11="",0,'Calc|Opex forecast'!T97*INDEX('Input|Rate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U15" s="15"/>
      <c r="V15" s="90"/>
    </row>
    <row r="16" spans="1:27">
      <c r="C16" s="15" t="str">
        <f>'Input|Step changes'!C33</f>
        <v>Growth Assets Roll In</v>
      </c>
      <c r="D16" s="24" t="s">
        <v>97</v>
      </c>
      <c r="E16" s="16" t="str">
        <f t="shared" si="0"/>
        <v>$millions</v>
      </c>
      <c r="F16" s="97">
        <f t="shared" si="1"/>
        <v>46447</v>
      </c>
      <c r="H16" s="20"/>
      <c r="I16" s="20"/>
      <c r="J16" s="103">
        <f>IF(J$11="",0,'Calc|Opex forecast'!J98*INDEX('Input|Rate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K16" s="103">
        <f>IF(K$11="",0,'Calc|Opex forecast'!K98*INDEX('Input|Rate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L16" s="103">
        <f>IF(L$11="",0,'Calc|Opex forecast'!L98*INDEX('Input|Rate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M16" s="103">
        <f>IF(M$11="",0,'Calc|Opex forecast'!M98*INDEX('Input|Rate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N16" s="103">
        <f>IF(N$11="",0,'Calc|Opex forecast'!N98*INDEX('Input|Rate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O16" s="103">
        <f>IF(O$11="",0,'Calc|Opex forecast'!O98*INDEX('Input|Rate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4.4082744700637582</v>
      </c>
      <c r="P16" s="103">
        <f>IF(P$11="",0,'Calc|Opex forecast'!P98*INDEX('Input|Rate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4.4082744700637582</v>
      </c>
      <c r="Q16" s="103">
        <f>IF(Q$11="",0,'Calc|Opex forecast'!Q98*INDEX('Input|Rate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4.4082744700637582</v>
      </c>
      <c r="R16" s="103">
        <f>IF(R$11="",0,'Calc|Opex forecast'!R98*INDEX('Input|Rate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4.4082744700637582</v>
      </c>
      <c r="S16" s="103">
        <f>IF(S$11="",0,'Calc|Opex forecast'!S98*INDEX('Input|Rate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4.4082744700637582</v>
      </c>
      <c r="T16" s="103">
        <f>IF(T$11="",0,'Calc|Opex forecast'!T98*INDEX('Input|Rate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U16" s="15"/>
      <c r="V16" s="90"/>
    </row>
    <row r="17" spans="1:24">
      <c r="C17" s="15">
        <f>'Input|Step changes'!C34</f>
        <v>0</v>
      </c>
      <c r="D17" s="24" t="s">
        <v>97</v>
      </c>
      <c r="E17" s="16" t="str">
        <f t="shared" si="0"/>
        <v>$millions</v>
      </c>
      <c r="F17" s="97">
        <f t="shared" si="1"/>
        <v>46447</v>
      </c>
      <c r="H17" s="20"/>
      <c r="I17" s="20"/>
      <c r="J17" s="103">
        <f>IF(J$11="",0,'Calc|Opex forecast'!J99*INDEX('Input|Rate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K17" s="103">
        <f>IF(K$11="",0,'Calc|Opex forecast'!K99*INDEX('Input|Rate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L17" s="103">
        <f>IF(L$11="",0,'Calc|Opex forecast'!L99*INDEX('Input|Rate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M17" s="103">
        <f>IF(M$11="",0,'Calc|Opex forecast'!M99*INDEX('Input|Rate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N17" s="103">
        <f>IF(N$11="",0,'Calc|Opex forecast'!N99*INDEX('Input|Rate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O17" s="103">
        <f>IF(O$11="",0,'Calc|Opex forecast'!O99*INDEX('Input|Rate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P17" s="103">
        <f>IF(P$11="",0,'Calc|Opex forecast'!P99*INDEX('Input|Rate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Q17" s="103">
        <f>IF(Q$11="",0,'Calc|Opex forecast'!Q99*INDEX('Input|Rate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R17" s="103">
        <f>IF(R$11="",0,'Calc|Opex forecast'!R99*INDEX('Input|Rate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S17" s="103">
        <f>IF(S$11="",0,'Calc|Opex forecast'!S99*INDEX('Input|Rate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T17" s="103">
        <f>IF(T$11="",0,'Calc|Opex forecast'!T99*INDEX('Input|Rate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U17" s="15"/>
      <c r="V17" s="110"/>
    </row>
    <row r="18" spans="1:24">
      <c r="C18" s="15">
        <f>'Input|Step changes'!C35</f>
        <v>0</v>
      </c>
      <c r="D18" s="24" t="s">
        <v>97</v>
      </c>
      <c r="E18" s="16" t="str">
        <f t="shared" si="0"/>
        <v>$millions</v>
      </c>
      <c r="F18" s="97">
        <f t="shared" si="1"/>
        <v>46447</v>
      </c>
      <c r="H18" s="20"/>
      <c r="I18" s="20"/>
      <c r="J18" s="103">
        <f>IF(J$11="",0,'Calc|Opex forecast'!J100*INDEX('Input|Rate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K18" s="103">
        <f>IF(K$11="",0,'Calc|Opex forecast'!K100*INDEX('Input|Rate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L18" s="103">
        <f>IF(L$11="",0,'Calc|Opex forecast'!L100*INDEX('Input|Rate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M18" s="103">
        <f>IF(M$11="",0,'Calc|Opex forecast'!M100*INDEX('Input|Rate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N18" s="103">
        <f>IF(N$11="",0,'Calc|Opex forecast'!N100*INDEX('Input|Rate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O18" s="103">
        <f>IF(O$11="",0,'Calc|Opex forecast'!O100*INDEX('Input|Rate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P18" s="103">
        <f>IF(P$11="",0,'Calc|Opex forecast'!P100*INDEX('Input|Rate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Q18" s="103">
        <f>IF(Q$11="",0,'Calc|Opex forecast'!Q100*INDEX('Input|Rate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R18" s="103">
        <f>IF(R$11="",0,'Calc|Opex forecast'!R100*INDEX('Input|Rate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S18" s="103">
        <f>IF(S$11="",0,'Calc|Opex forecast'!S100*INDEX('Input|Rate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T18" s="103">
        <f>IF(T$11="",0,'Calc|Opex forecast'!T100*INDEX('Input|Rate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U18" s="15"/>
      <c r="V18" s="110"/>
    </row>
    <row r="19" spans="1:24" ht="10.5">
      <c r="D19" s="24"/>
      <c r="H19" s="20"/>
      <c r="I19" s="20"/>
      <c r="S19" s="22"/>
      <c r="T19" s="22"/>
    </row>
    <row r="20" spans="1:24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8"/>
      <c r="N26" s="88"/>
      <c r="O26" s="88"/>
      <c r="P26" s="88"/>
      <c r="Q26" s="88"/>
      <c r="R26" s="88"/>
      <c r="S26" s="88"/>
      <c r="T26" s="88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5" t="s">
        <v>24</v>
      </c>
      <c r="V1" s="29" t="str">
        <f>'Check|List'!$S$1</f>
        <v>Ok</v>
      </c>
    </row>
    <row r="2" spans="1:30" s="27" customFormat="1" ht="13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3">
      <c r="A5" s="32"/>
      <c r="B5" s="38" t="s">
        <v>174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 ht="10.5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175</v>
      </c>
      <c r="D8" s="16" t="s">
        <v>178</v>
      </c>
      <c r="E8" s="16"/>
      <c r="F8" s="16"/>
      <c r="G8" s="39" t="s">
        <v>175</v>
      </c>
    </row>
    <row r="9" spans="1:30">
      <c r="C9" s="15" t="s">
        <v>176</v>
      </c>
      <c r="D9" s="16" t="s">
        <v>178</v>
      </c>
      <c r="E9" s="16"/>
      <c r="F9" s="16"/>
      <c r="G9" s="39" t="s">
        <v>176</v>
      </c>
    </row>
    <row r="10" spans="1:30">
      <c r="C10" s="15" t="s">
        <v>177</v>
      </c>
      <c r="D10" s="16" t="s">
        <v>64</v>
      </c>
      <c r="E10" s="16"/>
      <c r="F10" s="16"/>
      <c r="G10" s="39" t="s">
        <v>177</v>
      </c>
      <c r="T10" s="17"/>
    </row>
    <row r="11" spans="1:30">
      <c r="C11" s="15" t="s">
        <v>179</v>
      </c>
      <c r="D11" s="16" t="s">
        <v>178</v>
      </c>
      <c r="E11" s="16"/>
      <c r="F11" s="16"/>
      <c r="G11" s="39" t="s">
        <v>179</v>
      </c>
    </row>
    <row r="12" spans="1:30">
      <c r="C12" s="15" t="s">
        <v>180</v>
      </c>
      <c r="D12" s="16" t="s">
        <v>64</v>
      </c>
      <c r="E12" s="16"/>
      <c r="F12" s="16"/>
      <c r="G12" s="39" t="s">
        <v>180</v>
      </c>
      <c r="T12" s="17"/>
    </row>
    <row r="13" spans="1:30">
      <c r="F13" s="8"/>
      <c r="G13" s="8"/>
    </row>
    <row r="14" spans="1:30" customFormat="1" ht="13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 ht="10.5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3">
      <c r="A29" s="32"/>
      <c r="B29" s="38" t="s">
        <v>109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 ht="10.5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 ht="10.5">
      <c r="C32" s="15" t="s">
        <v>110</v>
      </c>
      <c r="D32" s="16" t="s">
        <v>64</v>
      </c>
      <c r="E32" s="16"/>
      <c r="F32" s="16"/>
      <c r="G32" s="91">
        <v>36526</v>
      </c>
      <c r="H32" s="14"/>
    </row>
    <row r="33" spans="1:30" ht="10.5">
      <c r="C33" s="15" t="s">
        <v>111</v>
      </c>
      <c r="D33" s="16" t="s">
        <v>64</v>
      </c>
      <c r="E33" s="16"/>
      <c r="F33" s="16"/>
      <c r="G33" s="91">
        <v>36557</v>
      </c>
      <c r="H33" s="14"/>
    </row>
    <row r="34" spans="1:30" ht="10.5">
      <c r="C34" s="15" t="s">
        <v>112</v>
      </c>
      <c r="D34" s="16" t="s">
        <v>64</v>
      </c>
      <c r="E34" s="16"/>
      <c r="F34" s="16"/>
      <c r="G34" s="91">
        <v>36586</v>
      </c>
      <c r="H34" s="14"/>
    </row>
    <row r="35" spans="1:30">
      <c r="C35" s="15" t="s">
        <v>113</v>
      </c>
      <c r="D35" s="16" t="s">
        <v>64</v>
      </c>
      <c r="E35" s="16"/>
      <c r="F35" s="16"/>
      <c r="G35" s="91">
        <v>36617</v>
      </c>
    </row>
    <row r="36" spans="1:30">
      <c r="C36" s="15" t="s">
        <v>114</v>
      </c>
      <c r="D36" s="16" t="s">
        <v>64</v>
      </c>
      <c r="E36" s="16"/>
      <c r="F36" s="16"/>
      <c r="G36" s="91">
        <v>36647</v>
      </c>
    </row>
    <row r="37" spans="1:30">
      <c r="C37" s="15" t="s">
        <v>115</v>
      </c>
      <c r="D37" s="16" t="s">
        <v>64</v>
      </c>
      <c r="E37" s="16"/>
      <c r="F37" s="16"/>
      <c r="G37" s="91">
        <v>36678</v>
      </c>
      <c r="T37" s="17"/>
    </row>
    <row r="38" spans="1:30">
      <c r="C38" s="15" t="s">
        <v>116</v>
      </c>
      <c r="D38" s="16" t="s">
        <v>64</v>
      </c>
      <c r="E38" s="16"/>
      <c r="F38" s="16"/>
      <c r="G38" s="91">
        <v>36708</v>
      </c>
      <c r="T38" s="17"/>
    </row>
    <row r="39" spans="1:30">
      <c r="C39" s="15" t="s">
        <v>117</v>
      </c>
      <c r="D39" s="16" t="s">
        <v>64</v>
      </c>
      <c r="E39" s="16"/>
      <c r="F39" s="16"/>
      <c r="G39" s="91">
        <v>36739</v>
      </c>
      <c r="T39" s="17"/>
    </row>
    <row r="40" spans="1:30">
      <c r="C40" s="15" t="s">
        <v>118</v>
      </c>
      <c r="D40" s="16" t="s">
        <v>64</v>
      </c>
      <c r="E40" s="16"/>
      <c r="F40" s="16"/>
      <c r="G40" s="91">
        <v>36770</v>
      </c>
      <c r="T40" s="17"/>
    </row>
    <row r="41" spans="1:30">
      <c r="C41" s="15" t="s">
        <v>119</v>
      </c>
      <c r="D41" s="16" t="s">
        <v>64</v>
      </c>
      <c r="E41" s="16"/>
      <c r="F41" s="16"/>
      <c r="G41" s="91">
        <v>36800</v>
      </c>
      <c r="T41" s="17"/>
    </row>
    <row r="42" spans="1:30">
      <c r="C42" s="15" t="s">
        <v>120</v>
      </c>
      <c r="D42" s="16" t="s">
        <v>64</v>
      </c>
      <c r="E42" s="16"/>
      <c r="F42" s="16"/>
      <c r="G42" s="91">
        <v>36831</v>
      </c>
      <c r="T42" s="17"/>
    </row>
    <row r="43" spans="1:30">
      <c r="C43" s="15" t="s">
        <v>121</v>
      </c>
      <c r="D43" s="16" t="s">
        <v>64</v>
      </c>
      <c r="E43" s="16"/>
      <c r="F43" s="16"/>
      <c r="G43" s="91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 ht="10.5">
      <c r="C47" s="13" t="str">
        <f>B45</f>
        <v>Years</v>
      </c>
      <c r="D47" s="20" t="s">
        <v>7</v>
      </c>
      <c r="E47" s="20"/>
      <c r="F47" s="14"/>
      <c r="G47" s="14" t="s">
        <v>142</v>
      </c>
      <c r="H47" s="14" t="s">
        <v>140</v>
      </c>
      <c r="I47" s="14" t="s">
        <v>141</v>
      </c>
    </row>
    <row r="48" spans="1:30">
      <c r="C48" s="96">
        <v>40695</v>
      </c>
      <c r="D48" s="16" t="s">
        <v>64</v>
      </c>
      <c r="E48" s="16"/>
      <c r="F48" s="16"/>
      <c r="G48" s="92">
        <v>2018</v>
      </c>
      <c r="H48" s="106">
        <f>DATE(G48,MONTH('Input|General'!$G$9),1)</f>
        <v>43160</v>
      </c>
      <c r="I48" s="105" t="str">
        <f>G48-1&amp;"–"&amp;RIGHT(G48,2)</f>
        <v>2017–18</v>
      </c>
    </row>
    <row r="49" spans="3:20">
      <c r="C49" s="96">
        <v>41061</v>
      </c>
      <c r="D49" s="16" t="s">
        <v>64</v>
      </c>
      <c r="E49" s="16"/>
      <c r="F49" s="16"/>
      <c r="G49" s="92">
        <v>2019</v>
      </c>
      <c r="H49" s="106">
        <f>DATE(G49,MONTH('Input|General'!$G$9),1)</f>
        <v>43525</v>
      </c>
      <c r="I49" s="105" t="str">
        <f t="shared" ref="I49:I67" si="0">G49-1&amp;"–"&amp;RIGHT(G49,2)</f>
        <v>2018–19</v>
      </c>
    </row>
    <row r="50" spans="3:20">
      <c r="C50" s="96">
        <v>41426</v>
      </c>
      <c r="D50" s="16" t="s">
        <v>64</v>
      </c>
      <c r="E50" s="16"/>
      <c r="F50" s="16"/>
      <c r="G50" s="92">
        <v>2020</v>
      </c>
      <c r="H50" s="106">
        <f>DATE(G50,MONTH('Input|General'!$G$9),1)</f>
        <v>43891</v>
      </c>
      <c r="I50" s="105" t="str">
        <f t="shared" si="0"/>
        <v>2019–20</v>
      </c>
    </row>
    <row r="51" spans="3:20">
      <c r="C51" s="96">
        <v>41791</v>
      </c>
      <c r="D51" s="16" t="s">
        <v>64</v>
      </c>
      <c r="E51" s="16"/>
      <c r="F51" s="16"/>
      <c r="G51" s="92">
        <v>2021</v>
      </c>
      <c r="H51" s="106">
        <f>DATE(G51,MONTH('Input|General'!$G$9),1)</f>
        <v>44256</v>
      </c>
      <c r="I51" s="105" t="str">
        <f t="shared" si="0"/>
        <v>2020–21</v>
      </c>
    </row>
    <row r="52" spans="3:20">
      <c r="C52" s="96">
        <v>42156</v>
      </c>
      <c r="D52" s="16" t="s">
        <v>64</v>
      </c>
      <c r="E52" s="16"/>
      <c r="F52" s="16"/>
      <c r="G52" s="92">
        <v>2022</v>
      </c>
      <c r="H52" s="106">
        <f>DATE(G52,MONTH('Input|General'!$G$9),1)</f>
        <v>44621</v>
      </c>
      <c r="I52" s="105" t="str">
        <f t="shared" si="0"/>
        <v>2021–22</v>
      </c>
      <c r="T52" s="17"/>
    </row>
    <row r="53" spans="3:20">
      <c r="C53" s="96">
        <v>42522</v>
      </c>
      <c r="D53" s="16" t="s">
        <v>64</v>
      </c>
      <c r="E53" s="16"/>
      <c r="F53" s="16"/>
      <c r="G53" s="92">
        <v>2023</v>
      </c>
      <c r="H53" s="106">
        <f>DATE(G53,MONTH('Input|General'!$G$9),1)</f>
        <v>44986</v>
      </c>
      <c r="I53" s="105" t="str">
        <f t="shared" si="0"/>
        <v>2022–23</v>
      </c>
      <c r="T53" s="17"/>
    </row>
    <row r="54" spans="3:20">
      <c r="C54" s="96">
        <v>42887</v>
      </c>
      <c r="D54" s="16" t="s">
        <v>64</v>
      </c>
      <c r="E54" s="16"/>
      <c r="F54" s="16"/>
      <c r="G54" s="92">
        <v>2024</v>
      </c>
      <c r="H54" s="106">
        <f>DATE(G54,MONTH('Input|General'!$G$9),1)</f>
        <v>45352</v>
      </c>
      <c r="I54" s="105" t="str">
        <f t="shared" si="0"/>
        <v>2023–24</v>
      </c>
      <c r="T54" s="17"/>
    </row>
    <row r="55" spans="3:20">
      <c r="C55" s="96">
        <v>43252</v>
      </c>
      <c r="D55" s="16" t="s">
        <v>64</v>
      </c>
      <c r="E55" s="16"/>
      <c r="F55" s="16"/>
      <c r="G55" s="92">
        <v>2025</v>
      </c>
      <c r="H55" s="106">
        <f>DATE(G55,MONTH('Input|General'!$G$9),1)</f>
        <v>45717</v>
      </c>
      <c r="I55" s="105" t="str">
        <f t="shared" si="0"/>
        <v>2024–25</v>
      </c>
      <c r="T55" s="17"/>
    </row>
    <row r="56" spans="3:20">
      <c r="C56" s="96">
        <v>43617</v>
      </c>
      <c r="D56" s="16" t="s">
        <v>64</v>
      </c>
      <c r="E56" s="16"/>
      <c r="F56" s="16"/>
      <c r="G56" s="92">
        <v>2026</v>
      </c>
      <c r="H56" s="106">
        <f>DATE(G56,MONTH('Input|General'!$G$9),1)</f>
        <v>46082</v>
      </c>
      <c r="I56" s="105" t="str">
        <f t="shared" si="0"/>
        <v>2025–26</v>
      </c>
      <c r="T56" s="17"/>
    </row>
    <row r="57" spans="3:20">
      <c r="C57" s="96">
        <v>43983</v>
      </c>
      <c r="D57" s="16" t="s">
        <v>64</v>
      </c>
      <c r="E57" s="16"/>
      <c r="F57" s="16"/>
      <c r="G57" s="92">
        <v>2027</v>
      </c>
      <c r="H57" s="106">
        <f>DATE(G57,MONTH('Input|General'!$G$9),1)</f>
        <v>46447</v>
      </c>
      <c r="I57" s="105" t="str">
        <f t="shared" si="0"/>
        <v>2026–27</v>
      </c>
      <c r="T57" s="17"/>
    </row>
    <row r="58" spans="3:20">
      <c r="C58" s="96">
        <v>44348</v>
      </c>
      <c r="D58" s="16" t="s">
        <v>64</v>
      </c>
      <c r="E58" s="16"/>
      <c r="F58" s="16"/>
      <c r="G58" s="92">
        <v>2028</v>
      </c>
      <c r="H58" s="106">
        <f>DATE(G58,MONTH('Input|General'!$G$9),1)</f>
        <v>46813</v>
      </c>
      <c r="I58" s="105" t="str">
        <f t="shared" si="0"/>
        <v>2027–28</v>
      </c>
      <c r="T58" s="17"/>
    </row>
    <row r="59" spans="3:20">
      <c r="C59" s="96">
        <v>44713</v>
      </c>
      <c r="D59" s="16" t="s">
        <v>64</v>
      </c>
      <c r="E59" s="16"/>
      <c r="F59" s="16"/>
      <c r="G59" s="92">
        <v>2029</v>
      </c>
      <c r="H59" s="106">
        <f>DATE(G59,MONTH('Input|General'!$G$9),1)</f>
        <v>47178</v>
      </c>
      <c r="I59" s="105" t="str">
        <f t="shared" si="0"/>
        <v>2028–29</v>
      </c>
      <c r="T59" s="17"/>
    </row>
    <row r="60" spans="3:20">
      <c r="C60" s="96">
        <v>45078</v>
      </c>
      <c r="D60" s="16" t="s">
        <v>64</v>
      </c>
      <c r="E60" s="16"/>
      <c r="F60" s="16"/>
      <c r="G60" s="92">
        <v>2030</v>
      </c>
      <c r="H60" s="106">
        <f>DATE(G60,MONTH('Input|General'!$G$9),1)</f>
        <v>47543</v>
      </c>
      <c r="I60" s="105" t="str">
        <f t="shared" si="0"/>
        <v>2029–30</v>
      </c>
      <c r="T60" s="17"/>
    </row>
    <row r="61" spans="3:20">
      <c r="C61" s="96">
        <v>45444</v>
      </c>
      <c r="D61" s="16" t="s">
        <v>64</v>
      </c>
      <c r="E61" s="16"/>
      <c r="F61" s="16"/>
      <c r="G61" s="92">
        <v>2031</v>
      </c>
      <c r="H61" s="106">
        <f>DATE(G61,MONTH('Input|General'!$G$9),1)</f>
        <v>47908</v>
      </c>
      <c r="I61" s="105" t="str">
        <f t="shared" si="0"/>
        <v>2030–31</v>
      </c>
      <c r="T61" s="17"/>
    </row>
    <row r="62" spans="3:20">
      <c r="C62" s="96">
        <v>45809</v>
      </c>
      <c r="D62" s="16" t="s">
        <v>64</v>
      </c>
      <c r="E62" s="16"/>
      <c r="F62" s="16"/>
      <c r="G62" s="92">
        <v>2032</v>
      </c>
      <c r="H62" s="106">
        <f>DATE(G62,MONTH('Input|General'!$G$9),1)</f>
        <v>48274</v>
      </c>
      <c r="I62" s="105" t="str">
        <f t="shared" si="0"/>
        <v>2031–32</v>
      </c>
      <c r="T62" s="17"/>
    </row>
    <row r="63" spans="3:20">
      <c r="C63" s="96">
        <v>46174</v>
      </c>
      <c r="D63" s="16" t="s">
        <v>64</v>
      </c>
      <c r="E63" s="16"/>
      <c r="F63" s="16"/>
      <c r="G63" s="92">
        <v>2033</v>
      </c>
      <c r="H63" s="106">
        <f>DATE(G63,MONTH('Input|General'!$G$9),1)</f>
        <v>48639</v>
      </c>
      <c r="I63" s="105" t="str">
        <f t="shared" si="0"/>
        <v>2032–33</v>
      </c>
      <c r="T63" s="17"/>
    </row>
    <row r="64" spans="3:20">
      <c r="C64" s="96">
        <v>46539</v>
      </c>
      <c r="D64" s="16" t="s">
        <v>64</v>
      </c>
      <c r="E64" s="16"/>
      <c r="F64" s="16"/>
      <c r="G64" s="92">
        <v>2034</v>
      </c>
      <c r="H64" s="106">
        <f>DATE(G64,MONTH('Input|General'!$G$9),1)</f>
        <v>49004</v>
      </c>
      <c r="I64" s="105" t="str">
        <f t="shared" si="0"/>
        <v>2033–34</v>
      </c>
      <c r="T64" s="17"/>
    </row>
    <row r="65" spans="1:30">
      <c r="C65" s="96">
        <v>46905</v>
      </c>
      <c r="D65" s="16" t="s">
        <v>64</v>
      </c>
      <c r="E65" s="16"/>
      <c r="F65" s="16"/>
      <c r="G65" s="92">
        <v>2035</v>
      </c>
      <c r="H65" s="106">
        <f>DATE(G65,MONTH('Input|General'!$G$9),1)</f>
        <v>49369</v>
      </c>
      <c r="I65" s="105" t="str">
        <f t="shared" si="0"/>
        <v>2034–35</v>
      </c>
      <c r="T65" s="17"/>
    </row>
    <row r="66" spans="1:30">
      <c r="C66" s="96">
        <v>47270</v>
      </c>
      <c r="D66" s="16" t="s">
        <v>64</v>
      </c>
      <c r="E66" s="16"/>
      <c r="F66" s="16"/>
      <c r="G66" s="92">
        <v>2036</v>
      </c>
      <c r="H66" s="106">
        <f>DATE(G66,MONTH('Input|General'!$G$9),1)</f>
        <v>49735</v>
      </c>
      <c r="I66" s="105" t="str">
        <f t="shared" si="0"/>
        <v>2035–36</v>
      </c>
      <c r="T66" s="17"/>
    </row>
    <row r="67" spans="1:30">
      <c r="C67" s="96">
        <v>47635</v>
      </c>
      <c r="D67" s="16" t="s">
        <v>64</v>
      </c>
      <c r="E67" s="16"/>
      <c r="F67" s="16"/>
      <c r="G67" s="92">
        <v>2037</v>
      </c>
      <c r="H67" s="106">
        <f>DATE(G67,MONTH('Input|General'!$G$9),1)</f>
        <v>50100</v>
      </c>
      <c r="I67" s="105" t="str">
        <f t="shared" si="0"/>
        <v>2036–37</v>
      </c>
      <c r="T67" s="17"/>
    </row>
    <row r="68" spans="1:30"/>
    <row r="69" spans="1:30" customFormat="1" ht="13">
      <c r="A69" s="32"/>
      <c r="B69" s="38" t="s">
        <v>138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 ht="10.5">
      <c r="C71" s="13" t="str">
        <f>B69</f>
        <v>Regulatory years</v>
      </c>
      <c r="D71" s="20" t="s">
        <v>7</v>
      </c>
      <c r="E71" s="20"/>
      <c r="F71" s="14"/>
      <c r="G71" s="14" t="s">
        <v>139</v>
      </c>
      <c r="H71" s="14" t="s">
        <v>108</v>
      </c>
    </row>
    <row r="72" spans="1:30" ht="10.5">
      <c r="C72" s="15" t="s">
        <v>159</v>
      </c>
      <c r="D72" s="16" t="s">
        <v>92</v>
      </c>
      <c r="E72" s="20"/>
      <c r="F72" s="14"/>
      <c r="G72" s="105" t="str">
        <f>IF(H72="","",IF(MONTH(H72)=12,YEAR(H72),YEAR(H72)-1&amp;"–"&amp;RIGHT(YEAR(H72),2)))</f>
        <v>2021–22</v>
      </c>
      <c r="H72" s="106">
        <f>DATE(PPFirstYear-1,MONTH('Input|General'!$G$9),1)</f>
        <v>44621</v>
      </c>
    </row>
    <row r="73" spans="1:30">
      <c r="C73" s="15" t="s">
        <v>128</v>
      </c>
      <c r="D73" s="16" t="s">
        <v>92</v>
      </c>
      <c r="E73" s="16"/>
      <c r="F73" s="16"/>
      <c r="G73" s="105" t="str">
        <f t="shared" ref="G73:G82" si="1">IF(H73="","",IF(MONTH(H73)=12,YEAR(H73),YEAR(H73)-1&amp;"–"&amp;RIGHT(YEAR(H73),2)))</f>
        <v>2022–23</v>
      </c>
      <c r="H73" s="106">
        <f>DATE(PPFirstYear,MONTH('Input|General'!$G$9),1)</f>
        <v>44986</v>
      </c>
    </row>
    <row r="74" spans="1:30">
      <c r="C74" s="15" t="s">
        <v>129</v>
      </c>
      <c r="D74" s="16" t="s">
        <v>92</v>
      </c>
      <c r="E74" s="16"/>
      <c r="F74" s="16"/>
      <c r="G74" s="105" t="str">
        <f t="shared" si="1"/>
        <v>2023–24</v>
      </c>
      <c r="H74" s="106">
        <f>IF(PPLastYear-PPFirstYear&lt;1,"",DATE(PPFirstYear+1,MONTH('Input|General'!$G$9),1))</f>
        <v>45352</v>
      </c>
    </row>
    <row r="75" spans="1:30">
      <c r="C75" s="15" t="s">
        <v>130</v>
      </c>
      <c r="D75" s="16" t="s">
        <v>92</v>
      </c>
      <c r="E75" s="16"/>
      <c r="F75" s="16"/>
      <c r="G75" s="105" t="str">
        <f t="shared" si="1"/>
        <v>2024–25</v>
      </c>
      <c r="H75" s="106">
        <f>IF(PPLastYear-PPFirstYear&lt;2,"",DATE(PPFirstYear+2,MONTH('Input|General'!$G$9),1))</f>
        <v>45717</v>
      </c>
    </row>
    <row r="76" spans="1:30">
      <c r="C76" s="15" t="s">
        <v>131</v>
      </c>
      <c r="D76" s="16" t="s">
        <v>92</v>
      </c>
      <c r="E76" s="16"/>
      <c r="F76" s="16"/>
      <c r="G76" s="105" t="str">
        <f t="shared" si="1"/>
        <v>2025–26</v>
      </c>
      <c r="H76" s="106">
        <f>IF(PPLastYear-PPFirstYear&lt;3,"",DATE(PPFirstYear+3,MONTH('Input|General'!$G$9),1))</f>
        <v>46082</v>
      </c>
    </row>
    <row r="77" spans="1:30">
      <c r="C77" s="15" t="s">
        <v>132</v>
      </c>
      <c r="D77" s="16" t="s">
        <v>92</v>
      </c>
      <c r="E77" s="16"/>
      <c r="F77" s="16"/>
      <c r="G77" s="105" t="str">
        <f t="shared" si="1"/>
        <v>2026–27</v>
      </c>
      <c r="H77" s="106">
        <f>IF(PPLastYear-PPFirstYear&lt;4,"",DATE(PPFirstYear+4,MONTH('Input|General'!$G$9),1))</f>
        <v>46447</v>
      </c>
    </row>
    <row r="78" spans="1:30">
      <c r="C78" s="15" t="s">
        <v>161</v>
      </c>
      <c r="D78" s="16" t="s">
        <v>92</v>
      </c>
      <c r="E78" s="16"/>
      <c r="F78" s="16"/>
      <c r="G78" s="105" t="str">
        <f t="shared" si="1"/>
        <v/>
      </c>
      <c r="H78" s="106" t="str">
        <f>IF(PPLastYear-PPFirstYear&lt;5,"",DATE(PPFirstYear+5,MONTH('Input|General'!$G$9),1))</f>
        <v/>
      </c>
    </row>
    <row r="79" spans="1:30">
      <c r="C79" s="15" t="s">
        <v>133</v>
      </c>
      <c r="D79" s="16" t="s">
        <v>92</v>
      </c>
      <c r="E79" s="16"/>
      <c r="F79" s="16"/>
      <c r="G79" s="105" t="str">
        <f t="shared" si="1"/>
        <v>2027–28</v>
      </c>
      <c r="H79" s="106">
        <f>DATE(FPFirstYear,MONTH('Input|General'!$G$9),1)</f>
        <v>46813</v>
      </c>
      <c r="T79" s="17"/>
    </row>
    <row r="80" spans="1:30">
      <c r="C80" s="15" t="s">
        <v>134</v>
      </c>
      <c r="D80" s="16" t="s">
        <v>92</v>
      </c>
      <c r="E80" s="16"/>
      <c r="F80" s="16"/>
      <c r="G80" s="105" t="str">
        <f t="shared" si="1"/>
        <v>2028–29</v>
      </c>
      <c r="H80" s="106">
        <f>IF(FPLastYear-FPFirstYear&lt;1,"",DATE(FPFirstYear+1,MONTH('Input|General'!$G$9),1))</f>
        <v>47178</v>
      </c>
      <c r="T80" s="17"/>
    </row>
    <row r="81" spans="1:30">
      <c r="C81" s="15" t="s">
        <v>135</v>
      </c>
      <c r="D81" s="16" t="s">
        <v>92</v>
      </c>
      <c r="E81" s="16"/>
      <c r="F81" s="16"/>
      <c r="G81" s="105" t="str">
        <f t="shared" si="1"/>
        <v>2029–30</v>
      </c>
      <c r="H81" s="106">
        <f>IF(FPLastYear-FPFirstYear&lt;2,"",DATE(FPFirstYear+2,MONTH('Input|General'!$G$9),1))</f>
        <v>47543</v>
      </c>
      <c r="T81" s="17"/>
    </row>
    <row r="82" spans="1:30">
      <c r="C82" s="15" t="s">
        <v>136</v>
      </c>
      <c r="D82" s="16" t="s">
        <v>92</v>
      </c>
      <c r="E82" s="16"/>
      <c r="F82" s="16"/>
      <c r="G82" s="105" t="str">
        <f t="shared" si="1"/>
        <v>2030–31</v>
      </c>
      <c r="H82" s="106">
        <f>IF(FPLastYear-FPFirstYear&lt;3,"",DATE(FPFirstYear+3,MONTH('Input|General'!$G$9),1))</f>
        <v>47908</v>
      </c>
      <c r="T82" s="17"/>
    </row>
    <row r="83" spans="1:30">
      <c r="C83" s="15" t="s">
        <v>137</v>
      </c>
      <c r="D83" s="16" t="s">
        <v>92</v>
      </c>
      <c r="E83" s="16"/>
      <c r="F83" s="16"/>
      <c r="G83" s="105" t="str">
        <f>IF(H83="","",IF(MONTH(H83)=12,YEAR(H83),YEAR(H83)-1&amp;"–"&amp;RIGHT(YEAR(H83),2)))</f>
        <v>2031–32</v>
      </c>
      <c r="H83" s="106">
        <f>IF(FPLastYear-FPFirstYear&lt;4,"",DATE(FPFirstYear+4,MONTH('Input|General'!$G$9),1))</f>
        <v>48274</v>
      </c>
      <c r="T83" s="17"/>
    </row>
    <row r="84" spans="1:30">
      <c r="C84" s="15"/>
      <c r="D84" s="16"/>
      <c r="E84" s="16"/>
      <c r="F84" s="16"/>
      <c r="G84" s="111"/>
      <c r="H84" s="112"/>
      <c r="T84" s="17"/>
    </row>
    <row r="85" spans="1:30" customFormat="1" ht="13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Rabi Islam</cp:lastModifiedBy>
  <dcterms:created xsi:type="dcterms:W3CDTF">2026-06-15T04:26:19Z</dcterms:created>
  <dcterms:modified xsi:type="dcterms:W3CDTF">2026-06-25T05:48:22Z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2026-06-15T04:26:44Z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54103fe2-1717-4a92-81e5-ecaa8db27802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