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ccgovau-my.sharepoint.com/personal/rabi_islam_aer_gov_au/Documents/Desktop/1_WEB_ANTx2732/Models-webbing/"/>
    </mc:Choice>
  </mc:AlternateContent>
  <xr:revisionPtr revIDLastSave="0" documentId="8_{BB85092E-CDCA-45BB-8FDD-7782FC52A7A7}" xr6:coauthVersionLast="47" xr6:coauthVersionMax="47" xr10:uidLastSave="{00000000-0000-0000-0000-000000000000}"/>
  <bookViews>
    <workbookView xWindow="-110" yWindow="-110" windowWidth="19420" windowHeight="10300" xr2:uid="{C8A66B82-8A74-493D-91D9-E60B13902378}"/>
  </bookViews>
  <sheets>
    <sheet name="Draft Decision" sheetId="4" r:id="rId1"/>
    <sheet name="Input" sheetId="2" r:id="rId2"/>
    <sheet name="@risk Results" sheetId="3" r:id="rId3"/>
  </sheets>
  <externalReferences>
    <externalReference r:id="rId4"/>
    <externalReference r:id="rId5"/>
    <externalReference r:id="rId6"/>
    <externalReference r:id="rId7"/>
  </externalReferences>
  <definedNames>
    <definedName name="_AtRisk_FitDataRange_FIT_28AF7_1F99B" hidden="1">#REF!</definedName>
    <definedName name="_AtRisk_FitDataRange_FIT_2D65F_B893F" hidden="1">#REF!</definedName>
    <definedName name="_AtRisk_FitDataRange_FIT_53444_B6F0A" hidden="1">#REF!</definedName>
    <definedName name="_AtRisk_FitDataRange_FIT_6046A_B0EEE" hidden="1">#REF!</definedName>
    <definedName name="_AtRisk_FitDataRange_FIT_65992_237BE" hidden="1">#REF!</definedName>
    <definedName name="_AtRisk_FitDataRange_FIT_77513_24C6A" hidden="1">#REF!</definedName>
    <definedName name="_AtRisk_FitDataRange_FIT_77728_A3A06" hidden="1">#REF!</definedName>
    <definedName name="_AtRisk_FitDataRange_FIT_7BB60_E67B5" hidden="1">#REF!</definedName>
    <definedName name="_AtRisk_FitDataRange_FIT_7C184_48ED9" hidden="1">#REF!</definedName>
    <definedName name="_AtRisk_FitDataRange_FIT_819_538C5" hidden="1">#REF!</definedName>
    <definedName name="_AtRisk_FitDataRange_FIT_89E92_3A95F" hidden="1">#REF!</definedName>
    <definedName name="_AtRisk_FitDataRange_FIT_A8D14_273D1" hidden="1">#REF!</definedName>
    <definedName name="_AtRisk_FitDataRange_FIT_AB370_6C441" hidden="1">#REF!</definedName>
    <definedName name="_AtRisk_FitDataRange_FIT_C5E5D_D37CA" hidden="1">#REF!</definedName>
    <definedName name="_AtRisk_FitDataRange_FIT_D4A43_A61BA" hidden="1">#REF!</definedName>
    <definedName name="_AtRisk_FitDataRange_FIT_D8145_250FD" hidden="1">#REF!</definedName>
    <definedName name="_AtRisk_FitDataRange_FIT_DC4D0_7EB56" hidden="1">#REF!</definedName>
    <definedName name="abba" localSheetId="2" hidden="1">{"Ownership",#N/A,FALSE,"Ownership";"Contents",#N/A,FALSE,"Contents"}</definedName>
    <definedName name="abba" localSheetId="0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CRCP_final_year">'[1]AER ETL'!$C$47</definedName>
    <definedName name="CRCP_y1" localSheetId="2">'[2]AER lookups'!$G$38</definedName>
    <definedName name="CRCP_y1">'[3]AER lookups'!$G$40</definedName>
    <definedName name="CRCP_y10">'[1]AER lookups'!$G$47</definedName>
    <definedName name="CRCP_y11">'[1]AER lookups'!$G$48</definedName>
    <definedName name="CRCP_y12">'[1]AER lookups'!$G$49</definedName>
    <definedName name="CRCP_y13">'[1]AER lookups'!$G$50</definedName>
    <definedName name="CRCP_y14">'[1]AER lookups'!$G$51</definedName>
    <definedName name="CRCP_y15">'[1]AER lookups'!$G$52</definedName>
    <definedName name="CRCP_y2" localSheetId="2">'[2]AER lookups'!$G$39</definedName>
    <definedName name="CRCP_y2">'[3]AER lookups'!$G$41</definedName>
    <definedName name="CRCP_y3" localSheetId="2">'[2]AER lookups'!$G$40</definedName>
    <definedName name="CRCP_y3">'[3]AER lookups'!$G$42</definedName>
    <definedName name="CRCP_y4" localSheetId="2">'[1]AER lookups'!$G$41</definedName>
    <definedName name="CRCP_y4">'[3]AER lookups'!$G$43</definedName>
    <definedName name="CRCP_y5">'[1]AER lookups'!$G$42</definedName>
    <definedName name="CRCP_y6">'[1]AER lookups'!$G$43</definedName>
    <definedName name="CRCP_y7">'[1]AER lookups'!$G$44</definedName>
    <definedName name="CRCP_y8">'[1]AER lookups'!$G$45</definedName>
    <definedName name="CRCP_y9">'[1]AER lookups'!$G$46</definedName>
    <definedName name="dms_020501_mat_labour_Rows">'[1]2.5 Connections'!$B$12,'[1]2.5 Connections'!#REF!,'[1]2.5 Connections'!$B$14,'[1]2.5 Connections'!$B$15,'[1]2.5 Connections'!$B$16,'[1]2.5 Connections'!$B$17,'[1]2.5 Connections'!$B$18,'[1]2.5 Connections'!$B$19,'[1]2.5 Connections'!$B$20,'[1]2.5 Connections'!$B$21,'[1]2.5 Connections'!$B$22,'[1]2.5 Connections'!$B$23,'[1]2.5 Connections'!$B$24,'[1]2.5 Connections'!$B$25,'[1]2.5 Connections'!$B$26,'[1]2.5 Connections'!$B$27,'[1]2.5 Connections'!$B$28,'[1]2.5 Connections'!$B$29,'[1]2.5 Connections'!$B$30,'[1]2.5 Connections'!$B$31,'[1]2.5 Connections'!$B$32,'[1]2.5 Connections'!$B$33,'[1]2.5 Connections'!$B$34,'[1]2.5 Connections'!$B$35,'[1]2.5 Connections'!$B$36</definedName>
    <definedName name="dms_020501_materials_Values">'[1]2.5 Connections'!$C$12:$I$12,'[1]2.5 Connections'!$C$13:$I$13,'[1]2.5 Connections'!$C$14:$I$14,'[1]2.5 Connections'!$C$15:$I$15,'[1]2.5 Connections'!$C$16:$I$16,'[1]2.5 Connections'!$C$17:$I$17,'[1]2.5 Connections'!$C$18:$I$18,'[1]2.5 Connections'!$C$19:$I$19,'[1]2.5 Connections'!$C$20:$I$20,'[1]2.5 Connections'!$C$21:$I$21,'[1]2.5 Connections'!$C$22:$I$22,'[1]2.5 Connections'!$C$23:$I$23,'[1]2.5 Connections'!$C$24:$I$24,'[1]2.5 Connections'!$C$25:$I$25,'[1]2.5 Connections'!$C$26:$I$26,'[1]2.5 Connections'!$C$27:$I$27,'[1]2.5 Connections'!$C$28:$I$28,'[1]2.5 Connections'!$C$29:$I$29,'[1]2.5 Connections'!$C$30:$I$30</definedName>
    <definedName name="dms_060301_checkvalue">'[1]AER ETL'!$C$90</definedName>
    <definedName name="dms_060301_LastRow">'[1]AER ETL'!$C$92</definedName>
    <definedName name="dms_060701_ARR_MaxRows">'[1]AER ETL'!$C$100</definedName>
    <definedName name="dms_060701_Reset_MaxRows">'[1]AER ETL'!$C$99</definedName>
    <definedName name="dms_060701_StartDateTxt">'[1]AER ETL'!$C$106</definedName>
    <definedName name="dms_0608_LastRow">'[1]AER ETL'!$C$112</definedName>
    <definedName name="dms_0608_OffsetRows">'[1]AER ETL'!$C$111</definedName>
    <definedName name="dms_070901_01_Cap_Values">#REF!</definedName>
    <definedName name="dms_070901_01_Collar_Values">#REF!</definedName>
    <definedName name="dms_070901_01_Rows">#REF!</definedName>
    <definedName name="dms_070901_01_Target_Values">#REF!</definedName>
    <definedName name="dms_070901_01_Values">#REF!</definedName>
    <definedName name="dms_070901_02_Cap_Values">#REF!</definedName>
    <definedName name="dms_070901_02_Collar_Values">#REF!</definedName>
    <definedName name="dms_070901_02_Rows">#REF!</definedName>
    <definedName name="dms_070901_02_Target_Values">#REF!</definedName>
    <definedName name="dms_070901_02_Values">#REF!</definedName>
    <definedName name="dms_070901_03_Cap_Values">#REF!</definedName>
    <definedName name="dms_070901_03_Collar_Values">#REF!</definedName>
    <definedName name="dms_070901_03_Rows">#REF!</definedName>
    <definedName name="dms_070901_03_Target_Values">#REF!</definedName>
    <definedName name="dms_070901_03_Values">#REF!</definedName>
    <definedName name="dms_070901_04_Cap_Values">#REF!</definedName>
    <definedName name="dms_070901_04_Collar_Values">#REF!</definedName>
    <definedName name="dms_070901_04_Rows">#REF!</definedName>
    <definedName name="dms_070901_04_Target_Values">#REF!</definedName>
    <definedName name="dms_070901_04_Values">#REF!</definedName>
    <definedName name="dms_663_List">'[1]AER lookups'!$N$16:$N$17</definedName>
    <definedName name="dms_ABN_List">'[1]AER lookups'!$D$16:$D$17</definedName>
    <definedName name="dms_Addr1_List">'[1]AER lookups'!$P$16:$P$17</definedName>
    <definedName name="dms_Addr2_List">'[1]AER lookups'!$Q$16:$Q$17</definedName>
    <definedName name="dms_Amendment_Text">'[1]Business &amp; other details'!$AL$70</definedName>
    <definedName name="dms_BaseStepTrend">'[1]2.16 Opex Summary'!$M$7</definedName>
    <definedName name="dms_BaseYear_Choice">'[1]2.16 Opex Summary'!$M$9</definedName>
    <definedName name="dms_BaseYear_List">'[1]2.16 Opex Summary'!$C$13:$G$13</definedName>
    <definedName name="dms_Cal_Year_B4_CRY">'[1]AER ETL'!$C$29</definedName>
    <definedName name="dms_CBD_flag">'[1]AER lookups'!$Z$16:$Z$17</definedName>
    <definedName name="dms_CF_8.1_Neg">'[1]AER CF'!$U$7:$U$34</definedName>
    <definedName name="dms_CF_TradingName">'[1]AER CF'!$B$7:$B$34</definedName>
    <definedName name="dms_Confid_status_List">'[1]AER NRs'!$D$6:$D$8</definedName>
    <definedName name="dms_CRCP_start_row">'[1]AER ETL'!$C$40</definedName>
    <definedName name="dms_CRCPlength_List">'[1]AER lookups'!$K$16:$K$17</definedName>
    <definedName name="dms_CRCPlength_Num">'[1]AER ETL'!$C$69</definedName>
    <definedName name="dms_CRY_RYE">'[1]AER ETL'!$C$53</definedName>
    <definedName name="dms_CRY_start_row">'[1]AER ETL'!$C$38</definedName>
    <definedName name="dms_CRY_start_year">'[1]AER ETL'!$C$37</definedName>
    <definedName name="dms_DataQuality_List">'[1]AER NRs'!$C$6:$C$9</definedName>
    <definedName name="dms_DeterminationRef_List">'[1]AER lookups'!$O$16:$O$17</definedName>
    <definedName name="dms_DollarReal">'[1]AER ETL'!$C$31</definedName>
    <definedName name="dms_DollarReal_year">'[1]AER ETL'!$C$51</definedName>
    <definedName name="dms_FeederName_1">'[1]AER lookups'!$AE$16:$AE$17</definedName>
    <definedName name="dms_FeederName_2">'[1]AER lookups'!$AF$16:$AF$17</definedName>
    <definedName name="dms_FeederName_3">'[1]AER lookups'!$AG$16:$AG$17</definedName>
    <definedName name="dms_FeederName_4">'[1]AER lookups'!$AH$16:$AH$17</definedName>
    <definedName name="dms_FeederName_5">'[1]AER lookups'!$AI$16:$AI$17</definedName>
    <definedName name="dms_FeederType_5_flag">'[1]AER lookups'!$AD$16:$AD$17</definedName>
    <definedName name="dms_FifthFeeder_flag_NSP">'[1]AER ETL'!$C$125</definedName>
    <definedName name="dms_FormControl_List">'[1]AER lookups'!$H$16:$H$17</definedName>
    <definedName name="dms_FRCP_start_row">'[1]AER ETL'!$C$39</definedName>
    <definedName name="dms_FRCPlength_List">'[1]AER lookups'!$L$16:$L$17</definedName>
    <definedName name="dms_FRCPlength_Num">'[1]AER ETL'!$C$70</definedName>
    <definedName name="dms_Header_Span">'[1]AER ETL'!$C$60</definedName>
    <definedName name="dms_JurisdictionList">'[1]AER lookups'!$E$16:$E$17</definedName>
    <definedName name="dms_LeapYear_Result">'[1]AER ETL'!$C$98</definedName>
    <definedName name="dms_LongRural_flag">'[1]AER lookups'!$AC$16:$AC$17</definedName>
    <definedName name="dms_Model">'[1]AER ETL'!$C$11</definedName>
    <definedName name="dms_Model_List">'[1]AER lookups'!$B$24:$B$33</definedName>
    <definedName name="dms_Model_Span">'[1]AER ETL'!$C$56</definedName>
    <definedName name="dms_Model_Span_List">'[1]AER lookups'!$E$24:$E$33</definedName>
    <definedName name="dms_MultiYear_FinalYear_Result">'[1]AER ETL'!$C$80</definedName>
    <definedName name="dms_MultiYear_Flag">'[1]AER ETL'!$C$63</definedName>
    <definedName name="dms_MultiYear_ResponseFlag">'[1]AER ETL'!$C$62</definedName>
    <definedName name="dms_PAddr1_List">'[1]AER lookups'!$U$16:$U$17</definedName>
    <definedName name="dms_PAddr2_List">'[1]AER lookups'!$V$16:$V$17</definedName>
    <definedName name="dms_PRCP_start_row">'[1]AER ETL'!$C$41</definedName>
    <definedName name="dms_PRCPlength_List">'[1]AER lookups'!$M$16:$M$17</definedName>
    <definedName name="dms_PRCPlength_Num">'[1]AER ETL'!$C$68</definedName>
    <definedName name="dms_Previous_DollarReal_year">'[1]AER ETL'!$C$52</definedName>
    <definedName name="dms_PState_List">'[1]AER lookups'!$X$16:$X$17</definedName>
    <definedName name="dms_PSuburb_List">'[1]AER lookups'!$W$16:$W$17</definedName>
    <definedName name="dms_Public_Lighting_List">'[1]AER lookups'!$AJ$16:$AJ$17</definedName>
    <definedName name="dms_Reset_final_year">'[1]AER ETL'!$C$49</definedName>
    <definedName name="dms_Reset_RYE">'[1]AER ETL'!$C$54</definedName>
    <definedName name="dms_RPT">'[1]AER ETL'!$C$23</definedName>
    <definedName name="dms_RPT_List">'[1]AER lookups'!$I$16:$I$17</definedName>
    <definedName name="dms_RPTMonth">'[1]AER ETL'!$C$30</definedName>
    <definedName name="dms_RPTMonth_List">'[1]AER lookups'!$J$16:$J$17</definedName>
    <definedName name="dms_RYE_result">'[1]AER ETL'!$C$57</definedName>
    <definedName name="dms_RYE_start_row">'[1]AER ETL'!$C$42</definedName>
    <definedName name="dms_Sector">'[1]AER ETL'!$C$20</definedName>
    <definedName name="dms_Sector_List">'[1]AER lookups'!$F$16:$F$17</definedName>
    <definedName name="dms_Segment">'[1]AER ETL'!$C$21</definedName>
    <definedName name="dms_Segment_List">'[1]AER lookups'!$G$16:$G$17</definedName>
    <definedName name="dms_ShortRural_flag">'[1]AER lookups'!$AB$16:$AB$17</definedName>
    <definedName name="dms_SingleYear_Model">'[1]AER ETL'!$C$72:$C$74</definedName>
    <definedName name="dms_SingleYearModel">'[1]AER ETL'!$C$75</definedName>
    <definedName name="dms_SourceList">'[1]AER NRs'!$C$14:$C$28</definedName>
    <definedName name="dms_Specified_FinalYear">'[1]AER ETL'!$C$64</definedName>
    <definedName name="dms_Specified_RYE">'[1]AER ETL'!$C$55</definedName>
    <definedName name="dms_SpecifiedYear_Span">'[1]AER ETL'!$C$59</definedName>
    <definedName name="dms_start_year">'[1]AER ETL'!$C$36</definedName>
    <definedName name="dms_State_List">'[1]AER lookups'!$S$16:$S$17</definedName>
    <definedName name="dms_STPIS_Detail">'[4]6'!$O$15:$O$37</definedName>
    <definedName name="dms_STPIS_Reasons">'[4]6'!$P$17:$P$30</definedName>
    <definedName name="dms_Suburb_List">'[1]AER lookups'!$R$16:$R$17</definedName>
    <definedName name="dms_TradingName">'[1]Business &amp; other details'!$AL$16</definedName>
    <definedName name="dms_TradingName_List">'[1]AER lookups'!$B$16:$B$17</definedName>
    <definedName name="dms_TradingNameFull">'[1]AER ETL'!$C$9</definedName>
    <definedName name="dms_TradingNameFull_List">'[1]AER lookups'!$C$16:$C$17</definedName>
    <definedName name="dms_Typed_Submission_Date">'[1]Business &amp; other details'!$AL$74</definedName>
    <definedName name="dms_Urban_flag">'[1]AER lookups'!$AA$16:$AA$17</definedName>
    <definedName name="dms_Worksheet_List">'[1]AER lookups'!$D$24:$D$33</definedName>
    <definedName name="dms_y1">'[1]AER lookups'!$E$57</definedName>
    <definedName name="dms_y2">'[1]AER lookups'!$E$58</definedName>
    <definedName name="dms_y3">'[1]AER lookups'!$E$59</definedName>
    <definedName name="dms_y4">'[1]AER lookups'!$E$60</definedName>
    <definedName name="dms_y5">'[1]AER lookups'!$E$61</definedName>
    <definedName name="dms_y6">'[1]AER lookups'!$E$62</definedName>
    <definedName name="dms_y7">'[1]AER lookups'!$E$63</definedName>
    <definedName name="FRCP_final_year">'[1]AER ETL'!$C$46</definedName>
    <definedName name="FRCP_y1">'[1]Business &amp; other details'!$AL$42</definedName>
    <definedName name="FRCP_y10">'[1]AER lookups'!$I$47</definedName>
    <definedName name="FRCP_y11">'[1]AER lookups'!$I$48</definedName>
    <definedName name="FRCP_y12">'[1]AER lookups'!$I$49</definedName>
    <definedName name="FRCP_y13">'[1]AER lookups'!$I$50</definedName>
    <definedName name="FRCP_y14">'[1]AER lookups'!$I$51</definedName>
    <definedName name="FRCP_y15">'[1]AER lookups'!$I$52</definedName>
    <definedName name="FRCP_y2">'[1]AER lookups'!$I$39</definedName>
    <definedName name="FRCP_y3">'[1]AER lookups'!$I$40</definedName>
    <definedName name="FRCP_y4">'[1]AER lookups'!$I$41</definedName>
    <definedName name="FRCP_y5">'[1]AER lookups'!$I$42</definedName>
    <definedName name="FRCP_y6">'[1]AER lookups'!$I$43</definedName>
    <definedName name="FRCP_y7">'[1]AER lookups'!$I$44</definedName>
    <definedName name="FRCP_y8">'[1]AER lookups'!$I$45</definedName>
    <definedName name="FRCP_y9">'[1]AER lookups'!$I$46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2" hidden="1">{"Ownership",#N/A,FALSE,"Ownership";"Contents",#N/A,FALSE,"Contents"}</definedName>
    <definedName name="LAN" localSheetId="0" hidden="1">{"Ownership",#N/A,FALSE,"Ownership";"Contents",#N/A,FALSE,"Contents"}</definedName>
    <definedName name="LAN" hidden="1">{"Ownership",#N/A,FALSE,"Ownership";"Contents",#N/A,FALSE,"Contents"}</definedName>
    <definedName name="PRCP_final_year">'[1]AER ETL'!$C$48</definedName>
    <definedName name="PRCP_y1">'[1]AER lookups'!$E$38</definedName>
    <definedName name="PRCP_y10">'[1]AER lookups'!$E$47</definedName>
    <definedName name="PRCP_y11">'[1]AER lookups'!$E$48</definedName>
    <definedName name="PRCP_y12">'[1]AER lookups'!$E$49</definedName>
    <definedName name="PRCP_y13">'[1]AER lookups'!$E$50</definedName>
    <definedName name="PRCP_y14">'[1]AER lookups'!$E$51</definedName>
    <definedName name="PRCP_y15">'[1]AER lookups'!$E$52</definedName>
    <definedName name="PRCP_y2">'[1]AER lookups'!$E$39</definedName>
    <definedName name="PRCP_y3">'[2]AER lookups'!$E$40</definedName>
    <definedName name="PRCP_y4" localSheetId="2">'[2]AER lookups'!$E$41</definedName>
    <definedName name="PRCP_y4">'[3]AER lookups'!$E$43</definedName>
    <definedName name="PRCP_y5" localSheetId="2">'[2]AER lookups'!$E$42</definedName>
    <definedName name="PRCP_y5">'[3]AER lookups'!$E$44</definedName>
    <definedName name="PRCP_y6">'[1]AER lookups'!$E$43</definedName>
    <definedName name="PRCP_y7">'[1]AER lookups'!$E$44</definedName>
    <definedName name="PRCP_y8">'[1]AER lookups'!$E$45</definedName>
    <definedName name="PRCP_y9">'[1]AER lookups'!$E$46</definedName>
    <definedName name="teest" localSheetId="2" hidden="1">{"Ownership",#N/A,FALSE,"Ownership";"Contents",#N/A,FALSE,"Contents"}</definedName>
    <definedName name="teest" localSheetId="0" hidden="1">{"Ownership",#N/A,FALSE,"Ownership";"Contents",#N/A,FALSE,"Contents"}</definedName>
    <definedName name="teest" hidden="1">{"Ownership",#N/A,FALSE,"Ownership";"Contents",#N/A,FALSE,"Contents"}</definedName>
    <definedName name="test" localSheetId="2" hidden="1">{"Ownership",#N/A,FALSE,"Ownership";"Contents",#N/A,FALSE,"Contents"}</definedName>
    <definedName name="test" localSheetId="0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2" hidden="1">{"Ownership",#N/A,FALSE,"Ownership";"Contents",#N/A,FALSE,"Contents"}</definedName>
    <definedName name="wrn.App._.Custodians." localSheetId="0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B18" i="4" s="1"/>
  <c r="G21" i="2"/>
  <c r="G20" i="2"/>
  <c r="B16" i="4" s="1"/>
  <c r="B17" i="4"/>
  <c r="B14" i="4"/>
  <c r="B12" i="4"/>
  <c r="B11" i="4"/>
  <c r="B5" i="4"/>
  <c r="B6" i="4"/>
  <c r="B7" i="4"/>
  <c r="B8" i="4"/>
  <c r="B9" i="4"/>
  <c r="B4" i="4"/>
  <c r="E17" i="4" l="1"/>
  <c r="E18" i="4"/>
  <c r="E16" i="4"/>
  <c r="D17" i="4"/>
  <c r="D18" i="4"/>
  <c r="D16" i="4"/>
  <c r="C17" i="4"/>
  <c r="C18" i="4"/>
  <c r="C16" i="4"/>
  <c r="D14" i="4"/>
  <c r="E14" i="4"/>
  <c r="C14" i="4"/>
  <c r="E12" i="4"/>
  <c r="E11" i="4"/>
  <c r="D12" i="4"/>
  <c r="D11" i="4"/>
  <c r="C12" i="4"/>
  <c r="C11" i="4"/>
  <c r="E5" i="4"/>
  <c r="E6" i="4"/>
  <c r="E7" i="4"/>
  <c r="E8" i="4"/>
  <c r="E9" i="4"/>
  <c r="E4" i="4"/>
  <c r="D5" i="4"/>
  <c r="D6" i="4"/>
  <c r="D7" i="4"/>
  <c r="D8" i="4"/>
  <c r="D9" i="4"/>
  <c r="D4" i="4"/>
  <c r="C5" i="4"/>
  <c r="C6" i="4"/>
  <c r="C7" i="4"/>
  <c r="C8" i="4"/>
  <c r="C9" i="4"/>
  <c r="C4" i="4"/>
  <c r="G16" i="2" l="1"/>
  <c r="G15" i="2"/>
  <c r="G18" i="2"/>
  <c r="G9" i="2"/>
  <c r="G10" i="2"/>
  <c r="G11" i="2"/>
  <c r="G12" i="2"/>
  <c r="G13" i="2"/>
  <c r="G8" i="2"/>
  <c r="J16" i="2"/>
  <c r="J15" i="2"/>
  <c r="H16" i="2"/>
  <c r="H15" i="2"/>
  <c r="J21" i="2"/>
  <c r="J22" i="2"/>
  <c r="J20" i="2"/>
  <c r="H21" i="2"/>
  <c r="H22" i="2"/>
  <c r="H20" i="2"/>
  <c r="J9" i="2"/>
  <c r="J10" i="2"/>
  <c r="J11" i="2"/>
  <c r="J12" i="2"/>
  <c r="J13" i="2"/>
  <c r="J8" i="2"/>
  <c r="J18" i="2"/>
  <c r="H18" i="2"/>
  <c r="H9" i="2"/>
  <c r="H10" i="2"/>
  <c r="H11" i="2"/>
  <c r="H12" i="2"/>
  <c r="H13" i="2"/>
  <c r="H8" i="2"/>
  <c r="J25" i="3"/>
  <c r="I25" i="3"/>
  <c r="H25" i="3"/>
  <c r="G25" i="3"/>
  <c r="J24" i="3"/>
  <c r="I24" i="3"/>
  <c r="H24" i="3"/>
  <c r="G24" i="3"/>
  <c r="J23" i="3"/>
  <c r="I23" i="3"/>
  <c r="H23" i="3"/>
  <c r="G23" i="3"/>
  <c r="J22" i="3"/>
  <c r="I22" i="3"/>
  <c r="H22" i="3"/>
  <c r="G22" i="3"/>
  <c r="J21" i="3"/>
  <c r="I21" i="3"/>
  <c r="H21" i="3"/>
  <c r="G21" i="3"/>
  <c r="J9" i="3"/>
  <c r="I9" i="3"/>
  <c r="H9" i="3"/>
  <c r="G9" i="3"/>
  <c r="J8" i="3"/>
  <c r="I8" i="3"/>
  <c r="H8" i="3"/>
  <c r="G8" i="3"/>
  <c r="J7" i="3"/>
  <c r="I7" i="3"/>
  <c r="H7" i="3"/>
  <c r="G7" i="3"/>
  <c r="J6" i="3"/>
  <c r="I6" i="3"/>
  <c r="H6" i="3"/>
  <c r="G6" i="3"/>
  <c r="J5" i="3"/>
  <c r="I5" i="3"/>
  <c r="H5" i="3"/>
  <c r="G5" i="3"/>
  <c r="J4" i="3"/>
  <c r="I4" i="3"/>
  <c r="H4" i="3"/>
  <c r="G4" i="3"/>
  <c r="J3" i="3"/>
  <c r="I3" i="3"/>
  <c r="H3" i="3"/>
  <c r="G3" i="3"/>
  <c r="D18" i="2"/>
  <c r="E18" i="2"/>
  <c r="F18" i="2"/>
  <c r="F13" i="2" l="1"/>
  <c r="F12" i="2"/>
  <c r="F11" i="2"/>
  <c r="F10" i="2"/>
  <c r="F9" i="2"/>
  <c r="D13" i="2" l="1"/>
  <c r="D12" i="2"/>
  <c r="D11" i="2"/>
  <c r="D10" i="2"/>
  <c r="D9" i="2"/>
  <c r="D8" i="2"/>
  <c r="E13" i="2"/>
  <c r="E12" i="2"/>
  <c r="E11" i="2"/>
  <c r="E10" i="2"/>
  <c r="E9" i="2"/>
  <c r="E8" i="2"/>
  <c r="B18" i="2" l="1"/>
  <c r="B13" i="2"/>
  <c r="B12" i="2"/>
  <c r="B11" i="2"/>
  <c r="B10" i="2"/>
  <c r="B9" i="2"/>
  <c r="B8" i="2"/>
  <c r="C18" i="2"/>
  <c r="C13" i="2"/>
  <c r="C12" i="2"/>
  <c r="C11" i="2"/>
  <c r="C10" i="2"/>
  <c r="C9" i="2"/>
  <c r="C8" i="2"/>
  <c r="F8" i="2" l="1"/>
  <c r="I10" i="2"/>
  <c r="I11" i="2"/>
  <c r="I12" i="2"/>
  <c r="I13" i="2"/>
  <c r="I20" i="2"/>
  <c r="I21" i="2"/>
  <c r="I22" i="2"/>
  <c r="I18" i="2"/>
  <c r="I16" i="2"/>
  <c r="I15" i="2"/>
  <c r="I9" i="2" l="1"/>
  <c r="I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Alaia Guido</author>
  </authors>
  <commentList>
    <comment ref="F2" authorId="0" shapeId="0" xr:uid="{45CD7E96-31AA-48F6-84D6-676FA3BFC704}">
      <text>
        <r>
          <rPr>
            <sz val="9"/>
            <color indexed="81"/>
            <rFont val="Tahoma"/>
            <family val="2"/>
          </rPr>
          <t xml:space="preserve">Table 3-1 - STPIS version 6
</t>
        </r>
      </text>
    </comment>
  </commentList>
</comments>
</file>

<file path=xl/sharedStrings.xml><?xml version="1.0" encoding="utf-8"?>
<sst xmlns="http://schemas.openxmlformats.org/spreadsheetml/2006/main" count="103" uniqueCount="68">
  <si>
    <t>AER's input data and target calculations:</t>
  </si>
  <si>
    <t>7.9.1 - Historical performance and proposed floor, caps and targets for the service component of the STPIS</t>
  </si>
  <si>
    <t>Parameter</t>
  </si>
  <si>
    <t>Unplanned outage circuit event rate (percentage):</t>
  </si>
  <si>
    <t>Proper operation of equipment (number of events):</t>
  </si>
  <si>
    <t>Failure of protection system</t>
  </si>
  <si>
    <t>Floor (95th Percentile)</t>
  </si>
  <si>
    <t>Target = Average of performance</t>
  </si>
  <si>
    <t>Cap (5th Percentile)</t>
  </si>
  <si>
    <t>AUSNET SERVICES - SERVICE COMPONENT</t>
  </si>
  <si>
    <t xml:space="preserve">Lines event rate – fault </t>
  </si>
  <si>
    <t xml:space="preserve">Transformer event rate – fault </t>
  </si>
  <si>
    <t xml:space="preserve">Reactive plant event rate – fault </t>
  </si>
  <si>
    <t xml:space="preserve">Lines event rate – forced </t>
  </si>
  <si>
    <t xml:space="preserve">Transformer event rate – forced </t>
  </si>
  <si>
    <t xml:space="preserve">Reactive plant event rate – forced </t>
  </si>
  <si>
    <t>Average Outage Duration</t>
  </si>
  <si>
    <t xml:space="preserve">Material failure of SCADA </t>
  </si>
  <si>
    <t>Incorrect operational isolation of primary or secondary equipment</t>
  </si>
  <si>
    <t>Loss of supply event frequency (number of events)</t>
  </si>
  <si>
    <t>Average outage duration (minutes)</t>
  </si>
  <si>
    <t>Failure of protection system (&gt; x system)</t>
  </si>
  <si>
    <t>Failure of protection system (&gt; y system)</t>
  </si>
  <si>
    <t>Performance Actuals by compliance year</t>
  </si>
  <si>
    <t>Distribution</t>
  </si>
  <si>
    <t>KS Distance Statistic</t>
  </si>
  <si>
    <t>Mean of sample</t>
  </si>
  <si>
    <t>Mean of fitted distribution</t>
  </si>
  <si>
    <t>SD of fitted distribution</t>
  </si>
  <si>
    <t>Cap at 1SD</t>
  </si>
  <si>
    <t>Cap at 2SD</t>
  </si>
  <si>
    <t>Collar at 1SD</t>
  </si>
  <si>
    <t>Collar at 2SD</t>
  </si>
  <si>
    <t>5th percentile of fitted distribution</t>
  </si>
  <si>
    <t>50th percentile of fitted distribution</t>
  </si>
  <si>
    <t>95th percentile of fitted distribution</t>
  </si>
  <si>
    <t>LogLogistic</t>
  </si>
  <si>
    <t>Pearson5</t>
  </si>
  <si>
    <t>Weibull</t>
  </si>
  <si>
    <t>Uniform</t>
  </si>
  <si>
    <t>Average outage duration</t>
  </si>
  <si>
    <t>Distributions fitted setting: lower limit with fixed bound of zero; unsure upper limit; no change to default "suppress questionable fits" setting</t>
  </si>
  <si>
    <t xml:space="preserve">While @Risk allows beta general to be a candidate distribution, we have not included it as a candidate distribution as it uses 4 parameters and we only have 5 data points. </t>
  </si>
  <si>
    <t>Where a candidate distribution has been estimated to have an infinite standard deviation we have ruled it out of consideration.</t>
  </si>
  <si>
    <t>AIC</t>
  </si>
  <si>
    <t>Number of events &gt; (x) system minutes</t>
  </si>
  <si>
    <t>Poisson</t>
  </si>
  <si>
    <t>Number of events &gt; (y) system minutes</t>
  </si>
  <si>
    <t>Geomet</t>
  </si>
  <si>
    <t>Material failure of SCADA</t>
  </si>
  <si>
    <t xml:space="preserve">  </t>
  </si>
  <si>
    <t>AusNet - distributions selected based on mechanical selection of lowest K-S distance statistic, 2020-2024 underlying input data. Calendar year data</t>
  </si>
  <si>
    <t xml:space="preserve">AusNet - distributions selected based on mechanical selection of lowest AIC, 2020-2024 underlying input data. </t>
  </si>
  <si>
    <t>Lines event rate - fault</t>
  </si>
  <si>
    <t>Transformer event rate - fault</t>
  </si>
  <si>
    <t>Lines event rate - forced</t>
  </si>
  <si>
    <t>Pearson6</t>
  </si>
  <si>
    <t>Transformer event rate - forced</t>
  </si>
  <si>
    <t>Reactive plant event rate - forced</t>
  </si>
  <si>
    <t>Expon</t>
  </si>
  <si>
    <t>Table 7.1 Draft decision — Service Component caps, floors and target for 2027–32</t>
  </si>
  <si>
    <t>Floor</t>
  </si>
  <si>
    <t>Target</t>
  </si>
  <si>
    <t>Cap</t>
  </si>
  <si>
    <t>Unplanned outage circuit event rate (percentage)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</si>
  <si>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TNSP submissions for STPIS annual compliance reporting</t>
    </r>
  </si>
  <si>
    <t>Weighting MAR (%)</t>
  </si>
  <si>
    <t>Preferred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</si>
</sst>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[Red]\(#,##0\)_-;_-* &quot;-&quot;??_-;_-@_-"/>
    <numFmt numFmtId="165" formatCode="0.0000"/>
    <numFmt numFmtId="166" formatCode="0.0"/>
    <numFmt numFmtId="167" formatCode="0.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rial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E0601F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3F5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Fill="0"/>
    <xf numFmtId="0" fontId="4" fillId="0" borderId="0" applyFill="0"/>
    <xf numFmtId="10" fontId="9" fillId="4" borderId="7" applyBorder="0">
      <alignment horizontal="right"/>
      <protection locked="0"/>
    </xf>
    <xf numFmtId="164" fontId="9" fillId="5" borderId="9" applyBorder="0">
      <alignment horizontal="right"/>
      <protection locked="0"/>
    </xf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5" fillId="2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wrapText="1" indent="2"/>
    </xf>
    <xf numFmtId="0" fontId="6" fillId="2" borderId="10" xfId="2" applyFont="1" applyFill="1" applyBorder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2"/>
    </xf>
    <xf numFmtId="0" fontId="7" fillId="3" borderId="18" xfId="0" applyFont="1" applyFill="1" applyBorder="1" applyAlignment="1">
      <alignment vertical="center" wrapText="1"/>
    </xf>
    <xf numFmtId="0" fontId="8" fillId="3" borderId="19" xfId="0" applyFont="1" applyFill="1" applyBorder="1"/>
    <xf numFmtId="0" fontId="1" fillId="3" borderId="19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/>
    <xf numFmtId="1" fontId="9" fillId="4" borderId="8" xfId="4" applyNumberFormat="1" applyBorder="1">
      <alignment horizontal="right"/>
      <protection locked="0"/>
    </xf>
    <xf numFmtId="1" fontId="9" fillId="4" borderId="16" xfId="4" applyNumberFormat="1" applyBorder="1">
      <alignment horizontal="right"/>
      <protection locked="0"/>
    </xf>
    <xf numFmtId="0" fontId="8" fillId="3" borderId="20" xfId="0" applyFont="1" applyFill="1" applyBorder="1"/>
    <xf numFmtId="165" fontId="0" fillId="0" borderId="0" xfId="0" applyNumberFormat="1"/>
    <xf numFmtId="0" fontId="7" fillId="7" borderId="5" xfId="1" applyNumberFormat="1" applyFont="1" applyFill="1" applyBorder="1" applyAlignment="1">
      <alignment horizontal="center" vertical="center"/>
    </xf>
    <xf numFmtId="10" fontId="9" fillId="4" borderId="16" xfId="1" applyNumberFormat="1" applyFont="1" applyFill="1" applyBorder="1" applyAlignment="1" applyProtection="1">
      <alignment horizontal="right"/>
      <protection locked="0"/>
    </xf>
    <xf numFmtId="10" fontId="9" fillId="4" borderId="8" xfId="1" applyNumberFormat="1" applyFont="1" applyFill="1" applyBorder="1" applyAlignment="1" applyProtection="1">
      <alignment horizontal="right"/>
      <protection locked="0"/>
    </xf>
    <xf numFmtId="1" fontId="2" fillId="6" borderId="16" xfId="1" applyNumberFormat="1" applyFont="1" applyFill="1" applyBorder="1" applyAlignment="1">
      <alignment horizontal="center"/>
    </xf>
    <xf numFmtId="1" fontId="2" fillId="6" borderId="8" xfId="1" applyNumberFormat="1" applyFont="1" applyFill="1" applyBorder="1" applyAlignment="1">
      <alignment horizontal="center"/>
    </xf>
    <xf numFmtId="166" fontId="9" fillId="4" borderId="16" xfId="4" applyNumberFormat="1" applyBorder="1">
      <alignment horizontal="right"/>
      <protection locked="0"/>
    </xf>
    <xf numFmtId="166" fontId="9" fillId="4" borderId="8" xfId="4" applyNumberFormat="1" applyBorder="1">
      <alignment horizontal="right"/>
      <protection locked="0"/>
    </xf>
    <xf numFmtId="2" fontId="2" fillId="6" borderId="16" xfId="1" applyNumberFormat="1" applyFont="1" applyFill="1" applyBorder="1" applyAlignment="1">
      <alignment horizontal="center"/>
    </xf>
    <xf numFmtId="10" fontId="2" fillId="6" borderId="16" xfId="1" applyNumberFormat="1" applyFont="1" applyFill="1" applyBorder="1" applyAlignment="1">
      <alignment horizontal="center"/>
    </xf>
    <xf numFmtId="10" fontId="2" fillId="6" borderId="8" xfId="1" applyNumberFormat="1" applyFont="1" applyFill="1" applyBorder="1" applyAlignment="1">
      <alignment horizontal="center"/>
    </xf>
    <xf numFmtId="2" fontId="0" fillId="0" borderId="0" xfId="0" applyNumberFormat="1"/>
    <xf numFmtId="0" fontId="4" fillId="0" borderId="6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/>
    <xf numFmtId="166" fontId="0" fillId="0" borderId="0" xfId="0" applyNumberFormat="1"/>
    <xf numFmtId="0" fontId="4" fillId="0" borderId="0" xfId="0" applyFont="1" applyAlignment="1">
      <alignment horizontal="left" vertical="center" wrapText="1"/>
    </xf>
    <xf numFmtId="167" fontId="0" fillId="0" borderId="0" xfId="0" applyNumberFormat="1"/>
    <xf numFmtId="0" fontId="4" fillId="0" borderId="0" xfId="0" applyFont="1" applyAlignment="1">
      <alignment horizontal="left" wrapText="1"/>
    </xf>
    <xf numFmtId="10" fontId="2" fillId="6" borderId="17" xfId="1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4" fillId="8" borderId="10" xfId="0" applyFont="1" applyFill="1" applyBorder="1" applyAlignment="1">
      <alignment vertical="center" wrapText="1"/>
    </xf>
    <xf numFmtId="0" fontId="14" fillId="8" borderId="22" xfId="0" applyFont="1" applyFill="1" applyBorder="1" applyAlignment="1">
      <alignment vertical="center" wrapText="1"/>
    </xf>
    <xf numFmtId="9" fontId="16" fillId="0" borderId="24" xfId="0" applyNumberFormat="1" applyFont="1" applyBorder="1" applyAlignment="1">
      <alignment vertical="center" wrapText="1"/>
    </xf>
    <xf numFmtId="1" fontId="16" fillId="0" borderId="24" xfId="1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2" fontId="2" fillId="6" borderId="8" xfId="1" applyNumberFormat="1" applyFont="1" applyFill="1" applyBorder="1" applyAlignment="1">
      <alignment horizontal="center"/>
    </xf>
    <xf numFmtId="0" fontId="16" fillId="0" borderId="24" xfId="0" applyFont="1" applyBorder="1" applyAlignment="1">
      <alignment vertical="center" wrapText="1"/>
    </xf>
    <xf numFmtId="1" fontId="16" fillId="0" borderId="24" xfId="0" applyNumberFormat="1" applyFont="1" applyBorder="1" applyAlignment="1">
      <alignment vertical="center" wrapText="1"/>
    </xf>
    <xf numFmtId="2" fontId="16" fillId="0" borderId="24" xfId="0" applyNumberFormat="1" applyFont="1" applyBorder="1" applyAlignment="1">
      <alignment vertical="center" wrapText="1"/>
    </xf>
    <xf numFmtId="10" fontId="16" fillId="0" borderId="24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indent="2"/>
    </xf>
    <xf numFmtId="2" fontId="9" fillId="4" borderId="16" xfId="4" applyNumberFormat="1" applyBorder="1">
      <alignment horizontal="right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7" borderId="3" xfId="3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</cellXfs>
  <cellStyles count="6">
    <cellStyle name="dms_NUM" xfId="5" xr:uid="{90E16632-7F08-4C40-B6CB-82B156E9AD18}"/>
    <cellStyle name="dms_Num%" xfId="4" xr:uid="{BF368AE5-FB01-4C08-9D49-562C4ADB43C5}"/>
    <cellStyle name="Normal" xfId="0" builtinId="0"/>
    <cellStyle name="Normal 114" xfId="2" xr:uid="{EEF51F68-9F9D-4DF0-9E62-C56AE244BAAE}"/>
    <cellStyle name="Normal 4" xfId="3" xr:uid="{0032B65A-C9FD-42C7-9408-DB08346D87F0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ER\STPIS%20annual%20compliance\Transmission%20STPIS\Powerlink%20Revenue%20Determination%202022-2027\Powerlink%202023-27%20-%20RIN%20-%20Workbook%201%20-%20Forecast%20-%20January%202021%20-%20PUBL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ER\AusNet%20TX%202021\01%20Regulatory%20proposal\03%20RIN%20(ANT%20-%20TRR%202023-27)\AusNet%20Services%20-%20TRR%202023-27%20RIN%20Workbook%201%20Forecast%20-%20updated%2013%20Nov%202020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shpras/Work%20Folders/Downloads/Directlink%20&#8211;%20Attachment%2007a%20&#8211;%20Directlink%202025-30%20&#8211;%20Final%20&#8211;%20Reset%20RIN%20&#8211;%20Workbook%201%20&#8211;%20Forecast%20and%20historical%20&#8211;%20240130%20-%20Public%20(4).xlsm" TargetMode="External"/><Relationship Id="rId2" Type="http://schemas.openxmlformats.org/officeDocument/2006/relationships/externalLinkPath" Target="file:///C:\Users\shpras\Work%20Folders\Downloads\Directlink%20&#8211;%20Attachment%2007a%20&#8211;%20Directlink%202025-30%20&#8211;%20Final%20&#8211;%20Reset%20RIN%20&#8211;%20Workbook%201%20&#8211;%20Forecast%20and%20historical%20&#8211;%20240130%20-%20Public%20(4).xlsm" TargetMode="External"/><Relationship Id="rId1" Type="http://schemas.openxmlformats.org/officeDocument/2006/relationships/externalLinkPath" Target="/Users/shpras/Work%20Folders/Downloads/Directlink%20&#8211;%20Attachment%2007a%20&#8211;%20Directlink%202025-30%20&#8211;%20Final%20&#8211;%20Reset%20RIN%20&#8211;%20Workbook%201%20&#8211;%20Forecast%20and%20historical%20&#8211;%20240130%20-%20Public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6.3%20Sustained%20interruptions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 Sheet Heading"/>
      <sheetName val="AER CF"/>
      <sheetName val="AER NRs"/>
      <sheetName val="AER lookups"/>
      <sheetName val="AER ETL"/>
      <sheetName val="Instructions"/>
      <sheetName val="CONTENTS"/>
      <sheetName val="Business &amp; other details"/>
      <sheetName val="CPI series"/>
      <sheetName val="2.1 Expenditure summary"/>
      <sheetName val="2.1 Unprotected Exp Summary"/>
      <sheetName val="2.1 Balancing Item"/>
      <sheetName val="2.2 Repex"/>
      <sheetName val="2.3 Augex (a)"/>
      <sheetName val="2.3 Augex (b)"/>
      <sheetName val="2.5 Connections"/>
      <sheetName val="2.6 Non-network"/>
      <sheetName val="2.10 Overheads"/>
      <sheetName val="2.11 Labour"/>
      <sheetName val="2.14 Forecast price changes"/>
      <sheetName val="2.16 Opex Summary"/>
      <sheetName val="2.17 Step Changes"/>
      <sheetName val="3.1 Revenue"/>
      <sheetName val="3.2 Operating expenditure"/>
      <sheetName val="3.3 Assets (RAB)"/>
      <sheetName val="3.3 Unprotected Assets (RAB)"/>
      <sheetName val="3.4 Operational data"/>
      <sheetName val="3.5 Physical assets"/>
      <sheetName val="3.7 Operating environment"/>
      <sheetName val="5.4 MD &amp; Utilisation - Spatial"/>
      <sheetName val="7.1  Policies and Procedures"/>
      <sheetName val="7.2 Contingent projects"/>
      <sheetName val="7.3 Obligations"/>
      <sheetName val="7.4 Shared Assets"/>
      <sheetName val="7.9 STPIS"/>
      <sheetName val="7.9 STPIS (Alternative)"/>
      <sheetName val="8.2 Capex"/>
      <sheetName val="Powerlink 2023-27 - RIN - Workb"/>
    </sheetNames>
    <sheetDataSet>
      <sheetData sheetId="0"/>
      <sheetData sheetId="1">
        <row r="7">
          <cell r="B7" t="str">
            <v>Ausgrid</v>
          </cell>
          <cell r="U7" t="str">
            <v>Y</v>
          </cell>
        </row>
        <row r="8">
          <cell r="B8" t="str">
            <v>Ausgrid (Tx Assets)</v>
          </cell>
          <cell r="U8" t="str">
            <v>Y</v>
          </cell>
        </row>
        <row r="9">
          <cell r="B9" t="str">
            <v>AusNet (D)</v>
          </cell>
          <cell r="U9" t="str">
            <v>Y</v>
          </cell>
        </row>
        <row r="10">
          <cell r="B10" t="str">
            <v>AusNet (T)</v>
          </cell>
          <cell r="U10" t="str">
            <v>Y</v>
          </cell>
        </row>
        <row r="11">
          <cell r="B11" t="str">
            <v>Amadeus</v>
          </cell>
          <cell r="U11" t="str">
            <v>Y</v>
          </cell>
        </row>
        <row r="12">
          <cell r="B12" t="str">
            <v>APA GasNet</v>
          </cell>
          <cell r="U12" t="str">
            <v>Y</v>
          </cell>
        </row>
        <row r="13">
          <cell r="B13" t="str">
            <v>Australian Distribution Co.</v>
          </cell>
          <cell r="U13" t="str">
            <v>N</v>
          </cell>
        </row>
        <row r="14">
          <cell r="B14" t="str">
            <v>Australian Distribution Co. (Vic)</v>
          </cell>
          <cell r="U14" t="str">
            <v>N</v>
          </cell>
        </row>
        <row r="15">
          <cell r="B15" t="str">
            <v>CitiPower</v>
          </cell>
          <cell r="U15" t="str">
            <v>Y</v>
          </cell>
        </row>
        <row r="16">
          <cell r="B16" t="str">
            <v>Directlink</v>
          </cell>
          <cell r="U16" t="str">
            <v>Y</v>
          </cell>
        </row>
        <row r="17">
          <cell r="B17" t="str">
            <v>ElectraNet</v>
          </cell>
          <cell r="U17" t="str">
            <v>Y</v>
          </cell>
        </row>
        <row r="18">
          <cell r="B18" t="str">
            <v>Endeavour Energy</v>
          </cell>
          <cell r="U18" t="str">
            <v>Y</v>
          </cell>
        </row>
        <row r="19">
          <cell r="B19" t="str">
            <v>Energex</v>
          </cell>
          <cell r="U19" t="str">
            <v>Y</v>
          </cell>
        </row>
        <row r="20">
          <cell r="B20" t="str">
            <v>Ergon Energy</v>
          </cell>
          <cell r="U20" t="str">
            <v>Y</v>
          </cell>
        </row>
        <row r="21">
          <cell r="B21" t="str">
            <v>Essential Energy</v>
          </cell>
          <cell r="U21" t="str">
            <v>Y</v>
          </cell>
        </row>
        <row r="22">
          <cell r="B22" t="str">
            <v>Evoenergy Distribution</v>
          </cell>
          <cell r="U22" t="str">
            <v>Y</v>
          </cell>
        </row>
        <row r="23">
          <cell r="B23" t="str">
            <v>Evoenergy Distribution (Tx Assets)</v>
          </cell>
          <cell r="U23" t="str">
            <v>Y</v>
          </cell>
        </row>
        <row r="24">
          <cell r="B24" t="str">
            <v>Jemena Electricity</v>
          </cell>
          <cell r="U24" t="str">
            <v>Y</v>
          </cell>
        </row>
        <row r="25">
          <cell r="B25" t="str">
            <v>Murraylink</v>
          </cell>
          <cell r="U25" t="str">
            <v>Y</v>
          </cell>
        </row>
        <row r="26">
          <cell r="B26" t="str">
            <v>Power and Water</v>
          </cell>
          <cell r="U26" t="str">
            <v>Y</v>
          </cell>
        </row>
        <row r="27">
          <cell r="B27" t="str">
            <v>Powercor Australia</v>
          </cell>
          <cell r="U27" t="str">
            <v>Y</v>
          </cell>
        </row>
        <row r="28">
          <cell r="B28" t="str">
            <v>Powerlink</v>
          </cell>
          <cell r="U28" t="str">
            <v>Y</v>
          </cell>
        </row>
        <row r="29">
          <cell r="B29" t="str">
            <v>Roma to Brisbane Pipeline</v>
          </cell>
          <cell r="U29" t="str">
            <v>Y</v>
          </cell>
        </row>
        <row r="30">
          <cell r="B30" t="str">
            <v>SA Power Networks</v>
          </cell>
          <cell r="U30" t="str">
            <v>N</v>
          </cell>
        </row>
        <row r="31">
          <cell r="B31" t="str">
            <v>TasNetworks (D)</v>
          </cell>
          <cell r="U31" t="str">
            <v>Y</v>
          </cell>
        </row>
        <row r="32">
          <cell r="B32" t="str">
            <v>TasNetworks (T)</v>
          </cell>
          <cell r="U32" t="str">
            <v>Y</v>
          </cell>
        </row>
        <row r="33">
          <cell r="B33" t="str">
            <v>TransGrid</v>
          </cell>
          <cell r="U33" t="str">
            <v>Y</v>
          </cell>
        </row>
        <row r="34">
          <cell r="B34" t="str">
            <v>United Energy</v>
          </cell>
          <cell r="U34" t="str">
            <v>Y</v>
          </cell>
        </row>
      </sheetData>
      <sheetData sheetId="2">
        <row r="6">
          <cell r="C6" t="str">
            <v>-- select --</v>
          </cell>
          <cell r="D6" t="str">
            <v>-- select --</v>
          </cell>
        </row>
        <row r="7">
          <cell r="C7" t="str">
            <v>Actual</v>
          </cell>
          <cell r="D7" t="str">
            <v>Public</v>
          </cell>
        </row>
        <row r="8">
          <cell r="C8" t="str">
            <v>Estimate</v>
          </cell>
          <cell r="D8" t="str">
            <v>Confidential</v>
          </cell>
        </row>
        <row r="9">
          <cell r="C9" t="str">
            <v>Consolidated</v>
          </cell>
        </row>
        <row r="14">
          <cell r="C14" t="str">
            <v>-- select --</v>
          </cell>
        </row>
        <row r="15">
          <cell r="C15" t="str">
            <v>After appeal</v>
          </cell>
        </row>
        <row r="16">
          <cell r="C16" t="str">
            <v>Draft decision</v>
          </cell>
        </row>
        <row r="17">
          <cell r="C17" t="str">
            <v>Final decision</v>
          </cell>
        </row>
        <row r="18">
          <cell r="C18" t="str">
            <v>PTRM update 1</v>
          </cell>
        </row>
        <row r="19">
          <cell r="C19" t="str">
            <v>PTRM update 2</v>
          </cell>
        </row>
        <row r="20">
          <cell r="C20" t="str">
            <v>PTRM update 3</v>
          </cell>
        </row>
        <row r="21">
          <cell r="C21" t="str">
            <v>PTRM update 4</v>
          </cell>
        </row>
        <row r="22">
          <cell r="C22" t="str">
            <v>PTRM update 5</v>
          </cell>
        </row>
        <row r="23">
          <cell r="C23" t="str">
            <v>PTRM update 6</v>
          </cell>
        </row>
        <row r="24">
          <cell r="C24" t="str">
            <v>PTRM update 7</v>
          </cell>
        </row>
        <row r="25">
          <cell r="C25" t="str">
            <v>Recast</v>
          </cell>
        </row>
        <row r="26">
          <cell r="C26" t="str">
            <v>Regulatory proposal</v>
          </cell>
        </row>
        <row r="27">
          <cell r="C27" t="str">
            <v>Reporting</v>
          </cell>
        </row>
        <row r="28">
          <cell r="C28" t="str">
            <v>Revised regulatory proposal</v>
          </cell>
        </row>
      </sheetData>
      <sheetData sheetId="3">
        <row r="16">
          <cell r="B16" t="str">
            <v>AusNet (T)</v>
          </cell>
          <cell r="C16" t="str">
            <v>AusNet Transmission Group Pty Ltd</v>
          </cell>
          <cell r="D16">
            <v>78079798173</v>
          </cell>
          <cell r="E16" t="str">
            <v>Vic</v>
          </cell>
          <cell r="F16" t="str">
            <v>Electricity</v>
          </cell>
          <cell r="G16" t="str">
            <v>Transmission</v>
          </cell>
          <cell r="H16" t="str">
            <v>Revenue cap</v>
          </cell>
          <cell r="I16" t="str">
            <v>Financial</v>
          </cell>
          <cell r="J16" t="str">
            <v>March</v>
          </cell>
          <cell r="K16">
            <v>5</v>
          </cell>
          <cell r="L16">
            <v>5</v>
          </cell>
          <cell r="M16">
            <v>5</v>
          </cell>
          <cell r="N16">
            <v>2</v>
          </cell>
          <cell r="O16" t="str">
            <v>transmission determination</v>
          </cell>
          <cell r="P16" t="str">
            <v>Level 32</v>
          </cell>
          <cell r="Q16" t="str">
            <v>2 Southbank Boulevard</v>
          </cell>
          <cell r="R16" t="str">
            <v>SOUTHBANK</v>
          </cell>
          <cell r="S16" t="str">
            <v>Vic</v>
          </cell>
          <cell r="U16" t="str">
            <v>Locked Bag 14051</v>
          </cell>
          <cell r="V16"/>
          <cell r="W16" t="str">
            <v>MELBOURNE CITY MAIL CENTRE</v>
          </cell>
          <cell r="X16" t="str">
            <v>Vic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CBD</v>
          </cell>
          <cell r="AF16" t="str">
            <v>Urban</v>
          </cell>
          <cell r="AG16" t="str">
            <v>Short rural</v>
          </cell>
          <cell r="AH16" t="str">
            <v>Long rural</v>
          </cell>
          <cell r="AI16"/>
          <cell r="AJ16" t="str">
            <v>NO</v>
          </cell>
        </row>
        <row r="17">
          <cell r="B17" t="str">
            <v>Powerlink</v>
          </cell>
          <cell r="C17" t="str">
            <v>Queensland Electricity Transmission Corporation Limited trading as Powerlink Queensland</v>
          </cell>
          <cell r="D17">
            <v>82078849233</v>
          </cell>
          <cell r="E17" t="str">
            <v>Qld</v>
          </cell>
          <cell r="F17" t="str">
            <v>Electricity</v>
          </cell>
          <cell r="G17" t="str">
            <v>Transmission</v>
          </cell>
          <cell r="H17" t="str">
            <v>Revenue cap</v>
          </cell>
          <cell r="I17" t="str">
            <v>Financial</v>
          </cell>
          <cell r="J17" t="str">
            <v>June</v>
          </cell>
          <cell r="K17">
            <v>5</v>
          </cell>
          <cell r="L17">
            <v>5</v>
          </cell>
          <cell r="M17">
            <v>5</v>
          </cell>
          <cell r="N17">
            <v>5</v>
          </cell>
          <cell r="O17" t="str">
            <v>transmission determination</v>
          </cell>
          <cell r="P17" t="str">
            <v>33 Harold St</v>
          </cell>
          <cell r="Q17"/>
          <cell r="R17" t="str">
            <v>VIRGINIA</v>
          </cell>
          <cell r="S17" t="str">
            <v>Qld</v>
          </cell>
          <cell r="U17" t="str">
            <v>PO Box 1193</v>
          </cell>
          <cell r="V17"/>
          <cell r="W17" t="str">
            <v>VIRGINIA</v>
          </cell>
          <cell r="X17" t="str">
            <v>QLD</v>
          </cell>
          <cell r="Z17" t="str">
            <v>NO</v>
          </cell>
          <cell r="AA17" t="str">
            <v>NO</v>
          </cell>
          <cell r="AB17" t="str">
            <v>NO</v>
          </cell>
          <cell r="AC17" t="str">
            <v>NO</v>
          </cell>
          <cell r="AD17" t="str">
            <v>NO</v>
          </cell>
          <cell r="AE17" t="str">
            <v>CBD</v>
          </cell>
          <cell r="AF17" t="str">
            <v>Urban</v>
          </cell>
          <cell r="AG17" t="str">
            <v>Short rural</v>
          </cell>
          <cell r="AH17" t="str">
            <v>Long rural</v>
          </cell>
          <cell r="AI17"/>
          <cell r="AJ17" t="str">
            <v>NO</v>
          </cell>
        </row>
        <row r="24">
          <cell r="B24" t="str">
            <v>ARR</v>
          </cell>
          <cell r="D24" t="str">
            <v>ANNUAL REPORTING</v>
          </cell>
          <cell r="E24">
            <v>1</v>
          </cell>
        </row>
        <row r="25">
          <cell r="B25" t="str">
            <v>CA</v>
          </cell>
          <cell r="D25" t="str">
            <v>CATEGORY ANALYSIS</v>
          </cell>
          <cell r="E25">
            <v>1</v>
          </cell>
        </row>
        <row r="26">
          <cell r="B26" t="str">
            <v>CESS</v>
          </cell>
          <cell r="D26" t="str">
            <v>CAPITLAL EXPENDITURE SHARING SCHEMING</v>
          </cell>
          <cell r="E26">
            <v>5</v>
          </cell>
        </row>
        <row r="27">
          <cell r="B27" t="str">
            <v>CPI</v>
          </cell>
          <cell r="D27" t="str">
            <v>CPI</v>
          </cell>
          <cell r="E27">
            <v>5</v>
          </cell>
        </row>
        <row r="28">
          <cell r="B28" t="str">
            <v>EB</v>
          </cell>
          <cell r="D28" t="str">
            <v>ECONOMIC BENCHMARKING</v>
          </cell>
          <cell r="E28">
            <v>1</v>
          </cell>
        </row>
        <row r="29">
          <cell r="B29" t="str">
            <v>Pricing</v>
          </cell>
          <cell r="D29" t="str">
            <v>PRICING PROPOSAL</v>
          </cell>
          <cell r="E29">
            <v>5</v>
          </cell>
        </row>
        <row r="30">
          <cell r="B30" t="str">
            <v>PTRM</v>
          </cell>
          <cell r="D30" t="str">
            <v>POST TAX REVENUE MODEL</v>
          </cell>
          <cell r="E30">
            <v>5</v>
          </cell>
        </row>
        <row r="31">
          <cell r="B31" t="str">
            <v>Reset</v>
          </cell>
          <cell r="D31" t="str">
            <v>REGULATORY REPORTING STATEMENT</v>
          </cell>
          <cell r="E31">
            <v>5</v>
          </cell>
        </row>
        <row r="32">
          <cell r="B32" t="str">
            <v>RFM</v>
          </cell>
          <cell r="D32" t="str">
            <v>ROLL FORWARD MODEL</v>
          </cell>
          <cell r="E32">
            <v>5</v>
          </cell>
        </row>
        <row r="33">
          <cell r="B33" t="str">
            <v>WACC</v>
          </cell>
          <cell r="D33" t="str">
            <v>WEIGHTED AVERAGE COST OF CAPITAL</v>
          </cell>
          <cell r="E33">
            <v>1</v>
          </cell>
        </row>
        <row r="38">
          <cell r="E38" t="str">
            <v>2012-13</v>
          </cell>
        </row>
        <row r="39">
          <cell r="E39" t="str">
            <v>2013-14</v>
          </cell>
          <cell r="I39" t="str">
            <v>2023-24</v>
          </cell>
        </row>
        <row r="40">
          <cell r="I40" t="str">
            <v>2024-25</v>
          </cell>
        </row>
        <row r="41">
          <cell r="G41" t="str">
            <v>2020-21</v>
          </cell>
          <cell r="I41" t="str">
            <v>2025-26</v>
          </cell>
        </row>
        <row r="42">
          <cell r="G42" t="str">
            <v>2021-22</v>
          </cell>
          <cell r="I42" t="str">
            <v>2026-27</v>
          </cell>
        </row>
        <row r="43">
          <cell r="E43" t="str">
            <v>2017-18</v>
          </cell>
          <cell r="G43" t="str">
            <v>2022-23</v>
          </cell>
          <cell r="I43" t="str">
            <v>2027-28</v>
          </cell>
        </row>
        <row r="44">
          <cell r="E44" t="str">
            <v>2018-19</v>
          </cell>
          <cell r="G44" t="str">
            <v>2023-24</v>
          </cell>
          <cell r="I44" t="str">
            <v>2028-29</v>
          </cell>
        </row>
        <row r="45">
          <cell r="E45" t="str">
            <v>2019-20</v>
          </cell>
          <cell r="G45" t="str">
            <v>2024-25</v>
          </cell>
          <cell r="I45" t="str">
            <v>2029-30</v>
          </cell>
        </row>
        <row r="46">
          <cell r="E46" t="str">
            <v>2020-21</v>
          </cell>
          <cell r="G46" t="str">
            <v>2025-26</v>
          </cell>
          <cell r="I46" t="str">
            <v>2030-31</v>
          </cell>
        </row>
        <row r="47">
          <cell r="E47" t="str">
            <v>2021-22</v>
          </cell>
          <cell r="G47" t="str">
            <v>2026-27</v>
          </cell>
          <cell r="I47" t="str">
            <v>2031-32</v>
          </cell>
        </row>
        <row r="48">
          <cell r="E48" t="str">
            <v>2022-23</v>
          </cell>
          <cell r="G48" t="str">
            <v>2027-28</v>
          </cell>
          <cell r="I48" t="str">
            <v>2032-33</v>
          </cell>
        </row>
        <row r="49">
          <cell r="E49" t="str">
            <v>2023-24</v>
          </cell>
          <cell r="G49" t="str">
            <v>2028-29</v>
          </cell>
          <cell r="I49" t="str">
            <v>2033-34</v>
          </cell>
        </row>
        <row r="50">
          <cell r="E50" t="str">
            <v>2024-25</v>
          </cell>
          <cell r="G50" t="str">
            <v>2029-30</v>
          </cell>
          <cell r="I50" t="str">
            <v>2034-35</v>
          </cell>
        </row>
        <row r="51">
          <cell r="E51" t="str">
            <v>2025-26</v>
          </cell>
          <cell r="G51" t="str">
            <v>2030-31</v>
          </cell>
          <cell r="I51" t="str">
            <v>2035-36</v>
          </cell>
        </row>
        <row r="52">
          <cell r="E52" t="str">
            <v>2026-27</v>
          </cell>
          <cell r="G52" t="str">
            <v>2031-32</v>
          </cell>
          <cell r="I52" t="str">
            <v>2036-37</v>
          </cell>
        </row>
        <row r="57">
          <cell r="E57" t="str">
            <v>2020-21</v>
          </cell>
        </row>
        <row r="58">
          <cell r="E58" t="str">
            <v>2021-22</v>
          </cell>
        </row>
        <row r="59">
          <cell r="E59" t="str">
            <v>2022-23</v>
          </cell>
        </row>
        <row r="60">
          <cell r="E60" t="str">
            <v>2023-24</v>
          </cell>
        </row>
        <row r="61">
          <cell r="E61" t="str">
            <v>2024-25</v>
          </cell>
        </row>
        <row r="62">
          <cell r="E62" t="str">
            <v>2025-26</v>
          </cell>
        </row>
        <row r="63">
          <cell r="E63" t="str">
            <v>2026-27</v>
          </cell>
        </row>
      </sheetData>
      <sheetData sheetId="4">
        <row r="9">
          <cell r="C9" t="str">
            <v>Queensland Electricity Transmission Corporation Limited trading as Powerlink Queensland</v>
          </cell>
        </row>
        <row r="11">
          <cell r="C11" t="str">
            <v>Reset</v>
          </cell>
        </row>
        <row r="20">
          <cell r="C20" t="str">
            <v>Electricity</v>
          </cell>
        </row>
        <row r="21">
          <cell r="C21" t="str">
            <v>Transmission</v>
          </cell>
        </row>
        <row r="23">
          <cell r="C23" t="str">
            <v>Financial</v>
          </cell>
        </row>
        <row r="29">
          <cell r="C29" t="str">
            <v>CRY not present</v>
          </cell>
        </row>
        <row r="30">
          <cell r="C30" t="str">
            <v>June</v>
          </cell>
        </row>
        <row r="31">
          <cell r="C31" t="str">
            <v>June 2022</v>
          </cell>
        </row>
        <row r="36">
          <cell r="C36" t="str">
            <v>2022-23</v>
          </cell>
        </row>
        <row r="37">
          <cell r="C37" t="str">
            <v>2020-21</v>
          </cell>
        </row>
        <row r="38">
          <cell r="C38">
            <v>34</v>
          </cell>
        </row>
        <row r="39">
          <cell r="C39">
            <v>36</v>
          </cell>
        </row>
        <row r="40">
          <cell r="C40">
            <v>31</v>
          </cell>
        </row>
        <row r="41">
          <cell r="C41">
            <v>26</v>
          </cell>
        </row>
        <row r="42">
          <cell r="C42">
            <v>40</v>
          </cell>
        </row>
        <row r="46">
          <cell r="C46" t="str">
            <v>2026-27</v>
          </cell>
        </row>
        <row r="47">
          <cell r="C47" t="str">
            <v>2021-22</v>
          </cell>
        </row>
        <row r="48">
          <cell r="C48" t="str">
            <v>2016-17</v>
          </cell>
        </row>
        <row r="49">
          <cell r="C49" t="str">
            <v>2026-27</v>
          </cell>
        </row>
        <row r="51">
          <cell r="C51" t="str">
            <v>2022</v>
          </cell>
        </row>
        <row r="52">
          <cell r="C52" t="str">
            <v>2017</v>
          </cell>
        </row>
        <row r="53">
          <cell r="C53">
            <v>0</v>
          </cell>
        </row>
        <row r="54">
          <cell r="C54" t="str">
            <v>2027</v>
          </cell>
        </row>
        <row r="55">
          <cell r="C55">
            <v>0</v>
          </cell>
        </row>
        <row r="56">
          <cell r="C56">
            <v>5</v>
          </cell>
        </row>
        <row r="57">
          <cell r="C57" t="str">
            <v>2027</v>
          </cell>
        </row>
        <row r="59">
          <cell r="C59">
            <v>0</v>
          </cell>
        </row>
        <row r="60">
          <cell r="C60" t="str">
            <v>2020-21 - 2026-27</v>
          </cell>
        </row>
        <row r="62">
          <cell r="C62" t="str">
            <v>No</v>
          </cell>
        </row>
        <row r="63">
          <cell r="C63">
            <v>0</v>
          </cell>
        </row>
        <row r="64">
          <cell r="C64" t="str">
            <v>not a Multiple year submission</v>
          </cell>
        </row>
        <row r="68">
          <cell r="C68">
            <v>5</v>
          </cell>
        </row>
        <row r="69">
          <cell r="C69">
            <v>5</v>
          </cell>
        </row>
        <row r="70">
          <cell r="C70">
            <v>5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 t="str">
            <v>no</v>
          </cell>
        </row>
        <row r="80">
          <cell r="C80" t="str">
            <v>2026-27</v>
          </cell>
        </row>
        <row r="90">
          <cell r="C90" t="str">
            <v>no</v>
          </cell>
        </row>
        <row r="92">
          <cell r="C92" t="str">
            <v>not a CA</v>
          </cell>
        </row>
        <row r="98">
          <cell r="C98" t="str">
            <v>dms_LeapYear not present</v>
          </cell>
        </row>
        <row r="99">
          <cell r="C99">
            <v>1826</v>
          </cell>
        </row>
        <row r="100">
          <cell r="C100">
            <v>365</v>
          </cell>
        </row>
        <row r="106">
          <cell r="C106" t="str">
            <v>1-Jul-2015</v>
          </cell>
        </row>
        <row r="111">
          <cell r="C111">
            <v>12</v>
          </cell>
        </row>
        <row r="112">
          <cell r="C112" t="str">
            <v>0</v>
          </cell>
        </row>
        <row r="125">
          <cell r="C125" t="str">
            <v>NO</v>
          </cell>
        </row>
      </sheetData>
      <sheetData sheetId="5"/>
      <sheetData sheetId="6"/>
      <sheetData sheetId="7">
        <row r="16">
          <cell r="AL16" t="str">
            <v>Powerlink</v>
          </cell>
        </row>
        <row r="42">
          <cell r="AL42" t="str">
            <v>2022-23</v>
          </cell>
        </row>
        <row r="70">
          <cell r="AL70" t="str">
            <v>.</v>
          </cell>
        </row>
        <row r="74">
          <cell r="AL74">
            <v>44224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B12" t="str">
            <v>H038 - Goodna, T6</v>
          </cell>
          <cell r="C12"/>
          <cell r="D12"/>
          <cell r="E12"/>
          <cell r="F12"/>
          <cell r="G12"/>
          <cell r="H12"/>
          <cell r="I12"/>
        </row>
        <row r="13">
          <cell r="C13"/>
          <cell r="D13"/>
          <cell r="E13"/>
          <cell r="F13"/>
          <cell r="G13"/>
          <cell r="H13"/>
          <cell r="I13"/>
        </row>
        <row r="14">
          <cell r="B14"/>
          <cell r="C14"/>
          <cell r="D14"/>
          <cell r="E14"/>
          <cell r="F14"/>
          <cell r="G14"/>
          <cell r="H14"/>
          <cell r="I14"/>
        </row>
        <row r="15">
          <cell r="B15"/>
          <cell r="C15"/>
          <cell r="D15"/>
          <cell r="E15"/>
          <cell r="F15"/>
          <cell r="G15"/>
          <cell r="H15"/>
          <cell r="I15"/>
        </row>
        <row r="16">
          <cell r="B16"/>
          <cell r="C16"/>
          <cell r="D16"/>
          <cell r="E16"/>
          <cell r="F16"/>
          <cell r="G16"/>
          <cell r="H16"/>
          <cell r="I16"/>
        </row>
        <row r="17">
          <cell r="B17"/>
          <cell r="C17"/>
          <cell r="D17"/>
          <cell r="E17"/>
          <cell r="F17"/>
          <cell r="G17"/>
          <cell r="H17"/>
          <cell r="I17"/>
        </row>
        <row r="18">
          <cell r="B18"/>
          <cell r="C18"/>
          <cell r="D18"/>
          <cell r="E18"/>
          <cell r="F18"/>
          <cell r="G18"/>
          <cell r="H18"/>
          <cell r="I18"/>
        </row>
        <row r="19">
          <cell r="B19"/>
          <cell r="C19"/>
          <cell r="D19"/>
          <cell r="E19"/>
          <cell r="F19"/>
          <cell r="G19"/>
          <cell r="H19"/>
          <cell r="I19"/>
        </row>
        <row r="20">
          <cell r="B20"/>
          <cell r="C20"/>
          <cell r="D20"/>
          <cell r="E20"/>
          <cell r="F20"/>
          <cell r="G20"/>
          <cell r="H20"/>
          <cell r="I20"/>
        </row>
        <row r="21">
          <cell r="B21"/>
          <cell r="C21"/>
          <cell r="D21"/>
          <cell r="E21"/>
          <cell r="F21"/>
          <cell r="G21"/>
          <cell r="H21"/>
          <cell r="I21"/>
        </row>
        <row r="22">
          <cell r="B22"/>
          <cell r="C22"/>
          <cell r="D22"/>
          <cell r="E22"/>
          <cell r="F22"/>
          <cell r="G22"/>
          <cell r="H22"/>
          <cell r="I22"/>
        </row>
        <row r="23">
          <cell r="B23"/>
          <cell r="C23"/>
          <cell r="D23"/>
          <cell r="E23"/>
          <cell r="F23"/>
          <cell r="G23"/>
          <cell r="H23"/>
          <cell r="I23"/>
        </row>
        <row r="24">
          <cell r="B24"/>
          <cell r="C24"/>
          <cell r="D24"/>
          <cell r="E24"/>
          <cell r="F24"/>
          <cell r="G24"/>
          <cell r="H24"/>
          <cell r="I24"/>
        </row>
        <row r="25">
          <cell r="B25"/>
          <cell r="C25"/>
          <cell r="D25"/>
          <cell r="E25"/>
          <cell r="F25"/>
          <cell r="G25"/>
          <cell r="H25"/>
          <cell r="I25"/>
        </row>
        <row r="26">
          <cell r="B26"/>
          <cell r="C26"/>
          <cell r="D26"/>
          <cell r="E26"/>
          <cell r="F26"/>
          <cell r="G26"/>
          <cell r="H26"/>
          <cell r="I26"/>
        </row>
        <row r="27">
          <cell r="B27"/>
          <cell r="C27"/>
          <cell r="D27"/>
          <cell r="E27"/>
          <cell r="F27"/>
          <cell r="G27"/>
          <cell r="H27"/>
          <cell r="I27"/>
        </row>
        <row r="28">
          <cell r="B28"/>
          <cell r="C28"/>
          <cell r="D28"/>
          <cell r="E28"/>
          <cell r="F28"/>
          <cell r="G28"/>
          <cell r="H28"/>
          <cell r="I28"/>
        </row>
        <row r="29">
          <cell r="B29"/>
          <cell r="C29"/>
          <cell r="D29"/>
          <cell r="E29"/>
          <cell r="F29"/>
          <cell r="G29"/>
          <cell r="H29"/>
          <cell r="I29"/>
        </row>
        <row r="30">
          <cell r="B30"/>
          <cell r="C30"/>
          <cell r="D30"/>
          <cell r="E30"/>
          <cell r="F30"/>
          <cell r="G30"/>
          <cell r="H30"/>
          <cell r="I30"/>
        </row>
        <row r="31">
          <cell r="B31"/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</sheetData>
      <sheetData sheetId="16"/>
      <sheetData sheetId="17"/>
      <sheetData sheetId="18"/>
      <sheetData sheetId="19"/>
      <sheetData sheetId="20">
        <row r="7">
          <cell r="M7" t="str">
            <v>Yes</v>
          </cell>
        </row>
        <row r="9">
          <cell r="M9" t="str">
            <v>2018-19</v>
          </cell>
        </row>
        <row r="13">
          <cell r="C13" t="str">
            <v>2017-18</v>
          </cell>
          <cell r="D13" t="str">
            <v>2018-19</v>
          </cell>
          <cell r="E13" t="str">
            <v>2019-20</v>
          </cell>
          <cell r="F13" t="str">
            <v>2020-21</v>
          </cell>
          <cell r="G13" t="str">
            <v>2021-22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 Sheet Heading"/>
      <sheetName val="AER CF"/>
      <sheetName val="AER NRs"/>
      <sheetName val="AER lookups"/>
      <sheetName val="AER ETL"/>
      <sheetName val="Instructions"/>
      <sheetName val="CONTENTS"/>
      <sheetName val="Business &amp; other details"/>
      <sheetName val="CPI series"/>
      <sheetName val="2.1 Expenditure summary"/>
      <sheetName val="2.2 Repex"/>
      <sheetName val="2.3 Augex (a)"/>
      <sheetName val="2.3 Augex (b)"/>
      <sheetName val="2.5 Connections"/>
      <sheetName val="2.6 Non-network"/>
      <sheetName val="2.10 Overheads"/>
      <sheetName val="2.11 Labour"/>
      <sheetName val="2.14 Forecast price changes"/>
      <sheetName val="2.16 Opex Summary"/>
      <sheetName val="2.17 Step Changes"/>
      <sheetName val="3.1 Revenue"/>
      <sheetName val="3.2 Operating expenditure"/>
      <sheetName val="3.3 Assets (RAB)"/>
      <sheetName val="3.4 Operational data"/>
      <sheetName val="3.5 Physical assets"/>
      <sheetName val="3.7 Operating environment"/>
      <sheetName val="5.4 MD &amp; Utilisation - Spatial"/>
      <sheetName val="7.1  Policies and Procedures"/>
      <sheetName val="7.2 Contingent projects"/>
      <sheetName val="7.3 Obligations"/>
      <sheetName val="7.4 Shared Assets"/>
      <sheetName val="7.9 STPIS"/>
      <sheetName val="8.2 Capex"/>
    </sheetNames>
    <sheetDataSet>
      <sheetData sheetId="0" refreshError="1"/>
      <sheetData sheetId="1" refreshError="1"/>
      <sheetData sheetId="2" refreshError="1"/>
      <sheetData sheetId="3" refreshError="1">
        <row r="16">
          <cell r="B16" t="str">
            <v>AusNet (T)</v>
          </cell>
        </row>
        <row r="38">
          <cell r="G38" t="str">
            <v>2017-18</v>
          </cell>
        </row>
        <row r="39">
          <cell r="G39" t="str">
            <v>2018-19</v>
          </cell>
        </row>
        <row r="40">
          <cell r="E40" t="str">
            <v>2014-15</v>
          </cell>
          <cell r="G40" t="str">
            <v>2019-20</v>
          </cell>
        </row>
        <row r="41">
          <cell r="E41" t="str">
            <v>2015-16</v>
          </cell>
        </row>
        <row r="42">
          <cell r="E42" t="str">
            <v>2016-17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NTENTS"/>
      <sheetName val="Business &amp; other details"/>
      <sheetName val="2.1 Expenditure Summary"/>
      <sheetName val="2.3c Material Projects"/>
      <sheetName val="2.6 Non-network"/>
      <sheetName val="2.14 Forecast price changes"/>
      <sheetName val="2.16 Opex Summary"/>
      <sheetName val="2.17 Step Changes"/>
      <sheetName val="3.2.3 Provisions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Chart2"/>
      <sheetName val="Chart1"/>
      <sheetName val="7.9 STPIS"/>
      <sheetName val="7.1  Policies and Procedures"/>
      <sheetName val="8.2 Capex"/>
      <sheetName val="7.2 Contingent projects"/>
      <sheetName val="7.3 Obligations"/>
      <sheetName val="7.4 Shared Assets"/>
      <sheetName val="AER CF"/>
      <sheetName val="AER NRs"/>
      <sheetName val="AER lookups"/>
      <sheetName val="AER 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0">
          <cell r="G40" t="str">
            <v>2020-21</v>
          </cell>
        </row>
        <row r="41">
          <cell r="G41" t="str">
            <v>2021-22</v>
          </cell>
        </row>
        <row r="42">
          <cell r="G42" t="str">
            <v>2022-23</v>
          </cell>
        </row>
        <row r="43">
          <cell r="E43" t="str">
            <v>2018-19</v>
          </cell>
          <cell r="G43" t="str">
            <v>2023-24</v>
          </cell>
        </row>
        <row r="44">
          <cell r="E44" t="str">
            <v>2019-20</v>
          </cell>
        </row>
      </sheetData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4504-3C0B-44F1-A4D5-7EBC297AA383}">
  <dimension ref="A1:F25"/>
  <sheetViews>
    <sheetView tabSelected="1" zoomScale="96" zoomScaleNormal="96" workbookViewId="0">
      <selection activeCell="B16" sqref="B16"/>
    </sheetView>
  </sheetViews>
  <sheetFormatPr defaultRowHeight="14.5" x14ac:dyDescent="0.35"/>
  <cols>
    <col min="1" max="1" width="37.81640625" customWidth="1"/>
    <col min="2" max="2" width="11.453125" customWidth="1"/>
    <col min="3" max="3" width="9.453125" customWidth="1"/>
    <col min="6" max="6" width="12.453125" customWidth="1"/>
  </cols>
  <sheetData>
    <row r="1" spans="1:6" ht="15" thickBot="1" x14ac:dyDescent="0.4">
      <c r="A1" s="39" t="s">
        <v>60</v>
      </c>
      <c r="B1" s="39"/>
    </row>
    <row r="2" spans="1:6" ht="26.5" thickBot="1" x14ac:dyDescent="0.4">
      <c r="A2" s="40" t="s">
        <v>2</v>
      </c>
      <c r="B2" s="41" t="s">
        <v>67</v>
      </c>
      <c r="C2" s="41" t="s">
        <v>61</v>
      </c>
      <c r="D2" s="41" t="s">
        <v>62</v>
      </c>
      <c r="E2" s="41" t="s">
        <v>63</v>
      </c>
      <c r="F2" s="41" t="s">
        <v>66</v>
      </c>
    </row>
    <row r="3" spans="1:6" ht="15.75" customHeight="1" thickBot="1" x14ac:dyDescent="0.4">
      <c r="A3" s="52" t="s">
        <v>64</v>
      </c>
      <c r="B3" s="53"/>
      <c r="C3" s="53"/>
      <c r="D3" s="53"/>
      <c r="E3" s="53"/>
      <c r="F3" s="54"/>
    </row>
    <row r="4" spans="1:6" ht="15" thickBot="1" x14ac:dyDescent="0.4">
      <c r="A4" s="42" t="s">
        <v>10</v>
      </c>
      <c r="B4" s="42" t="str">
        <f>Input!G8</f>
        <v>Uniform</v>
      </c>
      <c r="C4" s="49">
        <f>Input!H8</f>
        <v>0.21679999999999999</v>
      </c>
      <c r="D4" s="49">
        <f>Input!I8</f>
        <v>0.11319422799422799</v>
      </c>
      <c r="E4" s="49">
        <f>Input!J8</f>
        <v>1.14E-2</v>
      </c>
      <c r="F4" s="46">
        <v>0.2</v>
      </c>
    </row>
    <row r="5" spans="1:6" ht="15" thickBot="1" x14ac:dyDescent="0.4">
      <c r="A5" s="42" t="s">
        <v>11</v>
      </c>
      <c r="B5" s="42" t="str">
        <f>Input!G9</f>
        <v>Pearson5</v>
      </c>
      <c r="C5" s="49">
        <f>Input!H9</f>
        <v>0.24629999999999999</v>
      </c>
      <c r="D5" s="49">
        <f>Input!I9</f>
        <v>0.11008542954077302</v>
      </c>
      <c r="E5" s="49">
        <f>Input!J9</f>
        <v>4.3499999999999997E-2</v>
      </c>
      <c r="F5" s="46">
        <v>0.2</v>
      </c>
    </row>
    <row r="6" spans="1:6" ht="15" thickBot="1" x14ac:dyDescent="0.4">
      <c r="A6" s="42" t="s">
        <v>12</v>
      </c>
      <c r="B6" s="42" t="str">
        <f>Input!G10</f>
        <v>Uniform</v>
      </c>
      <c r="C6" s="49">
        <f>Input!H10</f>
        <v>0.2676</v>
      </c>
      <c r="D6" s="49">
        <f>Input!I10</f>
        <v>0.1317292437830736</v>
      </c>
      <c r="E6" s="49">
        <f>Input!J10</f>
        <v>1.41E-2</v>
      </c>
      <c r="F6" s="46">
        <v>0.1</v>
      </c>
    </row>
    <row r="7" spans="1:6" ht="15" thickBot="1" x14ac:dyDescent="0.4">
      <c r="A7" s="42" t="s">
        <v>13</v>
      </c>
      <c r="B7" s="42" t="str">
        <f>Input!G11</f>
        <v>Pearson6</v>
      </c>
      <c r="C7" s="49">
        <f>Input!H11</f>
        <v>0.29380000000000001</v>
      </c>
      <c r="D7" s="49">
        <f>Input!I11</f>
        <v>8.2365367965367947E-2</v>
      </c>
      <c r="E7" s="49">
        <f>Input!J11</f>
        <v>5.7000000000000002E-3</v>
      </c>
      <c r="F7" s="46">
        <v>0.1</v>
      </c>
    </row>
    <row r="8" spans="1:6" ht="15" thickBot="1" x14ac:dyDescent="0.4">
      <c r="A8" s="42" t="s">
        <v>14</v>
      </c>
      <c r="B8" s="42" t="str">
        <f>Input!G12</f>
        <v>Weibull</v>
      </c>
      <c r="C8" s="49">
        <f>Input!H12</f>
        <v>0.14119999999999999</v>
      </c>
      <c r="D8" s="49">
        <f>Input!I12</f>
        <v>9.2822402459711614E-2</v>
      </c>
      <c r="E8" s="49">
        <f>Input!J12</f>
        <v>4.4699999999999997E-2</v>
      </c>
      <c r="F8" s="46">
        <v>0.1</v>
      </c>
    </row>
    <row r="9" spans="1:6" ht="15" thickBot="1" x14ac:dyDescent="0.4">
      <c r="A9" s="42" t="s">
        <v>15</v>
      </c>
      <c r="B9" s="42" t="str">
        <f>Input!G13</f>
        <v>LogLogistic</v>
      </c>
      <c r="C9" s="49">
        <f>Input!H13</f>
        <v>0.1517</v>
      </c>
      <c r="D9" s="49">
        <f>Input!I13</f>
        <v>9.2354469074515361E-2</v>
      </c>
      <c r="E9" s="49">
        <f>Input!J13</f>
        <v>2.93E-2</v>
      </c>
      <c r="F9" s="46">
        <v>0.05</v>
      </c>
    </row>
    <row r="10" spans="1:6" ht="15.75" customHeight="1" thickBot="1" x14ac:dyDescent="0.4">
      <c r="A10" s="52" t="s">
        <v>19</v>
      </c>
      <c r="B10" s="53"/>
      <c r="C10" s="53"/>
      <c r="D10" s="53"/>
      <c r="E10" s="53"/>
      <c r="F10" s="54"/>
    </row>
    <row r="11" spans="1:6" ht="15" thickBot="1" x14ac:dyDescent="0.4">
      <c r="A11" s="42" t="s">
        <v>21</v>
      </c>
      <c r="B11" s="42" t="str">
        <f>Input!G15</f>
        <v>Geomet</v>
      </c>
      <c r="C11" s="48">
        <f>Input!H15</f>
        <v>3</v>
      </c>
      <c r="D11" s="48">
        <f>Input!I15</f>
        <v>0.8</v>
      </c>
      <c r="E11" s="48">
        <f>Input!J15</f>
        <v>0</v>
      </c>
      <c r="F11" s="46">
        <v>0.15</v>
      </c>
    </row>
    <row r="12" spans="1:6" ht="15" thickBot="1" x14ac:dyDescent="0.4">
      <c r="A12" s="42" t="s">
        <v>22</v>
      </c>
      <c r="B12" s="42" t="str">
        <f>Input!G16</f>
        <v>Poisson</v>
      </c>
      <c r="C12" s="48">
        <f>Input!H16</f>
        <v>1</v>
      </c>
      <c r="D12" s="48">
        <f>Input!I16</f>
        <v>0.2</v>
      </c>
      <c r="E12" s="48">
        <f>Input!J16</f>
        <v>0</v>
      </c>
      <c r="F12" s="46">
        <v>0.15</v>
      </c>
    </row>
    <row r="13" spans="1:6" ht="15.75" customHeight="1" thickBot="1" x14ac:dyDescent="0.4">
      <c r="A13" s="52" t="s">
        <v>19</v>
      </c>
      <c r="B13" s="53"/>
      <c r="C13" s="53"/>
      <c r="D13" s="53"/>
      <c r="E13" s="53"/>
      <c r="F13" s="54"/>
    </row>
    <row r="14" spans="1:6" ht="15" thickBot="1" x14ac:dyDescent="0.4">
      <c r="A14" s="42" t="s">
        <v>16</v>
      </c>
      <c r="B14" s="42" t="str">
        <f>Input!G18</f>
        <v>Expon</v>
      </c>
      <c r="C14" s="47">
        <f>Input!H18</f>
        <v>188.16</v>
      </c>
      <c r="D14" s="47">
        <f>Input!I18</f>
        <v>62.81</v>
      </c>
      <c r="E14" s="47">
        <f>Input!J18</f>
        <v>3.22</v>
      </c>
      <c r="F14" s="46">
        <v>0.2</v>
      </c>
    </row>
    <row r="15" spans="1:6" ht="15.75" customHeight="1" thickBot="1" x14ac:dyDescent="0.4">
      <c r="A15" s="52" t="s">
        <v>4</v>
      </c>
      <c r="B15" s="53"/>
      <c r="C15" s="53"/>
      <c r="D15" s="53"/>
      <c r="E15" s="53"/>
      <c r="F15" s="54"/>
    </row>
    <row r="16" spans="1:6" ht="15" thickBot="1" x14ac:dyDescent="0.4">
      <c r="A16" s="42" t="s">
        <v>5</v>
      </c>
      <c r="B16" s="42" t="str">
        <f>Input!G20</f>
        <v>Geomet</v>
      </c>
      <c r="C16" s="43">
        <f>Input!H20</f>
        <v>29</v>
      </c>
      <c r="D16" s="43">
        <f>Input!I20</f>
        <v>9.1999999999999993</v>
      </c>
      <c r="E16" s="43">
        <f>Input!J20</f>
        <v>0</v>
      </c>
      <c r="F16" s="46">
        <v>0</v>
      </c>
    </row>
    <row r="17" spans="1:6" ht="15" thickBot="1" x14ac:dyDescent="0.4">
      <c r="A17" s="42" t="s">
        <v>17</v>
      </c>
      <c r="B17" s="42" t="str">
        <f>Input!G21</f>
        <v>Poisson</v>
      </c>
      <c r="C17" s="43">
        <f>Input!H21</f>
        <v>5</v>
      </c>
      <c r="D17" s="43">
        <f>Input!I21</f>
        <v>2</v>
      </c>
      <c r="E17" s="43">
        <f>Input!J21</f>
        <v>0</v>
      </c>
      <c r="F17" s="46">
        <v>0</v>
      </c>
    </row>
    <row r="18" spans="1:6" ht="25.5" thickBot="1" x14ac:dyDescent="0.4">
      <c r="A18" s="42" t="s">
        <v>18</v>
      </c>
      <c r="B18" s="42" t="str">
        <f>Input!G22</f>
        <v>Geomet</v>
      </c>
      <c r="C18" s="43">
        <f>Input!H22</f>
        <v>7</v>
      </c>
      <c r="D18" s="43">
        <f>Input!I22</f>
        <v>2</v>
      </c>
      <c r="E18" s="43">
        <f>Input!J22</f>
        <v>0</v>
      </c>
      <c r="F18" s="46">
        <v>0</v>
      </c>
    </row>
    <row r="19" spans="1:6" x14ac:dyDescent="0.35">
      <c r="A19" s="44"/>
      <c r="B19" s="44"/>
    </row>
    <row r="25" spans="1:6" x14ac:dyDescent="0.35">
      <c r="A25" s="44"/>
      <c r="B25" s="44"/>
    </row>
  </sheetData>
  <mergeCells count="4">
    <mergeCell ref="A3:F3"/>
    <mergeCell ref="A10:F10"/>
    <mergeCell ref="A13:F13"/>
    <mergeCell ref="A15:F1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1F24-35DC-445B-A5F2-54CBBB398F64}">
  <dimension ref="A1:J31"/>
  <sheetViews>
    <sheetView zoomScale="130" zoomScaleNormal="130" workbookViewId="0">
      <selection activeCell="G23" sqref="G23"/>
    </sheetView>
  </sheetViews>
  <sheetFormatPr defaultRowHeight="14.5" x14ac:dyDescent="0.35"/>
  <cols>
    <col min="1" max="1" width="51.453125" customWidth="1"/>
    <col min="2" max="3" width="12.1796875" customWidth="1"/>
    <col min="4" max="6" width="9.1796875" customWidth="1"/>
    <col min="7" max="7" width="12.7265625" customWidth="1"/>
    <col min="8" max="10" width="16.81640625" customWidth="1"/>
  </cols>
  <sheetData>
    <row r="1" spans="1:10" ht="21" x14ac:dyDescent="0.5">
      <c r="A1" s="6" t="s">
        <v>9</v>
      </c>
    </row>
    <row r="3" spans="1:10" ht="15" thickBot="1" x14ac:dyDescent="0.4">
      <c r="A3" s="1" t="s">
        <v>0</v>
      </c>
      <c r="H3" s="7"/>
    </row>
    <row r="4" spans="1:10" ht="19" thickBot="1" x14ac:dyDescent="0.4">
      <c r="A4" s="2" t="s">
        <v>1</v>
      </c>
      <c r="B4" s="3"/>
      <c r="C4" s="3"/>
      <c r="D4" s="3"/>
      <c r="E4" s="3"/>
      <c r="F4" s="3"/>
      <c r="G4" s="3"/>
      <c r="H4" s="3"/>
      <c r="I4" s="3"/>
      <c r="J4" s="5"/>
    </row>
    <row r="5" spans="1:10" ht="14.5" customHeight="1" x14ac:dyDescent="0.35">
      <c r="A5" s="55" t="s">
        <v>2</v>
      </c>
      <c r="B5" s="57" t="s">
        <v>23</v>
      </c>
      <c r="C5" s="57"/>
      <c r="D5" s="57"/>
      <c r="E5" s="57"/>
      <c r="F5" s="57"/>
      <c r="G5" s="58" t="s">
        <v>24</v>
      </c>
      <c r="H5" s="58" t="s">
        <v>6</v>
      </c>
      <c r="I5" s="58" t="s">
        <v>7</v>
      </c>
      <c r="J5" s="60" t="s">
        <v>8</v>
      </c>
    </row>
    <row r="6" spans="1:10" ht="15" thickBot="1" x14ac:dyDescent="0.4">
      <c r="A6" s="56"/>
      <c r="B6" s="19">
        <v>2020</v>
      </c>
      <c r="C6" s="19">
        <v>2021</v>
      </c>
      <c r="D6" s="19">
        <v>2022</v>
      </c>
      <c r="E6" s="19">
        <v>2023</v>
      </c>
      <c r="F6" s="19">
        <v>2024</v>
      </c>
      <c r="G6" s="59"/>
      <c r="H6" s="59"/>
      <c r="I6" s="59"/>
      <c r="J6" s="61"/>
    </row>
    <row r="7" spans="1:10" ht="15" thickBot="1" x14ac:dyDescent="0.4">
      <c r="A7" s="10" t="s">
        <v>3</v>
      </c>
      <c r="B7" s="11"/>
      <c r="C7" s="11"/>
      <c r="D7" s="11"/>
      <c r="E7" s="11"/>
      <c r="F7" s="11"/>
      <c r="G7" s="11"/>
      <c r="H7" s="11"/>
      <c r="I7" s="11"/>
      <c r="J7" s="17"/>
    </row>
    <row r="8" spans="1:10" x14ac:dyDescent="0.35">
      <c r="A8" s="8" t="s">
        <v>10</v>
      </c>
      <c r="B8" s="20">
        <f>22/125</f>
        <v>0.17599999999999999</v>
      </c>
      <c r="C8" s="20">
        <f>23/126</f>
        <v>0.18253968253968253</v>
      </c>
      <c r="D8" s="20">
        <f>8/126</f>
        <v>6.3492063492063489E-2</v>
      </c>
      <c r="E8" s="20">
        <f>7/132</f>
        <v>5.3030303030303032E-2</v>
      </c>
      <c r="F8" s="20">
        <f>12/132</f>
        <v>9.0909090909090912E-2</v>
      </c>
      <c r="G8" s="27" t="str">
        <f>'@risk Results'!B3</f>
        <v>Uniform</v>
      </c>
      <c r="H8" s="27">
        <f>'@risk Results'!M3</f>
        <v>0.21679999999999999</v>
      </c>
      <c r="I8" s="27">
        <f>+AVERAGE(B8:F8)</f>
        <v>0.11319422799422799</v>
      </c>
      <c r="J8" s="38">
        <f>'@risk Results'!K3</f>
        <v>1.14E-2</v>
      </c>
    </row>
    <row r="9" spans="1:10" x14ac:dyDescent="0.35">
      <c r="A9" s="4" t="s">
        <v>11</v>
      </c>
      <c r="B9" s="21">
        <f>20/128</f>
        <v>0.15625</v>
      </c>
      <c r="C9" s="21">
        <f>25/126</f>
        <v>0.1984126984126984</v>
      </c>
      <c r="D9" s="21">
        <f>9/126</f>
        <v>7.1428571428571425E-2</v>
      </c>
      <c r="E9" s="21">
        <f>6/125</f>
        <v>4.8000000000000001E-2</v>
      </c>
      <c r="F9" s="21">
        <f>10/131</f>
        <v>7.6335877862595422E-2</v>
      </c>
      <c r="G9" s="27" t="str">
        <f>'@risk Results'!B4</f>
        <v>Pearson5</v>
      </c>
      <c r="H9" s="27">
        <f>'@risk Results'!M4</f>
        <v>0.24629999999999999</v>
      </c>
      <c r="I9" s="28">
        <f>+AVERAGE(B9:F9)</f>
        <v>0.11008542954077302</v>
      </c>
      <c r="J9" s="38">
        <f>'@risk Results'!K4</f>
        <v>4.3499999999999997E-2</v>
      </c>
    </row>
    <row r="10" spans="1:10" x14ac:dyDescent="0.35">
      <c r="A10" s="8" t="s">
        <v>12</v>
      </c>
      <c r="B10" s="21">
        <f>16/71</f>
        <v>0.22535211267605634</v>
      </c>
      <c r="C10" s="21">
        <f>15/70</f>
        <v>0.21428571428571427</v>
      </c>
      <c r="D10" s="20">
        <f>3/72</f>
        <v>4.1666666666666664E-2</v>
      </c>
      <c r="E10" s="20">
        <f>9/73</f>
        <v>0.12328767123287671</v>
      </c>
      <c r="F10" s="20">
        <f>4/74</f>
        <v>5.4054054054054057E-2</v>
      </c>
      <c r="G10" s="27" t="str">
        <f>'@risk Results'!B5</f>
        <v>Uniform</v>
      </c>
      <c r="H10" s="27">
        <f>'@risk Results'!M5</f>
        <v>0.2676</v>
      </c>
      <c r="I10" s="28">
        <f t="shared" ref="I10:I13" si="0">+AVERAGE(B10:F10)</f>
        <v>0.1317292437830736</v>
      </c>
      <c r="J10" s="38">
        <f>'@risk Results'!K5</f>
        <v>1.41E-2</v>
      </c>
    </row>
    <row r="11" spans="1:10" x14ac:dyDescent="0.35">
      <c r="A11" s="8" t="s">
        <v>13</v>
      </c>
      <c r="B11" s="20">
        <f>9/125</f>
        <v>7.1999999999999995E-2</v>
      </c>
      <c r="C11" s="20">
        <f>32/126</f>
        <v>0.25396825396825395</v>
      </c>
      <c r="D11" s="20">
        <f>7/126</f>
        <v>5.5555555555555552E-2</v>
      </c>
      <c r="E11" s="20">
        <f>3/132</f>
        <v>2.2727272727272728E-2</v>
      </c>
      <c r="F11" s="20">
        <f>1/132</f>
        <v>7.575757575757576E-3</v>
      </c>
      <c r="G11" s="27" t="str">
        <f>'@risk Results'!B6</f>
        <v>Pearson6</v>
      </c>
      <c r="H11" s="27">
        <f>'@risk Results'!M6</f>
        <v>0.29380000000000001</v>
      </c>
      <c r="I11" s="28">
        <f t="shared" si="0"/>
        <v>8.2365367965367947E-2</v>
      </c>
      <c r="J11" s="38">
        <f>'@risk Results'!K6</f>
        <v>5.7000000000000002E-3</v>
      </c>
    </row>
    <row r="12" spans="1:10" x14ac:dyDescent="0.35">
      <c r="A12" s="8" t="s">
        <v>14</v>
      </c>
      <c r="B12" s="21">
        <f>15/128</f>
        <v>0.1171875</v>
      </c>
      <c r="C12" s="21">
        <f>17/126</f>
        <v>0.13492063492063491</v>
      </c>
      <c r="D12" s="20">
        <f>11/126</f>
        <v>8.7301587301587297E-2</v>
      </c>
      <c r="E12" s="20">
        <f>7/125</f>
        <v>5.6000000000000001E-2</v>
      </c>
      <c r="F12" s="20">
        <f>9/131</f>
        <v>6.8702290076335881E-2</v>
      </c>
      <c r="G12" s="27" t="str">
        <f>'@risk Results'!B7</f>
        <v>Weibull</v>
      </c>
      <c r="H12" s="27">
        <f>'@risk Results'!M7</f>
        <v>0.14119999999999999</v>
      </c>
      <c r="I12" s="28">
        <f t="shared" si="0"/>
        <v>9.2822402459711614E-2</v>
      </c>
      <c r="J12" s="38">
        <f>'@risk Results'!K7</f>
        <v>4.4699999999999997E-2</v>
      </c>
    </row>
    <row r="13" spans="1:10" ht="15" thickBot="1" x14ac:dyDescent="0.4">
      <c r="A13" s="8" t="s">
        <v>15</v>
      </c>
      <c r="B13" s="21">
        <f>14/71</f>
        <v>0.19718309859154928</v>
      </c>
      <c r="C13" s="21">
        <f>7/70</f>
        <v>0.1</v>
      </c>
      <c r="D13" s="20">
        <f>4/72</f>
        <v>5.5555555555555552E-2</v>
      </c>
      <c r="E13" s="20">
        <f>5/73</f>
        <v>6.8493150684931503E-2</v>
      </c>
      <c r="F13" s="20">
        <f>3/74</f>
        <v>4.0540540540540543E-2</v>
      </c>
      <c r="G13" s="27" t="str">
        <f>'@risk Results'!B8</f>
        <v>LogLogistic</v>
      </c>
      <c r="H13" s="27">
        <f>'@risk Results'!M8</f>
        <v>0.1517</v>
      </c>
      <c r="I13" s="28">
        <f t="shared" si="0"/>
        <v>9.2354469074515361E-2</v>
      </c>
      <c r="J13" s="38">
        <f>'@risk Results'!K8</f>
        <v>2.93E-2</v>
      </c>
    </row>
    <row r="14" spans="1:10" ht="15" thickBot="1" x14ac:dyDescent="0.4">
      <c r="A14" s="10" t="s">
        <v>19</v>
      </c>
      <c r="B14" s="11"/>
      <c r="C14" s="11"/>
      <c r="D14" s="11"/>
      <c r="E14" s="11"/>
      <c r="F14" s="11"/>
      <c r="G14" s="12"/>
      <c r="H14" s="12"/>
      <c r="I14" s="13"/>
      <c r="J14" s="14"/>
    </row>
    <row r="15" spans="1:10" x14ac:dyDescent="0.35">
      <c r="A15" s="9" t="s">
        <v>21</v>
      </c>
      <c r="B15" s="15">
        <v>3</v>
      </c>
      <c r="C15" s="15">
        <v>0</v>
      </c>
      <c r="D15" s="15">
        <v>0</v>
      </c>
      <c r="E15" s="15">
        <v>0</v>
      </c>
      <c r="F15" s="15">
        <v>1</v>
      </c>
      <c r="G15" s="23" t="str">
        <f>'@risk Results'!B21</f>
        <v>Geomet</v>
      </c>
      <c r="H15" s="45">
        <f>'@risk Results'!M21</f>
        <v>3</v>
      </c>
      <c r="I15" s="45">
        <f>+AVERAGE(B15:F15)</f>
        <v>0.8</v>
      </c>
      <c r="J15" s="45">
        <f>'@risk Results'!K21</f>
        <v>0</v>
      </c>
    </row>
    <row r="16" spans="1:10" ht="15" thickBot="1" x14ac:dyDescent="0.4">
      <c r="A16" s="9" t="s">
        <v>22</v>
      </c>
      <c r="B16" s="15">
        <v>1</v>
      </c>
      <c r="C16" s="15">
        <v>0</v>
      </c>
      <c r="D16" s="15">
        <v>0</v>
      </c>
      <c r="E16" s="15">
        <v>0</v>
      </c>
      <c r="F16" s="15">
        <v>0</v>
      </c>
      <c r="G16" s="23" t="str">
        <f>'@risk Results'!B22</f>
        <v>Poisson</v>
      </c>
      <c r="H16" s="45">
        <f>'@risk Results'!M22</f>
        <v>1</v>
      </c>
      <c r="I16" s="45">
        <f>+AVERAGE(B16:F16)</f>
        <v>0.2</v>
      </c>
      <c r="J16" s="45">
        <f>'@risk Results'!K22</f>
        <v>0</v>
      </c>
    </row>
    <row r="17" spans="1:10" ht="15" thickBot="1" x14ac:dyDescent="0.4">
      <c r="A17" s="10" t="s">
        <v>20</v>
      </c>
      <c r="B17" s="11"/>
      <c r="C17" s="11"/>
      <c r="D17" s="11"/>
      <c r="E17" s="11"/>
      <c r="F17" s="11"/>
      <c r="G17" s="12"/>
      <c r="H17" s="12"/>
      <c r="I17" s="13"/>
      <c r="J17" s="14"/>
    </row>
    <row r="18" spans="1:10" ht="15" thickBot="1" x14ac:dyDescent="0.4">
      <c r="A18" s="9" t="s">
        <v>16</v>
      </c>
      <c r="B18" s="24">
        <f>288/5</f>
        <v>57.6</v>
      </c>
      <c r="C18" s="24">
        <f>74/2</f>
        <v>37</v>
      </c>
      <c r="D18" s="15">
        <f>4/2</f>
        <v>2</v>
      </c>
      <c r="E18" s="51">
        <f>47.95/1</f>
        <v>47.95</v>
      </c>
      <c r="F18" s="25">
        <f>678/4</f>
        <v>169.5</v>
      </c>
      <c r="G18" s="26" t="str">
        <f>'@risk Results'!B9</f>
        <v>Expon</v>
      </c>
      <c r="H18" s="22">
        <f>'@risk Results'!M9</f>
        <v>188.16</v>
      </c>
      <c r="I18" s="22">
        <f>+AVERAGE(B18:F18)</f>
        <v>62.81</v>
      </c>
      <c r="J18" s="22">
        <f>'@risk Results'!K9</f>
        <v>3.22</v>
      </c>
    </row>
    <row r="19" spans="1:10" ht="15" thickBot="1" x14ac:dyDescent="0.4">
      <c r="A19" s="10" t="s">
        <v>4</v>
      </c>
      <c r="B19" s="11"/>
      <c r="C19" s="11"/>
      <c r="D19" s="11"/>
      <c r="E19" s="11"/>
      <c r="F19" s="11"/>
      <c r="G19" s="12"/>
      <c r="H19" s="12"/>
      <c r="I19" s="13"/>
      <c r="J19" s="14"/>
    </row>
    <row r="20" spans="1:10" x14ac:dyDescent="0.35">
      <c r="A20" s="9" t="s">
        <v>5</v>
      </c>
      <c r="B20" s="16">
        <v>23</v>
      </c>
      <c r="C20" s="16">
        <v>16</v>
      </c>
      <c r="D20" s="16">
        <v>6</v>
      </c>
      <c r="E20" s="16">
        <v>1</v>
      </c>
      <c r="F20" s="16">
        <v>0</v>
      </c>
      <c r="G20" s="22" t="str">
        <f>'@risk Results'!B23</f>
        <v>Geomet</v>
      </c>
      <c r="H20" s="22">
        <f>'@risk Results'!M23</f>
        <v>29</v>
      </c>
      <c r="I20" s="22">
        <f t="shared" ref="I20:I22" si="1">+AVERAGE(B20:F20)</f>
        <v>9.1999999999999993</v>
      </c>
      <c r="J20" s="22">
        <f>'@risk Results'!K23</f>
        <v>0</v>
      </c>
    </row>
    <row r="21" spans="1:10" x14ac:dyDescent="0.35">
      <c r="A21" s="9" t="s">
        <v>17</v>
      </c>
      <c r="B21" s="15">
        <v>0</v>
      </c>
      <c r="C21" s="15">
        <v>3</v>
      </c>
      <c r="D21" s="15">
        <v>2</v>
      </c>
      <c r="E21" s="15">
        <v>1</v>
      </c>
      <c r="F21" s="15">
        <v>4</v>
      </c>
      <c r="G21" s="22" t="str">
        <f>'@risk Results'!B24</f>
        <v>Poisson</v>
      </c>
      <c r="H21" s="23">
        <f>'@risk Results'!M24</f>
        <v>5</v>
      </c>
      <c r="I21" s="23">
        <f t="shared" si="1"/>
        <v>2</v>
      </c>
      <c r="J21" s="23">
        <f>'@risk Results'!K24</f>
        <v>0</v>
      </c>
    </row>
    <row r="22" spans="1:10" ht="25" x14ac:dyDescent="0.35">
      <c r="A22" s="9" t="s">
        <v>18</v>
      </c>
      <c r="B22" s="15">
        <v>6</v>
      </c>
      <c r="C22" s="15">
        <v>3</v>
      </c>
      <c r="D22" s="15">
        <v>0</v>
      </c>
      <c r="E22" s="15">
        <v>1</v>
      </c>
      <c r="F22" s="15">
        <v>0</v>
      </c>
      <c r="G22" s="22" t="str">
        <f>'@risk Results'!B25</f>
        <v>Geomet</v>
      </c>
      <c r="H22" s="23">
        <f>'@risk Results'!M25</f>
        <v>7</v>
      </c>
      <c r="I22" s="23">
        <f t="shared" si="1"/>
        <v>2</v>
      </c>
      <c r="J22" s="23">
        <f>'@risk Results'!K25</f>
        <v>0</v>
      </c>
    </row>
    <row r="24" spans="1:10" x14ac:dyDescent="0.35">
      <c r="A24" s="50" t="s">
        <v>65</v>
      </c>
    </row>
    <row r="26" spans="1:10" x14ac:dyDescent="0.35">
      <c r="A26" s="18"/>
    </row>
    <row r="27" spans="1:10" x14ac:dyDescent="0.35">
      <c r="A27" s="18"/>
    </row>
    <row r="28" spans="1:10" x14ac:dyDescent="0.35">
      <c r="D28" s="29"/>
      <c r="F28" s="18"/>
      <c r="G28" s="18"/>
      <c r="H28" s="18"/>
    </row>
    <row r="29" spans="1:10" x14ac:dyDescent="0.35">
      <c r="F29" s="18"/>
      <c r="G29" s="18"/>
      <c r="H29" s="18"/>
    </row>
    <row r="30" spans="1:10" x14ac:dyDescent="0.35">
      <c r="F30" s="18"/>
      <c r="G30" s="18"/>
      <c r="H30" s="18"/>
    </row>
    <row r="31" spans="1:10" x14ac:dyDescent="0.35">
      <c r="F31" s="18"/>
      <c r="G31" s="18"/>
      <c r="H31" s="18"/>
    </row>
  </sheetData>
  <mergeCells count="6">
    <mergeCell ref="A5:A6"/>
    <mergeCell ref="B5:F5"/>
    <mergeCell ref="H5:H6"/>
    <mergeCell ref="I5:I6"/>
    <mergeCell ref="J5:J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47DA-389E-4266-B006-4F848EF9F4F3}">
  <dimension ref="A1:M31"/>
  <sheetViews>
    <sheetView zoomScale="80" zoomScaleNormal="80" workbookViewId="0">
      <selection activeCell="B23" sqref="B23"/>
    </sheetView>
  </sheetViews>
  <sheetFormatPr defaultRowHeight="14.5" x14ac:dyDescent="0.35"/>
  <cols>
    <col min="1" max="1" width="44.54296875" customWidth="1"/>
    <col min="2" max="2" width="34" customWidth="1"/>
    <col min="3" max="3" width="18.81640625" customWidth="1"/>
    <col min="4" max="4" width="15.26953125" customWidth="1"/>
    <col min="5" max="5" width="25" customWidth="1"/>
    <col min="6" max="6" width="22.26953125" customWidth="1"/>
    <col min="7" max="8" width="11.453125" customWidth="1"/>
    <col min="9" max="10" width="13.54296875" customWidth="1"/>
    <col min="11" max="11" width="33.81640625" bestFit="1" customWidth="1"/>
    <col min="12" max="12" width="32.7265625" bestFit="1" customWidth="1"/>
    <col min="13" max="13" width="33.81640625" bestFit="1" customWidth="1"/>
  </cols>
  <sheetData>
    <row r="1" spans="1:13" x14ac:dyDescent="0.35">
      <c r="A1" t="s">
        <v>51</v>
      </c>
    </row>
    <row r="2" spans="1:13" x14ac:dyDescent="0.35"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</row>
    <row r="3" spans="1:13" x14ac:dyDescent="0.35">
      <c r="A3" s="30" t="s">
        <v>53</v>
      </c>
      <c r="B3" t="s">
        <v>39</v>
      </c>
      <c r="C3" s="18">
        <v>0.2324</v>
      </c>
      <c r="D3" s="18">
        <v>0.1132</v>
      </c>
      <c r="E3" s="18">
        <v>0.11409999999999999</v>
      </c>
      <c r="F3" s="18">
        <v>6.59E-2</v>
      </c>
      <c r="G3" s="18">
        <f>E3+F3</f>
        <v>0.18</v>
      </c>
      <c r="H3" s="18">
        <f>E3+2*F3</f>
        <v>0.24590000000000001</v>
      </c>
      <c r="I3" s="18">
        <f>E3-F3</f>
        <v>4.8199999999999993E-2</v>
      </c>
      <c r="J3" s="18">
        <f>E3-2*F3</f>
        <v>-1.7700000000000007E-2</v>
      </c>
      <c r="K3" s="18">
        <v>1.14E-2</v>
      </c>
      <c r="L3">
        <v>0.11409999999999999</v>
      </c>
      <c r="M3" s="18">
        <v>0.21679999999999999</v>
      </c>
    </row>
    <row r="4" spans="1:13" x14ac:dyDescent="0.35">
      <c r="A4" s="30" t="s">
        <v>54</v>
      </c>
      <c r="B4" t="s">
        <v>37</v>
      </c>
      <c r="C4" s="18">
        <v>0.24279999999999999</v>
      </c>
      <c r="D4" s="18">
        <v>0.1101</v>
      </c>
      <c r="E4" s="18">
        <v>0.11219999999999999</v>
      </c>
      <c r="F4" s="18">
        <v>7.9299999999999995E-2</v>
      </c>
      <c r="G4" s="18">
        <f>E4+F4</f>
        <v>0.1915</v>
      </c>
      <c r="H4" s="18">
        <f>E4+2*F4</f>
        <v>0.27079999999999999</v>
      </c>
      <c r="I4" s="18">
        <f>E4-F4</f>
        <v>3.2899999999999999E-2</v>
      </c>
      <c r="J4" s="18">
        <f>E4-2*F4</f>
        <v>-4.6399999999999997E-2</v>
      </c>
      <c r="K4">
        <v>4.3499999999999997E-2</v>
      </c>
      <c r="L4" s="18">
        <v>9.1700000000000004E-2</v>
      </c>
      <c r="M4" s="18">
        <v>0.24629999999999999</v>
      </c>
    </row>
    <row r="5" spans="1:13" x14ac:dyDescent="0.35">
      <c r="A5" s="30" t="s">
        <v>12</v>
      </c>
      <c r="B5" t="s">
        <v>39</v>
      </c>
      <c r="C5" s="18">
        <v>0.20810000000000001</v>
      </c>
      <c r="D5" s="18">
        <v>0.13170000000000001</v>
      </c>
      <c r="E5" s="18">
        <v>0.1409</v>
      </c>
      <c r="F5">
        <v>8.1299999999999997E-2</v>
      </c>
      <c r="G5" s="18">
        <f t="shared" ref="G5:G9" si="0">E5+F5</f>
        <v>0.22220000000000001</v>
      </c>
      <c r="H5" s="18">
        <f t="shared" ref="H5:H9" si="1">E5+2*F5</f>
        <v>0.30349999999999999</v>
      </c>
      <c r="I5" s="18">
        <f t="shared" ref="I5:I9" si="2">E5-F5</f>
        <v>5.96E-2</v>
      </c>
      <c r="J5" s="18">
        <f t="shared" ref="J5:J9" si="3">E5-2*F5</f>
        <v>-2.1699999999999997E-2</v>
      </c>
      <c r="K5">
        <v>1.41E-2</v>
      </c>
      <c r="L5" s="18">
        <v>0.1409</v>
      </c>
      <c r="M5" s="18">
        <v>0.2676</v>
      </c>
    </row>
    <row r="6" spans="1:13" x14ac:dyDescent="0.35">
      <c r="A6" s="30" t="s">
        <v>55</v>
      </c>
      <c r="B6" t="s">
        <v>56</v>
      </c>
      <c r="C6" s="18">
        <v>0.16120000000000001</v>
      </c>
      <c r="D6" s="18">
        <v>8.2400000000000001E-2</v>
      </c>
      <c r="E6" s="18">
        <v>8.9899999999999994E-2</v>
      </c>
      <c r="F6" s="18">
        <v>0.22459999999999999</v>
      </c>
      <c r="G6" s="18">
        <f t="shared" si="0"/>
        <v>0.3145</v>
      </c>
      <c r="H6" s="18">
        <f t="shared" si="1"/>
        <v>0.53910000000000002</v>
      </c>
      <c r="I6" s="18">
        <f t="shared" si="2"/>
        <v>-0.13469999999999999</v>
      </c>
      <c r="J6" s="18">
        <f t="shared" si="3"/>
        <v>-0.35930000000000001</v>
      </c>
      <c r="K6">
        <v>5.7000000000000002E-3</v>
      </c>
      <c r="L6" s="18">
        <v>4.6800000000000001E-2</v>
      </c>
      <c r="M6" s="18">
        <v>0.29380000000000001</v>
      </c>
    </row>
    <row r="7" spans="1:13" x14ac:dyDescent="0.35">
      <c r="A7" s="31" t="s">
        <v>57</v>
      </c>
      <c r="B7" t="s">
        <v>38</v>
      </c>
      <c r="C7" s="18">
        <v>0.19059999999999999</v>
      </c>
      <c r="D7" s="18">
        <v>9.2799999999999994E-2</v>
      </c>
      <c r="E7" s="18">
        <v>9.3200000000000005E-2</v>
      </c>
      <c r="F7" s="18">
        <v>2.92E-2</v>
      </c>
      <c r="G7" s="18">
        <f t="shared" si="0"/>
        <v>0.12240000000000001</v>
      </c>
      <c r="H7" s="18">
        <f t="shared" si="1"/>
        <v>0.15160000000000001</v>
      </c>
      <c r="I7" s="18">
        <f t="shared" si="2"/>
        <v>6.4000000000000001E-2</v>
      </c>
      <c r="J7" s="18">
        <f t="shared" si="3"/>
        <v>3.4800000000000005E-2</v>
      </c>
      <c r="K7">
        <v>4.4699999999999997E-2</v>
      </c>
      <c r="L7" s="18">
        <v>9.3299999999999994E-2</v>
      </c>
      <c r="M7" s="18">
        <v>0.14119999999999999</v>
      </c>
    </row>
    <row r="8" spans="1:13" x14ac:dyDescent="0.35">
      <c r="A8" s="32" t="s">
        <v>58</v>
      </c>
      <c r="B8" t="s">
        <v>36</v>
      </c>
      <c r="C8" s="18">
        <v>0.17130000000000001</v>
      </c>
      <c r="D8" s="18">
        <v>9.2399999999999996E-2</v>
      </c>
      <c r="E8" s="18">
        <v>8.9399999999999993E-2</v>
      </c>
      <c r="F8">
        <v>6.7400000000000002E-2</v>
      </c>
      <c r="G8" s="18">
        <f t="shared" si="0"/>
        <v>0.15679999999999999</v>
      </c>
      <c r="H8" s="18">
        <f t="shared" si="1"/>
        <v>0.22420000000000001</v>
      </c>
      <c r="I8" s="18">
        <f t="shared" si="2"/>
        <v>2.1999999999999992E-2</v>
      </c>
      <c r="J8" s="18">
        <f t="shared" si="3"/>
        <v>-4.540000000000001E-2</v>
      </c>
      <c r="K8" s="18">
        <v>2.93E-2</v>
      </c>
      <c r="L8" s="18">
        <v>7.51E-2</v>
      </c>
      <c r="M8" s="18">
        <v>0.1517</v>
      </c>
    </row>
    <row r="9" spans="1:13" x14ac:dyDescent="0.35">
      <c r="A9" t="s">
        <v>40</v>
      </c>
      <c r="B9" t="s">
        <v>59</v>
      </c>
      <c r="C9" s="18">
        <v>0.2452</v>
      </c>
      <c r="D9" s="29">
        <v>62.81</v>
      </c>
      <c r="E9" s="29">
        <v>62.81</v>
      </c>
      <c r="F9">
        <v>62.81</v>
      </c>
      <c r="G9" s="29">
        <f t="shared" si="0"/>
        <v>125.62</v>
      </c>
      <c r="H9" s="29">
        <f t="shared" si="1"/>
        <v>188.43</v>
      </c>
      <c r="I9" s="29">
        <f t="shared" si="2"/>
        <v>0</v>
      </c>
      <c r="J9" s="29">
        <f t="shared" si="3"/>
        <v>-62.81</v>
      </c>
      <c r="K9" s="29">
        <v>3.22</v>
      </c>
      <c r="L9" s="29">
        <v>43.54</v>
      </c>
      <c r="M9" s="29">
        <v>188.16</v>
      </c>
    </row>
    <row r="10" spans="1:13" x14ac:dyDescent="0.35">
      <c r="A10" s="33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x14ac:dyDescent="0.35">
      <c r="A11" s="33"/>
      <c r="D11" s="29"/>
      <c r="E11" s="29"/>
      <c r="F11" s="29"/>
      <c r="G11" s="34"/>
      <c r="H11" s="34"/>
      <c r="I11" s="34"/>
      <c r="J11" s="34"/>
      <c r="K11" s="29"/>
      <c r="M11" s="29"/>
    </row>
    <row r="14" spans="1:13" x14ac:dyDescent="0.35">
      <c r="A14" t="s">
        <v>41</v>
      </c>
    </row>
    <row r="15" spans="1:13" x14ac:dyDescent="0.35">
      <c r="A15" t="s">
        <v>42</v>
      </c>
    </row>
    <row r="16" spans="1:13" x14ac:dyDescent="0.35">
      <c r="A16" t="s">
        <v>43</v>
      </c>
    </row>
    <row r="19" spans="1:13" x14ac:dyDescent="0.35">
      <c r="A19" t="s">
        <v>52</v>
      </c>
    </row>
    <row r="20" spans="1:13" x14ac:dyDescent="0.35">
      <c r="B20" t="s">
        <v>24</v>
      </c>
      <c r="C20" t="s">
        <v>44</v>
      </c>
      <c r="D20" t="s">
        <v>26</v>
      </c>
      <c r="E20" t="s">
        <v>27</v>
      </c>
      <c r="F20" t="s">
        <v>28</v>
      </c>
      <c r="G20" t="s">
        <v>29</v>
      </c>
      <c r="H20" t="s">
        <v>30</v>
      </c>
      <c r="I20" t="s">
        <v>31</v>
      </c>
      <c r="J20" t="s">
        <v>32</v>
      </c>
      <c r="K20" t="s">
        <v>33</v>
      </c>
      <c r="L20" t="s">
        <v>34</v>
      </c>
      <c r="M20" t="s">
        <v>35</v>
      </c>
    </row>
    <row r="21" spans="1:13" x14ac:dyDescent="0.35">
      <c r="A21" s="35" t="s">
        <v>45</v>
      </c>
      <c r="B21" t="s">
        <v>48</v>
      </c>
      <c r="C21" s="18">
        <v>15.698600000000001</v>
      </c>
      <c r="D21" s="29">
        <v>0.8</v>
      </c>
      <c r="E21" s="29">
        <v>0.8</v>
      </c>
      <c r="F21">
        <v>1.2</v>
      </c>
      <c r="G21" s="29">
        <f t="shared" ref="G21:G25" si="4">E21+F21</f>
        <v>2</v>
      </c>
      <c r="H21" s="29">
        <f t="shared" ref="H21:H25" si="5">E21+2*F21</f>
        <v>3.2</v>
      </c>
      <c r="I21" s="29">
        <f t="shared" ref="I21:I25" si="6">E21-F21</f>
        <v>-0.39999999999999991</v>
      </c>
      <c r="J21" s="29">
        <f t="shared" ref="J21:J25" si="7">E21-2*F21</f>
        <v>-1.5999999999999999</v>
      </c>
      <c r="K21">
        <v>0</v>
      </c>
      <c r="L21">
        <v>0</v>
      </c>
      <c r="M21">
        <v>3</v>
      </c>
    </row>
    <row r="22" spans="1:13" x14ac:dyDescent="0.35">
      <c r="A22" s="35" t="s">
        <v>47</v>
      </c>
      <c r="B22" t="s">
        <v>46</v>
      </c>
      <c r="C22" s="18">
        <v>8.5521999999999991</v>
      </c>
      <c r="D22" s="29">
        <v>0.2</v>
      </c>
      <c r="E22" s="29">
        <v>0.2</v>
      </c>
      <c r="F22">
        <v>0.44719999999999999</v>
      </c>
      <c r="G22" s="29">
        <f t="shared" si="4"/>
        <v>0.6472</v>
      </c>
      <c r="H22" s="29">
        <f t="shared" si="5"/>
        <v>1.0944</v>
      </c>
      <c r="I22" s="29">
        <f t="shared" si="6"/>
        <v>-0.24719999999999998</v>
      </c>
      <c r="J22" s="29">
        <f t="shared" si="7"/>
        <v>-0.69439999999999991</v>
      </c>
      <c r="K22">
        <v>0</v>
      </c>
      <c r="L22">
        <v>0</v>
      </c>
      <c r="M22">
        <v>1</v>
      </c>
    </row>
    <row r="23" spans="1:13" x14ac:dyDescent="0.35">
      <c r="A23" s="35" t="s">
        <v>5</v>
      </c>
      <c r="B23" t="s">
        <v>48</v>
      </c>
      <c r="C23" s="18">
        <v>36.050199999999997</v>
      </c>
      <c r="D23" s="29">
        <v>9.1999999999999993</v>
      </c>
      <c r="E23" s="29">
        <v>9.1999999999999993</v>
      </c>
      <c r="F23">
        <v>9.6869999999999994</v>
      </c>
      <c r="G23" s="29">
        <f t="shared" si="4"/>
        <v>18.887</v>
      </c>
      <c r="H23" s="29">
        <f t="shared" si="5"/>
        <v>28.573999999999998</v>
      </c>
      <c r="I23" s="29">
        <f t="shared" si="6"/>
        <v>-0.4870000000000001</v>
      </c>
      <c r="J23" s="29">
        <f t="shared" si="7"/>
        <v>-10.173999999999999</v>
      </c>
      <c r="K23">
        <v>0</v>
      </c>
      <c r="L23">
        <v>6</v>
      </c>
      <c r="M23">
        <v>29</v>
      </c>
    </row>
    <row r="24" spans="1:13" x14ac:dyDescent="0.35">
      <c r="A24" s="35" t="s">
        <v>49</v>
      </c>
      <c r="B24" t="s">
        <v>46</v>
      </c>
      <c r="C24" s="18">
        <v>20.796299999999999</v>
      </c>
      <c r="D24" s="29">
        <v>2</v>
      </c>
      <c r="E24" s="29">
        <v>2</v>
      </c>
      <c r="F24" s="36">
        <v>1.4141999999999999</v>
      </c>
      <c r="G24" s="29">
        <f t="shared" si="4"/>
        <v>3.4142000000000001</v>
      </c>
      <c r="H24" s="29">
        <f t="shared" si="5"/>
        <v>4.8284000000000002</v>
      </c>
      <c r="I24" s="29">
        <f t="shared" si="6"/>
        <v>0.5858000000000001</v>
      </c>
      <c r="J24" s="29">
        <f t="shared" si="7"/>
        <v>-0.8283999999999998</v>
      </c>
      <c r="K24">
        <v>0</v>
      </c>
      <c r="L24">
        <v>2</v>
      </c>
      <c r="M24">
        <v>5</v>
      </c>
    </row>
    <row r="25" spans="1:13" ht="26" x14ac:dyDescent="0.35">
      <c r="A25" s="37" t="s">
        <v>18</v>
      </c>
      <c r="B25" t="s">
        <v>48</v>
      </c>
      <c r="C25" s="18">
        <v>22.428799999999999</v>
      </c>
      <c r="D25" s="29">
        <v>2</v>
      </c>
      <c r="E25" s="29">
        <v>2</v>
      </c>
      <c r="F25">
        <v>2.4500000000000002</v>
      </c>
      <c r="G25" s="29">
        <f t="shared" si="4"/>
        <v>4.45</v>
      </c>
      <c r="H25" s="29">
        <f t="shared" si="5"/>
        <v>6.9</v>
      </c>
      <c r="I25" s="29">
        <f t="shared" si="6"/>
        <v>-0.45000000000000018</v>
      </c>
      <c r="J25" s="29">
        <f t="shared" si="7"/>
        <v>-2.9000000000000004</v>
      </c>
      <c r="K25">
        <v>0</v>
      </c>
      <c r="L25">
        <v>1</v>
      </c>
      <c r="M25">
        <v>7</v>
      </c>
    </row>
    <row r="31" spans="1:13" x14ac:dyDescent="0.35">
      <c r="B31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Draft Decision</vt:lpstr>
      <vt:lpstr>Input</vt:lpstr>
      <vt:lpstr>@risk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Alaia Guido</dc:creator>
  <cp:lastModifiedBy>Rabi Islam</cp:lastModifiedBy>
  <dcterms:created xsi:type="dcterms:W3CDTF">2025-08-06T02:26:45Z</dcterms:created>
  <dcterms:modified xsi:type="dcterms:W3CDTF">2026-06-25T05:52:33Z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2025-08-06T03:35:21Z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fcce63a0-2b10-4145-9b3c-f93578f0995f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