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mand\AppData\Roaming\iManage\Work\Recent\AER23008246 - AusNet Services - Victorian Electricity Distribution Determination - 2026-31\"/>
    </mc:Choice>
  </mc:AlternateContent>
  <xr:revisionPtr revIDLastSave="0" documentId="8_{A264058A-3926-4B74-8DF6-92CA6F74F919}" xr6:coauthVersionLast="47" xr6:coauthVersionMax="47" xr10:uidLastSave="{00000000-0000-0000-0000-000000000000}"/>
  <bookViews>
    <workbookView xWindow="-120" yWindow="-120" windowWidth="29040" windowHeight="15720" xr2:uid="{303A3AA0-47C2-467F-9CC6-226B472106E1}"/>
  </bookViews>
  <sheets>
    <sheet name="Cover" sheetId="20" r:id="rId1"/>
    <sheet name="Output | Final Decision tables" sheetId="19" r:id="rId2"/>
    <sheet name="STPIS inputs" sheetId="21" r:id="rId3"/>
    <sheet name="Target adjustments" sheetId="23" r:id="rId4"/>
    <sheet name="Annual performance and targets" sheetId="17" r:id="rId5"/>
    <sheet name="Incentive rates calc" sheetId="14" r:id="rId6"/>
    <sheet name="Change log" sheetId="22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1" l="1"/>
  <c r="H5" i="21"/>
  <c r="G5" i="21"/>
  <c r="F5" i="21"/>
  <c r="E5" i="21"/>
  <c r="T28" i="17" l="1"/>
  <c r="T17" i="17"/>
  <c r="B2" i="19"/>
  <c r="C13" i="19" l="1"/>
  <c r="AA31" i="17" l="1"/>
  <c r="AA32" i="17"/>
  <c r="AA30" i="17"/>
  <c r="R31" i="17"/>
  <c r="R32" i="17"/>
  <c r="R30" i="17"/>
  <c r="I31" i="17"/>
  <c r="I32" i="17"/>
  <c r="I33" i="17"/>
  <c r="I30" i="17"/>
  <c r="G32" i="17"/>
  <c r="Y8" i="17"/>
  <c r="Y30" i="17" s="1"/>
  <c r="Y9" i="17"/>
  <c r="Y31" i="17" s="1"/>
  <c r="Y10" i="17"/>
  <c r="Y32" i="17" s="1"/>
  <c r="P8" i="17"/>
  <c r="P30" i="17" s="1"/>
  <c r="P9" i="17"/>
  <c r="P31" i="17" s="1"/>
  <c r="P10" i="17"/>
  <c r="P32" i="17" s="1"/>
  <c r="G8" i="17"/>
  <c r="G30" i="17" s="1"/>
  <c r="G9" i="17"/>
  <c r="G31" i="17" s="1"/>
  <c r="G10" i="17"/>
  <c r="G11" i="17"/>
  <c r="G33" i="17" s="1"/>
  <c r="I21" i="17"/>
  <c r="I20" i="17"/>
  <c r="I19" i="17"/>
  <c r="AA21" i="17"/>
  <c r="AA20" i="17"/>
  <c r="AA19" i="17"/>
  <c r="R21" i="17"/>
  <c r="R20" i="17"/>
  <c r="R19" i="17"/>
  <c r="G25" i="23" l="1"/>
  <c r="D12" i="19" l="1"/>
  <c r="C12" i="19"/>
  <c r="D5" i="21" l="1"/>
  <c r="D11" i="17"/>
  <c r="D33" i="17" s="1"/>
  <c r="E11" i="17"/>
  <c r="E33" i="17" s="1"/>
  <c r="F11" i="17"/>
  <c r="F33" i="17" s="1"/>
  <c r="C11" i="17"/>
  <c r="C33" i="17" s="1"/>
  <c r="H33" i="17" l="1"/>
  <c r="I11" i="17"/>
  <c r="H11" i="17"/>
  <c r="D25" i="19"/>
  <c r="E12" i="19"/>
  <c r="E18" i="19" s="1"/>
  <c r="F4" i="14" l="1"/>
  <c r="F5" i="14"/>
  <c r="F7" i="14"/>
  <c r="F11" i="14"/>
  <c r="E28" i="19"/>
  <c r="F8" i="21"/>
  <c r="F6" i="14" s="1"/>
  <c r="U10" i="17"/>
  <c r="U32" i="17" s="1"/>
  <c r="V10" i="17"/>
  <c r="V32" i="17" s="1"/>
  <c r="W10" i="17"/>
  <c r="W32" i="17" s="1"/>
  <c r="X10" i="17"/>
  <c r="X32" i="17" s="1"/>
  <c r="L10" i="17"/>
  <c r="M10" i="17"/>
  <c r="M32" i="17" s="1"/>
  <c r="N10" i="17"/>
  <c r="N32" i="17" s="1"/>
  <c r="O10" i="17"/>
  <c r="O32" i="17" s="1"/>
  <c r="C10" i="17"/>
  <c r="C32" i="17" s="1"/>
  <c r="D10" i="17"/>
  <c r="D32" i="17" s="1"/>
  <c r="E10" i="17"/>
  <c r="E32" i="17" s="1"/>
  <c r="F10" i="17"/>
  <c r="F32" i="17" s="1"/>
  <c r="Q10" i="17" l="1"/>
  <c r="R10" i="17"/>
  <c r="L32" i="17"/>
  <c r="AA10" i="17"/>
  <c r="Z10" i="17"/>
  <c r="H10" i="17"/>
  <c r="I10" i="17"/>
  <c r="Z32" i="17"/>
  <c r="F10" i="14"/>
  <c r="E15" i="19" s="1"/>
  <c r="C37" i="23"/>
  <c r="F10" i="21" l="1"/>
  <c r="V8" i="17" l="1"/>
  <c r="V30" i="17" s="1"/>
  <c r="W8" i="17"/>
  <c r="W30" i="17" s="1"/>
  <c r="X8" i="17"/>
  <c r="X30" i="17" s="1"/>
  <c r="V9" i="17"/>
  <c r="V31" i="17" s="1"/>
  <c r="W9" i="17"/>
  <c r="W31" i="17" s="1"/>
  <c r="X9" i="17"/>
  <c r="X31" i="17" s="1"/>
  <c r="U9" i="17"/>
  <c r="U31" i="17" s="1"/>
  <c r="U8" i="17"/>
  <c r="U30" i="17" s="1"/>
  <c r="M9" i="17"/>
  <c r="M31" i="17" s="1"/>
  <c r="N9" i="17"/>
  <c r="N31" i="17" s="1"/>
  <c r="O9" i="17"/>
  <c r="O31" i="17" s="1"/>
  <c r="L9" i="17"/>
  <c r="L31" i="17" s="1"/>
  <c r="M8" i="17"/>
  <c r="M30" i="17" s="1"/>
  <c r="N8" i="17"/>
  <c r="N30" i="17" s="1"/>
  <c r="O8" i="17"/>
  <c r="O30" i="17" s="1"/>
  <c r="L8" i="17"/>
  <c r="L30" i="17" s="1"/>
  <c r="C9" i="17"/>
  <c r="C31" i="17" s="1"/>
  <c r="D9" i="17"/>
  <c r="D31" i="17" s="1"/>
  <c r="E9" i="17"/>
  <c r="E31" i="17" s="1"/>
  <c r="F9" i="17"/>
  <c r="F31" i="17" s="1"/>
  <c r="D8" i="17"/>
  <c r="D30" i="17" s="1"/>
  <c r="E8" i="17"/>
  <c r="E30" i="17" s="1"/>
  <c r="F8" i="17"/>
  <c r="F30" i="17" s="1"/>
  <c r="C8" i="17"/>
  <c r="C30" i="17" s="1"/>
  <c r="D28" i="19"/>
  <c r="C28" i="19"/>
  <c r="D18" i="19"/>
  <c r="C18" i="19"/>
  <c r="I8" i="17" l="1"/>
  <c r="D7" i="14"/>
  <c r="C25" i="23" l="1"/>
  <c r="Z8" i="17" l="1"/>
  <c r="AA8" i="17"/>
  <c r="AA9" i="17"/>
  <c r="Z9" i="17"/>
  <c r="E25" i="23" l="1"/>
  <c r="D37" i="23" l="1"/>
  <c r="D32" i="23"/>
  <c r="C32" i="23"/>
  <c r="E7" i="21" l="1"/>
  <c r="E10" i="21" s="1"/>
  <c r="D7" i="21"/>
  <c r="D10" i="21" s="1"/>
  <c r="A59" i="23"/>
  <c r="A58" i="23"/>
  <c r="E11" i="14"/>
  <c r="D11" i="14"/>
  <c r="E4" i="14"/>
  <c r="D4" i="14"/>
  <c r="F25" i="23" l="1"/>
  <c r="E8" i="21" l="1"/>
  <c r="D8" i="21"/>
  <c r="D25" i="23"/>
  <c r="R8" i="17" l="1"/>
  <c r="Q8" i="17"/>
  <c r="H25" i="23"/>
  <c r="I9" i="17"/>
  <c r="R9" i="17"/>
  <c r="D28" i="23" l="1"/>
  <c r="D30" i="23" s="1"/>
  <c r="C39" i="23" l="1"/>
  <c r="C40" i="23" s="1"/>
  <c r="E39" i="23"/>
  <c r="E40" i="23" s="1"/>
  <c r="D39" i="23"/>
  <c r="D40" i="23" s="1"/>
  <c r="D29" i="23"/>
  <c r="D34" i="23" s="1"/>
  <c r="D35" i="23" s="1"/>
  <c r="C34" i="23" l="1"/>
  <c r="C35" i="23" s="1"/>
  <c r="E34" i="23"/>
  <c r="E35" i="23" s="1"/>
  <c r="D8" i="14" l="1"/>
  <c r="Q32" i="17" l="1"/>
  <c r="F9" i="14"/>
  <c r="E14" i="19" s="1"/>
  <c r="E10" i="14"/>
  <c r="B8" i="21"/>
  <c r="E6" i="14"/>
  <c r="D6" i="14"/>
  <c r="D5" i="14"/>
  <c r="E5" i="14"/>
  <c r="D13" i="21"/>
  <c r="H8" i="17"/>
  <c r="H9" i="17"/>
  <c r="Q9" i="17"/>
  <c r="F8" i="14" l="1"/>
  <c r="E13" i="19" s="1"/>
  <c r="D12" i="14"/>
  <c r="C29" i="19" s="1"/>
  <c r="F12" i="14"/>
  <c r="H32" i="17"/>
  <c r="E12" i="14"/>
  <c r="D29" i="19" s="1"/>
  <c r="E7" i="14"/>
  <c r="D13" i="14" l="1"/>
  <c r="C19" i="19" s="1"/>
  <c r="F14" i="14"/>
  <c r="F15" i="14" s="1"/>
  <c r="E21" i="19" s="1"/>
  <c r="E29" i="19"/>
  <c r="F13" i="14"/>
  <c r="E19" i="19" s="1"/>
  <c r="Z30" i="17"/>
  <c r="Z31" i="17"/>
  <c r="Q31" i="17"/>
  <c r="H30" i="17"/>
  <c r="D10" i="14" s="1"/>
  <c r="C15" i="19" s="1"/>
  <c r="Q30" i="17"/>
  <c r="H31" i="17"/>
  <c r="D15" i="19" s="1"/>
  <c r="E13" i="14"/>
  <c r="E20" i="19" l="1"/>
  <c r="D9" i="14"/>
  <c r="C14" i="19" s="1"/>
  <c r="E9" i="14"/>
  <c r="D14" i="19" s="1"/>
  <c r="E8" i="14"/>
  <c r="D13" i="19" s="1"/>
  <c r="D19" i="19"/>
  <c r="D14" i="14" l="1"/>
  <c r="E14" i="14"/>
  <c r="E15" i="14" s="1"/>
  <c r="D15" i="14" l="1"/>
  <c r="C21" i="19" s="1"/>
  <c r="C20" i="19"/>
  <c r="D20" i="19"/>
  <c r="D21" i="19"/>
</calcChain>
</file>

<file path=xl/sharedStrings.xml><?xml version="1.0" encoding="utf-8"?>
<sst xmlns="http://schemas.openxmlformats.org/spreadsheetml/2006/main" count="280" uniqueCount="166">
  <si>
    <t>Classification</t>
  </si>
  <si>
    <t>Urban</t>
  </si>
  <si>
    <t>R</t>
  </si>
  <si>
    <t>Average unplanned SAIFI target</t>
  </si>
  <si>
    <t>Average unplanned SAIDI target</t>
  </si>
  <si>
    <t>CPI</t>
  </si>
  <si>
    <t>SAIFI</t>
  </si>
  <si>
    <t>SAIDI</t>
  </si>
  <si>
    <t>2020/21</t>
  </si>
  <si>
    <t>2021/22</t>
  </si>
  <si>
    <t>2022/23</t>
  </si>
  <si>
    <t>Annual compliance actual</t>
  </si>
  <si>
    <t>Draft decision</t>
  </si>
  <si>
    <t>Final decision</t>
  </si>
  <si>
    <t>Feeders classifications</t>
  </si>
  <si>
    <t>STPIS Targets and incentive rates</t>
  </si>
  <si>
    <t>Incentive rates calculation</t>
  </si>
  <si>
    <t>SAIDI Incentive rates</t>
  </si>
  <si>
    <t>SAIFI Incentive rates</t>
  </si>
  <si>
    <t>Electricity Distribution Network Service Provider</t>
  </si>
  <si>
    <t>Service Target Performance Incentive Scheme</t>
  </si>
  <si>
    <t>Inputs</t>
  </si>
  <si>
    <t>ABS</t>
  </si>
  <si>
    <t>Historical STPIS performance and adjustments</t>
  </si>
  <si>
    <t>Log normal</t>
  </si>
  <si>
    <t>2026-27</t>
  </si>
  <si>
    <t>2027-28</t>
  </si>
  <si>
    <t>2028-29</t>
  </si>
  <si>
    <t>Value of customer reliablity ($/MWh)</t>
  </si>
  <si>
    <t>SAIDI (minutes)</t>
  </si>
  <si>
    <t>SAIFI  (interruptions)</t>
  </si>
  <si>
    <t>Changelog (to detail completion of inputs, and any changes to inputs)</t>
  </si>
  <si>
    <t>Cell range</t>
  </si>
  <si>
    <t>Description</t>
  </si>
  <si>
    <t>Changed format of decision tables tab</t>
  </si>
  <si>
    <t>Contents</t>
  </si>
  <si>
    <t>Output | Decision tables</t>
  </si>
  <si>
    <t>STPIS inputs</t>
  </si>
  <si>
    <t>Annual performance and targets</t>
  </si>
  <si>
    <t>Incentive rates calculations</t>
  </si>
  <si>
    <t>Incentive rate attributes</t>
  </si>
  <si>
    <t>C18 to F18; C19 to F19</t>
  </si>
  <si>
    <t>C23-F23</t>
  </si>
  <si>
    <t>Output decision tables incentive rates calculation divided value by 100. This was removed as the value is also in percentage form</t>
  </si>
  <si>
    <t>Output decision tables, fixed VCR not being escalated.</t>
  </si>
  <si>
    <t>Date</t>
  </si>
  <si>
    <t>Average annual energy consumption by network type (MWh)</t>
  </si>
  <si>
    <t>Average smoothed revenue requirement ($)</t>
  </si>
  <si>
    <t>Average</t>
  </si>
  <si>
    <t>Adjustments</t>
  </si>
  <si>
    <t>VCR</t>
  </si>
  <si>
    <t>Inflation</t>
  </si>
  <si>
    <t>Provides output including incentive rates, targets and VCR by feeders type.</t>
  </si>
  <si>
    <t>Network type weighting</t>
  </si>
  <si>
    <t>2029-30</t>
  </si>
  <si>
    <t>2023/24</t>
  </si>
  <si>
    <t>Incentive rate</t>
  </si>
  <si>
    <t>Target</t>
  </si>
  <si>
    <t>Telephone answering (calls answered in 30 seconds)</t>
  </si>
  <si>
    <r>
      <rPr>
        <i/>
        <sz val="8"/>
        <rFont val="Arial"/>
        <family val="2"/>
      </rPr>
      <t xml:space="preserve">ir - </t>
    </r>
    <r>
      <rPr>
        <sz val="8"/>
        <rFont val="Arial"/>
        <family val="2"/>
      </rPr>
      <t>SAIDI</t>
    </r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</si>
  <si>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SAIFI</t>
    </r>
  </si>
  <si>
    <r>
      <t>VCR</t>
    </r>
    <r>
      <rPr>
        <vertAlign val="subscript"/>
        <sz val="8"/>
        <color theme="1"/>
        <rFont val="Arial"/>
        <family val="2"/>
      </rPr>
      <t>n</t>
    </r>
  </si>
  <si>
    <r>
      <t>C</t>
    </r>
    <r>
      <rPr>
        <vertAlign val="subscript"/>
        <sz val="8"/>
        <color theme="1"/>
        <rFont val="Arial"/>
        <family val="2"/>
      </rPr>
      <t>n</t>
    </r>
  </si>
  <si>
    <r>
      <t>SAIFI</t>
    </r>
    <r>
      <rPr>
        <vertAlign val="subscript"/>
        <sz val="8"/>
        <color theme="1"/>
        <rFont val="Arial"/>
        <family val="2"/>
      </rPr>
      <t>n</t>
    </r>
  </si>
  <si>
    <r>
      <t>SAIDI</t>
    </r>
    <r>
      <rPr>
        <vertAlign val="subscript"/>
        <sz val="8"/>
        <color theme="1"/>
        <rFont val="Arial"/>
        <family val="2"/>
      </rPr>
      <t>n</t>
    </r>
  </si>
  <si>
    <r>
      <t>w</t>
    </r>
    <r>
      <rPr>
        <vertAlign val="subscript"/>
        <sz val="8"/>
        <color theme="1"/>
        <rFont val="Arial"/>
        <family val="2"/>
      </rPr>
      <t>n</t>
    </r>
  </si>
  <si>
    <t>Measure</t>
  </si>
  <si>
    <t>Unplanned SAIDI - urban</t>
  </si>
  <si>
    <t>Unplanned SAIDI - short rural</t>
  </si>
  <si>
    <t>Unplanned SAIDI - long rural</t>
  </si>
  <si>
    <t>Unplanned SAIFI - urban</t>
  </si>
  <si>
    <t>Unplanned SAIFI - short rural</t>
  </si>
  <si>
    <t>Unplanned SAIFI - long rural</t>
  </si>
  <si>
    <t>performance over the cap</t>
  </si>
  <si>
    <t>SAIDI Incentive rates in current regulatory period</t>
  </si>
  <si>
    <t>SAIFI Incentive rates in current regulatory period</t>
  </si>
  <si>
    <t>Source</t>
  </si>
  <si>
    <t>2024/25</t>
  </si>
  <si>
    <t>2026-31</t>
  </si>
  <si>
    <t>STPIS Incentive rates for 2026-31 period</t>
  </si>
  <si>
    <t>Inputs average smoothed revenues, average annual energy consumptions, CPI and network feeders type.</t>
  </si>
  <si>
    <t>Calculates incentive rates by STPIS parameters and network feeder types.</t>
  </si>
  <si>
    <t>Legend</t>
  </si>
  <si>
    <t>Calculated figure</t>
  </si>
  <si>
    <t>Data Input</t>
  </si>
  <si>
    <t>2030-31</t>
  </si>
  <si>
    <t>SAIDI - Adj required to 2026-31 RCP reliability targets due to R@R</t>
  </si>
  <si>
    <t>SAIFI - Adj required to 2026-31 RCP reliability targets due to R@R</t>
  </si>
  <si>
    <t>DNSP</t>
  </si>
  <si>
    <t>Unplanned MAIFI - urban</t>
  </si>
  <si>
    <t>Unplanned MAIFI - short rural</t>
  </si>
  <si>
    <t>Unplanned MAIFI - long rural</t>
  </si>
  <si>
    <t>SAIDI adjustment</t>
  </si>
  <si>
    <t>SAIFI adjustment</t>
  </si>
  <si>
    <t>Backcasted data (Actual)</t>
  </si>
  <si>
    <t>Network type</t>
  </si>
  <si>
    <t>sum of the raw s-factors for the reliability of supply parameters</t>
  </si>
  <si>
    <t>reliability cap</t>
  </si>
  <si>
    <t>ADDITIONAL NOTES</t>
  </si>
  <si>
    <t>s-factor - annual compliance</t>
  </si>
  <si>
    <t>Adj required to 2026-31 RCP reliability targets due to R@R cap for 2021-26 SAIDI</t>
  </si>
  <si>
    <t>Adj required to 2026-31 RCP reliability targets due to R@R cap for 2021-26 SAIFI</t>
  </si>
  <si>
    <t>2021-26 AER Final decision</t>
  </si>
  <si>
    <t>%above cap excluding telephone answering</t>
  </si>
  <si>
    <t xml:space="preserve">STPIS </t>
  </si>
  <si>
    <t>STPIS Explanatory Statement (pg. 3)</t>
  </si>
  <si>
    <t>SAIDI proportion for incentive rate (60%)</t>
  </si>
  <si>
    <t>SAIFI proportion for incentive rate (40%)</t>
  </si>
  <si>
    <t>MAIFI</t>
  </si>
  <si>
    <t>Average unplanned MAIFI target</t>
  </si>
  <si>
    <t>Value of Customer Reliability (VCR) for VIC ($/MWh)</t>
  </si>
  <si>
    <t>Linked Input</t>
  </si>
  <si>
    <t>Beta Method (Major Event Day Threshold calculation)</t>
  </si>
  <si>
    <t>Revenue at Risk (STPIS) ±</t>
  </si>
  <si>
    <t>MAIFI Incentive rates (8% of the incentive rate for SAIFI)</t>
  </si>
  <si>
    <t>Service Target Performance Incentive Scheme v2 (13 December 2018)</t>
  </si>
  <si>
    <t>Short rural</t>
  </si>
  <si>
    <t>Long rural</t>
  </si>
  <si>
    <t>Long Rural</t>
  </si>
  <si>
    <t>AusNet Services</t>
  </si>
  <si>
    <t>Customer service component</t>
  </si>
  <si>
    <t>Telephone answering</t>
  </si>
  <si>
    <t>Telephone Answering</t>
  </si>
  <si>
    <t>▪ Information Orders (RIN) - Annual - 6.6</t>
  </si>
  <si>
    <t>2021H1</t>
  </si>
  <si>
    <t>Revenue Smoothing ($ Real 2025-26)</t>
  </si>
  <si>
    <t>STPIS reliability targets for 2026-31 period</t>
  </si>
  <si>
    <t>AER Final Decision STPIS for 2026-31</t>
  </si>
  <si>
    <t>AusNet Services proposal</t>
  </si>
  <si>
    <t>Revenue at Risk - Appendix F (right)</t>
  </si>
  <si>
    <t>Expected reliability improvements associated with expenditure programs</t>
  </si>
  <si>
    <t>Network type | Measure</t>
  </si>
  <si>
    <t>Urban | SAIDI</t>
  </si>
  <si>
    <t>Urban | SAIFI</t>
  </si>
  <si>
    <t>Urban | MAIFI</t>
  </si>
  <si>
    <t>Short Rural | SAIDI</t>
  </si>
  <si>
    <t>Short Rural | SAIFI</t>
  </si>
  <si>
    <t>Short Rural | MAIFI</t>
  </si>
  <si>
    <t>Long Rural | SAIDI</t>
  </si>
  <si>
    <t>Long Rural | SAIFI</t>
  </si>
  <si>
    <t>Long Rural | MAIFI</t>
  </si>
  <si>
    <t>Benefits 
(5yr Average)</t>
  </si>
  <si>
    <t>The programs are: 10 WSF &amp; BN11 (reliability) and Covered conductor &amp; ACR (resilience)</t>
  </si>
  <si>
    <t xml:space="preserve">Adjustments </t>
  </si>
  <si>
    <t>Performance Target Adjustments (clause 3.2.1 of the STPIS)</t>
  </si>
  <si>
    <t>Decision (with Adjustments)</t>
  </si>
  <si>
    <t>AER, Table 20 NEM-wide and regional VCR</t>
  </si>
  <si>
    <t>AER analysis</t>
  </si>
  <si>
    <t>AusNet revised proposal (adjusted for the AER's partial acceptance of reliability and resilience programs).</t>
  </si>
  <si>
    <t>5 Year Average MWh</t>
  </si>
  <si>
    <t>Forecast Energy Consumption by Network Type (MWh) - incentive rates attribute</t>
  </si>
  <si>
    <t xml:space="preserve"> </t>
  </si>
  <si>
    <t>AER PTRM Outputs</t>
  </si>
  <si>
    <t>AER, Value of customer reliability review, final report, December 2024. September 2024 CPI used.</t>
  </si>
  <si>
    <t>Reasons for our partial acceptance of the reliability and resilience programs are outlined in Attachment 2 - Capital Expenditure</t>
  </si>
  <si>
    <t>(5 years - 2020/21 to 2024/25)</t>
  </si>
  <si>
    <t>Did not exceed revenue at risk</t>
  </si>
  <si>
    <t>Target adjustments</t>
  </si>
  <si>
    <t>Calculates performance target adjustments</t>
  </si>
  <si>
    <t>Calculates performance targets for each network feeder type for the upcoming regulatory control period (based on historical performance and if applicable, any performance target adjustments)</t>
  </si>
  <si>
    <t>AER, Value of customer reliability review, final report, December 2024</t>
  </si>
  <si>
    <t>MAIFI / MAIFIe (interruptions)</t>
  </si>
  <si>
    <t>MAIFI / MAIFIe</t>
  </si>
  <si>
    <r>
      <rPr>
        <i/>
        <sz val="8"/>
        <rFont val="Arial"/>
        <family val="2"/>
      </rPr>
      <t>ir -</t>
    </r>
    <r>
      <rPr>
        <sz val="8"/>
        <rFont val="Arial"/>
        <family val="2"/>
      </rPr>
      <t xml:space="preserve"> MAIFI / MAIFIe</t>
    </r>
  </si>
  <si>
    <t xml:space="preserve">VCR values has been escalated to the December 2024 quarter. </t>
  </si>
  <si>
    <t>VCR ($/MWh)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</si>
</sst>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"/>
    <numFmt numFmtId="168" formatCode="_-* #,##0.000_-;\-* #,##0.000_-;_-* &quot;-&quot;??_-;_-@_-"/>
    <numFmt numFmtId="169" formatCode="0.0000"/>
    <numFmt numFmtId="170" formatCode="_-* #,##0.00000000000000_-;\-* #,##0.00000000000000_-;_-* &quot;-&quot;??_-;_-@_-"/>
    <numFmt numFmtId="171" formatCode="_-* #,##0.000000000000000_-;\-* #,##0.000000000000000_-;_-* &quot;-&quot;??_-;_-@_-"/>
    <numFmt numFmtId="172" formatCode="_-* #,##0_-;\-* #,##0_-;_-* &quot;-&quot;??_-;_-@_-"/>
    <numFmt numFmtId="173" formatCode="_-* #,##0.0_-;\-* #,##0.0_-;_-* &quot;-&quot;??_-;_-@_-"/>
    <numFmt numFmtId="174" formatCode="_(* #,##0.0_);_(* \(#,##0.0\);_(* &quot;-&quot;??_);_(@_)"/>
    <numFmt numFmtId="175" formatCode="_(&quot;$&quot;* #,##0_);_(&quot;$&quot;* \(#,##0\);_(&quot;$&quot;* &quot;-&quot;??_);_(@_)"/>
    <numFmt numFmtId="176" formatCode="#,##0.0000"/>
    <numFmt numFmtId="177" formatCode="0.00;\-0.00;\-;@"/>
    <numFmt numFmtId="178" formatCode="0.0000%"/>
    <numFmt numFmtId="179" formatCode="0.00000%"/>
    <numFmt numFmtId="180" formatCode="0.0000000;\-0.0000000;\-;@"/>
    <numFmt numFmtId="181" formatCode="0.0000000"/>
    <numFmt numFmtId="182" formatCode="_(* #,##0_);_(* \(#,##0\);_(* &quot;-&quot;??_);_(@_)"/>
    <numFmt numFmtId="183" formatCode="0.0%"/>
    <numFmt numFmtId="184" formatCode="0.0000;\-0.0000;\-;@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6"/>
      <color rgb="FFFFFFFF"/>
      <name val="Arial"/>
      <family val="2"/>
    </font>
    <font>
      <u/>
      <sz val="10"/>
      <color indexed="12"/>
      <name val="Arial"/>
      <family val="2"/>
    </font>
    <font>
      <b/>
      <sz val="8"/>
      <color theme="1"/>
      <name val="Arial"/>
      <family val="2"/>
    </font>
    <font>
      <sz val="36"/>
      <name val="Arial"/>
      <family val="2"/>
    </font>
    <font>
      <sz val="26"/>
      <name val="Arial"/>
      <family val="2"/>
    </font>
    <font>
      <b/>
      <sz val="4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TimesNewRoman"/>
    </font>
    <font>
      <b/>
      <sz val="3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rgb="FF0070C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i/>
      <sz val="8"/>
      <name val="Arial"/>
      <family val="2"/>
    </font>
    <font>
      <vertAlign val="subscript"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name val="Helvetica"/>
      <family val="2"/>
    </font>
    <font>
      <sz val="10"/>
      <color theme="4"/>
      <name val="Helvetica"/>
      <family val="2"/>
    </font>
    <font>
      <sz val="10"/>
      <color theme="4"/>
      <name val="Calibri"/>
      <family val="2"/>
      <scheme val="minor"/>
    </font>
    <font>
      <sz val="8"/>
      <color theme="4"/>
      <name val="Arial"/>
      <family val="2"/>
    </font>
    <font>
      <sz val="8"/>
      <name val="Calibri"/>
      <family val="2"/>
      <scheme val="minor"/>
    </font>
    <font>
      <i/>
      <sz val="8"/>
      <color rgb="FF002060"/>
      <name val="Arial"/>
      <family val="2"/>
    </font>
    <font>
      <sz val="7"/>
      <name val="Arial"/>
      <family val="2"/>
    </font>
    <font>
      <b/>
      <sz val="10"/>
      <color theme="1"/>
      <name val="Arial"/>
      <family val="2"/>
    </font>
    <font>
      <i/>
      <sz val="8"/>
      <color theme="1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3" borderId="2">
      <alignment vertical="center"/>
    </xf>
    <xf numFmtId="0" fontId="4" fillId="4" borderId="0">
      <alignment horizontal="left" vertical="center"/>
      <protection locked="0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11" borderId="0" applyNumberFormat="0" applyBorder="0" applyAlignment="0" applyProtection="0"/>
    <xf numFmtId="0" fontId="34" fillId="0" borderId="0" applyFill="0" applyBorder="0">
      <alignment horizontal="left" vertical="center"/>
    </xf>
    <xf numFmtId="0" fontId="35" fillId="14" borderId="6">
      <alignment horizontal="left" vertical="center"/>
      <protection locked="0"/>
    </xf>
    <xf numFmtId="0" fontId="36" fillId="14" borderId="6">
      <alignment horizontal="left" vertical="center"/>
      <protection locked="0"/>
    </xf>
  </cellStyleXfs>
  <cellXfs count="235">
    <xf numFmtId="0" fontId="0" fillId="0" borderId="0" xfId="0"/>
    <xf numFmtId="0" fontId="0" fillId="7" borderId="3" xfId="0" applyFill="1" applyBorder="1"/>
    <xf numFmtId="0" fontId="0" fillId="7" borderId="0" xfId="0" applyFill="1"/>
    <xf numFmtId="0" fontId="0" fillId="7" borderId="4" xfId="0" applyFill="1" applyBorder="1"/>
    <xf numFmtId="0" fontId="0" fillId="8" borderId="5" xfId="0" applyFill="1" applyBorder="1"/>
    <xf numFmtId="0" fontId="14" fillId="7" borderId="0" xfId="0" applyFont="1" applyFill="1"/>
    <xf numFmtId="0" fontId="10" fillId="7" borderId="0" xfId="0" applyFont="1" applyFill="1"/>
    <xf numFmtId="0" fontId="6" fillId="7" borderId="5" xfId="9" applyFont="1" applyFill="1" applyBorder="1"/>
    <xf numFmtId="0" fontId="18" fillId="7" borderId="5" xfId="9" applyFont="1" applyFill="1" applyBorder="1" applyAlignment="1">
      <alignment vertical="center"/>
    </xf>
    <xf numFmtId="172" fontId="16" fillId="0" borderId="0" xfId="9" applyNumberFormat="1" applyFont="1"/>
    <xf numFmtId="172" fontId="11" fillId="0" borderId="0" xfId="12" applyNumberFormat="1" applyFont="1" applyAlignment="1" applyProtection="1"/>
    <xf numFmtId="172" fontId="17" fillId="0" borderId="0" xfId="9" applyNumberFormat="1" applyFont="1"/>
    <xf numFmtId="173" fontId="17" fillId="0" borderId="0" xfId="9" applyNumberFormat="1" applyFont="1"/>
    <xf numFmtId="0" fontId="17" fillId="0" borderId="0" xfId="9" applyFont="1"/>
    <xf numFmtId="0" fontId="17" fillId="0" borderId="0" xfId="9" applyFont="1" applyAlignment="1">
      <alignment wrapText="1"/>
    </xf>
    <xf numFmtId="172" fontId="19" fillId="0" borderId="4" xfId="12" applyNumberFormat="1" applyFont="1" applyBorder="1" applyAlignment="1" applyProtection="1"/>
    <xf numFmtId="172" fontId="20" fillId="0" borderId="4" xfId="9" applyNumberFormat="1" applyFont="1" applyBorder="1"/>
    <xf numFmtId="172" fontId="17" fillId="0" borderId="4" xfId="9" applyNumberFormat="1" applyFont="1" applyBorder="1"/>
    <xf numFmtId="173" fontId="17" fillId="0" borderId="4" xfId="9" applyNumberFormat="1" applyFont="1" applyBorder="1"/>
    <xf numFmtId="0" fontId="17" fillId="0" borderId="4" xfId="9" applyFont="1" applyBorder="1"/>
    <xf numFmtId="172" fontId="16" fillId="0" borderId="0" xfId="9" quotePrefix="1" applyNumberFormat="1" applyFont="1"/>
    <xf numFmtId="0" fontId="2" fillId="7" borderId="5" xfId="9" applyFill="1" applyBorder="1" applyAlignment="1">
      <alignment horizontal="center" vertical="center"/>
    </xf>
    <xf numFmtId="0" fontId="18" fillId="7" borderId="5" xfId="9" applyFont="1" applyFill="1" applyBorder="1" applyAlignment="1">
      <alignment horizontal="center" vertical="center"/>
    </xf>
    <xf numFmtId="0" fontId="2" fillId="7" borderId="5" xfId="9" applyFill="1" applyBorder="1" applyAlignment="1">
      <alignment horizontal="center" vertical="center" wrapText="1"/>
    </xf>
    <xf numFmtId="165" fontId="18" fillId="7" borderId="5" xfId="9" applyNumberFormat="1" applyFont="1" applyFill="1" applyBorder="1" applyAlignment="1">
      <alignment horizontal="center" vertical="center" wrapText="1"/>
    </xf>
    <xf numFmtId="0" fontId="21" fillId="7" borderId="5" xfId="9" applyFont="1" applyFill="1" applyBorder="1" applyAlignment="1">
      <alignment horizontal="left" vertical="center" indent="1"/>
    </xf>
    <xf numFmtId="14" fontId="11" fillId="0" borderId="0" xfId="12" applyNumberFormat="1" applyFont="1" applyAlignment="1" applyProtection="1"/>
    <xf numFmtId="0" fontId="2" fillId="7" borderId="5" xfId="9" applyFill="1" applyBorder="1"/>
    <xf numFmtId="0" fontId="2" fillId="6" borderId="0" xfId="9" applyFill="1" applyAlignment="1">
      <alignment wrapText="1"/>
    </xf>
    <xf numFmtId="0" fontId="2" fillId="6" borderId="0" xfId="9" applyFill="1"/>
    <xf numFmtId="0" fontId="2" fillId="0" borderId="0" xfId="9"/>
    <xf numFmtId="0" fontId="24" fillId="0" borderId="0" xfId="0" applyFont="1"/>
    <xf numFmtId="0" fontId="6" fillId="7" borderId="0" xfId="9" applyFont="1" applyFill="1" applyAlignment="1">
      <alignment vertical="center"/>
    </xf>
    <xf numFmtId="0" fontId="25" fillId="0" borderId="0" xfId="0" applyFont="1" applyAlignment="1">
      <alignment vertical="center"/>
    </xf>
    <xf numFmtId="0" fontId="25" fillId="0" borderId="1" xfId="0" applyFont="1" applyBorder="1" applyAlignment="1">
      <alignment vertical="center"/>
    </xf>
    <xf numFmtId="0" fontId="6" fillId="10" borderId="0" xfId="0" applyFont="1" applyFill="1" applyAlignment="1">
      <alignment vertical="center"/>
    </xf>
    <xf numFmtId="0" fontId="26" fillId="10" borderId="0" xfId="0" applyFont="1" applyFill="1" applyAlignment="1">
      <alignment vertical="center"/>
    </xf>
    <xf numFmtId="0" fontId="25" fillId="10" borderId="0" xfId="0" applyFont="1" applyFill="1" applyAlignment="1">
      <alignment vertical="center"/>
    </xf>
    <xf numFmtId="172" fontId="25" fillId="10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66" fontId="25" fillId="0" borderId="0" xfId="1" applyFont="1" applyAlignment="1">
      <alignment vertical="center"/>
    </xf>
    <xf numFmtId="17" fontId="25" fillId="10" borderId="1" xfId="0" applyNumberFormat="1" applyFont="1" applyFill="1" applyBorder="1" applyAlignment="1">
      <alignment horizontal="left" vertical="center"/>
    </xf>
    <xf numFmtId="0" fontId="27" fillId="10" borderId="0" xfId="0" applyFont="1" applyFill="1" applyAlignment="1">
      <alignment horizontal="left" vertical="center"/>
    </xf>
    <xf numFmtId="0" fontId="25" fillId="0" borderId="0" xfId="0" applyFont="1"/>
    <xf numFmtId="0" fontId="6" fillId="7" borderId="0" xfId="9" applyFont="1" applyFill="1" applyAlignment="1">
      <alignment horizontal="center" vertical="center"/>
    </xf>
    <xf numFmtId="0" fontId="6" fillId="7" borderId="5" xfId="9" applyFont="1" applyFill="1" applyBorder="1" applyAlignment="1">
      <alignment vertical="center"/>
    </xf>
    <xf numFmtId="0" fontId="6" fillId="9" borderId="1" xfId="0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166" fontId="28" fillId="0" borderId="0" xfId="1" applyFont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6" fontId="6" fillId="2" borderId="1" xfId="1" applyFont="1" applyFill="1" applyBorder="1" applyAlignment="1">
      <alignment horizontal="left" vertical="center"/>
    </xf>
    <xf numFmtId="0" fontId="6" fillId="5" borderId="1" xfId="0" applyFont="1" applyFill="1" applyBorder="1"/>
    <xf numFmtId="167" fontId="6" fillId="5" borderId="1" xfId="0" applyNumberFormat="1" applyFont="1" applyFill="1" applyBorder="1"/>
    <xf numFmtId="0" fontId="29" fillId="0" borderId="0" xfId="0" applyFont="1"/>
    <xf numFmtId="0" fontId="25" fillId="0" borderId="1" xfId="0" applyFont="1" applyBorder="1" applyAlignment="1">
      <alignment horizontal="left" vertical="center" indent="1"/>
    </xf>
    <xf numFmtId="0" fontId="2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indent="2"/>
    </xf>
    <xf numFmtId="0" fontId="11" fillId="0" borderId="1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169" fontId="25" fillId="10" borderId="0" xfId="0" applyNumberFormat="1" applyFont="1" applyFill="1" applyAlignment="1">
      <alignment horizontal="center" vertical="center"/>
    </xf>
    <xf numFmtId="0" fontId="25" fillId="0" borderId="1" xfId="0" applyFont="1" applyBorder="1" applyAlignment="1">
      <alignment horizontal="left" vertical="center" indent="2"/>
    </xf>
    <xf numFmtId="0" fontId="6" fillId="7" borderId="0" xfId="9" applyFont="1" applyFill="1" applyAlignment="1">
      <alignment horizontal="center"/>
    </xf>
    <xf numFmtId="0" fontId="6" fillId="7" borderId="0" xfId="9" applyFont="1" applyFill="1"/>
    <xf numFmtId="0" fontId="32" fillId="10" borderId="0" xfId="9" applyFont="1" applyFill="1" applyAlignment="1">
      <alignment vertical="center"/>
    </xf>
    <xf numFmtId="169" fontId="25" fillId="0" borderId="0" xfId="0" applyNumberFormat="1" applyFont="1"/>
    <xf numFmtId="167" fontId="25" fillId="0" borderId="0" xfId="0" applyNumberFormat="1" applyFont="1"/>
    <xf numFmtId="0" fontId="32" fillId="13" borderId="0" xfId="0" applyFont="1" applyFill="1" applyProtection="1">
      <protection locked="0"/>
    </xf>
    <xf numFmtId="177" fontId="37" fillId="14" borderId="7" xfId="20" applyNumberFormat="1" applyFont="1" applyBorder="1" applyAlignment="1">
      <alignment horizontal="center" vertical="center"/>
      <protection locked="0"/>
    </xf>
    <xf numFmtId="10" fontId="37" fillId="14" borderId="7" xfId="11" applyNumberFormat="1" applyFont="1" applyFill="1" applyBorder="1" applyAlignment="1" applyProtection="1">
      <alignment horizontal="center" vertical="center"/>
      <protection locked="0"/>
    </xf>
    <xf numFmtId="169" fontId="37" fillId="14" borderId="7" xfId="20" applyNumberFormat="1" applyFont="1" applyBorder="1" applyAlignment="1">
      <alignment horizontal="center" vertical="center"/>
      <protection locked="0"/>
    </xf>
    <xf numFmtId="167" fontId="37" fillId="14" borderId="7" xfId="20" applyNumberFormat="1" applyFont="1" applyBorder="1" applyAlignment="1">
      <alignment horizontal="center" vertical="center"/>
      <protection locked="0"/>
    </xf>
    <xf numFmtId="178" fontId="37" fillId="14" borderId="7" xfId="11" applyNumberFormat="1" applyFont="1" applyFill="1" applyBorder="1" applyAlignment="1" applyProtection="1">
      <alignment horizontal="center" vertical="center"/>
      <protection locked="0"/>
    </xf>
    <xf numFmtId="167" fontId="25" fillId="5" borderId="1" xfId="0" applyNumberFormat="1" applyFont="1" applyFill="1" applyBorder="1"/>
    <xf numFmtId="0" fontId="37" fillId="14" borderId="6" xfId="21" applyFont="1">
      <alignment horizontal="left" vertical="center"/>
      <protection locked="0"/>
    </xf>
    <xf numFmtId="0" fontId="37" fillId="14" borderId="7" xfId="11" applyNumberFormat="1" applyFont="1" applyFill="1" applyBorder="1" applyAlignment="1" applyProtection="1">
      <alignment horizontal="center" vertical="center"/>
      <protection locked="0"/>
    </xf>
    <xf numFmtId="169" fontId="25" fillId="15" borderId="1" xfId="0" applyNumberFormat="1" applyFont="1" applyFill="1" applyBorder="1" applyAlignment="1">
      <alignment horizontal="center" vertical="center"/>
    </xf>
    <xf numFmtId="3" fontId="25" fillId="15" borderId="1" xfId="2" applyNumberFormat="1" applyFont="1" applyFill="1" applyBorder="1" applyAlignment="1">
      <alignment horizontal="center" vertical="center"/>
    </xf>
    <xf numFmtId="2" fontId="25" fillId="14" borderId="1" xfId="1" applyNumberFormat="1" applyFont="1" applyFill="1" applyBorder="1" applyAlignment="1">
      <alignment horizontal="center" vertical="center"/>
    </xf>
    <xf numFmtId="10" fontId="25" fillId="14" borderId="1" xfId="0" applyNumberFormat="1" applyFont="1" applyFill="1" applyBorder="1" applyAlignment="1">
      <alignment horizontal="center" vertical="center"/>
    </xf>
    <xf numFmtId="0" fontId="25" fillId="14" borderId="1" xfId="0" applyFont="1" applyFill="1" applyBorder="1" applyAlignment="1">
      <alignment horizontal="center" vertical="center"/>
    </xf>
    <xf numFmtId="181" fontId="25" fillId="15" borderId="1" xfId="11" applyNumberFormat="1" applyFont="1" applyFill="1" applyBorder="1" applyAlignment="1">
      <alignment horizontal="center" vertical="center"/>
    </xf>
    <xf numFmtId="37" fontId="25" fillId="14" borderId="1" xfId="0" applyNumberFormat="1" applyFont="1" applyFill="1" applyBorder="1" applyAlignment="1">
      <alignment horizontal="center" vertical="center"/>
    </xf>
    <xf numFmtId="167" fontId="6" fillId="15" borderId="1" xfId="0" applyNumberFormat="1" applyFont="1" applyFill="1" applyBorder="1"/>
    <xf numFmtId="178" fontId="37" fillId="15" borderId="7" xfId="11" applyNumberFormat="1" applyFont="1" applyFill="1" applyBorder="1" applyAlignment="1" applyProtection="1">
      <alignment horizontal="center" vertical="center"/>
      <protection locked="0"/>
    </xf>
    <xf numFmtId="179" fontId="37" fillId="15" borderId="7" xfId="11" applyNumberFormat="1" applyFont="1" applyFill="1" applyBorder="1" applyAlignment="1" applyProtection="1">
      <alignment horizontal="center" vertical="center"/>
      <protection locked="0"/>
    </xf>
    <xf numFmtId="10" fontId="37" fillId="15" borderId="7" xfId="11" applyNumberFormat="1" applyFont="1" applyFill="1" applyBorder="1" applyAlignment="1" applyProtection="1">
      <alignment horizontal="center" vertical="center"/>
      <protection locked="0"/>
    </xf>
    <xf numFmtId="180" fontId="37" fillId="15" borderId="7" xfId="20" applyNumberFormat="1" applyFont="1" applyFill="1" applyBorder="1" applyAlignment="1">
      <alignment horizontal="center" vertical="center"/>
      <protection locked="0"/>
    </xf>
    <xf numFmtId="0" fontId="25" fillId="10" borderId="0" xfId="0" applyFont="1" applyFill="1"/>
    <xf numFmtId="0" fontId="29" fillId="10" borderId="0" xfId="0" applyFont="1" applyFill="1"/>
    <xf numFmtId="178" fontId="37" fillId="10" borderId="0" xfId="11" applyNumberFormat="1" applyFont="1" applyFill="1" applyBorder="1" applyAlignment="1" applyProtection="1">
      <alignment horizontal="center" vertical="center"/>
      <protection locked="0"/>
    </xf>
    <xf numFmtId="164" fontId="25" fillId="14" borderId="1" xfId="0" applyNumberFormat="1" applyFont="1" applyFill="1" applyBorder="1" applyAlignment="1">
      <alignment horizontal="center" vertical="center"/>
    </xf>
    <xf numFmtId="178" fontId="11" fillId="9" borderId="7" xfId="11" applyNumberFormat="1" applyFont="1" applyFill="1" applyBorder="1" applyAlignment="1" applyProtection="1">
      <alignment horizontal="center" vertical="center" wrapText="1"/>
      <protection locked="0"/>
    </xf>
    <xf numFmtId="0" fontId="11" fillId="10" borderId="0" xfId="0" applyFont="1" applyFill="1"/>
    <xf numFmtId="177" fontId="37" fillId="10" borderId="0" xfId="20" applyNumberFormat="1" applyFont="1" applyFill="1" applyBorder="1" applyAlignment="1">
      <alignment horizontal="center" vertical="center"/>
      <protection locked="0"/>
    </xf>
    <xf numFmtId="10" fontId="37" fillId="10" borderId="0" xfId="11" applyNumberFormat="1" applyFont="1" applyFill="1" applyBorder="1" applyAlignment="1" applyProtection="1">
      <alignment horizontal="center" vertical="center"/>
      <protection locked="0"/>
    </xf>
    <xf numFmtId="179" fontId="37" fillId="10" borderId="0" xfId="11" applyNumberFormat="1" applyFont="1" applyFill="1" applyBorder="1" applyAlignment="1" applyProtection="1">
      <alignment horizontal="center" vertical="center"/>
      <protection locked="0"/>
    </xf>
    <xf numFmtId="180" fontId="37" fillId="10" borderId="0" xfId="20" applyNumberFormat="1" applyFont="1" applyFill="1" applyBorder="1" applyAlignment="1">
      <alignment horizontal="center" vertical="center"/>
      <protection locked="0"/>
    </xf>
    <xf numFmtId="0" fontId="6" fillId="16" borderId="0" xfId="9" applyFont="1" applyFill="1" applyAlignment="1">
      <alignment horizontal="center" vertical="center"/>
    </xf>
    <xf numFmtId="0" fontId="25" fillId="16" borderId="0" xfId="0" applyFont="1" applyFill="1"/>
    <xf numFmtId="169" fontId="25" fillId="17" borderId="1" xfId="0" applyNumberFormat="1" applyFont="1" applyFill="1" applyBorder="1" applyAlignment="1">
      <alignment horizontal="center" vertical="center"/>
    </xf>
    <xf numFmtId="169" fontId="25" fillId="10" borderId="0" xfId="0" applyNumberFormat="1" applyFont="1" applyFill="1" applyAlignment="1">
      <alignment vertical="center"/>
    </xf>
    <xf numFmtId="0" fontId="25" fillId="10" borderId="0" xfId="0" applyFont="1" applyFill="1" applyAlignment="1">
      <alignment horizontal="center"/>
    </xf>
    <xf numFmtId="0" fontId="25" fillId="10" borderId="9" xfId="0" applyFont="1" applyFill="1" applyBorder="1"/>
    <xf numFmtId="0" fontId="25" fillId="10" borderId="10" xfId="0" applyFont="1" applyFill="1" applyBorder="1"/>
    <xf numFmtId="0" fontId="25" fillId="10" borderId="11" xfId="0" applyFont="1" applyFill="1" applyBorder="1" applyAlignment="1">
      <alignment horizontal="left" vertical="center" indent="1"/>
    </xf>
    <xf numFmtId="0" fontId="25" fillId="10" borderId="12" xfId="0" applyFont="1" applyFill="1" applyBorder="1" applyAlignment="1">
      <alignment horizontal="left" vertical="center" indent="1"/>
    </xf>
    <xf numFmtId="3" fontId="37" fillId="14" borderId="7" xfId="20" applyNumberFormat="1" applyFont="1" applyBorder="1" applyAlignment="1">
      <alignment horizontal="center" vertical="center"/>
      <protection locked="0"/>
    </xf>
    <xf numFmtId="0" fontId="25" fillId="17" borderId="0" xfId="0" applyFont="1" applyFill="1" applyAlignment="1">
      <alignment vertical="center"/>
    </xf>
    <xf numFmtId="0" fontId="25" fillId="15" borderId="9" xfId="0" applyFont="1" applyFill="1" applyBorder="1" applyAlignment="1">
      <alignment vertical="center"/>
    </xf>
    <xf numFmtId="0" fontId="25" fillId="10" borderId="11" xfId="0" applyFont="1" applyFill="1" applyBorder="1" applyAlignment="1">
      <alignment vertical="center"/>
    </xf>
    <xf numFmtId="0" fontId="6" fillId="10" borderId="0" xfId="0" applyFont="1" applyFill="1" applyAlignment="1">
      <alignment horizontal="left" vertical="center" indent="1"/>
    </xf>
    <xf numFmtId="0" fontId="25" fillId="10" borderId="11" xfId="0" applyFont="1" applyFill="1" applyBorder="1"/>
    <xf numFmtId="0" fontId="6" fillId="10" borderId="0" xfId="0" applyFont="1" applyFill="1"/>
    <xf numFmtId="0" fontId="26" fillId="10" borderId="0" xfId="0" applyFont="1" applyFill="1"/>
    <xf numFmtId="169" fontId="25" fillId="10" borderId="0" xfId="0" applyNumberFormat="1" applyFont="1" applyFill="1"/>
    <xf numFmtId="0" fontId="25" fillId="10" borderId="0" xfId="0" applyFont="1" applyFill="1" applyAlignment="1">
      <alignment horizontal="center" vertical="center"/>
    </xf>
    <xf numFmtId="0" fontId="0" fillId="10" borderId="0" xfId="0" applyFill="1"/>
    <xf numFmtId="0" fontId="9" fillId="10" borderId="0" xfId="0" applyFont="1" applyFill="1"/>
    <xf numFmtId="0" fontId="8" fillId="10" borderId="0" xfId="0" applyFont="1" applyFill="1"/>
    <xf numFmtId="0" fontId="10" fillId="10" borderId="0" xfId="0" applyFont="1" applyFill="1" applyAlignment="1">
      <alignment horizontal="right" vertical="center"/>
    </xf>
    <xf numFmtId="0" fontId="10" fillId="10" borderId="0" xfId="0" applyFont="1" applyFill="1" applyAlignment="1">
      <alignment horizontal="left" vertical="center"/>
    </xf>
    <xf numFmtId="0" fontId="2" fillId="10" borderId="0" xfId="0" applyFont="1" applyFill="1"/>
    <xf numFmtId="0" fontId="7" fillId="10" borderId="0" xfId="0" applyFont="1" applyFill="1"/>
    <xf numFmtId="0" fontId="8" fillId="10" borderId="0" xfId="0" applyFont="1" applyFill="1" applyAlignment="1">
      <alignment vertical="center"/>
    </xf>
    <xf numFmtId="0" fontId="11" fillId="10" borderId="4" xfId="0" applyFont="1" applyFill="1" applyBorder="1"/>
    <xf numFmtId="0" fontId="11" fillId="10" borderId="3" xfId="0" applyFont="1" applyFill="1" applyBorder="1" applyAlignment="1">
      <alignment horizontal="left"/>
    </xf>
    <xf numFmtId="17" fontId="11" fillId="10" borderId="3" xfId="0" quotePrefix="1" applyNumberFormat="1" applyFont="1" applyFill="1" applyBorder="1"/>
    <xf numFmtId="0" fontId="11" fillId="10" borderId="3" xfId="0" applyFont="1" applyFill="1" applyBorder="1"/>
    <xf numFmtId="0" fontId="2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/>
    </xf>
    <xf numFmtId="0" fontId="11" fillId="10" borderId="0" xfId="0" quotePrefix="1" applyFont="1" applyFill="1"/>
    <xf numFmtId="0" fontId="22" fillId="10" borderId="0" xfId="0" applyFont="1" applyFill="1"/>
    <xf numFmtId="0" fontId="11" fillId="10" borderId="0" xfId="0" applyFont="1" applyFill="1" applyAlignment="1">
      <alignment horizontal="left"/>
    </xf>
    <xf numFmtId="0" fontId="11" fillId="10" borderId="0" xfId="0" applyFont="1" applyFill="1" applyAlignment="1">
      <alignment horizontal="left" vertical="center"/>
    </xf>
    <xf numFmtId="0" fontId="11" fillId="10" borderId="0" xfId="0" applyFont="1" applyFill="1" applyAlignment="1">
      <alignment vertical="center"/>
    </xf>
    <xf numFmtId="0" fontId="22" fillId="10" borderId="0" xfId="0" applyFont="1" applyFill="1" applyAlignment="1">
      <alignment horizontal="left" vertical="center" indent="1"/>
    </xf>
    <xf numFmtId="0" fontId="13" fillId="10" borderId="0" xfId="0" applyFont="1" applyFill="1" applyAlignment="1">
      <alignment vertical="center"/>
    </xf>
    <xf numFmtId="0" fontId="11" fillId="10" borderId="0" xfId="0" quotePrefix="1" applyFont="1" applyFill="1" applyAlignment="1">
      <alignment horizontal="left" vertical="center"/>
    </xf>
    <xf numFmtId="17" fontId="11" fillId="10" borderId="0" xfId="0" quotePrefix="1" applyNumberFormat="1" applyFont="1" applyFill="1" applyAlignment="1">
      <alignment vertical="center"/>
    </xf>
    <xf numFmtId="0" fontId="13" fillId="10" borderId="0" xfId="0" applyFont="1" applyFill="1"/>
    <xf numFmtId="0" fontId="12" fillId="10" borderId="0" xfId="0" applyFont="1" applyFill="1"/>
    <xf numFmtId="0" fontId="23" fillId="10" borderId="0" xfId="0" applyFont="1" applyFill="1"/>
    <xf numFmtId="17" fontId="11" fillId="10" borderId="0" xfId="0" quotePrefix="1" applyNumberFormat="1" applyFont="1" applyFill="1"/>
    <xf numFmtId="0" fontId="2" fillId="10" borderId="0" xfId="0" applyFont="1" applyFill="1" applyAlignment="1">
      <alignment horizontal="left"/>
    </xf>
    <xf numFmtId="0" fontId="2" fillId="10" borderId="0" xfId="9" applyFill="1" applyAlignment="1">
      <alignment horizontal="center" vertical="center" wrapText="1"/>
    </xf>
    <xf numFmtId="0" fontId="2" fillId="10" borderId="0" xfId="9" applyFill="1" applyAlignment="1">
      <alignment horizontal="center" vertical="center"/>
    </xf>
    <xf numFmtId="10" fontId="25" fillId="10" borderId="0" xfId="0" applyNumberFormat="1" applyFont="1" applyFill="1" applyAlignment="1">
      <alignment vertical="center"/>
    </xf>
    <xf numFmtId="166" fontId="25" fillId="10" borderId="0" xfId="1" applyFont="1" applyFill="1" applyAlignment="1">
      <alignment vertical="center"/>
    </xf>
    <xf numFmtId="174" fontId="25" fillId="10" borderId="0" xfId="0" applyNumberFormat="1" applyFont="1" applyFill="1" applyAlignment="1">
      <alignment horizontal="right"/>
    </xf>
    <xf numFmtId="174" fontId="11" fillId="10" borderId="0" xfId="15" applyNumberFormat="1" applyFont="1" applyFill="1" applyBorder="1" applyAlignment="1">
      <alignment horizontal="right"/>
    </xf>
    <xf numFmtId="175" fontId="25" fillId="10" borderId="0" xfId="2" applyNumberFormat="1" applyFont="1" applyFill="1"/>
    <xf numFmtId="164" fontId="25" fillId="10" borderId="0" xfId="0" applyNumberFormat="1" applyFont="1" applyFill="1" applyAlignment="1">
      <alignment vertical="center"/>
    </xf>
    <xf numFmtId="3" fontId="25" fillId="17" borderId="1" xfId="0" applyNumberFormat="1" applyFont="1" applyFill="1" applyBorder="1" applyAlignment="1">
      <alignment horizontal="center" vertical="center"/>
    </xf>
    <xf numFmtId="179" fontId="37" fillId="17" borderId="7" xfId="11" applyNumberFormat="1" applyFont="1" applyFill="1" applyBorder="1" applyAlignment="1" applyProtection="1">
      <alignment horizontal="center" vertical="center"/>
      <protection locked="0"/>
    </xf>
    <xf numFmtId="166" fontId="25" fillId="10" borderId="0" xfId="0" applyNumberFormat="1" applyFont="1" applyFill="1" applyAlignment="1">
      <alignment horizontal="center"/>
    </xf>
    <xf numFmtId="166" fontId="25" fillId="10" borderId="0" xfId="0" applyNumberFormat="1" applyFont="1" applyFill="1"/>
    <xf numFmtId="171" fontId="25" fillId="10" borderId="0" xfId="0" applyNumberFormat="1" applyFont="1" applyFill="1"/>
    <xf numFmtId="170" fontId="25" fillId="10" borderId="0" xfId="0" applyNumberFormat="1" applyFont="1" applyFill="1"/>
    <xf numFmtId="169" fontId="25" fillId="17" borderId="1" xfId="11" applyNumberFormat="1" applyFont="1" applyFill="1" applyBorder="1" applyAlignment="1">
      <alignment horizontal="center" vertical="center"/>
    </xf>
    <xf numFmtId="3" fontId="25" fillId="17" borderId="1" xfId="1" applyNumberFormat="1" applyFont="1" applyFill="1" applyBorder="1" applyAlignment="1">
      <alignment horizontal="center" vertical="center"/>
    </xf>
    <xf numFmtId="3" fontId="25" fillId="17" borderId="1" xfId="2" applyNumberFormat="1" applyFont="1" applyFill="1" applyBorder="1" applyAlignment="1">
      <alignment horizontal="center" vertical="center"/>
    </xf>
    <xf numFmtId="176" fontId="25" fillId="17" borderId="1" xfId="0" applyNumberFormat="1" applyFont="1" applyFill="1" applyBorder="1" applyAlignment="1">
      <alignment horizontal="center" vertical="center"/>
    </xf>
    <xf numFmtId="169" fontId="11" fillId="17" borderId="1" xfId="0" applyNumberFormat="1" applyFont="1" applyFill="1" applyBorder="1" applyAlignment="1">
      <alignment horizontal="center" vertical="center"/>
    </xf>
    <xf numFmtId="168" fontId="25" fillId="17" borderId="1" xfId="1" applyNumberFormat="1" applyFont="1" applyFill="1" applyBorder="1" applyAlignment="1">
      <alignment vertical="center"/>
    </xf>
    <xf numFmtId="0" fontId="11" fillId="10" borderId="0" xfId="9" applyFont="1" applyFill="1" applyProtection="1">
      <protection locked="0"/>
    </xf>
    <xf numFmtId="178" fontId="19" fillId="10" borderId="0" xfId="15" applyNumberFormat="1" applyFont="1" applyFill="1" applyBorder="1" applyProtection="1"/>
    <xf numFmtId="4" fontId="19" fillId="10" borderId="4" xfId="19" quotePrefix="1" applyNumberFormat="1" applyFont="1" applyFill="1" applyBorder="1" applyAlignment="1">
      <alignment horizontal="center" wrapText="1"/>
    </xf>
    <xf numFmtId="3" fontId="37" fillId="10" borderId="7" xfId="20" applyNumberFormat="1" applyFont="1" applyFill="1" applyBorder="1" applyAlignment="1">
      <alignment horizontal="center" vertical="center"/>
      <protection locked="0"/>
    </xf>
    <xf numFmtId="178" fontId="19" fillId="10" borderId="8" xfId="15" applyNumberFormat="1" applyFont="1" applyFill="1" applyBorder="1" applyProtection="1"/>
    <xf numFmtId="4" fontId="19" fillId="10" borderId="4" xfId="19" applyNumberFormat="1" applyFont="1" applyFill="1" applyBorder="1" applyAlignment="1">
      <alignment horizontal="center" wrapText="1"/>
    </xf>
    <xf numFmtId="0" fontId="32" fillId="16" borderId="0" xfId="9" applyFont="1" applyFill="1" applyAlignment="1">
      <alignment vertical="center"/>
    </xf>
    <xf numFmtId="0" fontId="6" fillId="10" borderId="0" xfId="9" applyFont="1" applyFill="1" applyAlignment="1">
      <alignment vertical="center"/>
    </xf>
    <xf numFmtId="0" fontId="11" fillId="10" borderId="0" xfId="0" applyFont="1" applyFill="1" applyProtection="1">
      <protection locked="0"/>
    </xf>
    <xf numFmtId="0" fontId="6" fillId="2" borderId="14" xfId="0" applyFont="1" applyFill="1" applyBorder="1" applyAlignment="1">
      <alignment horizontal="center" vertical="center"/>
    </xf>
    <xf numFmtId="3" fontId="25" fillId="10" borderId="0" xfId="0" applyNumberFormat="1" applyFont="1" applyFill="1" applyAlignment="1">
      <alignment horizontal="center" vertical="center"/>
    </xf>
    <xf numFmtId="183" fontId="25" fillId="14" borderId="1" xfId="11" applyNumberFormat="1" applyFont="1" applyFill="1" applyBorder="1" applyAlignment="1">
      <alignment horizontal="center" vertical="center"/>
    </xf>
    <xf numFmtId="0" fontId="6" fillId="10" borderId="0" xfId="9" applyFont="1" applyFill="1"/>
    <xf numFmtId="0" fontId="6" fillId="10" borderId="0" xfId="0" applyFont="1" applyFill="1" applyAlignment="1">
      <alignment horizontal="center" vertical="center"/>
    </xf>
    <xf numFmtId="3" fontId="25" fillId="10" borderId="0" xfId="1" applyNumberFormat="1" applyFont="1" applyFill="1" applyBorder="1" applyAlignment="1">
      <alignment horizontal="center" vertical="center"/>
    </xf>
    <xf numFmtId="3" fontId="25" fillId="10" borderId="0" xfId="2" applyNumberFormat="1" applyFont="1" applyFill="1" applyBorder="1" applyAlignment="1">
      <alignment horizontal="center" vertical="center"/>
    </xf>
    <xf numFmtId="176" fontId="25" fillId="10" borderId="0" xfId="0" applyNumberFormat="1" applyFont="1" applyFill="1" applyAlignment="1">
      <alignment horizontal="center" vertical="center"/>
    </xf>
    <xf numFmtId="169" fontId="25" fillId="10" borderId="0" xfId="11" applyNumberFormat="1" applyFont="1" applyFill="1" applyBorder="1" applyAlignment="1">
      <alignment horizontal="center" vertical="center"/>
    </xf>
    <xf numFmtId="0" fontId="15" fillId="10" borderId="0" xfId="12" applyFill="1"/>
    <xf numFmtId="17" fontId="28" fillId="10" borderId="1" xfId="0" applyNumberFormat="1" applyFont="1" applyFill="1" applyBorder="1" applyAlignment="1">
      <alignment horizontal="left" vertical="center"/>
    </xf>
    <xf numFmtId="0" fontId="25" fillId="10" borderId="0" xfId="0" applyFont="1" applyFill="1" applyAlignment="1">
      <alignment horizontal="right"/>
    </xf>
    <xf numFmtId="9" fontId="25" fillId="10" borderId="0" xfId="0" applyNumberFormat="1" applyFont="1" applyFill="1" applyAlignment="1">
      <alignment horizontal="left"/>
    </xf>
    <xf numFmtId="0" fontId="28" fillId="10" borderId="0" xfId="0" applyFont="1" applyFill="1" applyAlignment="1">
      <alignment vertical="center"/>
    </xf>
    <xf numFmtId="0" fontId="11" fillId="10" borderId="0" xfId="9" applyFont="1" applyFill="1" applyAlignment="1" applyProtection="1">
      <alignment vertical="center" wrapText="1"/>
      <protection locked="0"/>
    </xf>
    <xf numFmtId="184" fontId="37" fillId="14" borderId="7" xfId="20" applyNumberFormat="1" applyFont="1" applyBorder="1" applyAlignment="1">
      <alignment horizontal="center" vertical="center"/>
      <protection locked="0"/>
    </xf>
    <xf numFmtId="182" fontId="37" fillId="14" borderId="7" xfId="1" applyNumberFormat="1" applyFont="1" applyFill="1" applyBorder="1" applyAlignment="1" applyProtection="1">
      <alignment horizontal="center" vertical="center"/>
      <protection locked="0"/>
    </xf>
    <xf numFmtId="164" fontId="25" fillId="15" borderId="1" xfId="0" applyNumberFormat="1" applyFont="1" applyFill="1" applyBorder="1" applyAlignment="1">
      <alignment horizontal="center" vertical="center"/>
    </xf>
    <xf numFmtId="167" fontId="11" fillId="9" borderId="0" xfId="20" applyNumberFormat="1" applyFont="1" applyFill="1" applyBorder="1" applyAlignment="1">
      <alignment vertical="center" wrapText="1"/>
      <protection locked="0"/>
    </xf>
    <xf numFmtId="183" fontId="37" fillId="17" borderId="7" xfId="11" applyNumberFormat="1" applyFont="1" applyFill="1" applyBorder="1" applyAlignment="1" applyProtection="1">
      <alignment horizontal="center" vertical="center"/>
      <protection locked="0"/>
    </xf>
    <xf numFmtId="10" fontId="25" fillId="17" borderId="1" xfId="11" applyNumberFormat="1" applyFont="1" applyFill="1" applyBorder="1" applyAlignment="1">
      <alignment horizontal="center" vertical="center"/>
    </xf>
    <xf numFmtId="0" fontId="19" fillId="18" borderId="0" xfId="0" applyFont="1" applyFill="1" applyProtection="1">
      <protection locked="0"/>
    </xf>
    <xf numFmtId="0" fontId="32" fillId="10" borderId="0" xfId="0" applyFont="1" applyFill="1" applyProtection="1">
      <protection locked="0"/>
    </xf>
    <xf numFmtId="178" fontId="37" fillId="10" borderId="7" xfId="11" applyNumberFormat="1" applyFont="1" applyFill="1" applyBorder="1" applyAlignment="1" applyProtection="1">
      <alignment horizontal="center" vertical="center"/>
      <protection locked="0"/>
    </xf>
    <xf numFmtId="177" fontId="37" fillId="10" borderId="7" xfId="20" applyNumberFormat="1" applyFont="1" applyFill="1" applyBorder="1" applyAlignment="1">
      <alignment horizontal="center" vertical="center"/>
      <protection locked="0"/>
    </xf>
    <xf numFmtId="178" fontId="11" fillId="10" borderId="0" xfId="11" applyNumberFormat="1" applyFont="1" applyFill="1" applyBorder="1" applyAlignment="1" applyProtection="1">
      <alignment horizontal="left" vertical="center" wrapText="1"/>
      <protection locked="0"/>
    </xf>
    <xf numFmtId="0" fontId="11" fillId="10" borderId="0" xfId="0" applyFont="1" applyFill="1" applyAlignment="1">
      <alignment wrapText="1"/>
    </xf>
    <xf numFmtId="169" fontId="25" fillId="10" borderId="0" xfId="0" applyNumberFormat="1" applyFont="1" applyFill="1" applyAlignment="1">
      <alignment horizontal="center"/>
    </xf>
    <xf numFmtId="0" fontId="25" fillId="10" borderId="0" xfId="0" applyFont="1" applyFill="1" applyAlignment="1">
      <alignment wrapText="1"/>
    </xf>
    <xf numFmtId="0" fontId="25" fillId="10" borderId="0" xfId="0" applyFont="1" applyFill="1" applyAlignment="1">
      <alignment vertical="top" wrapText="1"/>
    </xf>
    <xf numFmtId="0" fontId="25" fillId="10" borderId="1" xfId="0" applyFont="1" applyFill="1" applyBorder="1" applyAlignment="1">
      <alignment horizontal="center" vertical="center"/>
    </xf>
    <xf numFmtId="4" fontId="19" fillId="10" borderId="4" xfId="19" quotePrefix="1" applyNumberFormat="1" applyFont="1" applyFill="1" applyBorder="1" applyAlignment="1">
      <alignment horizontal="left" wrapText="1"/>
    </xf>
    <xf numFmtId="167" fontId="11" fillId="9" borderId="0" xfId="20" applyNumberFormat="1" applyFont="1" applyFill="1" applyBorder="1" applyAlignment="1">
      <alignment horizontal="center" wrapText="1"/>
      <protection locked="0"/>
    </xf>
    <xf numFmtId="0" fontId="19" fillId="10" borderId="4" xfId="19" applyFont="1" applyFill="1" applyBorder="1" applyAlignment="1">
      <alignment horizontal="center" vertical="center" wrapText="1"/>
    </xf>
    <xf numFmtId="10" fontId="25" fillId="14" borderId="1" xfId="11" applyNumberFormat="1" applyFont="1" applyFill="1" applyBorder="1" applyAlignment="1">
      <alignment horizontal="center" vertical="center"/>
    </xf>
    <xf numFmtId="0" fontId="39" fillId="10" borderId="0" xfId="0" applyFont="1" applyFill="1" applyAlignment="1">
      <alignment vertical="center" wrapText="1"/>
    </xf>
    <xf numFmtId="0" fontId="39" fillId="10" borderId="0" xfId="0" applyFont="1" applyFill="1" applyAlignment="1">
      <alignment horizontal="left" vertical="center"/>
    </xf>
    <xf numFmtId="0" fontId="15" fillId="10" borderId="0" xfId="12" applyFill="1" applyAlignment="1">
      <alignment vertical="center"/>
    </xf>
    <xf numFmtId="0" fontId="15" fillId="10" borderId="0" xfId="12" quotePrefix="1" applyFill="1" applyAlignment="1">
      <alignment vertical="center"/>
    </xf>
    <xf numFmtId="0" fontId="41" fillId="10" borderId="0" xfId="0" applyFont="1" applyFill="1"/>
    <xf numFmtId="0" fontId="42" fillId="10" borderId="1" xfId="12" applyFont="1" applyFill="1" applyBorder="1" applyAlignment="1">
      <alignment horizontal="left" vertical="center" wrapText="1"/>
    </xf>
    <xf numFmtId="0" fontId="25" fillId="10" borderId="0" xfId="0" quotePrefix="1" applyFont="1" applyFill="1"/>
    <xf numFmtId="0" fontId="25" fillId="0" borderId="1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6" fillId="10" borderId="0" xfId="0" applyFont="1" applyFill="1" applyAlignment="1">
      <alignment horizontal="center" vertical="center"/>
    </xf>
    <xf numFmtId="0" fontId="32" fillId="12" borderId="0" xfId="18" applyFont="1" applyFill="1" applyBorder="1" applyAlignment="1">
      <alignment horizontal="left" vertical="center"/>
    </xf>
    <xf numFmtId="178" fontId="11" fillId="9" borderId="16" xfId="11" applyNumberFormat="1" applyFont="1" applyFill="1" applyBorder="1" applyAlignment="1" applyProtection="1">
      <alignment horizontal="center" vertical="center" wrapText="1"/>
      <protection locked="0"/>
    </xf>
    <xf numFmtId="178" fontId="11" fillId="9" borderId="17" xfId="11" applyNumberFormat="1" applyFont="1" applyFill="1" applyBorder="1" applyAlignment="1" applyProtection="1">
      <alignment horizontal="center" vertical="center" wrapText="1"/>
      <protection locked="0"/>
    </xf>
    <xf numFmtId="0" fontId="32" fillId="13" borderId="0" xfId="0" applyFont="1" applyFill="1" applyAlignment="1" applyProtection="1">
      <alignment horizontal="left"/>
      <protection locked="0"/>
    </xf>
    <xf numFmtId="178" fontId="11" fillId="9" borderId="3" xfId="11" applyNumberFormat="1" applyFont="1" applyFill="1" applyBorder="1" applyAlignment="1" applyProtection="1">
      <alignment horizontal="left" vertical="center" wrapText="1"/>
      <protection locked="0"/>
    </xf>
    <xf numFmtId="178" fontId="11" fillId="9" borderId="0" xfId="11" applyNumberFormat="1" applyFont="1" applyFill="1" applyBorder="1" applyAlignment="1" applyProtection="1">
      <alignment horizontal="left" vertical="center" wrapText="1"/>
      <protection locked="0"/>
    </xf>
    <xf numFmtId="0" fontId="6" fillId="10" borderId="4" xfId="0" applyFont="1" applyFill="1" applyBorder="1" applyAlignment="1">
      <alignment horizontal="center" wrapText="1"/>
    </xf>
    <xf numFmtId="0" fontId="25" fillId="10" borderId="3" xfId="0" applyFont="1" applyFill="1" applyBorder="1" applyAlignment="1">
      <alignment horizontal="left" wrapText="1"/>
    </xf>
    <xf numFmtId="0" fontId="25" fillId="10" borderId="0" xfId="0" applyFont="1" applyFill="1" applyAlignment="1">
      <alignment horizontal="left" wrapText="1"/>
    </xf>
    <xf numFmtId="0" fontId="25" fillId="10" borderId="0" xfId="0" applyFont="1" applyFill="1" applyAlignment="1">
      <alignment horizontal="left" vertical="top" wrapText="1"/>
    </xf>
    <xf numFmtId="167" fontId="11" fillId="9" borderId="0" xfId="20" applyNumberFormat="1" applyFont="1" applyFill="1" applyBorder="1" applyAlignment="1">
      <alignment horizontal="center" vertical="center" wrapText="1"/>
      <protection locked="0"/>
    </xf>
    <xf numFmtId="0" fontId="6" fillId="10" borderId="4" xfId="0" applyFont="1" applyFill="1" applyBorder="1" applyAlignment="1">
      <alignment horizontal="center"/>
    </xf>
    <xf numFmtId="178" fontId="40" fillId="9" borderId="13" xfId="11" applyNumberFormat="1" applyFont="1" applyFill="1" applyBorder="1" applyAlignment="1" applyProtection="1">
      <alignment horizontal="center" vertical="center" wrapText="1"/>
      <protection locked="0"/>
    </xf>
    <xf numFmtId="178" fontId="40" fillId="9" borderId="7" xfId="11" applyNumberFormat="1" applyFont="1" applyFill="1" applyBorder="1" applyAlignment="1" applyProtection="1">
      <alignment horizontal="center" vertical="center" wrapText="1"/>
      <protection locked="0"/>
    </xf>
    <xf numFmtId="181" fontId="28" fillId="10" borderId="15" xfId="11" applyNumberFormat="1" applyFont="1" applyFill="1" applyBorder="1" applyAlignment="1">
      <alignment horizontal="left" vertical="center" wrapText="1"/>
    </xf>
  </cellXfs>
  <cellStyles count="22">
    <cellStyle name="Accent1" xfId="18" builtinId="29"/>
    <cellStyle name="Comma" xfId="1" builtinId="3"/>
    <cellStyle name="Comma 2" xfId="3" xr:uid="{00000000-0005-0000-0000-000002000000}"/>
    <cellStyle name="Comma 2 2" xfId="14" xr:uid="{A62E1EA3-D681-47C9-BB06-520808197D59}"/>
    <cellStyle name="Comma 3" xfId="5" xr:uid="{00000000-0005-0000-0000-000003000000}"/>
    <cellStyle name="Comma 4" xfId="17" xr:uid="{ABBA96B8-F2EC-4EE9-B975-7A7B9A95F4A9}"/>
    <cellStyle name="Comma 81" xfId="16" xr:uid="{718DF1FF-E755-431E-B842-A3271CCB78C3}"/>
    <cellStyle name="Currency" xfId="2" builtinId="4"/>
    <cellStyle name="Currency 2" xfId="4" xr:uid="{00000000-0005-0000-0000-000005000000}"/>
    <cellStyle name="Currency 3" xfId="6" xr:uid="{00000000-0005-0000-0000-000006000000}"/>
    <cellStyle name="Currency 4" xfId="13" xr:uid="{9C62F3F8-8686-4759-BF8F-68C168C9DD84}"/>
    <cellStyle name="dms_1" xfId="7" xr:uid="{00000000-0005-0000-0000-000007000000}"/>
    <cellStyle name="Heading 3 Output" xfId="19" xr:uid="{C795EC3A-1A5C-4F7B-BCE2-649EC05005B5}"/>
    <cellStyle name="Heading 4 Assumptions" xfId="21" xr:uid="{B2849BF5-89A5-40E0-ADC9-E1424ACC8789}"/>
    <cellStyle name="Heading 4 Assumptions 2" xfId="20" xr:uid="{830AD566-F633-41E2-8ABD-B9233B4EF1AF}"/>
    <cellStyle name="Hyperlink" xfId="12" builtinId="8"/>
    <cellStyle name="Hyperlink 2" xfId="10" xr:uid="{00000000-0005-0000-0000-000009000000}"/>
    <cellStyle name="Normal" xfId="0" builtinId="0"/>
    <cellStyle name="Normal 2" xfId="9" xr:uid="{00000000-0005-0000-0000-00000B000000}"/>
    <cellStyle name="Percent" xfId="11" builtinId="5"/>
    <cellStyle name="Percent 2" xfId="15" xr:uid="{1A0322E6-0478-4101-AFA6-7E9703E2AD34}"/>
    <cellStyle name="RIN_TB2" xfId="8" xr:uid="{00000000-0005-0000-0000-00000D000000}"/>
  </cellStyles>
  <dxfs count="0"/>
  <tableStyles count="0" defaultTableStyle="TableStyleMedium2" defaultPivotStyle="PivotStyleLight16"/>
  <colors>
    <mruColors>
      <color rgb="FFFFCC99"/>
      <color rgb="FFFF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ustomXml" Target="../ink/ink1.xml"/><Relationship Id="rId7" Type="http://schemas.openxmlformats.org/officeDocument/2006/relationships/image" Target="../media/image8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22414</xdr:colOff>
      <xdr:row>7</xdr:row>
      <xdr:rowOff>8094</xdr:rowOff>
    </xdr:from>
    <xdr:to>
      <xdr:col>6</xdr:col>
      <xdr:colOff>65154</xdr:colOff>
      <xdr:row>10</xdr:row>
      <xdr:rowOff>86535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FDD9A3E-11DA-4213-874F-580BE3D6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081" y="1807261"/>
          <a:ext cx="2603906" cy="1189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173935</xdr:colOff>
      <xdr:row>1</xdr:row>
      <xdr:rowOff>27333</xdr:rowOff>
    </xdr:from>
    <xdr:to>
      <xdr:col>12</xdr:col>
      <xdr:colOff>207336</xdr:colOff>
      <xdr:row>6</xdr:row>
      <xdr:rowOff>16321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5DAF90-717A-89BF-1B24-4E20AF88F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11739" y="176420"/>
          <a:ext cx="1865791" cy="734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450764</xdr:colOff>
      <xdr:row>5</xdr:row>
      <xdr:rowOff>37272</xdr:rowOff>
    </xdr:from>
    <xdr:to>
      <xdr:col>18</xdr:col>
      <xdr:colOff>325558</xdr:colOff>
      <xdr:row>39</xdr:row>
      <xdr:rowOff>161389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153C9D-61D4-4293-B797-BA583F00A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783" y="769964"/>
          <a:ext cx="4131737" cy="646190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19</xdr:col>
      <xdr:colOff>0</xdr:colOff>
      <xdr:row>1</xdr:row>
      <xdr:rowOff>11206</xdr:rowOff>
    </xdr:from>
    <xdr:to>
      <xdr:col>26</xdr:col>
      <xdr:colOff>2556</xdr:colOff>
      <xdr:row>37</xdr:row>
      <xdr:rowOff>107322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1110CB-0A20-4DC2-A15E-7B52FF5D16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7652"/>
        <a:stretch/>
      </xdr:blipFill>
      <xdr:spPr>
        <a:xfrm>
          <a:off x="15441706" y="156882"/>
          <a:ext cx="4238380" cy="642097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7</xdr:col>
      <xdr:colOff>298541</xdr:colOff>
      <xdr:row>2</xdr:row>
      <xdr:rowOff>123919</xdr:rowOff>
    </xdr:from>
    <xdr:to>
      <xdr:col>10</xdr:col>
      <xdr:colOff>107550</xdr:colOff>
      <xdr:row>7</xdr:row>
      <xdr:rowOff>66138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209EC9-8082-2B9A-2931-5F5DFE4AE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07541" y="409669"/>
          <a:ext cx="1636222" cy="6629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26268</xdr:colOff>
      <xdr:row>2</xdr:row>
      <xdr:rowOff>82923</xdr:rowOff>
    </xdr:from>
    <xdr:to>
      <xdr:col>13</xdr:col>
      <xdr:colOff>239356</xdr:colOff>
      <xdr:row>40</xdr:row>
      <xdr:rowOff>31439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B4A697-0F48-34F1-C1BA-2BD7F90D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3168" y="416298"/>
          <a:ext cx="3965938" cy="537776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7</xdr:col>
      <xdr:colOff>5064</xdr:colOff>
      <xdr:row>41</xdr:row>
      <xdr:rowOff>2231</xdr:rowOff>
    </xdr:from>
    <xdr:to>
      <xdr:col>13</xdr:col>
      <xdr:colOff>220731</xdr:colOff>
      <xdr:row>48</xdr:row>
      <xdr:rowOff>82732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D1E6CC-FEFC-43DE-9E50-A1AD419C4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1964" y="5907731"/>
          <a:ext cx="3968517" cy="1080626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  <xdr:twoCellAnchor editAs="oneCell">
    <xdr:from>
      <xdr:col>7</xdr:col>
      <xdr:colOff>97096</xdr:colOff>
      <xdr:row>41</xdr:row>
      <xdr:rowOff>72783</xdr:rowOff>
    </xdr:from>
    <xdr:to>
      <xdr:col>7</xdr:col>
      <xdr:colOff>444856</xdr:colOff>
      <xdr:row>41</xdr:row>
      <xdr:rowOff>99783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14:cNvPr>
            <xdr14:cNvContentPartPr/>
          </xdr14:nvContentPartPr>
          <xdr14:nvPr macro=""/>
          <xdr14:xfrm>
            <a:off x="9583996" y="5978283"/>
            <a:ext cx="347760" cy="2700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7252EE38-2228-FEE3-F522-3745E14060E3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213200" y="5534640"/>
              <a:ext cx="455400" cy="242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71437</xdr:colOff>
      <xdr:row>16</xdr:row>
      <xdr:rowOff>53578</xdr:rowOff>
    </xdr:from>
    <xdr:to>
      <xdr:col>4</xdr:col>
      <xdr:colOff>565547</xdr:colOff>
      <xdr:row>21</xdr:row>
      <xdr:rowOff>34705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A6304D-CED5-5F9F-3058-17A8E0F22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863828" y="2339578"/>
          <a:ext cx="1720453" cy="695502"/>
        </a:xfrm>
        <a:prstGeom prst="rect">
          <a:avLst/>
        </a:prstGeom>
      </xdr:spPr>
    </xdr:pic>
    <xdr:clientData/>
  </xdr:twoCellAnchor>
  <xdr:twoCellAnchor editAs="oneCell">
    <xdr:from>
      <xdr:col>7</xdr:col>
      <xdr:colOff>86052</xdr:colOff>
      <xdr:row>51</xdr:row>
      <xdr:rowOff>65690</xdr:rowOff>
    </xdr:from>
    <xdr:to>
      <xdr:col>13</xdr:col>
      <xdr:colOff>257175</xdr:colOff>
      <xdr:row>58</xdr:row>
      <xdr:rowOff>71066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A5590F-BAD1-02FD-CE09-8900A2140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72952" y="7399940"/>
          <a:ext cx="3923973" cy="1005501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5-09T02:00:40.466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1,'43'2,"0"2,44 10,32 4,-18-1,-75-11,1-1,0-1,30 0,363-5,-405 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er.gov.au/documents/2024-12-18-aer-final-report-2024-vcr-review" TargetMode="External"/><Relationship Id="rId1" Type="http://schemas.openxmlformats.org/officeDocument/2006/relationships/hyperlink" Target="https://www.aer.gov.au/system/files/2024-12/2024-12-18%20AER%20-%20Final%20report%20-%202024%20VCR%20review_0.pdf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er.gov.au/documents/aer-service-target-performance-incentive-scheme-v-20-updated-13-december-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B215-1727-4D99-95E3-812EBC62DFF7}">
  <dimension ref="A1:AH32"/>
  <sheetViews>
    <sheetView tabSelected="1" topLeftCell="B1" zoomScaleNormal="100" workbookViewId="0">
      <selection activeCell="D31" sqref="D31"/>
    </sheetView>
  </sheetViews>
  <sheetFormatPr defaultColWidth="8.85546875" defaultRowHeight="15"/>
  <cols>
    <col min="1" max="4" width="9.140625" style="118" customWidth="1"/>
    <col min="5" max="5" width="11.140625" style="118" customWidth="1"/>
    <col min="6" max="7" width="8.85546875" style="118"/>
    <col min="8" max="8" width="7.140625" style="118" customWidth="1"/>
    <col min="9" max="12" width="8.85546875" style="118"/>
    <col min="13" max="13" width="10.5703125" style="118" bestFit="1" customWidth="1"/>
    <col min="14" max="18" width="8.85546875" style="118"/>
    <col min="19" max="19" width="11.5703125" style="118" customWidth="1"/>
    <col min="20" max="20" width="15.5703125" style="118" customWidth="1"/>
    <col min="21" max="16384" width="8.85546875" style="118"/>
  </cols>
  <sheetData>
    <row r="1" spans="1:34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4" ht="46.5">
      <c r="C2" s="2"/>
      <c r="D2" s="2"/>
      <c r="E2" s="2"/>
      <c r="F2" s="2"/>
      <c r="G2" s="2"/>
      <c r="H2" s="2"/>
      <c r="I2" s="2"/>
      <c r="J2" s="5" t="s">
        <v>20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4" ht="20.25">
      <c r="C3" s="2"/>
      <c r="D3" s="2"/>
      <c r="E3" s="2"/>
      <c r="F3" s="2"/>
      <c r="G3" s="2"/>
      <c r="H3" s="2"/>
      <c r="I3" s="2"/>
      <c r="J3" s="6" t="s">
        <v>19</v>
      </c>
      <c r="K3" s="2"/>
      <c r="L3" s="2"/>
      <c r="M3" s="2"/>
      <c r="N3" s="2"/>
      <c r="O3" s="2"/>
      <c r="P3" s="2"/>
      <c r="Q3" s="2"/>
      <c r="R3" s="2"/>
      <c r="S3" s="6" t="s">
        <v>119</v>
      </c>
      <c r="T3" s="2"/>
      <c r="U3" s="6" t="s">
        <v>78</v>
      </c>
      <c r="V3" s="2"/>
      <c r="W3" s="2"/>
      <c r="X3" s="2"/>
      <c r="Y3" s="2"/>
      <c r="Z3" s="2"/>
      <c r="AA3" s="2"/>
    </row>
    <row r="4" spans="1:34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34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8" spans="1:34" ht="52.5">
      <c r="I8" s="119"/>
      <c r="J8" s="120"/>
    </row>
    <row r="9" spans="1:34" ht="20.25">
      <c r="L9" s="121"/>
      <c r="M9" s="122"/>
    </row>
    <row r="11" spans="1:34" ht="44.25">
      <c r="E11" s="123"/>
      <c r="F11" s="124"/>
      <c r="H11" s="125"/>
    </row>
    <row r="12" spans="1:34" s="123" customFormat="1" ht="12.75"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</row>
    <row r="13" spans="1:34" s="123" customFormat="1" ht="13.5" customHeight="1">
      <c r="D13" s="127"/>
      <c r="E13" s="128"/>
      <c r="F13" s="128"/>
      <c r="G13" s="129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</row>
    <row r="14" spans="1:34" s="147" customFormat="1" ht="18" customHeight="1">
      <c r="A14" s="123"/>
      <c r="B14" s="123"/>
      <c r="C14" s="25" t="s">
        <v>35</v>
      </c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22"/>
      <c r="P14" s="23"/>
      <c r="Q14" s="24"/>
      <c r="R14" s="23"/>
      <c r="S14" s="24"/>
      <c r="T14" s="23"/>
      <c r="U14" s="23"/>
      <c r="V14" s="23"/>
      <c r="W14" s="23"/>
      <c r="X14" s="23"/>
      <c r="Y14" s="23"/>
      <c r="Z14" s="23"/>
      <c r="AA14" s="23"/>
      <c r="AB14" s="123"/>
      <c r="AC14" s="123"/>
      <c r="AD14" s="146"/>
      <c r="AE14" s="146"/>
      <c r="AF14" s="146"/>
      <c r="AG14" s="146"/>
      <c r="AH14" s="146"/>
    </row>
    <row r="15" spans="1:34" s="123" customFormat="1" ht="12.75">
      <c r="D15" s="131"/>
      <c r="E15" s="132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</row>
    <row r="16" spans="1:34" s="123" customFormat="1">
      <c r="C16" s="133"/>
      <c r="D16" s="13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</row>
    <row r="17" spans="3:22" s="130" customFormat="1" ht="23.25" customHeight="1">
      <c r="C17" s="212" t="s">
        <v>36</v>
      </c>
      <c r="D17" s="135"/>
      <c r="E17" s="136"/>
      <c r="F17" s="136"/>
      <c r="G17" s="136"/>
      <c r="H17" s="137" t="s">
        <v>52</v>
      </c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</row>
    <row r="18" spans="3:22" s="130" customFormat="1" ht="23.25" customHeight="1">
      <c r="C18" s="212" t="s">
        <v>37</v>
      </c>
      <c r="D18" s="135"/>
      <c r="E18" s="138"/>
      <c r="F18" s="136"/>
      <c r="G18" s="136"/>
      <c r="H18" s="137" t="s">
        <v>80</v>
      </c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</row>
    <row r="19" spans="3:22" s="130" customFormat="1" ht="23.25" customHeight="1">
      <c r="C19" s="213" t="s">
        <v>157</v>
      </c>
      <c r="D19" s="135"/>
      <c r="E19" s="138"/>
      <c r="F19" s="136"/>
      <c r="G19" s="136"/>
      <c r="H19" s="137" t="s">
        <v>158</v>
      </c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</row>
    <row r="20" spans="3:22" s="130" customFormat="1" ht="23.25" customHeight="1">
      <c r="C20" s="212" t="s">
        <v>38</v>
      </c>
      <c r="D20" s="139"/>
      <c r="E20" s="140"/>
      <c r="F20" s="136"/>
      <c r="G20" s="136"/>
      <c r="H20" s="137" t="s">
        <v>159</v>
      </c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</row>
    <row r="21" spans="3:22" s="130" customFormat="1" ht="23.25" customHeight="1">
      <c r="C21" s="212" t="s">
        <v>39</v>
      </c>
      <c r="D21" s="135"/>
      <c r="E21" s="136"/>
      <c r="F21" s="136"/>
      <c r="G21" s="136"/>
      <c r="H21" s="137" t="s">
        <v>81</v>
      </c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</row>
    <row r="22" spans="3:22" s="123" customFormat="1">
      <c r="C22" s="133"/>
      <c r="D22" s="134"/>
      <c r="E22" s="141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</row>
    <row r="23" spans="3:22" s="123" customFormat="1">
      <c r="C23" s="133"/>
      <c r="D23" s="142"/>
      <c r="E23" s="142"/>
      <c r="F23" s="142"/>
      <c r="G23" s="94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94"/>
      <c r="V23" s="94"/>
    </row>
    <row r="24" spans="3:22" ht="15.75">
      <c r="C24" s="143"/>
      <c r="D24" s="142"/>
      <c r="E24" s="142"/>
      <c r="F24" s="142"/>
      <c r="G24" s="94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</row>
    <row r="25" spans="3:22" ht="15.75">
      <c r="C25" s="143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</row>
    <row r="26" spans="3:22">
      <c r="D26" s="131"/>
      <c r="E26" s="144"/>
      <c r="F26" s="94"/>
      <c r="G26" s="94"/>
      <c r="H26" s="94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</row>
    <row r="27" spans="3:22">
      <c r="D27" s="134"/>
      <c r="E27" s="94"/>
      <c r="F27" s="94"/>
      <c r="G27" s="94"/>
      <c r="H27" s="94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</row>
    <row r="28" spans="3:22">
      <c r="D28" s="134"/>
      <c r="E28" s="94"/>
      <c r="F28" s="94"/>
      <c r="G28" s="94"/>
      <c r="H28" s="94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</row>
    <row r="29" spans="3:22"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</row>
    <row r="30" spans="3:22">
      <c r="D30" s="131"/>
      <c r="E30" s="144"/>
      <c r="F30" s="94"/>
      <c r="G30" s="94"/>
      <c r="H30" s="94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</row>
    <row r="31" spans="3:22">
      <c r="D31" s="145"/>
      <c r="E31" s="123"/>
      <c r="F31" s="123"/>
      <c r="G31" s="123"/>
      <c r="H31" s="123"/>
    </row>
    <row r="32" spans="3:22">
      <c r="D32" s="145"/>
      <c r="E32" s="123"/>
      <c r="F32" s="123"/>
      <c r="G32" s="123"/>
      <c r="H32" s="123"/>
    </row>
  </sheetData>
  <hyperlinks>
    <hyperlink ref="C17" location="'Output | Final Decision tables'!A1" display="Output | Decision tables" xr:uid="{672C25E1-6E75-4E0B-A85C-CCDAB0223800}"/>
    <hyperlink ref="C18" location="'STPIS inputs'!A1" display="STPIS inputs" xr:uid="{B177C3D9-5880-494B-9D4C-F58BF4285284}"/>
    <hyperlink ref="C20" location="'Annual performance and targets'!A1" display="Annual performance and targets" xr:uid="{E5D20C0B-C496-463C-9A36-A7E8C9693B62}"/>
    <hyperlink ref="C21" location="'Incentive rates calc'!A1" display="Incentive rates calculations" xr:uid="{15870546-0A90-4BB3-906E-574CEE21D747}"/>
    <hyperlink ref="C19" location="'Target adjustments'!A1" display="'Target adjustments'!A1" xr:uid="{B448D202-46A5-4D40-868F-9976FD1E2B1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66ED-6B37-4FA9-B94A-9EFEBC037457}">
  <sheetPr>
    <tabColor theme="5" tint="-0.249977111117893"/>
  </sheetPr>
  <dimension ref="B1:K33"/>
  <sheetViews>
    <sheetView zoomScale="130" zoomScaleNormal="130" workbookViewId="0">
      <selection activeCell="B44" sqref="B44"/>
    </sheetView>
  </sheetViews>
  <sheetFormatPr defaultColWidth="9.140625" defaultRowHeight="11.25"/>
  <cols>
    <col min="1" max="1" width="9.140625" style="89"/>
    <col min="2" max="2" width="45" style="89" customWidth="1"/>
    <col min="3" max="3" width="24.5703125" style="103" bestFit="1" customWidth="1"/>
    <col min="4" max="6" width="18.42578125" style="89" customWidth="1"/>
    <col min="7" max="7" width="7" style="89" customWidth="1"/>
    <col min="8" max="8" width="9.42578125" style="89" customWidth="1"/>
    <col min="9" max="9" width="15.42578125" style="89" customWidth="1"/>
    <col min="10" max="10" width="9.5703125" style="89" bestFit="1" customWidth="1"/>
    <col min="11" max="12" width="12.42578125" style="89" bestFit="1" customWidth="1"/>
    <col min="13" max="16384" width="9.140625" style="89"/>
  </cols>
  <sheetData>
    <row r="1" spans="2:11" ht="12.6" customHeight="1"/>
    <row r="2" spans="2:11" ht="12.6" customHeight="1">
      <c r="B2" s="214" t="str">
        <f>Cover!S3</f>
        <v>AusNet Services</v>
      </c>
    </row>
    <row r="3" spans="2:11" ht="12.6" customHeight="1">
      <c r="B3" s="32" t="s">
        <v>127</v>
      </c>
      <c r="C3" s="32"/>
      <c r="D3" s="32"/>
      <c r="E3" s="32"/>
      <c r="F3" s="32"/>
      <c r="H3" s="104"/>
      <c r="I3" s="104"/>
    </row>
    <row r="4" spans="2:11" ht="13.5" customHeight="1">
      <c r="G4" s="113"/>
      <c r="H4" s="112" t="s">
        <v>82</v>
      </c>
      <c r="I4" s="105"/>
    </row>
    <row r="5" spans="2:11" s="37" customFormat="1" ht="12.6" customHeight="1">
      <c r="B5" s="56" t="s">
        <v>113</v>
      </c>
      <c r="C5" s="177">
        <v>0.05</v>
      </c>
      <c r="D5" s="33"/>
      <c r="G5" s="111"/>
      <c r="H5" s="108"/>
      <c r="I5" s="106" t="s">
        <v>84</v>
      </c>
    </row>
    <row r="6" spans="2:11" s="37" customFormat="1" ht="12.6" customHeight="1">
      <c r="B6" s="56" t="s">
        <v>112</v>
      </c>
      <c r="C6" s="79">
        <v>2.8</v>
      </c>
      <c r="D6" s="80" t="s">
        <v>24</v>
      </c>
      <c r="G6" s="111"/>
      <c r="H6" s="109"/>
      <c r="I6" s="106" t="s">
        <v>111</v>
      </c>
    </row>
    <row r="7" spans="2:11" s="37" customFormat="1" ht="12.6" customHeight="1">
      <c r="B7" s="56" t="s">
        <v>14</v>
      </c>
      <c r="C7" s="81" t="s">
        <v>1</v>
      </c>
      <c r="D7" s="81" t="s">
        <v>116</v>
      </c>
      <c r="E7" s="81" t="s">
        <v>117</v>
      </c>
      <c r="G7" s="111"/>
      <c r="H7" s="110"/>
      <c r="I7" s="107" t="s">
        <v>83</v>
      </c>
    </row>
    <row r="8" spans="2:11" s="37" customFormat="1" ht="12.6" customHeight="1">
      <c r="B8" s="114"/>
      <c r="C8" s="103"/>
      <c r="D8" s="89"/>
      <c r="E8" s="89"/>
      <c r="F8" s="89"/>
      <c r="G8" s="89"/>
      <c r="I8" s="89"/>
    </row>
    <row r="9" spans="2:11" ht="12.6" customHeight="1">
      <c r="B9" s="32" t="s">
        <v>15</v>
      </c>
      <c r="C9" s="32"/>
      <c r="D9" s="32"/>
      <c r="E9" s="32"/>
      <c r="F9" s="32"/>
      <c r="H9" s="37"/>
      <c r="I9" s="37"/>
    </row>
    <row r="10" spans="2:11" s="37" customFormat="1" ht="12.6" customHeight="1">
      <c r="B10" s="89"/>
      <c r="C10" s="103"/>
      <c r="D10" s="89"/>
      <c r="E10" s="89"/>
      <c r="F10" s="89"/>
      <c r="H10" s="89"/>
      <c r="I10" s="89"/>
    </row>
    <row r="11" spans="2:11" ht="12.6" customHeight="1">
      <c r="B11" s="36" t="s">
        <v>126</v>
      </c>
      <c r="C11" s="36"/>
      <c r="D11" s="36"/>
      <c r="E11" s="36"/>
      <c r="G11" s="36"/>
      <c r="H11" s="36"/>
    </row>
    <row r="12" spans="2:11" s="36" customFormat="1" ht="12.6" customHeight="1">
      <c r="B12" s="51" t="s">
        <v>0</v>
      </c>
      <c r="C12" s="51" t="str">
        <f>C7</f>
        <v>Urban</v>
      </c>
      <c r="D12" s="51" t="str">
        <f>D7</f>
        <v>Short rural</v>
      </c>
      <c r="E12" s="51" t="str">
        <f>E7</f>
        <v>Long rural</v>
      </c>
      <c r="G12" s="37"/>
      <c r="H12" s="37"/>
    </row>
    <row r="13" spans="2:11" s="37" customFormat="1" ht="12.6" customHeight="1">
      <c r="B13" s="59" t="s">
        <v>29</v>
      </c>
      <c r="C13" s="101">
        <f>'Incentive rates calc'!D8</f>
        <v>81.431398962738115</v>
      </c>
      <c r="D13" s="101">
        <f>'Incentive rates calc'!E8</f>
        <v>193.05393763288322</v>
      </c>
      <c r="E13" s="101">
        <f>'Incentive rates calc'!F8</f>
        <v>310.48557880353417</v>
      </c>
      <c r="G13" s="102"/>
      <c r="H13" s="102"/>
      <c r="I13" s="102"/>
      <c r="J13" s="102"/>
      <c r="K13" s="102"/>
    </row>
    <row r="14" spans="2:11" s="37" customFormat="1" ht="12.6" customHeight="1">
      <c r="B14" s="59" t="s">
        <v>30</v>
      </c>
      <c r="C14" s="101">
        <f>'Incentive rates calc'!D9</f>
        <v>0.72801099047596796</v>
      </c>
      <c r="D14" s="101">
        <f>'Incentive rates calc'!E9</f>
        <v>1.4548599593266291</v>
      </c>
      <c r="E14" s="101">
        <f>'Incentive rates calc'!F9</f>
        <v>2.0838075783681593</v>
      </c>
      <c r="F14" s="102"/>
      <c r="G14" s="102"/>
      <c r="H14" s="102"/>
      <c r="I14" s="102"/>
      <c r="J14" s="102"/>
      <c r="K14" s="102"/>
    </row>
    <row r="15" spans="2:11" s="37" customFormat="1" ht="12.6" customHeight="1">
      <c r="B15" s="59" t="s">
        <v>161</v>
      </c>
      <c r="C15" s="101">
        <f>'Incentive rates calc'!D10</f>
        <v>2.7818824331668206</v>
      </c>
      <c r="D15" s="101">
        <f>'Incentive rates calc'!E10</f>
        <v>4.7220186465216907</v>
      </c>
      <c r="E15" s="101">
        <f>'Incentive rates calc'!F10</f>
        <v>8.6633169099750553</v>
      </c>
      <c r="F15" s="102"/>
      <c r="G15" s="102"/>
      <c r="H15" s="102"/>
      <c r="I15" s="102"/>
      <c r="J15" s="102"/>
      <c r="K15" s="102"/>
    </row>
    <row r="16" spans="2:11" s="37" customFormat="1" ht="12.6" customHeight="1">
      <c r="B16" s="89"/>
      <c r="C16" s="89"/>
      <c r="D16" s="89"/>
      <c r="E16" s="89"/>
      <c r="F16" s="102"/>
      <c r="G16" s="89"/>
      <c r="H16" s="89"/>
    </row>
    <row r="17" spans="2:9" ht="12.6" customHeight="1">
      <c r="B17" s="36" t="s">
        <v>79</v>
      </c>
      <c r="C17" s="36"/>
      <c r="D17" s="36"/>
      <c r="E17" s="36"/>
      <c r="G17" s="36"/>
      <c r="H17" s="36"/>
    </row>
    <row r="18" spans="2:9" s="36" customFormat="1" ht="12.6" customHeight="1">
      <c r="B18" s="51" t="s">
        <v>0</v>
      </c>
      <c r="C18" s="51" t="str">
        <f>C12</f>
        <v>Urban</v>
      </c>
      <c r="D18" s="51" t="str">
        <f>D12</f>
        <v>Short rural</v>
      </c>
      <c r="E18" s="51" t="str">
        <f>E12</f>
        <v>Long rural</v>
      </c>
      <c r="F18" s="37"/>
      <c r="H18" s="37"/>
      <c r="I18" s="37"/>
    </row>
    <row r="19" spans="2:9" s="37" customFormat="1" ht="12.6" customHeight="1">
      <c r="B19" s="58" t="s">
        <v>59</v>
      </c>
      <c r="C19" s="160">
        <f>'Incentive rates calc'!$D$13</f>
        <v>1.8081226211045135E-2</v>
      </c>
      <c r="D19" s="160">
        <f>'Incentive rates calc'!$E$13</f>
        <v>1.7956676061307752E-2</v>
      </c>
      <c r="E19" s="160">
        <f>'Incentive rates calc'!F13</f>
        <v>7.0990654049058561E-3</v>
      </c>
      <c r="F19" s="188"/>
    </row>
    <row r="20" spans="2:9" s="37" customFormat="1" ht="12.6" customHeight="1">
      <c r="B20" s="58" t="s">
        <v>60</v>
      </c>
      <c r="C20" s="160">
        <f>'Incentive rates calc'!$D$14</f>
        <v>1.3483125617508454</v>
      </c>
      <c r="D20" s="160">
        <f>'Incentive rates calc'!$E$14</f>
        <v>1.5885180784172455</v>
      </c>
      <c r="E20" s="160">
        <f>'Incentive rates calc'!F14</f>
        <v>0.70516985480090177</v>
      </c>
      <c r="F20" s="188"/>
    </row>
    <row r="21" spans="2:9" s="37" customFormat="1" ht="12.6" customHeight="1">
      <c r="B21" s="58" t="s">
        <v>163</v>
      </c>
      <c r="C21" s="160">
        <f>'Incentive rates calc'!D15</f>
        <v>0.10786500494006764</v>
      </c>
      <c r="D21" s="160">
        <f>'Incentive rates calc'!E15</f>
        <v>0.12708144627337964</v>
      </c>
      <c r="E21" s="160">
        <f>'Incentive rates calc'!F15</f>
        <v>5.6413588384072143E-2</v>
      </c>
      <c r="F21" s="188"/>
    </row>
    <row r="22" spans="2:9" s="37" customFormat="1" ht="12.6" customHeight="1">
      <c r="B22" s="60"/>
      <c r="C22" s="61"/>
      <c r="D22" s="61"/>
    </row>
    <row r="23" spans="2:9" s="37" customFormat="1" ht="12.6" customHeight="1">
      <c r="B23" s="36" t="s">
        <v>120</v>
      </c>
      <c r="C23" s="36"/>
      <c r="D23" s="36"/>
    </row>
    <row r="24" spans="2:9" s="37" customFormat="1" ht="12.6" customHeight="1">
      <c r="B24" s="51"/>
      <c r="C24" s="51" t="s">
        <v>56</v>
      </c>
      <c r="D24" s="51" t="s">
        <v>57</v>
      </c>
    </row>
    <row r="25" spans="2:9" s="37" customFormat="1" ht="33.75" customHeight="1">
      <c r="B25" s="62" t="s">
        <v>58</v>
      </c>
      <c r="C25" s="209">
        <v>-4.0000000000000002E-4</v>
      </c>
      <c r="D25" s="195">
        <f>'Annual performance and targets'!I33</f>
        <v>0.70061028994808605</v>
      </c>
    </row>
    <row r="26" spans="2:9" s="37" customFormat="1"/>
    <row r="27" spans="2:9" s="37" customFormat="1" ht="12.6" customHeight="1">
      <c r="B27" s="36" t="s">
        <v>28</v>
      </c>
      <c r="C27" s="36"/>
      <c r="D27" s="36"/>
      <c r="E27" s="36"/>
      <c r="G27" s="36"/>
      <c r="H27" s="36"/>
    </row>
    <row r="28" spans="2:9" s="36" customFormat="1" ht="12.6" customHeight="1">
      <c r="B28" s="51"/>
      <c r="C28" s="51" t="str">
        <f>C12</f>
        <v>Urban</v>
      </c>
      <c r="D28" s="51" t="str">
        <f>D12</f>
        <v>Short rural</v>
      </c>
      <c r="E28" s="51" t="str">
        <f>E7</f>
        <v>Long rural</v>
      </c>
      <c r="G28" s="37"/>
      <c r="H28" s="37"/>
    </row>
    <row r="29" spans="2:9" s="37" customFormat="1" ht="12.6" customHeight="1">
      <c r="B29" s="62" t="s">
        <v>50</v>
      </c>
      <c r="C29" s="78">
        <f>'STPIS inputs'!D11*(1+'Incentive rates calc'!D12)</f>
        <v>35857.167505391808</v>
      </c>
      <c r="D29" s="78">
        <f>'STPIS inputs'!E11*(1+'Incentive rates calc'!E12)</f>
        <v>35857.167505391808</v>
      </c>
      <c r="E29" s="78">
        <f>'STPIS inputs'!F11*(1+'Incentive rates calc'!F12)</f>
        <v>35857.167505391808</v>
      </c>
    </row>
    <row r="30" spans="2:9" s="37" customFormat="1" ht="12.6" customHeight="1">
      <c r="B30" s="89"/>
      <c r="C30" s="89"/>
      <c r="D30" s="89"/>
      <c r="E30" s="89"/>
      <c r="G30" s="89"/>
      <c r="H30" s="89"/>
    </row>
    <row r="31" spans="2:9" ht="12.6" customHeight="1">
      <c r="B31" s="115"/>
    </row>
    <row r="32" spans="2:9">
      <c r="D32" s="116"/>
      <c r="E32" s="116"/>
    </row>
    <row r="33" spans="4:4">
      <c r="D33" s="11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AA40C-20A3-41B6-BBD9-EB70B5ADD831}">
  <dimension ref="B1:K20"/>
  <sheetViews>
    <sheetView topLeftCell="D1" zoomScale="130" zoomScaleNormal="130" workbookViewId="0">
      <selection activeCell="I20" sqref="I20"/>
    </sheetView>
  </sheetViews>
  <sheetFormatPr defaultColWidth="9.140625" defaultRowHeight="11.25"/>
  <cols>
    <col min="1" max="1" width="5.42578125" style="89" customWidth="1"/>
    <col min="2" max="2" width="43.140625" style="89" customWidth="1"/>
    <col min="3" max="3" width="21.7109375" style="89" customWidth="1"/>
    <col min="4" max="6" width="20.85546875" style="89" customWidth="1"/>
    <col min="7" max="7" width="21.28515625" style="89" customWidth="1"/>
    <col min="8" max="9" width="20.85546875" style="89" customWidth="1"/>
    <col min="10" max="16384" width="9.140625" style="89"/>
  </cols>
  <sheetData>
    <row r="1" spans="2:11" ht="12.6" customHeight="1"/>
    <row r="2" spans="2:11" s="37" customFormat="1" ht="12.6" customHeight="1">
      <c r="B2" s="32" t="s">
        <v>21</v>
      </c>
      <c r="C2" s="32"/>
      <c r="D2" s="172"/>
      <c r="E2" s="172"/>
      <c r="F2" s="172"/>
      <c r="G2" s="172"/>
      <c r="H2" s="172"/>
      <c r="I2" s="172"/>
    </row>
    <row r="3" spans="2:11" s="37" customFormat="1" ht="12.6" customHeight="1">
      <c r="B3" s="173"/>
      <c r="C3" s="173"/>
      <c r="D3" s="65"/>
      <c r="E3" s="65"/>
      <c r="F3" s="65"/>
      <c r="G3" s="65"/>
      <c r="H3" s="65"/>
      <c r="I3" s="65"/>
    </row>
    <row r="4" spans="2:11" s="37" customFormat="1" ht="12.6" customHeight="1">
      <c r="C4" s="51" t="s">
        <v>76</v>
      </c>
      <c r="D4" s="51" t="s">
        <v>48</v>
      </c>
      <c r="E4" s="51" t="s">
        <v>25</v>
      </c>
      <c r="F4" s="51" t="s">
        <v>26</v>
      </c>
      <c r="G4" s="51" t="s">
        <v>27</v>
      </c>
      <c r="H4" s="51" t="s">
        <v>54</v>
      </c>
      <c r="I4" s="51" t="s">
        <v>85</v>
      </c>
    </row>
    <row r="5" spans="2:11" s="37" customFormat="1" ht="12.6" customHeight="1">
      <c r="B5" s="34" t="s">
        <v>125</v>
      </c>
      <c r="C5" s="57" t="s">
        <v>152</v>
      </c>
      <c r="D5" s="192">
        <f>AVERAGE(E5:I5)</f>
        <v>877514719.92076838</v>
      </c>
      <c r="E5" s="92">
        <f>852.314640602589*10^6</f>
        <v>852314640.60258901</v>
      </c>
      <c r="F5" s="92">
        <f>864.732437386396*10^6</f>
        <v>864732437.38639593</v>
      </c>
      <c r="G5" s="92">
        <f>877.331155240448*10^6</f>
        <v>877331155.240448</v>
      </c>
      <c r="H5" s="92">
        <f>890.113430093987*10^6</f>
        <v>890113430.09398699</v>
      </c>
      <c r="I5" s="92">
        <f>903.081936280422*10^6</f>
        <v>903081936.28042209</v>
      </c>
      <c r="K5" s="153"/>
    </row>
    <row r="6" spans="2:11" s="37" customFormat="1" ht="12.6" customHeight="1">
      <c r="B6" s="35"/>
      <c r="C6" s="35"/>
      <c r="D6" s="36"/>
      <c r="I6" s="38"/>
    </row>
    <row r="7" spans="2:11" s="37" customFormat="1" ht="12.6" customHeight="1">
      <c r="B7" s="39"/>
      <c r="C7" s="175" t="s">
        <v>76</v>
      </c>
      <c r="D7" s="175" t="str">
        <f>'Output | Final Decision tables'!C7</f>
        <v>Urban</v>
      </c>
      <c r="E7" s="175" t="str">
        <f>'Output | Final Decision tables'!D7</f>
        <v>Short rural</v>
      </c>
      <c r="F7" s="175" t="s">
        <v>117</v>
      </c>
    </row>
    <row r="8" spans="2:11" s="37" customFormat="1" ht="12.6" customHeight="1">
      <c r="B8" s="34" t="str">
        <f>'Incentive rates calc'!B6</f>
        <v>Average annual energy consumption by network type (MWh)</v>
      </c>
      <c r="C8" s="57" t="s">
        <v>88</v>
      </c>
      <c r="D8" s="154">
        <f>'Target adjustments'!C58</f>
        <v>3878892.7905317098</v>
      </c>
      <c r="E8" s="154">
        <f>'Target adjustments'!C59</f>
        <v>3852173.5474761217</v>
      </c>
      <c r="F8" s="154">
        <f>'Target adjustments'!C60</f>
        <v>1522933.9701408849</v>
      </c>
    </row>
    <row r="9" spans="2:11" s="37" customFormat="1" ht="12.6" customHeight="1">
      <c r="B9" s="33"/>
      <c r="D9" s="176"/>
      <c r="E9" s="176"/>
      <c r="F9" s="176"/>
    </row>
    <row r="10" spans="2:11" s="37" customFormat="1" ht="12.6" customHeight="1">
      <c r="B10" s="148"/>
      <c r="C10" s="51" t="s">
        <v>76</v>
      </c>
      <c r="D10" s="175" t="str">
        <f t="shared" ref="D10:F10" si="0">D7</f>
        <v>Urban</v>
      </c>
      <c r="E10" s="175" t="str">
        <f t="shared" si="0"/>
        <v>Short rural</v>
      </c>
      <c r="F10" s="51" t="str">
        <f t="shared" si="0"/>
        <v>Long rural</v>
      </c>
      <c r="G10" s="219"/>
      <c r="H10" s="219"/>
      <c r="I10" s="219"/>
    </row>
    <row r="11" spans="2:11" s="37" customFormat="1" ht="38.25" customHeight="1">
      <c r="B11" s="34" t="s">
        <v>165</v>
      </c>
      <c r="C11" s="215" t="s">
        <v>160</v>
      </c>
      <c r="D11" s="83">
        <v>35780</v>
      </c>
      <c r="E11" s="83">
        <v>35780</v>
      </c>
      <c r="F11" s="83">
        <v>35780</v>
      </c>
      <c r="G11" s="217" t="s">
        <v>146</v>
      </c>
      <c r="H11" s="218"/>
      <c r="I11" s="218"/>
      <c r="J11" s="42"/>
    </row>
    <row r="12" spans="2:11" s="37" customFormat="1" ht="12.6" customHeight="1"/>
    <row r="13" spans="2:11" s="37" customFormat="1" ht="12.6" customHeight="1">
      <c r="B13" s="34" t="s">
        <v>5</v>
      </c>
      <c r="C13" s="34"/>
      <c r="D13" s="77">
        <f>D17/D16-1</f>
        <v>2.1567217828901697E-3</v>
      </c>
    </row>
    <row r="14" spans="2:11" s="37" customFormat="1" ht="12.6" customHeight="1">
      <c r="D14" s="117"/>
      <c r="E14" s="149"/>
      <c r="F14" s="149"/>
      <c r="G14" s="149"/>
      <c r="H14" s="149"/>
    </row>
    <row r="15" spans="2:11" s="37" customFormat="1" ht="12.6" customHeight="1">
      <c r="B15" s="35" t="s">
        <v>22</v>
      </c>
      <c r="C15" s="35"/>
      <c r="D15" s="117"/>
    </row>
    <row r="16" spans="2:11" s="37" customFormat="1" ht="12.6" customHeight="1">
      <c r="B16" s="41">
        <v>45536</v>
      </c>
      <c r="C16" s="205"/>
      <c r="D16" s="81">
        <v>139.1</v>
      </c>
      <c r="E16" s="211" t="s">
        <v>153</v>
      </c>
      <c r="F16" s="210"/>
      <c r="G16" s="210"/>
    </row>
    <row r="17" spans="2:9" s="37" customFormat="1">
      <c r="B17" s="41">
        <v>45627</v>
      </c>
      <c r="C17" s="185"/>
      <c r="D17" s="81">
        <v>139.4</v>
      </c>
      <c r="E17" s="211" t="s">
        <v>164</v>
      </c>
      <c r="F17" s="210"/>
      <c r="G17" s="210"/>
    </row>
    <row r="18" spans="2:9" ht="12.6" customHeight="1">
      <c r="B18" s="216"/>
    </row>
    <row r="19" spans="2:9">
      <c r="E19" s="150"/>
      <c r="F19" s="151"/>
      <c r="G19" s="151"/>
      <c r="H19" s="151"/>
      <c r="I19" s="151"/>
    </row>
    <row r="20" spans="2:9">
      <c r="D20" s="152"/>
      <c r="E20" s="152"/>
      <c r="F20" s="152"/>
      <c r="G20" s="152"/>
      <c r="H20" s="152"/>
      <c r="I20" s="152"/>
    </row>
  </sheetData>
  <mergeCells count="2">
    <mergeCell ref="G11:I11"/>
    <mergeCell ref="G10:I10"/>
  </mergeCells>
  <hyperlinks>
    <hyperlink ref="E16" r:id="rId1" display="https://www.aer.gov.au/system/files/2024-12/2024-12-18 AER - Final report - 2024 VCR review_0.pdf" xr:uid="{506DDFE7-65B6-4FE4-A2E7-4638425F3B78}"/>
    <hyperlink ref="C11" r:id="rId2" display="AER, Value of customer reliability review, final report, December 2024, p. 5 (Table 2 Business VCR values) and p. 62 (Table 20 NEM-wide and regional VCR)." xr:uid="{2E586F20-7D53-49E7-BC46-DCA1839CFF50}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CECA-5806-416B-9FB7-A6F3110A0AC7}">
  <dimension ref="A2:K77"/>
  <sheetViews>
    <sheetView topLeftCell="A30" zoomScale="115" zoomScaleNormal="115" workbookViewId="0">
      <selection activeCell="F56" sqref="F56"/>
    </sheetView>
  </sheetViews>
  <sheetFormatPr defaultColWidth="9.140625" defaultRowHeight="11.25"/>
  <cols>
    <col min="1" max="1" width="34.5703125" style="89" customWidth="1"/>
    <col min="2" max="2" width="17.85546875" style="89" customWidth="1"/>
    <col min="3" max="3" width="15" style="89" customWidth="1"/>
    <col min="4" max="4" width="13.5703125" style="89" customWidth="1"/>
    <col min="5" max="5" width="10.5703125" style="89" bestFit="1" customWidth="1"/>
    <col min="6" max="6" width="12.28515625" style="89" customWidth="1"/>
    <col min="7" max="7" width="13.42578125" style="89" customWidth="1"/>
    <col min="8" max="16384" width="9.140625" style="89"/>
  </cols>
  <sheetData>
    <row r="2" spans="1:7">
      <c r="A2" s="220" t="s">
        <v>94</v>
      </c>
      <c r="B2" s="220"/>
      <c r="C2" s="220"/>
      <c r="D2" s="220"/>
      <c r="E2" s="220"/>
      <c r="F2" s="220"/>
      <c r="G2" s="220"/>
    </row>
    <row r="3" spans="1:7">
      <c r="A3" s="68" t="s">
        <v>66</v>
      </c>
      <c r="B3" s="168" t="s">
        <v>76</v>
      </c>
      <c r="C3" s="168" t="s">
        <v>8</v>
      </c>
      <c r="D3" s="171" t="s">
        <v>9</v>
      </c>
      <c r="E3" s="171" t="s">
        <v>10</v>
      </c>
      <c r="F3" s="168" t="s">
        <v>55</v>
      </c>
      <c r="G3" s="168" t="s">
        <v>77</v>
      </c>
    </row>
    <row r="4" spans="1:7">
      <c r="A4" s="174" t="s">
        <v>67</v>
      </c>
      <c r="B4" s="230" t="s">
        <v>147</v>
      </c>
      <c r="C4" s="71">
        <v>72.872398720216466</v>
      </c>
      <c r="D4" s="71">
        <v>72.181892305992193</v>
      </c>
      <c r="E4" s="71">
        <v>75.524609718483745</v>
      </c>
      <c r="F4" s="71">
        <v>110.38818105156867</v>
      </c>
      <c r="G4" s="71">
        <v>83.107946234899202</v>
      </c>
    </row>
    <row r="5" spans="1:7">
      <c r="A5" s="174" t="s">
        <v>68</v>
      </c>
      <c r="B5" s="230"/>
      <c r="C5" s="71">
        <v>153.57051905602708</v>
      </c>
      <c r="D5" s="71">
        <v>192.61749950909908</v>
      </c>
      <c r="E5" s="71">
        <v>195.81867414988844</v>
      </c>
      <c r="F5" s="71">
        <v>169.57140243828238</v>
      </c>
      <c r="G5" s="71">
        <v>271.43817010770061</v>
      </c>
    </row>
    <row r="6" spans="1:7">
      <c r="A6" s="174" t="s">
        <v>69</v>
      </c>
      <c r="B6" s="230"/>
      <c r="C6" s="190">
        <v>188.83996673020826</v>
      </c>
      <c r="D6" s="190">
        <v>285.00165432765073</v>
      </c>
      <c r="E6" s="71">
        <v>351.19426084893206</v>
      </c>
      <c r="F6" s="71">
        <v>281.7999350658892</v>
      </c>
      <c r="G6" s="190">
        <v>462.67271168125984</v>
      </c>
    </row>
    <row r="7" spans="1:7">
      <c r="A7" s="174"/>
      <c r="B7" s="230"/>
      <c r="C7" s="69"/>
      <c r="D7" s="69"/>
      <c r="E7" s="71"/>
      <c r="F7" s="71"/>
      <c r="G7" s="69"/>
    </row>
    <row r="8" spans="1:7">
      <c r="A8" s="174" t="s">
        <v>70</v>
      </c>
      <c r="B8" s="230"/>
      <c r="C8" s="71">
        <v>0.71992193126261295</v>
      </c>
      <c r="D8" s="71">
        <v>0.68227310875428215</v>
      </c>
      <c r="E8" s="71">
        <v>0.62124964730225418</v>
      </c>
      <c r="F8" s="71">
        <v>0.98401109811495235</v>
      </c>
      <c r="G8" s="71">
        <v>0.70815660642470424</v>
      </c>
    </row>
    <row r="9" spans="1:7">
      <c r="A9" s="174" t="s">
        <v>71</v>
      </c>
      <c r="B9" s="230"/>
      <c r="C9" s="71">
        <v>1.5489528059636812</v>
      </c>
      <c r="D9" s="71">
        <v>1.361670456632863</v>
      </c>
      <c r="E9" s="71">
        <v>1.3800096264746216</v>
      </c>
      <c r="F9" s="71">
        <v>1.2460571533104232</v>
      </c>
      <c r="G9" s="71">
        <v>1.8689975180748892</v>
      </c>
    </row>
    <row r="10" spans="1:7">
      <c r="A10" s="174" t="s">
        <v>72</v>
      </c>
      <c r="B10" s="230"/>
      <c r="C10" s="190">
        <v>1.8300295687263957</v>
      </c>
      <c r="D10" s="190">
        <v>1.8321111645606254</v>
      </c>
      <c r="E10" s="71">
        <v>2.3068432755565591</v>
      </c>
      <c r="F10" s="71">
        <v>2.0195151103765792</v>
      </c>
      <c r="G10" s="190">
        <v>2.5359912939484492</v>
      </c>
    </row>
    <row r="11" spans="1:7">
      <c r="A11" s="174"/>
      <c r="B11" s="230"/>
      <c r="C11" s="72"/>
      <c r="D11" s="72"/>
      <c r="E11" s="71"/>
      <c r="F11" s="71"/>
      <c r="G11" s="72"/>
    </row>
    <row r="12" spans="1:7">
      <c r="A12" s="174" t="s">
        <v>89</v>
      </c>
      <c r="B12" s="230"/>
      <c r="C12" s="71">
        <v>2.5056018850428132</v>
      </c>
      <c r="D12" s="71">
        <v>3.243994516440226</v>
      </c>
      <c r="E12" s="71">
        <v>3.0598518744112373</v>
      </c>
      <c r="F12" s="71">
        <v>2.9485446624930818</v>
      </c>
      <c r="G12" s="71">
        <v>2.5783908671545652</v>
      </c>
    </row>
    <row r="13" spans="1:7">
      <c r="A13" s="174" t="s">
        <v>90</v>
      </c>
      <c r="B13" s="230"/>
      <c r="C13" s="190">
        <v>4.9213647868039256</v>
      </c>
      <c r="D13" s="71">
        <v>5.3174862072678675</v>
      </c>
      <c r="E13" s="71">
        <v>4.8327051907283121</v>
      </c>
      <c r="F13" s="71">
        <v>4.219881485933807</v>
      </c>
      <c r="G13" s="190">
        <v>4.6749322342640927</v>
      </c>
    </row>
    <row r="14" spans="1:7">
      <c r="A14" s="174" t="s">
        <v>91</v>
      </c>
      <c r="B14" s="230"/>
      <c r="C14" s="190">
        <v>9.1875723797054274</v>
      </c>
      <c r="D14" s="190">
        <v>10.459793580582964</v>
      </c>
      <c r="E14" s="71">
        <v>9.5809455285828555</v>
      </c>
      <c r="F14" s="71">
        <v>6.5009591547633132</v>
      </c>
      <c r="G14" s="190">
        <v>7.7140231264107886</v>
      </c>
    </row>
    <row r="15" spans="1:7">
      <c r="A15" s="174"/>
      <c r="B15" s="193"/>
      <c r="C15" s="69"/>
      <c r="D15" s="69"/>
      <c r="E15" s="71"/>
      <c r="F15" s="71"/>
      <c r="G15" s="69"/>
    </row>
    <row r="16" spans="1:7" ht="22.5">
      <c r="A16" s="174" t="s">
        <v>121</v>
      </c>
      <c r="B16" s="207" t="s">
        <v>123</v>
      </c>
      <c r="C16" s="190">
        <v>0.81284509151191864</v>
      </c>
      <c r="D16" s="190">
        <v>0.61273866630278473</v>
      </c>
      <c r="E16" s="190">
        <v>0.72637532133676097</v>
      </c>
      <c r="F16" s="190">
        <v>0.71795043626274946</v>
      </c>
      <c r="G16" s="190">
        <v>0.63314193432621602</v>
      </c>
    </row>
    <row r="17" spans="1:11">
      <c r="C17" s="90"/>
    </row>
    <row r="20" spans="1:11">
      <c r="A20" s="220" t="s">
        <v>144</v>
      </c>
      <c r="B20" s="220"/>
      <c r="C20" s="220"/>
      <c r="D20" s="220"/>
      <c r="E20" s="220"/>
      <c r="F20" s="220"/>
      <c r="G20" s="220"/>
    </row>
    <row r="21" spans="1:11">
      <c r="A21" s="223" t="s">
        <v>129</v>
      </c>
      <c r="B21" s="223"/>
      <c r="C21" s="223"/>
      <c r="D21" s="223"/>
      <c r="E21" s="223"/>
      <c r="F21" s="223"/>
      <c r="G21" s="223"/>
    </row>
    <row r="22" spans="1:11">
      <c r="A22" s="197"/>
      <c r="B22" s="168" t="s">
        <v>76</v>
      </c>
      <c r="C22" s="171" t="s">
        <v>124</v>
      </c>
      <c r="D22" s="171" t="s">
        <v>9</v>
      </c>
      <c r="E22" s="171" t="s">
        <v>10</v>
      </c>
      <c r="F22" s="168" t="s">
        <v>55</v>
      </c>
      <c r="G22" s="168" t="s">
        <v>77</v>
      </c>
    </row>
    <row r="23" spans="1:11" ht="24.75" customHeight="1">
      <c r="A23" s="189" t="s">
        <v>96</v>
      </c>
      <c r="B23" s="93" t="s">
        <v>99</v>
      </c>
      <c r="C23" s="73">
        <v>2.1984610633867644E-2</v>
      </c>
      <c r="D23" s="73">
        <v>2.1958192256002183E-2</v>
      </c>
      <c r="E23" s="73">
        <v>1.3029068505290292E-2</v>
      </c>
      <c r="F23" s="73">
        <v>1.8171556512411768E-2</v>
      </c>
      <c r="G23" s="73">
        <v>-2.3293519933627785E-2</v>
      </c>
    </row>
    <row r="24" spans="1:11">
      <c r="A24" s="166" t="s">
        <v>97</v>
      </c>
      <c r="B24" s="198"/>
      <c r="C24" s="194">
        <v>4.4999999999999998E-2</v>
      </c>
      <c r="D24" s="194">
        <v>4.4999999999999998E-2</v>
      </c>
      <c r="E24" s="194">
        <v>4.4999999999999998E-2</v>
      </c>
      <c r="F24" s="194">
        <v>4.4999999999999998E-2</v>
      </c>
      <c r="G24" s="194">
        <v>4.4999999999999998E-2</v>
      </c>
    </row>
    <row r="25" spans="1:11">
      <c r="A25" s="166" t="s">
        <v>73</v>
      </c>
      <c r="B25" s="198"/>
      <c r="C25" s="85">
        <f>IF(C23&gt;C24,C23-C24,0)</f>
        <v>0</v>
      </c>
      <c r="D25" s="85">
        <f t="shared" ref="D25:G25" si="0">IF(D23&gt;D24,D23-D24,0)</f>
        <v>0</v>
      </c>
      <c r="E25" s="85">
        <f>IF(E23&gt;E24,E23-E24,0)</f>
        <v>0</v>
      </c>
      <c r="F25" s="85">
        <f t="shared" si="0"/>
        <v>0</v>
      </c>
      <c r="G25" s="85">
        <f t="shared" si="0"/>
        <v>0</v>
      </c>
      <c r="H25" s="170">
        <f>SUM(C25:G25)</f>
        <v>0</v>
      </c>
      <c r="I25" s="90" t="s">
        <v>156</v>
      </c>
    </row>
    <row r="26" spans="1:11">
      <c r="A26" s="166"/>
      <c r="B26" s="91"/>
      <c r="C26" s="91"/>
      <c r="D26" s="91"/>
      <c r="E26" s="91"/>
      <c r="F26" s="91"/>
      <c r="G26" s="167"/>
    </row>
    <row r="27" spans="1:11">
      <c r="B27" s="168" t="s">
        <v>76</v>
      </c>
      <c r="F27" s="231" t="s">
        <v>98</v>
      </c>
      <c r="G27" s="231"/>
      <c r="H27" s="231"/>
      <c r="I27" s="231"/>
      <c r="J27" s="231"/>
      <c r="K27" s="231"/>
    </row>
    <row r="28" spans="1:11">
      <c r="A28" s="94" t="s">
        <v>103</v>
      </c>
      <c r="B28" s="93" t="s">
        <v>104</v>
      </c>
      <c r="C28" s="70"/>
      <c r="D28" s="155">
        <f>H25</f>
        <v>0</v>
      </c>
      <c r="E28" s="70"/>
      <c r="F28" s="90"/>
      <c r="G28" s="90"/>
      <c r="H28" s="90"/>
    </row>
    <row r="29" spans="1:11" ht="19.5" customHeight="1">
      <c r="A29" s="94" t="s">
        <v>106</v>
      </c>
      <c r="B29" s="232" t="s">
        <v>105</v>
      </c>
      <c r="C29" s="70"/>
      <c r="D29" s="86">
        <f>D28*0.6</f>
        <v>0</v>
      </c>
      <c r="E29" s="70"/>
    </row>
    <row r="30" spans="1:11" ht="19.5" customHeight="1">
      <c r="A30" s="94" t="s">
        <v>107</v>
      </c>
      <c r="B30" s="233"/>
      <c r="C30" s="70"/>
      <c r="D30" s="86">
        <f>D28*0.4</f>
        <v>0</v>
      </c>
      <c r="E30" s="70"/>
    </row>
    <row r="31" spans="1:11">
      <c r="A31" s="94"/>
      <c r="B31" s="95"/>
      <c r="C31" s="96"/>
      <c r="D31" s="97"/>
      <c r="E31" s="96"/>
    </row>
    <row r="32" spans="1:11">
      <c r="A32" s="196" t="s">
        <v>92</v>
      </c>
      <c r="B32" s="168" t="s">
        <v>76</v>
      </c>
      <c r="C32" s="171" t="str">
        <f>'Output | Final Decision tables'!C7</f>
        <v>Urban</v>
      </c>
      <c r="D32" s="171" t="str">
        <f>'Output | Final Decision tables'!D7</f>
        <v>Short rural</v>
      </c>
      <c r="E32" s="168" t="s">
        <v>118</v>
      </c>
    </row>
    <row r="33" spans="1:9" ht="22.5">
      <c r="A33" s="136" t="s">
        <v>74</v>
      </c>
      <c r="B33" s="93" t="s">
        <v>102</v>
      </c>
      <c r="C33" s="76">
        <v>2.2689999999999998E-2</v>
      </c>
      <c r="D33" s="76">
        <v>2.1600000000000001E-2</v>
      </c>
      <c r="E33" s="76">
        <v>9.2399999999999999E-3</v>
      </c>
      <c r="F33" s="90"/>
    </row>
    <row r="34" spans="1:9" ht="22.5">
      <c r="A34" s="201" t="s">
        <v>100</v>
      </c>
      <c r="B34" s="198"/>
      <c r="C34" s="87">
        <f>$D29*C$33/(SUM($C$33:$E$33))</f>
        <v>0</v>
      </c>
      <c r="D34" s="86">
        <f t="shared" ref="D34:E34" si="1">$D29*D$33/(SUM($C$33:$E$33))</f>
        <v>0</v>
      </c>
      <c r="E34" s="87">
        <f t="shared" si="1"/>
        <v>0</v>
      </c>
    </row>
    <row r="35" spans="1:9" ht="22.5">
      <c r="A35" s="201" t="s">
        <v>86</v>
      </c>
      <c r="B35" s="198"/>
      <c r="C35" s="88">
        <f>(C34/C33*100)/4</f>
        <v>0</v>
      </c>
      <c r="D35" s="88">
        <f>(D34/D33*100)/4</f>
        <v>0</v>
      </c>
      <c r="E35" s="88">
        <f>(E34/E33*100)/4</f>
        <v>0</v>
      </c>
      <c r="F35" s="90" t="s">
        <v>155</v>
      </c>
      <c r="G35" s="90"/>
      <c r="H35" s="90"/>
    </row>
    <row r="36" spans="1:9">
      <c r="A36" s="94"/>
      <c r="B36" s="91"/>
      <c r="C36" s="98"/>
      <c r="D36" s="98"/>
      <c r="E36" s="98"/>
      <c r="F36" s="90"/>
      <c r="G36" s="90"/>
    </row>
    <row r="37" spans="1:9">
      <c r="A37" s="196" t="s">
        <v>93</v>
      </c>
      <c r="B37" s="168" t="s">
        <v>76</v>
      </c>
      <c r="C37" s="171" t="str">
        <f>'Output | Final Decision tables'!C7</f>
        <v>Urban</v>
      </c>
      <c r="D37" s="171" t="str">
        <f>'Output | Final Decision tables'!D7</f>
        <v>Short rural</v>
      </c>
      <c r="E37" s="168" t="s">
        <v>117</v>
      </c>
      <c r="F37" s="90"/>
      <c r="G37" s="90"/>
      <c r="H37" s="90"/>
    </row>
    <row r="38" spans="1:9" ht="22.5">
      <c r="A38" s="136" t="s">
        <v>75</v>
      </c>
      <c r="B38" s="93" t="s">
        <v>102</v>
      </c>
      <c r="C38" s="76">
        <v>1.48003</v>
      </c>
      <c r="D38" s="76">
        <v>1.4001699999999999</v>
      </c>
      <c r="E38" s="76">
        <v>0.68877999999999995</v>
      </c>
      <c r="F38" s="90"/>
    </row>
    <row r="39" spans="1:9" ht="22.5">
      <c r="A39" s="201" t="s">
        <v>101</v>
      </c>
      <c r="B39" s="199"/>
      <c r="C39" s="87">
        <f>$D30*C$38/SUM($C$38:$E$38)</f>
        <v>0</v>
      </c>
      <c r="D39" s="86">
        <f t="shared" ref="D39:E39" si="2">$D30*D$38/SUM($C$38:$E$38)</f>
        <v>0</v>
      </c>
      <c r="E39" s="87">
        <f t="shared" si="2"/>
        <v>0</v>
      </c>
    </row>
    <row r="40" spans="1:9" ht="22.5">
      <c r="A40" s="201" t="s">
        <v>87</v>
      </c>
      <c r="B40" s="199"/>
      <c r="C40" s="88">
        <f>(C39/C38*100)/4</f>
        <v>0</v>
      </c>
      <c r="D40" s="88">
        <f t="shared" ref="D40:E40" si="3">(D39/D38*100)/4</f>
        <v>0</v>
      </c>
      <c r="E40" s="88">
        <f t="shared" si="3"/>
        <v>0</v>
      </c>
      <c r="F40" s="90" t="s">
        <v>155</v>
      </c>
      <c r="G40" s="90"/>
      <c r="H40" s="90"/>
    </row>
    <row r="43" spans="1:9">
      <c r="A43" s="223" t="s">
        <v>130</v>
      </c>
      <c r="B43" s="223"/>
      <c r="C43" s="223"/>
      <c r="D43" s="223"/>
      <c r="E43" s="223"/>
      <c r="F43" s="223"/>
      <c r="G43" s="223"/>
    </row>
    <row r="44" spans="1:9" ht="22.5">
      <c r="A44" s="206" t="s">
        <v>131</v>
      </c>
      <c r="B44" s="168" t="s">
        <v>76</v>
      </c>
      <c r="C44" s="171" t="s">
        <v>141</v>
      </c>
      <c r="D44" s="226" t="s">
        <v>98</v>
      </c>
      <c r="E44" s="226"/>
      <c r="F44" s="226"/>
      <c r="G44" s="226"/>
    </row>
    <row r="45" spans="1:9" ht="11.25" customHeight="1">
      <c r="A45" s="89" t="s">
        <v>132</v>
      </c>
      <c r="B45" s="224" t="s">
        <v>148</v>
      </c>
      <c r="C45" s="202">
        <v>1.3836066434939469</v>
      </c>
      <c r="D45" s="227" t="s">
        <v>142</v>
      </c>
      <c r="E45" s="227"/>
      <c r="F45" s="227"/>
      <c r="G45" s="227"/>
    </row>
    <row r="46" spans="1:9">
      <c r="A46" s="89" t="s">
        <v>133</v>
      </c>
      <c r="B46" s="225"/>
      <c r="C46" s="202">
        <v>1.5111487895793186E-2</v>
      </c>
      <c r="D46" s="228"/>
      <c r="E46" s="228"/>
      <c r="F46" s="228"/>
      <c r="G46" s="228"/>
      <c r="H46" s="203"/>
      <c r="I46" s="203"/>
    </row>
    <row r="47" spans="1:9">
      <c r="A47" s="200" t="s">
        <v>134</v>
      </c>
      <c r="B47" s="225"/>
      <c r="C47" s="202">
        <v>8.539432794156411E-2</v>
      </c>
    </row>
    <row r="48" spans="1:9" ht="11.25" customHeight="1">
      <c r="A48" s="200" t="s">
        <v>135</v>
      </c>
      <c r="B48" s="225"/>
      <c r="C48" s="202">
        <v>3.5493154193163234</v>
      </c>
      <c r="D48" s="229" t="s">
        <v>154</v>
      </c>
      <c r="E48" s="229"/>
      <c r="F48" s="229"/>
      <c r="G48" s="229"/>
      <c r="H48" s="203"/>
      <c r="I48" s="203"/>
    </row>
    <row r="49" spans="1:9">
      <c r="A49" s="200" t="s">
        <v>136</v>
      </c>
      <c r="B49" s="225"/>
      <c r="C49" s="202">
        <v>2.6277552764666406E-2</v>
      </c>
      <c r="D49" s="229"/>
      <c r="E49" s="229"/>
      <c r="F49" s="229"/>
      <c r="G49" s="229"/>
      <c r="H49" s="203"/>
      <c r="I49" s="203"/>
    </row>
    <row r="50" spans="1:9">
      <c r="A50" s="200" t="s">
        <v>137</v>
      </c>
      <c r="B50" s="225"/>
      <c r="C50" s="202">
        <v>7.1255334477909715E-2</v>
      </c>
      <c r="D50" s="204"/>
      <c r="E50" s="204"/>
      <c r="F50" s="204"/>
      <c r="G50" s="204"/>
    </row>
    <row r="51" spans="1:9">
      <c r="A51" s="200" t="s">
        <v>138</v>
      </c>
      <c r="B51" s="225"/>
      <c r="C51" s="202">
        <v>3.416126927253869</v>
      </c>
    </row>
    <row r="52" spans="1:9">
      <c r="A52" s="89" t="s">
        <v>139</v>
      </c>
      <c r="B52" s="225"/>
      <c r="C52" s="202">
        <v>2.109050426556246E-2</v>
      </c>
    </row>
    <row r="53" spans="1:9">
      <c r="A53" s="89" t="s">
        <v>140</v>
      </c>
      <c r="B53" s="225"/>
      <c r="C53" s="202">
        <v>2.5341844034013027E-2</v>
      </c>
    </row>
    <row r="54" spans="1:9">
      <c r="B54" s="200"/>
      <c r="C54" s="202"/>
    </row>
    <row r="56" spans="1:9">
      <c r="A56" s="220" t="s">
        <v>150</v>
      </c>
      <c r="B56" s="220"/>
      <c r="C56" s="220"/>
    </row>
    <row r="57" spans="1:9" ht="21" customHeight="1">
      <c r="A57" s="68" t="s">
        <v>95</v>
      </c>
      <c r="B57" s="168" t="s">
        <v>76</v>
      </c>
      <c r="C57" s="208" t="s">
        <v>149</v>
      </c>
    </row>
    <row r="58" spans="1:9">
      <c r="A58" s="75" t="str">
        <f>'Output | Final Decision tables'!C7</f>
        <v>Urban</v>
      </c>
      <c r="B58" s="221" t="s">
        <v>128</v>
      </c>
      <c r="C58" s="191">
        <v>3878892.7905317098</v>
      </c>
    </row>
    <row r="59" spans="1:9">
      <c r="A59" s="75" t="str">
        <f>'Output | Final Decision tables'!D7</f>
        <v>Short rural</v>
      </c>
      <c r="B59" s="221"/>
      <c r="C59" s="191">
        <v>3852173.5474761217</v>
      </c>
    </row>
    <row r="60" spans="1:9">
      <c r="A60" s="75" t="s">
        <v>117</v>
      </c>
      <c r="B60" s="222"/>
      <c r="C60" s="191">
        <v>1522933.9701408849</v>
      </c>
    </row>
    <row r="63" spans="1:9">
      <c r="H63" s="114"/>
    </row>
    <row r="64" spans="1:9">
      <c r="H64" s="169"/>
    </row>
    <row r="77" spans="1:1">
      <c r="A77" s="89" t="s">
        <v>151</v>
      </c>
    </row>
  </sheetData>
  <mergeCells count="13">
    <mergeCell ref="A2:G2"/>
    <mergeCell ref="B58:B60"/>
    <mergeCell ref="A21:G21"/>
    <mergeCell ref="A20:G20"/>
    <mergeCell ref="A43:G43"/>
    <mergeCell ref="A56:C56"/>
    <mergeCell ref="B45:B53"/>
    <mergeCell ref="D44:G44"/>
    <mergeCell ref="D45:G46"/>
    <mergeCell ref="D48:G49"/>
    <mergeCell ref="B4:B14"/>
    <mergeCell ref="F27:K27"/>
    <mergeCell ref="B29:B30"/>
  </mergeCells>
  <phoneticPr fontId="3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AA42"/>
  <sheetViews>
    <sheetView topLeftCell="L1" zoomScale="115" zoomScaleNormal="115" workbookViewId="0">
      <selection activeCell="T29" sqref="T29"/>
    </sheetView>
  </sheetViews>
  <sheetFormatPr defaultColWidth="9.140625" defaultRowHeight="11.25"/>
  <cols>
    <col min="1" max="1" width="5.42578125" style="43" customWidth="1"/>
    <col min="2" max="2" width="20.42578125" style="43" customWidth="1"/>
    <col min="3" max="7" width="13.5703125" style="43" customWidth="1"/>
    <col min="8" max="9" width="18" style="43" customWidth="1"/>
    <col min="10" max="10" width="3.140625" style="43" customWidth="1"/>
    <col min="11" max="11" width="20.42578125" style="43" customWidth="1"/>
    <col min="12" max="16" width="13.5703125" style="43" customWidth="1"/>
    <col min="17" max="18" width="18" style="43" customWidth="1"/>
    <col min="19" max="19" width="2.42578125" style="43" customWidth="1"/>
    <col min="20" max="20" width="20.42578125" style="43" customWidth="1"/>
    <col min="21" max="25" width="13.5703125" style="43" customWidth="1"/>
    <col min="26" max="27" width="18" style="43" customWidth="1"/>
    <col min="28" max="16384" width="9.140625" style="43"/>
  </cols>
  <sheetData>
    <row r="2" spans="2:27">
      <c r="B2" s="32" t="s">
        <v>23</v>
      </c>
      <c r="C2" s="44"/>
      <c r="D2" s="44"/>
      <c r="E2" s="44"/>
      <c r="F2" s="44"/>
      <c r="G2" s="44"/>
      <c r="H2" s="44"/>
      <c r="I2" s="44"/>
      <c r="J2" s="32"/>
      <c r="K2" s="32"/>
      <c r="L2" s="44"/>
      <c r="M2" s="44"/>
      <c r="N2" s="44"/>
      <c r="O2" s="99"/>
      <c r="P2" s="44"/>
      <c r="Q2" s="44"/>
      <c r="R2" s="44"/>
      <c r="S2" s="100"/>
      <c r="T2" s="32"/>
      <c r="U2" s="44"/>
      <c r="V2" s="44"/>
      <c r="W2" s="44"/>
      <c r="X2" s="44"/>
      <c r="Y2" s="44"/>
      <c r="Z2" s="44"/>
      <c r="AA2" s="44"/>
    </row>
    <row r="4" spans="2:27" s="33" customFormat="1">
      <c r="B4" s="45" t="s">
        <v>11</v>
      </c>
      <c r="C4" s="45"/>
      <c r="D4" s="45"/>
      <c r="E4" s="45"/>
      <c r="F4" s="45"/>
      <c r="G4" s="45"/>
      <c r="H4" s="45"/>
      <c r="I4" s="45"/>
      <c r="K4" s="45" t="s">
        <v>11</v>
      </c>
      <c r="L4" s="45"/>
      <c r="M4" s="45"/>
      <c r="N4" s="45"/>
      <c r="O4" s="45"/>
      <c r="P4" s="45"/>
      <c r="Q4" s="45"/>
      <c r="R4" s="45"/>
      <c r="T4" s="45" t="s">
        <v>11</v>
      </c>
      <c r="U4" s="45"/>
      <c r="V4" s="45"/>
      <c r="W4" s="45"/>
      <c r="X4" s="45"/>
      <c r="Y4" s="45"/>
      <c r="Z4" s="45"/>
      <c r="AA4" s="45"/>
    </row>
    <row r="6" spans="2:27" s="33" customFormat="1">
      <c r="B6" s="46" t="s">
        <v>7</v>
      </c>
      <c r="C6" s="48"/>
      <c r="D6" s="40"/>
      <c r="E6" s="40"/>
      <c r="F6" s="40"/>
      <c r="G6" s="40"/>
      <c r="H6" s="40"/>
      <c r="I6" s="40"/>
      <c r="K6" s="46" t="s">
        <v>6</v>
      </c>
      <c r="L6" s="47"/>
      <c r="T6" s="46" t="s">
        <v>162</v>
      </c>
      <c r="U6" s="48"/>
      <c r="V6" s="40"/>
      <c r="W6" s="40"/>
      <c r="X6" s="40"/>
      <c r="Y6" s="40"/>
      <c r="Z6" s="40"/>
      <c r="AA6" s="40"/>
    </row>
    <row r="7" spans="2:27" s="33" customFormat="1">
      <c r="B7" s="52" t="s">
        <v>0</v>
      </c>
      <c r="C7" s="50" t="s">
        <v>8</v>
      </c>
      <c r="D7" s="50" t="s">
        <v>9</v>
      </c>
      <c r="E7" s="50" t="s">
        <v>10</v>
      </c>
      <c r="F7" s="50" t="s">
        <v>55</v>
      </c>
      <c r="G7" s="50" t="s">
        <v>77</v>
      </c>
      <c r="H7" s="50" t="s">
        <v>12</v>
      </c>
      <c r="I7" s="50" t="s">
        <v>13</v>
      </c>
      <c r="K7" s="49" t="s">
        <v>0</v>
      </c>
      <c r="L7" s="50" t="s">
        <v>8</v>
      </c>
      <c r="M7" s="50" t="s">
        <v>9</v>
      </c>
      <c r="N7" s="50" t="s">
        <v>10</v>
      </c>
      <c r="O7" s="50" t="s">
        <v>55</v>
      </c>
      <c r="P7" s="50" t="s">
        <v>77</v>
      </c>
      <c r="Q7" s="50" t="s">
        <v>12</v>
      </c>
      <c r="R7" s="50" t="s">
        <v>13</v>
      </c>
      <c r="T7" s="52" t="s">
        <v>0</v>
      </c>
      <c r="U7" s="50" t="s">
        <v>8</v>
      </c>
      <c r="V7" s="50" t="s">
        <v>9</v>
      </c>
      <c r="W7" s="50" t="s">
        <v>10</v>
      </c>
      <c r="X7" s="50" t="s">
        <v>55</v>
      </c>
      <c r="Y7" s="50" t="s">
        <v>77</v>
      </c>
      <c r="Z7" s="50" t="s">
        <v>12</v>
      </c>
      <c r="AA7" s="50" t="s">
        <v>13</v>
      </c>
    </row>
    <row r="8" spans="2:27" s="33" customFormat="1">
      <c r="B8" s="34" t="s">
        <v>1</v>
      </c>
      <c r="C8" s="164">
        <f>'Target adjustments'!C4</f>
        <v>72.872398720216466</v>
      </c>
      <c r="D8" s="164">
        <f>'Target adjustments'!D4</f>
        <v>72.181892305992193</v>
      </c>
      <c r="E8" s="164">
        <f>'Target adjustments'!E4</f>
        <v>75.524609718483745</v>
      </c>
      <c r="F8" s="164">
        <f>'Target adjustments'!F4</f>
        <v>110.38818105156867</v>
      </c>
      <c r="G8" s="164">
        <f>'Target adjustments'!G4</f>
        <v>83.107946234899202</v>
      </c>
      <c r="H8" s="77">
        <f>AVERAGE(C8:F8)</f>
        <v>82.741770449065271</v>
      </c>
      <c r="I8" s="77">
        <f>AVERAGE($C8:G8)</f>
        <v>82.815005606232063</v>
      </c>
      <c r="K8" s="34" t="s">
        <v>1</v>
      </c>
      <c r="L8" s="164">
        <f>'Target adjustments'!C8</f>
        <v>0.71992193126261295</v>
      </c>
      <c r="M8" s="164">
        <f>'Target adjustments'!D8</f>
        <v>0.68227310875428215</v>
      </c>
      <c r="N8" s="164">
        <f>'Target adjustments'!E8</f>
        <v>0.62124964730225418</v>
      </c>
      <c r="O8" s="164">
        <f>'Target adjustments'!F8</f>
        <v>0.98401109811495235</v>
      </c>
      <c r="P8" s="164">
        <f>'Target adjustments'!G8</f>
        <v>0.70815660642470424</v>
      </c>
      <c r="Q8" s="77">
        <f>AVERAGE(L8:O8)</f>
        <v>0.75186394635852538</v>
      </c>
      <c r="R8" s="77">
        <f>AVERAGE($L8:$P8)</f>
        <v>0.74312247837176115</v>
      </c>
      <c r="T8" s="34" t="s">
        <v>1</v>
      </c>
      <c r="U8" s="164">
        <f>'Target adjustments'!C12</f>
        <v>2.5056018850428132</v>
      </c>
      <c r="V8" s="164">
        <f>'Target adjustments'!D12</f>
        <v>3.243994516440226</v>
      </c>
      <c r="W8" s="164">
        <f>'Target adjustments'!E12</f>
        <v>3.0598518744112373</v>
      </c>
      <c r="X8" s="164">
        <f>'Target adjustments'!F12</f>
        <v>2.9485446624930818</v>
      </c>
      <c r="Y8" s="164">
        <f>'Target adjustments'!G12</f>
        <v>2.5783908671545652</v>
      </c>
      <c r="Z8" s="77">
        <f>AVERAGE(U8:X8)</f>
        <v>2.9394982345968392</v>
      </c>
      <c r="AA8" s="77">
        <f>AVERAGE(U8:Y8)</f>
        <v>2.8672767611083847</v>
      </c>
    </row>
    <row r="9" spans="2:27" s="33" customFormat="1">
      <c r="B9" s="34" t="s">
        <v>116</v>
      </c>
      <c r="C9" s="164">
        <f>'Target adjustments'!C5</f>
        <v>153.57051905602708</v>
      </c>
      <c r="D9" s="164">
        <f>'Target adjustments'!D5</f>
        <v>192.61749950909908</v>
      </c>
      <c r="E9" s="164">
        <f>'Target adjustments'!E5</f>
        <v>195.81867414988844</v>
      </c>
      <c r="F9" s="164">
        <f>'Target adjustments'!F5</f>
        <v>169.57140243828238</v>
      </c>
      <c r="G9" s="164">
        <f>'Target adjustments'!G5</f>
        <v>271.43817010770061</v>
      </c>
      <c r="H9" s="77">
        <f>AVERAGE(C9:F9)</f>
        <v>177.89452378832425</v>
      </c>
      <c r="I9" s="77">
        <f>AVERAGE($C9:G9)</f>
        <v>196.60325305219953</v>
      </c>
      <c r="K9" s="34" t="s">
        <v>116</v>
      </c>
      <c r="L9" s="164">
        <f>'Target adjustments'!C9</f>
        <v>1.5489528059636812</v>
      </c>
      <c r="M9" s="164">
        <f>'Target adjustments'!D9</f>
        <v>1.361670456632863</v>
      </c>
      <c r="N9" s="164">
        <f>'Target adjustments'!E9</f>
        <v>1.3800096264746216</v>
      </c>
      <c r="O9" s="164">
        <f>'Target adjustments'!F9</f>
        <v>1.2460571533104232</v>
      </c>
      <c r="P9" s="164">
        <f>'Target adjustments'!G9</f>
        <v>1.8689975180748892</v>
      </c>
      <c r="Q9" s="77">
        <f>AVERAGE(L9:O9)</f>
        <v>1.3841725105953973</v>
      </c>
      <c r="R9" s="77">
        <f>AVERAGE($L9:$P9)</f>
        <v>1.4811375120912955</v>
      </c>
      <c r="T9" s="34" t="s">
        <v>116</v>
      </c>
      <c r="U9" s="164">
        <f>'Target adjustments'!C13</f>
        <v>4.9213647868039256</v>
      </c>
      <c r="V9" s="164">
        <f>'Target adjustments'!D13</f>
        <v>5.3174862072678675</v>
      </c>
      <c r="W9" s="164">
        <f>'Target adjustments'!E13</f>
        <v>4.8327051907283121</v>
      </c>
      <c r="X9" s="164">
        <f>'Target adjustments'!F13</f>
        <v>4.219881485933807</v>
      </c>
      <c r="Y9" s="164">
        <f>'Target adjustments'!G13</f>
        <v>4.6749322342640927</v>
      </c>
      <c r="Z9" s="77">
        <f>AVERAGE(U9:X9)</f>
        <v>4.8228594176834783</v>
      </c>
      <c r="AA9" s="77">
        <f>AVERAGE(U9:Y9)</f>
        <v>4.7932739809996008</v>
      </c>
    </row>
    <row r="10" spans="2:27" s="33" customFormat="1">
      <c r="B10" s="34" t="s">
        <v>117</v>
      </c>
      <c r="C10" s="164">
        <f>'Target adjustments'!C6</f>
        <v>188.83996673020826</v>
      </c>
      <c r="D10" s="164">
        <f>'Target adjustments'!D6</f>
        <v>285.00165432765073</v>
      </c>
      <c r="E10" s="164">
        <f>'Target adjustments'!E6</f>
        <v>351.19426084893206</v>
      </c>
      <c r="F10" s="164">
        <f>'Target adjustments'!F6</f>
        <v>281.7999350658892</v>
      </c>
      <c r="G10" s="164">
        <f>'Target adjustments'!G6</f>
        <v>462.67271168125984</v>
      </c>
      <c r="H10" s="77">
        <f>AVERAGE(C10:F10)</f>
        <v>276.70895424317007</v>
      </c>
      <c r="I10" s="77">
        <f>AVERAGE($C10:G10)</f>
        <v>313.90170573078802</v>
      </c>
      <c r="K10" s="34" t="s">
        <v>117</v>
      </c>
      <c r="L10" s="164">
        <f>'Target adjustments'!C10</f>
        <v>1.8300295687263957</v>
      </c>
      <c r="M10" s="164">
        <f>'Target adjustments'!D10</f>
        <v>1.8321111645606254</v>
      </c>
      <c r="N10" s="164">
        <f>'Target adjustments'!E10</f>
        <v>2.3068432755565591</v>
      </c>
      <c r="O10" s="164">
        <f>'Target adjustments'!F10</f>
        <v>2.0195151103765792</v>
      </c>
      <c r="P10" s="164">
        <f>'Target adjustments'!G10</f>
        <v>2.5359912939484492</v>
      </c>
      <c r="Q10" s="77">
        <f>AVERAGE(L10:O10)</f>
        <v>1.99712477980504</v>
      </c>
      <c r="R10" s="77">
        <f>AVERAGE($L10:$P10)</f>
        <v>2.1048980826337216</v>
      </c>
      <c r="T10" s="34" t="s">
        <v>117</v>
      </c>
      <c r="U10" s="164">
        <f>'Target adjustments'!C14</f>
        <v>9.1875723797054274</v>
      </c>
      <c r="V10" s="164">
        <f>'Target adjustments'!D14</f>
        <v>10.459793580582964</v>
      </c>
      <c r="W10" s="164">
        <f>'Target adjustments'!E14</f>
        <v>9.5809455285828555</v>
      </c>
      <c r="X10" s="164">
        <f>'Target adjustments'!F14</f>
        <v>6.5009591547633132</v>
      </c>
      <c r="Y10" s="164">
        <f>'Target adjustments'!G14</f>
        <v>7.7140231264107886</v>
      </c>
      <c r="Z10" s="77">
        <f>AVERAGE(U10:X10)</f>
        <v>8.9323176609086392</v>
      </c>
      <c r="AA10" s="77">
        <f>AVERAGE(U10:Y10)</f>
        <v>8.6886587540090687</v>
      </c>
    </row>
    <row r="11" spans="2:27" s="33" customFormat="1">
      <c r="B11" s="34" t="s">
        <v>122</v>
      </c>
      <c r="C11" s="101">
        <f>'Target adjustments'!C16</f>
        <v>0.81284509151191864</v>
      </c>
      <c r="D11" s="101">
        <f>'Target adjustments'!D16</f>
        <v>0.61273866630278473</v>
      </c>
      <c r="E11" s="101">
        <f>'Target adjustments'!E16</f>
        <v>0.72637532133676097</v>
      </c>
      <c r="F11" s="101">
        <f>'Target adjustments'!F16</f>
        <v>0.71795043626274946</v>
      </c>
      <c r="G11" s="101">
        <f>'Target adjustments'!G16</f>
        <v>0.63314193432621602</v>
      </c>
      <c r="H11" s="77">
        <f>AVERAGE(C11:F11)</f>
        <v>0.71747737885355356</v>
      </c>
      <c r="I11" s="77">
        <f>AVERAGE($C11:G11)</f>
        <v>0.70061028994808605</v>
      </c>
      <c r="K11" s="34"/>
      <c r="L11" s="101"/>
      <c r="M11" s="101"/>
      <c r="N11" s="101"/>
      <c r="O11" s="101"/>
      <c r="P11" s="101"/>
      <c r="Q11" s="77"/>
      <c r="R11" s="77"/>
      <c r="T11" s="34"/>
      <c r="U11" s="101"/>
      <c r="V11" s="101"/>
      <c r="W11" s="101"/>
      <c r="X11" s="101"/>
      <c r="Y11" s="101"/>
      <c r="Z11" s="77"/>
      <c r="AA11" s="77"/>
    </row>
    <row r="12" spans="2:27">
      <c r="B12" s="53"/>
      <c r="C12" s="54"/>
      <c r="D12" s="54"/>
      <c r="E12" s="54"/>
      <c r="F12" s="54"/>
      <c r="G12" s="54"/>
      <c r="H12" s="54"/>
      <c r="I12" s="54"/>
      <c r="K12" s="53"/>
      <c r="L12" s="54"/>
      <c r="M12" s="54"/>
      <c r="N12" s="54"/>
      <c r="O12" s="54"/>
      <c r="P12" s="54"/>
      <c r="Q12" s="54"/>
      <c r="R12" s="74"/>
      <c r="T12" s="53"/>
      <c r="U12" s="54"/>
      <c r="V12" s="54"/>
      <c r="W12" s="54"/>
      <c r="X12" s="54"/>
      <c r="Y12" s="54"/>
      <c r="Z12" s="54"/>
      <c r="AA12" s="54"/>
    </row>
    <row r="13" spans="2:27">
      <c r="C13" s="55"/>
      <c r="L13" s="55"/>
      <c r="U13" s="55"/>
    </row>
    <row r="15" spans="2:27" s="33" customFormat="1">
      <c r="B15" s="45" t="s">
        <v>49</v>
      </c>
      <c r="C15" s="45"/>
      <c r="D15" s="45"/>
      <c r="E15" s="45"/>
      <c r="F15" s="45"/>
      <c r="G15" s="45"/>
      <c r="H15" s="45"/>
      <c r="I15" s="45"/>
      <c r="K15" s="45" t="s">
        <v>143</v>
      </c>
      <c r="L15" s="45"/>
      <c r="M15" s="45"/>
      <c r="N15" s="45"/>
      <c r="O15" s="45"/>
      <c r="P15" s="45"/>
      <c r="Q15" s="45"/>
      <c r="R15" s="45"/>
      <c r="T15" s="45" t="s">
        <v>49</v>
      </c>
      <c r="U15" s="45"/>
      <c r="V15" s="45"/>
      <c r="W15" s="45"/>
      <c r="X15" s="45"/>
      <c r="Y15" s="45"/>
      <c r="Z15" s="45"/>
      <c r="AA15" s="45"/>
    </row>
    <row r="17" spans="2:27" s="33" customFormat="1">
      <c r="B17" s="46" t="s">
        <v>7</v>
      </c>
      <c r="C17" s="40"/>
      <c r="D17" s="40"/>
      <c r="E17" s="40"/>
      <c r="F17" s="40"/>
      <c r="G17" s="40"/>
      <c r="H17" s="40"/>
      <c r="I17" s="40"/>
      <c r="K17" s="46" t="s">
        <v>6</v>
      </c>
      <c r="T17" s="46" t="str">
        <f>T6</f>
        <v>MAIFI / MAIFIe</v>
      </c>
      <c r="U17" s="40"/>
      <c r="V17" s="40"/>
      <c r="W17" s="40"/>
      <c r="X17" s="40"/>
      <c r="Y17" s="40"/>
      <c r="Z17" s="40"/>
      <c r="AA17" s="40"/>
    </row>
    <row r="18" spans="2:27" s="33" customFormat="1">
      <c r="B18" s="52" t="s">
        <v>0</v>
      </c>
      <c r="C18" s="50"/>
      <c r="D18" s="50"/>
      <c r="E18" s="50"/>
      <c r="F18" s="50"/>
      <c r="G18" s="50"/>
      <c r="H18" s="50" t="s">
        <v>12</v>
      </c>
      <c r="I18" s="50" t="s">
        <v>13</v>
      </c>
      <c r="K18" s="49" t="s">
        <v>0</v>
      </c>
      <c r="L18" s="50"/>
      <c r="M18" s="50"/>
      <c r="N18" s="50"/>
      <c r="O18" s="50"/>
      <c r="P18" s="50"/>
      <c r="Q18" s="50" t="s">
        <v>12</v>
      </c>
      <c r="R18" s="50" t="s">
        <v>13</v>
      </c>
      <c r="T18" s="52" t="s">
        <v>0</v>
      </c>
      <c r="U18" s="50"/>
      <c r="V18" s="50"/>
      <c r="W18" s="50"/>
      <c r="X18" s="50"/>
      <c r="Y18" s="50"/>
      <c r="Z18" s="50" t="s">
        <v>12</v>
      </c>
      <c r="AA18" s="50" t="s">
        <v>13</v>
      </c>
    </row>
    <row r="19" spans="2:27" s="33" customFormat="1">
      <c r="B19" s="34" t="s">
        <v>1</v>
      </c>
      <c r="C19" s="50"/>
      <c r="D19" s="50"/>
      <c r="E19" s="50"/>
      <c r="F19" s="50"/>
      <c r="G19" s="50"/>
      <c r="H19" s="77">
        <v>0</v>
      </c>
      <c r="I19" s="77">
        <f>'Target adjustments'!$C$45</f>
        <v>1.3836066434939469</v>
      </c>
      <c r="K19" s="34" t="s">
        <v>1</v>
      </c>
      <c r="L19" s="50"/>
      <c r="M19" s="50"/>
      <c r="N19" s="50"/>
      <c r="O19" s="50"/>
      <c r="P19" s="50"/>
      <c r="Q19" s="77">
        <v>0</v>
      </c>
      <c r="R19" s="77">
        <f>'Target adjustments'!C46</f>
        <v>1.5111487895793186E-2</v>
      </c>
      <c r="T19" s="34" t="s">
        <v>1</v>
      </c>
      <c r="U19" s="50"/>
      <c r="V19" s="50"/>
      <c r="W19" s="50"/>
      <c r="X19" s="50"/>
      <c r="Y19" s="50"/>
      <c r="Z19" s="77">
        <v>0</v>
      </c>
      <c r="AA19" s="77">
        <f>'Target adjustments'!C47</f>
        <v>8.539432794156411E-2</v>
      </c>
    </row>
    <row r="20" spans="2:27" s="33" customFormat="1">
      <c r="B20" s="34" t="s">
        <v>116</v>
      </c>
      <c r="C20" s="50"/>
      <c r="D20" s="50"/>
      <c r="E20" s="50"/>
      <c r="F20" s="50"/>
      <c r="G20" s="50"/>
      <c r="H20" s="77">
        <v>0</v>
      </c>
      <c r="I20" s="77">
        <f>'Target adjustments'!$C$48</f>
        <v>3.5493154193163234</v>
      </c>
      <c r="K20" s="34" t="s">
        <v>116</v>
      </c>
      <c r="L20" s="50"/>
      <c r="M20" s="50"/>
      <c r="N20" s="50"/>
      <c r="O20" s="50"/>
      <c r="P20" s="50"/>
      <c r="Q20" s="77">
        <v>0</v>
      </c>
      <c r="R20" s="77">
        <f>'Target adjustments'!C49</f>
        <v>2.6277552764666406E-2</v>
      </c>
      <c r="T20" s="34" t="s">
        <v>116</v>
      </c>
      <c r="U20" s="50"/>
      <c r="V20" s="50"/>
      <c r="W20" s="50"/>
      <c r="X20" s="50"/>
      <c r="Y20" s="50"/>
      <c r="Z20" s="77">
        <v>0</v>
      </c>
      <c r="AA20" s="77">
        <f>'Target adjustments'!C50</f>
        <v>7.1255334477909715E-2</v>
      </c>
    </row>
    <row r="21" spans="2:27" s="33" customFormat="1">
      <c r="B21" s="34" t="s">
        <v>117</v>
      </c>
      <c r="C21" s="50"/>
      <c r="D21" s="50"/>
      <c r="E21" s="50"/>
      <c r="F21" s="50"/>
      <c r="G21" s="50"/>
      <c r="H21" s="77">
        <v>0</v>
      </c>
      <c r="I21" s="77">
        <f>'Target adjustments'!$C$51</f>
        <v>3.416126927253869</v>
      </c>
      <c r="K21" s="34" t="s">
        <v>117</v>
      </c>
      <c r="L21" s="50"/>
      <c r="M21" s="50"/>
      <c r="N21" s="50"/>
      <c r="O21" s="50"/>
      <c r="P21" s="50"/>
      <c r="Q21" s="77">
        <v>0</v>
      </c>
      <c r="R21" s="77">
        <f>'Target adjustments'!C52</f>
        <v>2.109050426556246E-2</v>
      </c>
      <c r="T21" s="34" t="s">
        <v>117</v>
      </c>
      <c r="U21" s="50"/>
      <c r="V21" s="50"/>
      <c r="W21" s="50"/>
      <c r="X21" s="50"/>
      <c r="Y21" s="50"/>
      <c r="Z21" s="77">
        <v>0</v>
      </c>
      <c r="AA21" s="77">
        <f>'Target adjustments'!C53</f>
        <v>2.5341844034013027E-2</v>
      </c>
    </row>
    <row r="22" spans="2:27" s="33" customFormat="1">
      <c r="B22" s="34" t="s">
        <v>122</v>
      </c>
      <c r="C22" s="50"/>
      <c r="D22" s="50"/>
      <c r="E22" s="50"/>
      <c r="F22" s="50"/>
      <c r="G22" s="50"/>
      <c r="H22" s="77">
        <v>0</v>
      </c>
      <c r="I22" s="77">
        <v>0</v>
      </c>
      <c r="K22" s="34"/>
      <c r="L22" s="50"/>
      <c r="M22" s="50"/>
      <c r="N22" s="50"/>
      <c r="O22" s="50"/>
      <c r="P22" s="50"/>
      <c r="Q22" s="77"/>
      <c r="R22" s="84"/>
      <c r="T22" s="34"/>
      <c r="U22" s="50"/>
      <c r="V22" s="50"/>
      <c r="W22" s="50"/>
      <c r="X22" s="50"/>
      <c r="Y22" s="50"/>
      <c r="Z22" s="77"/>
      <c r="AA22" s="77"/>
    </row>
    <row r="23" spans="2:27">
      <c r="B23" s="53"/>
      <c r="C23" s="54"/>
      <c r="D23" s="54"/>
      <c r="E23" s="54"/>
      <c r="F23" s="54"/>
      <c r="G23" s="54"/>
      <c r="H23" s="54"/>
      <c r="I23" s="54"/>
      <c r="K23" s="53"/>
      <c r="L23" s="54"/>
      <c r="M23" s="54"/>
      <c r="N23" s="54"/>
      <c r="O23" s="54"/>
      <c r="P23" s="54"/>
      <c r="Q23" s="54"/>
      <c r="R23" s="54"/>
      <c r="T23" s="53"/>
      <c r="U23" s="54"/>
      <c r="V23" s="54"/>
      <c r="W23" s="54"/>
      <c r="X23" s="54"/>
      <c r="Y23" s="54"/>
      <c r="Z23" s="54"/>
      <c r="AA23" s="54"/>
    </row>
    <row r="26" spans="2:27" s="33" customFormat="1">
      <c r="B26" s="45" t="s">
        <v>145</v>
      </c>
      <c r="C26" s="45"/>
      <c r="D26" s="45"/>
      <c r="E26" s="45"/>
      <c r="F26" s="45"/>
      <c r="G26" s="45"/>
      <c r="H26" s="45"/>
      <c r="I26" s="45"/>
      <c r="K26" s="45" t="s">
        <v>145</v>
      </c>
      <c r="L26" s="45"/>
      <c r="M26" s="45"/>
      <c r="N26" s="45"/>
      <c r="O26" s="45"/>
      <c r="P26" s="45"/>
      <c r="Q26" s="45"/>
      <c r="R26" s="45"/>
      <c r="T26" s="45" t="s">
        <v>145</v>
      </c>
      <c r="U26" s="45"/>
      <c r="V26" s="45"/>
      <c r="W26" s="45"/>
      <c r="X26" s="45"/>
      <c r="Y26" s="45"/>
      <c r="Z26" s="45"/>
      <c r="AA26" s="45"/>
    </row>
    <row r="28" spans="2:27" s="33" customFormat="1">
      <c r="B28" s="46" t="s">
        <v>7</v>
      </c>
      <c r="C28" s="40"/>
      <c r="D28" s="40"/>
      <c r="E28" s="40"/>
      <c r="F28" s="40"/>
      <c r="G28" s="40"/>
      <c r="H28" s="40"/>
      <c r="I28" s="40"/>
      <c r="K28" s="46" t="s">
        <v>6</v>
      </c>
      <c r="T28" s="46" t="str">
        <f>T6</f>
        <v>MAIFI / MAIFIe</v>
      </c>
      <c r="U28" s="40"/>
      <c r="V28" s="40"/>
      <c r="W28" s="40"/>
      <c r="X28" s="40"/>
      <c r="Y28" s="40"/>
      <c r="Z28" s="40"/>
      <c r="AA28" s="40"/>
    </row>
    <row r="29" spans="2:27" s="33" customFormat="1">
      <c r="B29" s="52" t="s">
        <v>0</v>
      </c>
      <c r="C29" s="50" t="s">
        <v>8</v>
      </c>
      <c r="D29" s="50" t="s">
        <v>9</v>
      </c>
      <c r="E29" s="50" t="s">
        <v>10</v>
      </c>
      <c r="F29" s="50" t="s">
        <v>55</v>
      </c>
      <c r="G29" s="50" t="s">
        <v>77</v>
      </c>
      <c r="H29" s="50" t="s">
        <v>12</v>
      </c>
      <c r="I29" s="50" t="s">
        <v>13</v>
      </c>
      <c r="K29" s="49" t="s">
        <v>0</v>
      </c>
      <c r="L29" s="50" t="s">
        <v>8</v>
      </c>
      <c r="M29" s="50" t="s">
        <v>9</v>
      </c>
      <c r="N29" s="50" t="s">
        <v>10</v>
      </c>
      <c r="O29" s="50" t="s">
        <v>55</v>
      </c>
      <c r="P29" s="50" t="s">
        <v>77</v>
      </c>
      <c r="Q29" s="50" t="s">
        <v>12</v>
      </c>
      <c r="R29" s="50" t="s">
        <v>13</v>
      </c>
      <c r="T29" s="52" t="s">
        <v>0</v>
      </c>
      <c r="U29" s="50" t="s">
        <v>8</v>
      </c>
      <c r="V29" s="50" t="s">
        <v>9</v>
      </c>
      <c r="W29" s="50" t="s">
        <v>10</v>
      </c>
      <c r="X29" s="50" t="s">
        <v>55</v>
      </c>
      <c r="Y29" s="50" t="s">
        <v>77</v>
      </c>
      <c r="Z29" s="50" t="s">
        <v>12</v>
      </c>
      <c r="AA29" s="50" t="s">
        <v>13</v>
      </c>
    </row>
    <row r="30" spans="2:27" s="33" customFormat="1">
      <c r="B30" s="34" t="s">
        <v>1</v>
      </c>
      <c r="C30" s="101">
        <f>C8</f>
        <v>72.872398720216466</v>
      </c>
      <c r="D30" s="101">
        <f t="shared" ref="D30:G30" si="0">D8</f>
        <v>72.181892305992193</v>
      </c>
      <c r="E30" s="101">
        <f t="shared" si="0"/>
        <v>75.524609718483745</v>
      </c>
      <c r="F30" s="101">
        <f t="shared" si="0"/>
        <v>110.38818105156867</v>
      </c>
      <c r="G30" s="101">
        <f t="shared" si="0"/>
        <v>83.107946234899202</v>
      </c>
      <c r="H30" s="77">
        <f t="shared" ref="H30:H31" si="1">AVERAGE(C30:F30)</f>
        <v>82.741770449065271</v>
      </c>
      <c r="I30" s="77">
        <f>I8-I19</f>
        <v>81.431398962738115</v>
      </c>
      <c r="K30" s="34" t="s">
        <v>1</v>
      </c>
      <c r="L30" s="101">
        <f>L8</f>
        <v>0.71992193126261295</v>
      </c>
      <c r="M30" s="101">
        <f t="shared" ref="M30:P30" si="2">M8</f>
        <v>0.68227310875428215</v>
      </c>
      <c r="N30" s="101">
        <f t="shared" si="2"/>
        <v>0.62124964730225418</v>
      </c>
      <c r="O30" s="101">
        <f t="shared" si="2"/>
        <v>0.98401109811495235</v>
      </c>
      <c r="P30" s="101">
        <f t="shared" si="2"/>
        <v>0.70815660642470424</v>
      </c>
      <c r="Q30" s="77">
        <f>AVERAGE(L30:O30)</f>
        <v>0.75186394635852538</v>
      </c>
      <c r="R30" s="77">
        <f>R8-R19</f>
        <v>0.72801099047596796</v>
      </c>
      <c r="T30" s="34" t="s">
        <v>1</v>
      </c>
      <c r="U30" s="101">
        <f>U8</f>
        <v>2.5056018850428132</v>
      </c>
      <c r="V30" s="101">
        <f t="shared" ref="V30:Y30" si="3">V8</f>
        <v>3.243994516440226</v>
      </c>
      <c r="W30" s="101">
        <f t="shared" si="3"/>
        <v>3.0598518744112373</v>
      </c>
      <c r="X30" s="101">
        <f t="shared" si="3"/>
        <v>2.9485446624930818</v>
      </c>
      <c r="Y30" s="101">
        <f t="shared" si="3"/>
        <v>2.5783908671545652</v>
      </c>
      <c r="Z30" s="77">
        <f t="shared" ref="Z30:Z31" si="4">AVERAGE(U30:X30)</f>
        <v>2.9394982345968392</v>
      </c>
      <c r="AA30" s="77">
        <f>AA8-AA19</f>
        <v>2.7818824331668206</v>
      </c>
    </row>
    <row r="31" spans="2:27" s="33" customFormat="1">
      <c r="B31" s="34" t="s">
        <v>116</v>
      </c>
      <c r="C31" s="101">
        <f t="shared" ref="C31:G31" si="5">C9</f>
        <v>153.57051905602708</v>
      </c>
      <c r="D31" s="101">
        <f t="shared" si="5"/>
        <v>192.61749950909908</v>
      </c>
      <c r="E31" s="101">
        <f t="shared" si="5"/>
        <v>195.81867414988844</v>
      </c>
      <c r="F31" s="101">
        <f t="shared" si="5"/>
        <v>169.57140243828238</v>
      </c>
      <c r="G31" s="101">
        <f t="shared" si="5"/>
        <v>271.43817010770061</v>
      </c>
      <c r="H31" s="77">
        <f t="shared" si="1"/>
        <v>177.89452378832425</v>
      </c>
      <c r="I31" s="77">
        <f t="shared" ref="I31:I33" si="6">I9-I20</f>
        <v>193.05393763288322</v>
      </c>
      <c r="K31" s="34" t="s">
        <v>116</v>
      </c>
      <c r="L31" s="101">
        <f t="shared" ref="L31:P31" si="7">L9</f>
        <v>1.5489528059636812</v>
      </c>
      <c r="M31" s="101">
        <f t="shared" si="7"/>
        <v>1.361670456632863</v>
      </c>
      <c r="N31" s="101">
        <f t="shared" si="7"/>
        <v>1.3800096264746216</v>
      </c>
      <c r="O31" s="101">
        <f t="shared" si="7"/>
        <v>1.2460571533104232</v>
      </c>
      <c r="P31" s="101">
        <f t="shared" si="7"/>
        <v>1.8689975180748892</v>
      </c>
      <c r="Q31" s="77">
        <f>AVERAGE(L31:O31)</f>
        <v>1.3841725105953973</v>
      </c>
      <c r="R31" s="77">
        <f t="shared" ref="R31:R32" si="8">R9-R20</f>
        <v>1.4548599593266291</v>
      </c>
      <c r="T31" s="34" t="s">
        <v>116</v>
      </c>
      <c r="U31" s="101">
        <f t="shared" ref="U31:Y31" si="9">U9</f>
        <v>4.9213647868039256</v>
      </c>
      <c r="V31" s="101">
        <f t="shared" si="9"/>
        <v>5.3174862072678675</v>
      </c>
      <c r="W31" s="101">
        <f t="shared" si="9"/>
        <v>4.8327051907283121</v>
      </c>
      <c r="X31" s="101">
        <f t="shared" si="9"/>
        <v>4.219881485933807</v>
      </c>
      <c r="Y31" s="101">
        <f t="shared" si="9"/>
        <v>4.6749322342640927</v>
      </c>
      <c r="Z31" s="77">
        <f t="shared" si="4"/>
        <v>4.8228594176834783</v>
      </c>
      <c r="AA31" s="77">
        <f t="shared" ref="AA31:AA32" si="10">AA9-AA20</f>
        <v>4.7220186465216907</v>
      </c>
    </row>
    <row r="32" spans="2:27" s="33" customFormat="1">
      <c r="B32" s="34" t="s">
        <v>117</v>
      </c>
      <c r="C32" s="101">
        <f t="shared" ref="C32:G32" si="11">C10</f>
        <v>188.83996673020826</v>
      </c>
      <c r="D32" s="101">
        <f t="shared" si="11"/>
        <v>285.00165432765073</v>
      </c>
      <c r="E32" s="101">
        <f t="shared" si="11"/>
        <v>351.19426084893206</v>
      </c>
      <c r="F32" s="101">
        <f t="shared" si="11"/>
        <v>281.7999350658892</v>
      </c>
      <c r="G32" s="101">
        <f t="shared" si="11"/>
        <v>462.67271168125984</v>
      </c>
      <c r="H32" s="77">
        <f t="shared" ref="H32" si="12">AVERAGE(C32:F32)</f>
        <v>276.70895424317007</v>
      </c>
      <c r="I32" s="77">
        <f t="shared" si="6"/>
        <v>310.48557880353417</v>
      </c>
      <c r="K32" s="34" t="s">
        <v>117</v>
      </c>
      <c r="L32" s="101">
        <f t="shared" ref="L32:P32" si="13">L10</f>
        <v>1.8300295687263957</v>
      </c>
      <c r="M32" s="101">
        <f t="shared" si="13"/>
        <v>1.8321111645606254</v>
      </c>
      <c r="N32" s="101">
        <f t="shared" si="13"/>
        <v>2.3068432755565591</v>
      </c>
      <c r="O32" s="101">
        <f t="shared" si="13"/>
        <v>2.0195151103765792</v>
      </c>
      <c r="P32" s="101">
        <f t="shared" si="13"/>
        <v>2.5359912939484492</v>
      </c>
      <c r="Q32" s="77">
        <f>AVERAGE(L32:O32)</f>
        <v>1.99712477980504</v>
      </c>
      <c r="R32" s="77">
        <f t="shared" si="8"/>
        <v>2.0838075783681593</v>
      </c>
      <c r="T32" s="34" t="s">
        <v>117</v>
      </c>
      <c r="U32" s="101">
        <f t="shared" ref="U32:Y32" si="14">U10</f>
        <v>9.1875723797054274</v>
      </c>
      <c r="V32" s="101">
        <f t="shared" si="14"/>
        <v>10.459793580582964</v>
      </c>
      <c r="W32" s="101">
        <f t="shared" si="14"/>
        <v>9.5809455285828555</v>
      </c>
      <c r="X32" s="101">
        <f t="shared" si="14"/>
        <v>6.5009591547633132</v>
      </c>
      <c r="Y32" s="101">
        <f t="shared" si="14"/>
        <v>7.7140231264107886</v>
      </c>
      <c r="Z32" s="77">
        <f t="shared" ref="Z32" si="15">AVERAGE(U32:X32)</f>
        <v>8.9323176609086392</v>
      </c>
      <c r="AA32" s="77">
        <f t="shared" si="10"/>
        <v>8.6633169099750553</v>
      </c>
    </row>
    <row r="33" spans="2:27" s="33" customFormat="1">
      <c r="B33" s="34" t="s">
        <v>122</v>
      </c>
      <c r="C33" s="101">
        <f t="shared" ref="C33:G33" si="16">C11</f>
        <v>0.81284509151191864</v>
      </c>
      <c r="D33" s="101">
        <f t="shared" si="16"/>
        <v>0.61273866630278473</v>
      </c>
      <c r="E33" s="101">
        <f t="shared" si="16"/>
        <v>0.72637532133676097</v>
      </c>
      <c r="F33" s="101">
        <f t="shared" si="16"/>
        <v>0.71795043626274946</v>
      </c>
      <c r="G33" s="101">
        <f t="shared" si="16"/>
        <v>0.63314193432621602</v>
      </c>
      <c r="H33" s="77">
        <f t="shared" ref="H33" si="17">AVERAGE(C33:F33)</f>
        <v>0.71747737885355356</v>
      </c>
      <c r="I33" s="77">
        <f t="shared" si="6"/>
        <v>0.70061028994808605</v>
      </c>
      <c r="K33" s="34"/>
      <c r="L33" s="165"/>
      <c r="M33" s="165"/>
      <c r="N33" s="165"/>
      <c r="O33" s="165"/>
      <c r="P33" s="165"/>
      <c r="Q33" s="77"/>
      <c r="R33" s="77"/>
      <c r="T33" s="34"/>
      <c r="U33" s="101"/>
      <c r="V33" s="101"/>
      <c r="W33" s="101"/>
      <c r="X33" s="101"/>
      <c r="Y33" s="101"/>
      <c r="Z33" s="77"/>
      <c r="AA33" s="77"/>
    </row>
    <row r="34" spans="2:27">
      <c r="B34" s="53"/>
      <c r="C34" s="54"/>
      <c r="D34" s="54"/>
      <c r="E34" s="54"/>
      <c r="F34" s="54"/>
      <c r="G34" s="54"/>
      <c r="H34" s="54"/>
      <c r="I34" s="54"/>
      <c r="K34" s="53"/>
      <c r="L34" s="54"/>
      <c r="M34" s="54"/>
      <c r="N34" s="54"/>
      <c r="O34" s="54"/>
      <c r="P34" s="54"/>
      <c r="Q34" s="54"/>
      <c r="R34" s="54"/>
      <c r="T34" s="53"/>
      <c r="U34" s="54"/>
      <c r="V34" s="54"/>
      <c r="W34" s="54"/>
      <c r="X34" s="54"/>
      <c r="Y34" s="54"/>
      <c r="Z34" s="54"/>
      <c r="AA34" s="54"/>
    </row>
    <row r="36" spans="2:27">
      <c r="C36" s="66"/>
      <c r="D36" s="66"/>
      <c r="E36" s="66"/>
      <c r="F36" s="66"/>
      <c r="L36" s="66"/>
      <c r="M36" s="66"/>
      <c r="N36" s="66"/>
      <c r="O36" s="66"/>
      <c r="U36" s="66"/>
      <c r="V36" s="66"/>
      <c r="W36" s="66"/>
      <c r="X36" s="66"/>
    </row>
    <row r="37" spans="2:27">
      <c r="C37" s="66"/>
      <c r="D37" s="66"/>
      <c r="E37" s="66"/>
      <c r="F37" s="66"/>
      <c r="L37" s="66"/>
      <c r="M37" s="66"/>
      <c r="N37" s="66"/>
      <c r="O37" s="66"/>
      <c r="U37" s="66"/>
      <c r="V37" s="66"/>
      <c r="W37" s="66"/>
      <c r="X37" s="66"/>
    </row>
    <row r="38" spans="2:27">
      <c r="C38" s="66"/>
      <c r="D38" s="66"/>
      <c r="E38" s="66"/>
      <c r="F38" s="66"/>
      <c r="V38" s="66"/>
      <c r="W38" s="66"/>
      <c r="X38" s="66"/>
    </row>
    <row r="39" spans="2:27">
      <c r="V39" s="67"/>
      <c r="W39" s="67"/>
      <c r="X39" s="67"/>
    </row>
    <row r="42" spans="2:27">
      <c r="I42" s="6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O55"/>
  <sheetViews>
    <sheetView zoomScale="130" zoomScaleNormal="130" workbookViewId="0">
      <selection activeCell="B6" sqref="B6"/>
    </sheetView>
  </sheetViews>
  <sheetFormatPr defaultColWidth="9.140625" defaultRowHeight="11.25"/>
  <cols>
    <col min="1" max="1" width="2.5703125" style="89" customWidth="1"/>
    <col min="2" max="2" width="71.140625" style="89" customWidth="1"/>
    <col min="3" max="3" width="13.140625" style="103" customWidth="1"/>
    <col min="4" max="6" width="18.42578125" style="89" customWidth="1"/>
    <col min="7" max="7" width="13.28515625" style="89" customWidth="1"/>
    <col min="8" max="8" width="10.5703125" style="89" customWidth="1"/>
    <col min="9" max="16384" width="9.140625" style="89"/>
  </cols>
  <sheetData>
    <row r="2" spans="2:8" ht="15">
      <c r="B2" s="32" t="s">
        <v>16</v>
      </c>
      <c r="C2" s="63"/>
      <c r="D2" s="64"/>
      <c r="E2" s="64"/>
      <c r="F2" s="64"/>
      <c r="G2" s="178"/>
      <c r="H2" s="184" t="s">
        <v>115</v>
      </c>
    </row>
    <row r="4" spans="2:8">
      <c r="B4" s="49" t="s">
        <v>40</v>
      </c>
      <c r="C4" s="51"/>
      <c r="D4" s="51" t="str">
        <f>'Output | Final Decision tables'!C7</f>
        <v>Urban</v>
      </c>
      <c r="E4" s="51" t="str">
        <f>'Output | Final Decision tables'!D7</f>
        <v>Short rural</v>
      </c>
      <c r="F4" s="51" t="str">
        <f>'Output | Final Decision tables'!E7</f>
        <v>Long rural</v>
      </c>
      <c r="G4" s="179"/>
    </row>
    <row r="5" spans="2:8" s="37" customFormat="1">
      <c r="B5" s="56" t="s">
        <v>110</v>
      </c>
      <c r="C5" s="57" t="s">
        <v>61</v>
      </c>
      <c r="D5" s="161">
        <f>'STPIS inputs'!D11</f>
        <v>35780</v>
      </c>
      <c r="E5" s="161">
        <f>'STPIS inputs'!E11</f>
        <v>35780</v>
      </c>
      <c r="F5" s="161">
        <f>'STPIS inputs'!F11</f>
        <v>35780</v>
      </c>
      <c r="G5" s="180"/>
    </row>
    <row r="6" spans="2:8" s="37" customFormat="1">
      <c r="B6" s="56" t="s">
        <v>46</v>
      </c>
      <c r="C6" s="57" t="s">
        <v>62</v>
      </c>
      <c r="D6" s="161">
        <f>'STPIS inputs'!D8</f>
        <v>3878892.7905317098</v>
      </c>
      <c r="E6" s="161">
        <f>'STPIS inputs'!E8</f>
        <v>3852173.5474761217</v>
      </c>
      <c r="F6" s="161">
        <f>'STPIS inputs'!F8</f>
        <v>1522933.9701408849</v>
      </c>
      <c r="G6" s="180"/>
    </row>
    <row r="7" spans="2:8" s="37" customFormat="1">
      <c r="B7" s="56" t="s">
        <v>47</v>
      </c>
      <c r="C7" s="57" t="s">
        <v>2</v>
      </c>
      <c r="D7" s="162">
        <f>'STPIS inputs'!$D$5</f>
        <v>877514719.92076838</v>
      </c>
      <c r="E7" s="162">
        <f>'STPIS inputs'!$D$5</f>
        <v>877514719.92076838</v>
      </c>
      <c r="F7" s="162">
        <f>'STPIS inputs'!$D$5</f>
        <v>877514719.92076838</v>
      </c>
      <c r="G7" s="181"/>
    </row>
    <row r="8" spans="2:8" s="37" customFormat="1">
      <c r="B8" s="56" t="s">
        <v>4</v>
      </c>
      <c r="C8" s="57" t="s">
        <v>64</v>
      </c>
      <c r="D8" s="163">
        <f>+'Annual performance and targets'!I30</f>
        <v>81.431398962738115</v>
      </c>
      <c r="E8" s="163">
        <f>+'Annual performance and targets'!I31</f>
        <v>193.05393763288322</v>
      </c>
      <c r="F8" s="163">
        <f>+'Annual performance and targets'!I32</f>
        <v>310.48557880353417</v>
      </c>
      <c r="G8" s="182"/>
    </row>
    <row r="9" spans="2:8" s="37" customFormat="1">
      <c r="B9" s="56" t="s">
        <v>3</v>
      </c>
      <c r="C9" s="57" t="s">
        <v>63</v>
      </c>
      <c r="D9" s="163">
        <f>+'Annual performance and targets'!R30</f>
        <v>0.72801099047596796</v>
      </c>
      <c r="E9" s="163">
        <f>+'Annual performance and targets'!R31</f>
        <v>1.4548599593266291</v>
      </c>
      <c r="F9" s="163">
        <f>'Annual performance and targets'!R32</f>
        <v>2.0838075783681593</v>
      </c>
      <c r="G9" s="182"/>
    </row>
    <row r="10" spans="2:8" s="37" customFormat="1">
      <c r="B10" s="56" t="s">
        <v>109</v>
      </c>
      <c r="C10" s="57" t="s">
        <v>108</v>
      </c>
      <c r="D10" s="163">
        <f>'Annual performance and targets'!AA30</f>
        <v>2.7818824331668206</v>
      </c>
      <c r="E10" s="163">
        <f>'Annual performance and targets'!AA31</f>
        <v>4.7220186465216907</v>
      </c>
      <c r="F10" s="163">
        <f>'Annual performance and targets'!AA32</f>
        <v>8.6633169099750553</v>
      </c>
      <c r="G10" s="182"/>
    </row>
    <row r="11" spans="2:8" s="37" customFormat="1">
      <c r="B11" s="56" t="s">
        <v>53</v>
      </c>
      <c r="C11" s="57" t="s">
        <v>65</v>
      </c>
      <c r="D11" s="81">
        <f>$J$50</f>
        <v>1.5</v>
      </c>
      <c r="E11" s="81">
        <f>$J$50</f>
        <v>1.5</v>
      </c>
      <c r="F11" s="81">
        <f>$J$50</f>
        <v>1.5</v>
      </c>
      <c r="G11" s="117"/>
    </row>
    <row r="12" spans="2:8" s="37" customFormat="1">
      <c r="B12" s="56" t="s">
        <v>51</v>
      </c>
      <c r="C12" s="57" t="s">
        <v>5</v>
      </c>
      <c r="D12" s="160">
        <f>'STPIS inputs'!$D$13</f>
        <v>2.1567217828901697E-3</v>
      </c>
      <c r="E12" s="160">
        <f>'STPIS inputs'!$D$13</f>
        <v>2.1567217828901697E-3</v>
      </c>
      <c r="F12" s="160">
        <f>'STPIS inputs'!$D$13</f>
        <v>2.1567217828901697E-3</v>
      </c>
      <c r="G12" s="183"/>
    </row>
    <row r="13" spans="2:8" s="37" customFormat="1">
      <c r="B13" s="56" t="s">
        <v>17</v>
      </c>
      <c r="C13" s="57"/>
      <c r="D13" s="82">
        <f>((D5*(1+D12)*(1-(1/(1+D11)))*D6)/D7)/(365.25*24*60)*100</f>
        <v>1.8081226211045135E-2</v>
      </c>
      <c r="E13" s="82">
        <f>((E5*(1+E12)*(1-(1/(1+E11)))*E6)/E7)/(365.25*24*60)*100</f>
        <v>1.7956676061307752E-2</v>
      </c>
      <c r="F13" s="82">
        <f>((F5*(1+F12)*(1-(1/(1+F11)))*F6)/F7)/(365.25*24*60)*100</f>
        <v>7.0990654049058561E-3</v>
      </c>
      <c r="G13" s="234"/>
    </row>
    <row r="14" spans="2:8" s="37" customFormat="1">
      <c r="B14" s="56" t="s">
        <v>18</v>
      </c>
      <c r="C14" s="57"/>
      <c r="D14" s="82">
        <f>((((((D5*(1+D12))/(1+D11))*D6))/D7)/(365.25*24*60))*(D8/D9)*100</f>
        <v>1.3483125617508454</v>
      </c>
      <c r="E14" s="82">
        <f>((((((E5*(1+E12))/(1+E11))*E6))/E7)/(365.25*24*60))*(E8/E9)*100</f>
        <v>1.5885180784172455</v>
      </c>
      <c r="F14" s="82">
        <f>((((((F5*(1+F12))/(1+F11))*F6))/F7)/(365.25*24*60))*(F8/F9)*100</f>
        <v>0.70516985480090177</v>
      </c>
      <c r="G14" s="234"/>
    </row>
    <row r="15" spans="2:8" s="37" customFormat="1">
      <c r="B15" s="56" t="s">
        <v>114</v>
      </c>
      <c r="C15" s="57"/>
      <c r="D15" s="82">
        <f>D14*$O$55</f>
        <v>0.10786500494006764</v>
      </c>
      <c r="E15" s="82">
        <f>E14*$O$55</f>
        <v>0.12708144627337964</v>
      </c>
      <c r="F15" s="82">
        <f>F14*$O$55</f>
        <v>5.6413588384072143E-2</v>
      </c>
      <c r="G15" s="234"/>
    </row>
    <row r="18" spans="2:3">
      <c r="C18" s="156"/>
    </row>
    <row r="19" spans="2:3">
      <c r="C19" s="156"/>
    </row>
    <row r="21" spans="2:3">
      <c r="B21" s="157"/>
    </row>
    <row r="22" spans="2:3">
      <c r="B22" s="157"/>
    </row>
    <row r="24" spans="2:3">
      <c r="B24" s="158"/>
    </row>
    <row r="25" spans="2:3">
      <c r="B25" s="157"/>
    </row>
    <row r="26" spans="2:3">
      <c r="B26" s="159"/>
    </row>
    <row r="50" spans="10:15">
      <c r="J50" s="186">
        <v>1.5</v>
      </c>
    </row>
    <row r="55" spans="10:15">
      <c r="O55" s="187">
        <v>0.08</v>
      </c>
    </row>
  </sheetData>
  <mergeCells count="1">
    <mergeCell ref="G13:G15"/>
  </mergeCells>
  <hyperlinks>
    <hyperlink ref="H2" r:id="rId1" display="Service Target Perforamnce Incentive Scheme v2 (13 December 2018)" xr:uid="{3154FC62-CA04-40FC-AF53-DC8731BC41CF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63F23-320B-4D62-A6A0-1EA8DCC46B42}">
  <dimension ref="A1:AH6"/>
  <sheetViews>
    <sheetView workbookViewId="0"/>
  </sheetViews>
  <sheetFormatPr defaultColWidth="9.140625" defaultRowHeight="14.25"/>
  <cols>
    <col min="1" max="2" width="9.140625" style="31"/>
    <col min="3" max="3" width="17" style="31" bestFit="1" customWidth="1"/>
    <col min="4" max="16384" width="9.140625" style="31"/>
  </cols>
  <sheetData>
    <row r="1" spans="1:34" s="30" customFormat="1">
      <c r="A1" s="27"/>
      <c r="B1" s="7" t="s">
        <v>31</v>
      </c>
      <c r="C1" s="27"/>
      <c r="D1" s="27"/>
      <c r="E1" s="27"/>
      <c r="F1" s="27"/>
      <c r="G1" s="27"/>
      <c r="H1" s="27"/>
      <c r="I1" s="27"/>
      <c r="J1" s="8"/>
      <c r="K1" s="8"/>
      <c r="L1" s="8"/>
      <c r="M1" s="8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28"/>
      <c r="AC1" s="28"/>
      <c r="AD1" s="28"/>
      <c r="AE1" s="28"/>
      <c r="AF1" s="28"/>
      <c r="AG1" s="29"/>
      <c r="AH1" s="29"/>
    </row>
    <row r="2" spans="1:34" s="9" customFormat="1">
      <c r="B2" s="10"/>
      <c r="C2" s="11"/>
      <c r="D2" s="11"/>
      <c r="E2" s="11"/>
      <c r="F2" s="12"/>
      <c r="G2" s="13"/>
      <c r="H2" s="14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34" s="9" customFormat="1" ht="11.25">
      <c r="B3" s="15" t="s">
        <v>45</v>
      </c>
      <c r="C3" s="16" t="s">
        <v>32</v>
      </c>
      <c r="D3" s="16" t="s">
        <v>33</v>
      </c>
      <c r="E3" s="17"/>
      <c r="F3" s="18"/>
      <c r="G3" s="19"/>
      <c r="H3" s="14"/>
    </row>
    <row r="4" spans="1:34" s="9" customFormat="1" ht="11.25">
      <c r="B4" s="10"/>
      <c r="D4" s="9" t="s">
        <v>34</v>
      </c>
      <c r="E4" s="11"/>
      <c r="F4" s="12"/>
      <c r="G4" s="13"/>
      <c r="H4" s="14"/>
    </row>
    <row r="5" spans="1:34" s="9" customFormat="1" ht="11.25">
      <c r="B5" s="26">
        <v>45168</v>
      </c>
      <c r="C5" s="20" t="s">
        <v>41</v>
      </c>
      <c r="D5" s="9" t="s">
        <v>43</v>
      </c>
      <c r="E5" s="11"/>
      <c r="F5" s="12"/>
      <c r="G5" s="13"/>
      <c r="H5" s="14"/>
    </row>
    <row r="6" spans="1:34">
      <c r="B6" s="26">
        <v>45168</v>
      </c>
      <c r="C6" s="20" t="s">
        <v>42</v>
      </c>
      <c r="D6" s="9" t="s">
        <v>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/>
    <Synchronization>Asynchronous</Synchronization>
    <Type>10003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10009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10103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102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10002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set 19 Document" ma:contentTypeID="0x01010001E02CCC3410964E993CCD35D068A93E020400959CD9CB7D29F2488657205585980DC8" ma:contentTypeVersion="11" ma:contentTypeDescription="" ma:contentTypeScope="" ma:versionID="3b9cbdfcd76ece5c8c8a993b7b6caf03">
  <xsd:schema xmlns:xsd="http://www.w3.org/2001/XMLSchema" xmlns:xs="http://www.w3.org/2001/XMLSchema" xmlns:p="http://schemas.microsoft.com/office/2006/metadata/properties" xmlns:ns1="8f493e50-f4fa-4672-bec5-6587e791f720" xmlns:ns3="cdf0dde9-ebef-4e0b-9cde-c91850d92f2d" targetNamespace="http://schemas.microsoft.com/office/2006/metadata/properties" ma:root="true" ma:fieldsID="61f92c5bded25d940e0c44e2f11605e2" ns1:_="" ns3:_="">
    <xsd:import namespace="8f493e50-f4fa-4672-bec5-6587e791f720"/>
    <xsd:import namespace="cdf0dde9-ebef-4e0b-9cde-c91850d92f2d"/>
    <xsd:element name="properties">
      <xsd:complexType>
        <xsd:sequence>
          <xsd:element name="documentManagement">
            <xsd:complexType>
              <xsd:all>
                <xsd:element ref="ns1:Attachment_x0020_ID" minOccurs="0"/>
                <xsd:element ref="ns1:Record_x0020_Number" minOccurs="0"/>
                <xsd:element ref="ns3:Document_x0020_Status" minOccurs="0"/>
                <xsd:element ref="ns1:Confidential1" minOccurs="0"/>
                <xsd:element ref="ns1:Business_x0020_Groups" minOccurs="0"/>
                <xsd:element ref="ns1:Attachment_x0020_Category"/>
                <xsd:element ref="ns1:Document_x0020_Category" minOccurs="0"/>
                <xsd:element ref="ns1:Published_x0020_Externally" minOccurs="0"/>
                <xsd:element ref="ns3:Person_x0020_or_x0020_Group" minOccurs="0"/>
                <xsd:element ref="ns1:d515513357cb4f278bf18cadf524fc2b" minOccurs="0"/>
                <xsd:element ref="ns1:TaxCatchAllLabel" minOccurs="0"/>
                <xsd:element ref="ns1:m5487619c60d4cdf829961d62f0a4c8b" minOccurs="0"/>
                <xsd:element ref="ns1:TaxCatchAll" minOccurs="0"/>
                <xsd:element ref="ns1:de1a554c53354888900e11ba3ff10e9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493e50-f4fa-4672-bec5-6587e791f720" elementFormDefault="qualified">
    <xsd:import namespace="http://schemas.microsoft.com/office/2006/documentManagement/types"/>
    <xsd:import namespace="http://schemas.microsoft.com/office/infopath/2007/PartnerControls"/>
    <xsd:element name="Attachment_x0020_ID" ma:index="0" nillable="true" ma:displayName="Attachment ID" ma:description="E.g. TN123, TN123T%, TN123P, TN123T" ma:internalName="Attachment_x0020_ID">
      <xsd:simpleType>
        <xsd:restriction base="dms:Text">
          <xsd:maxLength value="255"/>
        </xsd:restriction>
      </xsd:simpleType>
    </xsd:element>
    <xsd:element name="Record_x0020_Number" ma:index="3" nillable="true" ma:displayName="Record Number" ma:internalName="Record_x0020_Number">
      <xsd:simpleType>
        <xsd:restriction base="dms:Text">
          <xsd:maxLength value="255"/>
        </xsd:restriction>
      </xsd:simpleType>
    </xsd:element>
    <xsd:element name="Confidential1" ma:index="8" nillable="true" ma:displayName="Confidential" ma:default="No" ma:format="RadioButtons" ma:internalName="Confidential1">
      <xsd:simpleType>
        <xsd:restriction base="dms:Choice">
          <xsd:enumeration value="Yes"/>
          <xsd:enumeration value="No"/>
        </xsd:restriction>
      </xsd:simpleType>
    </xsd:element>
    <xsd:element name="Business_x0020_Groups" ma:index="9" nillable="true" ma:displayName="Business Groups" ma:format="Dropdown" ma:internalName="Business_x0020_Groups">
      <xsd:simpleType>
        <xsd:restriction base="dms:Choice">
          <xsd:enumeration value="Finance"/>
          <xsd:enumeration value="Growth"/>
          <xsd:enumeration value="Governance"/>
          <xsd:enumeration value="Operations"/>
          <xsd:enumeration value="People"/>
          <xsd:enumeration value="Stakeholder"/>
          <xsd:enumeration value="Transformation, Strategy &amp; Digital"/>
        </xsd:restriction>
      </xsd:simpleType>
    </xsd:element>
    <xsd:element name="Attachment_x0020_Category" ma:index="10" ma:displayName="Attachment Category" ma:default="Primary Attachment" ma:format="Dropdown" ma:internalName="Attachment_x0020_Category">
      <xsd:simpleType>
        <xsd:restriction base="dms:Choice">
          <xsd:enumeration value="Primary Attachment"/>
          <xsd:enumeration value="Secondary Attachment"/>
          <xsd:enumeration value="Not applicable"/>
        </xsd:restriction>
      </xsd:simpleType>
    </xsd:element>
    <xsd:element name="Document_x0020_Category" ma:index="11" nillable="true" ma:displayName="Document Category" ma:format="Dropdown" ma:internalName="Document_x0020_Category">
      <xsd:simpleType>
        <xsd:restriction base="dms:Choice">
          <xsd:enumeration value="Overview"/>
          <xsd:enumeration value="Fact Sheet"/>
          <xsd:enumeration value="Submission"/>
          <xsd:enumeration value="Supporting Information"/>
          <xsd:enumeration value="Correspondence"/>
          <xsd:enumeration value="Presentation"/>
          <xsd:enumeration value="Strategy"/>
          <xsd:enumeration value="Not applicable"/>
          <xsd:enumeration value="Superseded"/>
        </xsd:restriction>
      </xsd:simpleType>
    </xsd:element>
    <xsd:element name="Published_x0020_Externally" ma:index="12" nillable="true" ma:displayName="Send to AER" ma:default="No" ma:format="RadioButtons" ma:internalName="Published_x0020_Externally">
      <xsd:simpleType>
        <xsd:restriction base="dms:Choice">
          <xsd:enumeration value="Yes"/>
          <xsd:enumeration value="No"/>
        </xsd:restriction>
      </xsd:simpleType>
    </xsd:element>
    <xsd:element name="d515513357cb4f278bf18cadf524fc2b" ma:index="15" nillable="true" ma:taxonomy="true" ma:internalName="d515513357cb4f278bf18cadf524fc2b" ma:taxonomyFieldName="Network" ma:displayName="Network" ma:default="" ma:fieldId="{d5155133-57cb-4f27-8bf1-8cadf524fc2b}" ma:sspId="ad4ba584-9f2e-4c1f-a403-05b05b3bfc09" ma:termSetId="ef65c028-b485-4826-ace0-e6ca04857ea0" ma:anchorId="2d6cdb2a-e191-4ee3-a7c5-b46afdb155e4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3910154b-12ea-4dcd-bebd-7986f904c7cd}" ma:internalName="TaxCatchAllLabel" ma:readOnly="true" ma:showField="CatchAllDataLabel" ma:web="8f493e50-f4fa-4672-bec5-6587e791f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5487619c60d4cdf829961d62f0a4c8b" ma:index="22" nillable="true" ma:taxonomy="true" ma:internalName="m5487619c60d4cdf829961d62f0a4c8b" ma:taxonomyFieldName="Determination_x0020_Activity" ma:displayName="Determination Activity" ma:default="16;#Revenue Proposal|f3980111-814c-44b7-9aa4-fe076fe6d80d" ma:fieldId="{65487619-c60d-4cdf-8299-61d62f0a4c8b}" ma:sspId="ad4ba584-9f2e-4c1f-a403-05b05b3bfc09" ma:termSetId="ef65c028-b485-4826-ace0-e6ca04857ea0" ma:anchorId="8c5389de-5c03-4935-a18a-40ceada24933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Taxonomy Catch All Column" ma:hidden="true" ma:list="{3910154b-12ea-4dcd-bebd-7986f904c7cd}" ma:internalName="TaxCatchAll" ma:showField="CatchAllData" ma:web="8f493e50-f4fa-4672-bec5-6587e791f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1a554c53354888900e11ba3ff10e9e" ma:index="25" nillable="true" ma:taxonomy="true" ma:internalName="de1a554c53354888900e11ba3ff10e9e" ma:taxonomyFieldName="Determination_x0020_Category" ma:displayName="Determination Category" ma:default="55;#Supporting Documentation|54f61c4a-23b8-4acc-b5f4-9c145a97108c" ma:fieldId="{de1a554c-5335-4888-900e-11ba3ff10e9e}" ma:sspId="ad4ba584-9f2e-4c1f-a403-05b05b3bfc09" ma:termSetId="ef65c028-b485-4826-ace0-e6ca04857ea0" ma:anchorId="ef143162-b2b2-4c33-83f2-f70325f64e16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0dde9-ebef-4e0b-9cde-c91850d92f2d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6" nillable="true" ma:displayName="Document Status" ma:default="Draft" ma:format="RadioButtons" ma:internalName="Document_x0020_Status">
      <xsd:simpleType>
        <xsd:restriction base="dms:Choice">
          <xsd:enumeration value="Draft"/>
          <xsd:enumeration value="Final"/>
          <xsd:enumeration value="Superseded"/>
        </xsd:restriction>
      </xsd:simpleType>
    </xsd:element>
    <xsd:element name="Person_x0020_or_x0020_Group" ma:index="13" nillable="true" ma:displayName="Person or Group" ma:list="UserInfo" ma:SearchPeopleOnly="false" ma:SharePointGroup="0" ma:internalName="Person_x0020_or_x0020_Group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Number xmlns="8f493e50-f4fa-4672-bec5-6587e791f720">R0002365121</Record_x0020_Number>
    <TaxCatchAll xmlns="8f493e50-f4fa-4672-bec5-6587e791f720">
      <Value>65</Value>
      <Value>59</Value>
      <Value>16</Value>
    </TaxCatchAll>
    <Business_x0020_Groups xmlns="8f493e50-f4fa-4672-bec5-6587e791f720">Operations</Business_x0020_Groups>
    <Person_x0020_or_x0020_Group xmlns="cdf0dde9-ebef-4e0b-9cde-c91850d92f2d">
      <UserInfo>
        <DisplayName>William Godwin</DisplayName>
        <AccountId>3592</AccountId>
        <AccountType/>
      </UserInfo>
    </Person_x0020_or_x0020_Group>
    <Published_x0020_Externally xmlns="8f493e50-f4fa-4672-bec5-6587e791f720">Yes</Published_x0020_Externally>
    <Document_x0020_Category xmlns="8f493e50-f4fa-4672-bec5-6587e791f720" xsi:nil="true"/>
    <de1a554c53354888900e11ba3ff10e9e xmlns="8f493e50-f4fa-4672-bec5-6587e791f720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Models and Pricing Tariffs</TermName>
          <TermId xmlns="http://schemas.microsoft.com/office/infopath/2007/PartnerControls">2d578944-a888-48cf-9157-a3f07df87eae</TermId>
        </TermInfo>
      </Terms>
    </de1a554c53354888900e11ba3ff10e9e>
    <Attachment_x0020_Category xmlns="8f493e50-f4fa-4672-bec5-6587e791f720">Primary Attachment</Attachment_x0020_Category>
    <m5487619c60d4cdf829961d62f0a4c8b xmlns="8f493e50-f4fa-4672-bec5-6587e791f720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Revenue Proposal</TermName>
          <TermId xmlns="http://schemas.microsoft.com/office/infopath/2007/PartnerControls">f3980111-814c-44b7-9aa4-fe076fe6d80d</TermId>
        </TermInfo>
      </Terms>
    </m5487619c60d4cdf829961d62f0a4c8b>
    <Document_x0020_Status xmlns="cdf0dde9-ebef-4e0b-9cde-c91850d92f2d">Draft</Document_x0020_Status>
    <Confidential1 xmlns="8f493e50-f4fa-4672-bec5-6587e791f720">No</Confidential1>
    <Attachment_x0020_ID xmlns="8f493e50-f4fa-4672-bec5-6587e791f720" xsi:nil="true"/>
    <d515513357cb4f278bf18cadf524fc2b xmlns="8f493e50-f4fa-4672-bec5-6587e791f720">
      <Terms xmlns="http://schemas.microsoft.com/office/infopath/2007/PartnerControls">
        <TermInfo xmlns="http://schemas.microsoft.com/office/infopath/2007/PartnerControls">
          <TermName xmlns="http://schemas.microsoft.com/office/infopath/2007/PartnerControls">Transmission</TermName>
          <TermId xmlns="http://schemas.microsoft.com/office/infopath/2007/PartnerControls">057fc33d-fae5-41b9-87e5-dc1e3aa504ba</TermId>
        </TermInfo>
      </Terms>
    </d515513357cb4f278bf18cadf524fc2b>
  </documentManagement>
</p:properties>
</file>

<file path=customXml/itemProps1.xml><?xml version="1.0" encoding="utf-8"?>
<ds:datastoreItem xmlns:ds="http://schemas.openxmlformats.org/officeDocument/2006/customXml" ds:itemID="{7F7D60B2-3A6A-43D6-ADDA-D4839F2B309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7643B0A-1560-4EEA-84B1-095E5E1A58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E2F6CE-1DF0-4E9F-A53C-2006F4D592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493e50-f4fa-4672-bec5-6587e791f720"/>
    <ds:schemaRef ds:uri="cdf0dde9-ebef-4e0b-9cde-c91850d92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E472E08-CC30-4362-88AA-B9EC68F20FF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f493e50-f4fa-4672-bec5-6587e791f720"/>
    <ds:schemaRef ds:uri="http://purl.org/dc/elements/1.1/"/>
    <ds:schemaRef ds:uri="http://schemas.microsoft.com/office/2006/metadata/properties"/>
    <ds:schemaRef ds:uri="cdf0dde9-ebef-4e0b-9cde-c91850d92f2d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Output | Final Decision tables</vt:lpstr>
      <vt:lpstr>STPIS inputs</vt:lpstr>
      <vt:lpstr>Target adjustments</vt:lpstr>
      <vt:lpstr>Annual performance and targets</vt:lpstr>
      <vt:lpstr>Incentive rates calc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Zula Altai</dc:creator>
  <cp:lastModifiedBy>Gus Mandigora</cp:lastModifiedBy>
  <dcterms:created xsi:type="dcterms:W3CDTF">2021-10-04T03:52:19Z</dcterms:created>
  <dcterms:modified xsi:type="dcterms:W3CDTF">2026-05-22T04:50:10Z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0x01010001E02CCC3410964E993CCD35D068A93E020400959CD9CB7D29F2488657205585980DC8</vt:lpwstr>
  </property>
  <property fmtid="{D5CDD505-2E9C-101B-9397-08002B2CF9AE}" pid="3" name="RecordPoint_WorkflowType">
    <vt:lpwstr>ActiveSubmitStub</vt:lpwstr>
  </property>
  <property fmtid="{D5CDD505-2E9C-101B-9397-08002B2CF9AE}" pid="4" name="RecordPoint_ActiveItemSiteId">
    <vt:lpwstr>{813152b7-69c2-464f-b7a1-05afac6a8a9a}</vt:lpwstr>
  </property>
  <property fmtid="{D5CDD505-2E9C-101B-9397-08002B2CF9AE}" pid="5" name="RecordPoint_ActiveItemListId">
    <vt:lpwstr>{cdf0dde9-ebef-4e0b-9cde-c91850d92f2d}</vt:lpwstr>
  </property>
  <property fmtid="{D5CDD505-2E9C-101B-9397-08002B2CF9AE}" pid="6" name="RecordPoint_ActiveItemUniqueId">
    <vt:lpwstr>{54e45a2b-5305-435a-b38e-cdb4050c6290}</vt:lpwstr>
  </property>
  <property fmtid="{D5CDD505-2E9C-101B-9397-08002B2CF9AE}" pid="7" name="RecordPoint_ActiveItemWebId">
    <vt:lpwstr>{0e6c1e0d-ce9b-4acb-bd7f-e21f20d4c138}</vt:lpwstr>
  </property>
  <property fmtid="{D5CDD505-2E9C-101B-9397-08002B2CF9AE}" pid="8" name="AP Year">
    <vt:lpwstr/>
  </property>
  <property fmtid="{D5CDD505-2E9C-101B-9397-08002B2CF9AE}" pid="9" name="Primary Audience">
    <vt:lpwstr/>
  </property>
  <property fmtid="{D5CDD505-2E9C-101B-9397-08002B2CF9AE}" pid="10" name="Network">
    <vt:lpwstr>65;#Transmission|057fc33d-fae5-41b9-87e5-dc1e3aa504ba</vt:lpwstr>
  </property>
  <property fmtid="{D5CDD505-2E9C-101B-9397-08002B2CF9AE}" pid="11" name="AP Category">
    <vt:lpwstr/>
  </property>
  <property fmtid="{D5CDD505-2E9C-101B-9397-08002B2CF9AE}" pid="12" name="AP Other">
    <vt:lpwstr/>
  </property>
  <property fmtid="{D5CDD505-2E9C-101B-9397-08002B2CF9AE}" pid="13" name="RecordPoint_RecordNumberSubmitted">
    <vt:lpwstr>R0002365121</vt:lpwstr>
  </property>
  <property fmtid="{D5CDD505-2E9C-101B-9397-08002B2CF9AE}" pid="14" name="RecordPoint_SubmissionCompleted">
    <vt:lpwstr>2023-01-24T08:50:08.3374086+11:00</vt:lpwstr>
  </property>
  <property fmtid="{D5CDD505-2E9C-101B-9397-08002B2CF9AE}" pid="15" name="Determination Category">
    <vt:lpwstr>59;#Models and Pricing Tariffs|2d578944-a888-48cf-9157-a3f07df87eae</vt:lpwstr>
  </property>
  <property fmtid="{D5CDD505-2E9C-101B-9397-08002B2CF9AE}" pid="16" name="Determination Activity">
    <vt:lpwstr>16;#Revenue Proposal|f3980111-814c-44b7-9aa4-fe076fe6d80d</vt:lpwstr>
  </property>
  <property fmtid="{D5CDD505-2E9C-101B-9397-08002B2CF9AE}" pid="17" name="RecordPoint_SubmissionDate">
    <vt:lpwstr/>
  </property>
  <property fmtid="{D5CDD505-2E9C-101B-9397-08002B2CF9AE}" pid="18" name="RecordPoint_RecordFormat">
    <vt:lpwstr/>
  </property>
  <property fmtid="{D5CDD505-2E9C-101B-9397-08002B2CF9AE}" pid="19" name="RecordPoint_ActiveItemMoved">
    <vt:lpwstr/>
  </property>
  <property fmtid="{D5CDD505-2E9C-101B-9397-08002B2CF9AE}" pid="20" name="MSIP_Label_d9d5a995-dfdf-4407-9a97-edbbc68c9f53_Enabled">
    <vt:lpwstr>true</vt:lpwstr>
  </property>
  <property fmtid="{D5CDD505-2E9C-101B-9397-08002B2CF9AE}" pid="21" name="MSIP_Label_d9d5a995-dfdf-4407-9a97-edbbc68c9f53_SetDate">
    <vt:lpwstr>2024-06-25T23:38:38Z</vt:lpwstr>
  </property>
  <property fmtid="{D5CDD505-2E9C-101B-9397-08002B2CF9AE}" pid="22" name="MSIP_Label_d9d5a995-dfdf-4407-9a97-edbbc68c9f53_Method">
    <vt:lpwstr>Privileged</vt:lpwstr>
  </property>
  <property fmtid="{D5CDD505-2E9C-101B-9397-08002B2CF9AE}" pid="23" name="MSIP_Label_d9d5a995-dfdf-4407-9a97-edbbc68c9f53_Name">
    <vt:lpwstr>OFFICIAL</vt:lpwstr>
  </property>
  <property fmtid="{D5CDD505-2E9C-101B-9397-08002B2CF9AE}" pid="24" name="MSIP_Label_d9d5a995-dfdf-4407-9a97-edbbc68c9f53_SiteId">
    <vt:lpwstr>b33e9e1a-e443-4edd-9789-24bed26d38d6</vt:lpwstr>
  </property>
  <property fmtid="{D5CDD505-2E9C-101B-9397-08002B2CF9AE}" pid="25" name="MSIP_Label_d9d5a995-dfdf-4407-9a97-edbbc68c9f53_ActionId">
    <vt:lpwstr>191e0bff-8823-4239-aab0-3c23069629cb</vt:lpwstr>
  </property>
  <property fmtid="{D5CDD505-2E9C-101B-9397-08002B2CF9AE}" pid="26" name="MSIP_Label_d9d5a995-dfdf-4407-9a97-edbbc68c9f53_ContentBits">
    <vt:lpwstr>0</vt:lpwstr>
  </property>
</Properties>
</file>