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1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/>
  <xr:revisionPtr revIDLastSave="0" documentId="8_{10CEBB04-8AAE-41B0-A9F1-07968D494584}" xr6:coauthVersionLast="47" xr6:coauthVersionMax="47" xr10:uidLastSave="{00000000-0000-0000-0000-000000000000}"/>
  <bookViews>
    <workbookView xWindow="-120" yWindow="-120" windowWidth="29040" windowHeight="15720" firstSheet="5" activeTab="9" xr2:uid="{67626196-DE4C-4B18-BF63-3F4202478F6A}"/>
  </bookViews>
  <sheets>
    <sheet name="Mapping" sheetId="1" r:id="rId1"/>
    <sheet name="I | Inflation" sheetId="8" r:id="rId2"/>
    <sheet name="I | Forecast 23-27" sheetId="14" r:id="rId3"/>
    <sheet name="I | Historic capex" sheetId="2" r:id="rId4"/>
    <sheet name="I | Capex forecast" sheetId="6" r:id="rId5"/>
    <sheet name="C | Forecast escalation" sheetId="17" r:id="rId6"/>
    <sheet name="C | RFM escalation" sheetId="12" r:id="rId7"/>
    <sheet name="C | PTRM escalation" sheetId="10" r:id="rId8"/>
    <sheet name="O | RFM inputs" sheetId="4" r:id="rId9"/>
    <sheet name="O | PTRM inputs" sheetId="7" r:id="rId10"/>
    <sheet name="O | Reset RIN" sheetId="13" r:id="rId11"/>
    <sheet name="O | Overview" sheetId="16" r:id="rId12"/>
    <sheet name="O | BCs" sheetId="19" r:id="rId13"/>
    <sheet name="O | Graphs" sheetId="18" r:id="rId14"/>
  </sheets>
  <definedNames>
    <definedName name="_xlnm._FilterDatabase" localSheetId="5" hidden="1">'C | Forecast escalation'!$B$10:$P$161</definedName>
    <definedName name="_xlnm._FilterDatabase" localSheetId="7" hidden="1">'C | PTRM escalation'!$A$10:$CI$161</definedName>
    <definedName name="_xlnm._FilterDatabase" localSheetId="6" hidden="1">'C | RFM escalation'!$A$10:$AJ$161</definedName>
    <definedName name="_xlnm._FilterDatabase" localSheetId="4" hidden="1">'I | Capex forecast'!$A$10:$AA$161</definedName>
    <definedName name="_xlnm._FilterDatabase" localSheetId="2" hidden="1">'I | Forecast 23-27'!$B$10:$S$161</definedName>
    <definedName name="_xlnm._FilterDatabase" localSheetId="3" hidden="1">'I | Historic capex'!$A$10:$Y$161</definedName>
    <definedName name="_xlnm._FilterDatabase" localSheetId="1" hidden="1">'I | Inflation'!$B$10:$D$20</definedName>
    <definedName name="_xlnm._FilterDatabase" localSheetId="11" hidden="1">'O | Overview'!#REF!</definedName>
    <definedName name="_xlnm._FilterDatabase" localSheetId="9" hidden="1">'O | PTRM inputs'!#REF!</definedName>
    <definedName name="_xlnm._FilterDatabase" localSheetId="10" hidden="1">'O | Reset RIN'!#REF!</definedName>
    <definedName name="_xlnm._FilterDatabase" localSheetId="8" hidden="1">'O | RFM inputs'!#REF!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1" i="16" l="1"/>
  <c r="K286" i="16"/>
  <c r="K57" i="16" l="1"/>
  <c r="J188" i="16" l="1"/>
  <c r="J189" i="16"/>
  <c r="A13" i="12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D60" i="12" l="1"/>
  <c r="G60" i="12"/>
  <c r="H60" i="12"/>
  <c r="I60" i="12"/>
  <c r="D61" i="12"/>
  <c r="G61" i="12"/>
  <c r="H61" i="12"/>
  <c r="I61" i="12"/>
  <c r="D62" i="12"/>
  <c r="G62" i="12"/>
  <c r="H62" i="12"/>
  <c r="I62" i="12"/>
  <c r="D63" i="12"/>
  <c r="G63" i="12"/>
  <c r="H63" i="12"/>
  <c r="I63" i="12"/>
  <c r="D64" i="12"/>
  <c r="G64" i="12"/>
  <c r="H64" i="12"/>
  <c r="I64" i="12"/>
  <c r="D65" i="12"/>
  <c r="G65" i="12"/>
  <c r="H65" i="12"/>
  <c r="I65" i="12"/>
  <c r="D66" i="12"/>
  <c r="G66" i="12"/>
  <c r="H66" i="12"/>
  <c r="I66" i="12"/>
  <c r="D67" i="12"/>
  <c r="G67" i="12"/>
  <c r="H67" i="12"/>
  <c r="I67" i="12"/>
  <c r="D68" i="12"/>
  <c r="G68" i="12"/>
  <c r="H68" i="12"/>
  <c r="I68" i="12"/>
  <c r="D69" i="12"/>
  <c r="G69" i="12"/>
  <c r="H69" i="12"/>
  <c r="I69" i="12"/>
  <c r="D70" i="12"/>
  <c r="G70" i="12"/>
  <c r="H70" i="12"/>
  <c r="I70" i="12"/>
  <c r="D71" i="12"/>
  <c r="G71" i="12"/>
  <c r="H71" i="12"/>
  <c r="I71" i="12"/>
  <c r="G36" i="12"/>
  <c r="I36" i="12"/>
  <c r="G37" i="12"/>
  <c r="I37" i="12"/>
  <c r="G38" i="12"/>
  <c r="I38" i="12"/>
  <c r="G39" i="12"/>
  <c r="I39" i="12"/>
  <c r="G40" i="12"/>
  <c r="I40" i="12"/>
  <c r="G41" i="12"/>
  <c r="I41" i="12"/>
  <c r="G42" i="12"/>
  <c r="I42" i="12"/>
  <c r="G43" i="12"/>
  <c r="I43" i="12"/>
  <c r="G44" i="12"/>
  <c r="I44" i="12"/>
  <c r="G45" i="12"/>
  <c r="I45" i="12"/>
  <c r="G46" i="12"/>
  <c r="I46" i="12"/>
  <c r="G47" i="12"/>
  <c r="I47" i="12"/>
  <c r="G48" i="12"/>
  <c r="I48" i="12"/>
  <c r="G49" i="12"/>
  <c r="I49" i="12"/>
  <c r="G50" i="12"/>
  <c r="I50" i="12"/>
  <c r="G51" i="12"/>
  <c r="I51" i="12"/>
  <c r="G52" i="12"/>
  <c r="I52" i="12"/>
  <c r="G53" i="12"/>
  <c r="I53" i="12"/>
  <c r="G54" i="12"/>
  <c r="I54" i="12"/>
  <c r="D55" i="12"/>
  <c r="G55" i="12"/>
  <c r="H55" i="12"/>
  <c r="I55" i="12"/>
  <c r="D56" i="12"/>
  <c r="G56" i="12"/>
  <c r="H56" i="12"/>
  <c r="I56" i="12"/>
  <c r="D57" i="12"/>
  <c r="G57" i="12"/>
  <c r="H57" i="12"/>
  <c r="I57" i="12"/>
  <c r="D58" i="12"/>
  <c r="G58" i="12"/>
  <c r="H58" i="12"/>
  <c r="I58" i="12"/>
  <c r="D59" i="12"/>
  <c r="G59" i="12"/>
  <c r="H59" i="12"/>
  <c r="I59" i="12"/>
  <c r="G12" i="12"/>
  <c r="I12" i="12"/>
  <c r="G13" i="12"/>
  <c r="I13" i="12"/>
  <c r="G14" i="12"/>
  <c r="I14" i="12"/>
  <c r="G15" i="12"/>
  <c r="I15" i="12"/>
  <c r="G16" i="12"/>
  <c r="I16" i="12"/>
  <c r="G17" i="12"/>
  <c r="I17" i="12"/>
  <c r="G18" i="12"/>
  <c r="I18" i="12"/>
  <c r="G19" i="12"/>
  <c r="I19" i="12"/>
  <c r="G20" i="12"/>
  <c r="I20" i="12"/>
  <c r="G21" i="12"/>
  <c r="I21" i="12"/>
  <c r="G22" i="12"/>
  <c r="I22" i="12"/>
  <c r="G23" i="12"/>
  <c r="I23" i="12"/>
  <c r="G24" i="12"/>
  <c r="I24" i="12"/>
  <c r="G25" i="12"/>
  <c r="I25" i="12"/>
  <c r="G26" i="12"/>
  <c r="I26" i="12"/>
  <c r="G27" i="12"/>
  <c r="I27" i="12"/>
  <c r="G28" i="12"/>
  <c r="I28" i="12"/>
  <c r="G29" i="12"/>
  <c r="I29" i="12"/>
  <c r="G30" i="12"/>
  <c r="I30" i="12"/>
  <c r="G31" i="12"/>
  <c r="I31" i="12"/>
  <c r="G32" i="12"/>
  <c r="I32" i="12"/>
  <c r="G33" i="12"/>
  <c r="I33" i="12"/>
  <c r="G34" i="12"/>
  <c r="I34" i="12"/>
  <c r="G35" i="12"/>
  <c r="I35" i="12"/>
  <c r="B292" i="16" l="1"/>
  <c r="B293" i="16"/>
  <c r="B294" i="16"/>
  <c r="B295" i="16"/>
  <c r="B296" i="16"/>
  <c r="B297" i="16"/>
  <c r="B298" i="16"/>
  <c r="B299" i="16"/>
  <c r="B300" i="16"/>
  <c r="B301" i="16"/>
  <c r="B302" i="16"/>
  <c r="B303" i="16"/>
  <c r="B291" i="16"/>
  <c r="H284" i="16"/>
  <c r="B285" i="16"/>
  <c r="B286" i="16"/>
  <c r="D284" i="16"/>
  <c r="E284" i="16"/>
  <c r="F284" i="16"/>
  <c r="G284" i="16"/>
  <c r="C284" i="16"/>
  <c r="B284" i="16"/>
  <c r="B290" i="16" s="1"/>
  <c r="B156" i="12" l="1"/>
  <c r="C156" i="12"/>
  <c r="D156" i="12"/>
  <c r="E156" i="12"/>
  <c r="F156" i="12"/>
  <c r="G156" i="12"/>
  <c r="AI156" i="12" s="1"/>
  <c r="H156" i="12"/>
  <c r="I156" i="12"/>
  <c r="B157" i="12"/>
  <c r="C157" i="12"/>
  <c r="D157" i="12"/>
  <c r="E157" i="12"/>
  <c r="F157" i="12"/>
  <c r="G157" i="12"/>
  <c r="AI157" i="12" s="1"/>
  <c r="H157" i="12"/>
  <c r="I157" i="12"/>
  <c r="B158" i="12"/>
  <c r="C158" i="12"/>
  <c r="D158" i="12"/>
  <c r="E158" i="12"/>
  <c r="F158" i="12"/>
  <c r="G158" i="12"/>
  <c r="AI158" i="12" s="1"/>
  <c r="H158" i="12"/>
  <c r="I158" i="12"/>
  <c r="B159" i="12"/>
  <c r="C159" i="12"/>
  <c r="D159" i="12"/>
  <c r="E159" i="12"/>
  <c r="F159" i="12"/>
  <c r="G159" i="12"/>
  <c r="AI159" i="12" s="1"/>
  <c r="H159" i="12"/>
  <c r="I159" i="12"/>
  <c r="B160" i="12"/>
  <c r="C160" i="12"/>
  <c r="D160" i="12"/>
  <c r="E160" i="12"/>
  <c r="F160" i="12"/>
  <c r="G160" i="12"/>
  <c r="AI160" i="12" s="1"/>
  <c r="H160" i="12"/>
  <c r="I160" i="12"/>
  <c r="B156" i="10"/>
  <c r="C156" i="10"/>
  <c r="D156" i="10"/>
  <c r="E156" i="10"/>
  <c r="F156" i="10"/>
  <c r="G156" i="10"/>
  <c r="BW156" i="10" s="1"/>
  <c r="H156" i="10"/>
  <c r="I156" i="10"/>
  <c r="J156" i="10"/>
  <c r="CD156" i="10" s="1"/>
  <c r="AS156" i="10"/>
  <c r="AZ156" i="10"/>
  <c r="BG156" i="10"/>
  <c r="B157" i="10"/>
  <c r="C157" i="10"/>
  <c r="D157" i="10"/>
  <c r="E157" i="10"/>
  <c r="F157" i="10"/>
  <c r="G157" i="10"/>
  <c r="BW157" i="10" s="1"/>
  <c r="H157" i="10"/>
  <c r="I157" i="10"/>
  <c r="J157" i="10"/>
  <c r="CF157" i="10" s="1"/>
  <c r="AS157" i="10"/>
  <c r="AZ157" i="10"/>
  <c r="BG157" i="10"/>
  <c r="B158" i="10"/>
  <c r="C158" i="10"/>
  <c r="D158" i="10"/>
  <c r="E158" i="10"/>
  <c r="F158" i="10"/>
  <c r="G158" i="10"/>
  <c r="CA158" i="10" s="1"/>
  <c r="H158" i="10"/>
  <c r="I158" i="10"/>
  <c r="J158" i="10"/>
  <c r="CG158" i="10" s="1"/>
  <c r="AS158" i="10"/>
  <c r="AZ158" i="10"/>
  <c r="BG158" i="10"/>
  <c r="B159" i="10"/>
  <c r="C159" i="10"/>
  <c r="D159" i="10"/>
  <c r="E159" i="10"/>
  <c r="F159" i="10"/>
  <c r="G159" i="10"/>
  <c r="BW159" i="10" s="1"/>
  <c r="H159" i="10"/>
  <c r="I159" i="10"/>
  <c r="J159" i="10"/>
  <c r="CF159" i="10" s="1"/>
  <c r="AS159" i="10"/>
  <c r="AZ159" i="10"/>
  <c r="BG159" i="10"/>
  <c r="B160" i="10"/>
  <c r="C160" i="10"/>
  <c r="D160" i="10"/>
  <c r="E160" i="10"/>
  <c r="F160" i="10"/>
  <c r="G160" i="10"/>
  <c r="BW160" i="10" s="1"/>
  <c r="H160" i="10"/>
  <c r="I160" i="10"/>
  <c r="J160" i="10"/>
  <c r="CD160" i="10" s="1"/>
  <c r="AS160" i="10"/>
  <c r="AZ160" i="10"/>
  <c r="BG160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G53" i="10"/>
  <c r="I53" i="10"/>
  <c r="G54" i="10"/>
  <c r="I54" i="10"/>
  <c r="D55" i="10"/>
  <c r="G55" i="10"/>
  <c r="H55" i="10"/>
  <c r="I55" i="10"/>
  <c r="J55" i="10"/>
  <c r="D56" i="10"/>
  <c r="G56" i="10"/>
  <c r="H56" i="10"/>
  <c r="I56" i="10"/>
  <c r="J56" i="10"/>
  <c r="D57" i="10"/>
  <c r="G57" i="10"/>
  <c r="H57" i="10"/>
  <c r="I57" i="10"/>
  <c r="J57" i="10"/>
  <c r="D58" i="10"/>
  <c r="G58" i="10"/>
  <c r="H58" i="10"/>
  <c r="I58" i="10"/>
  <c r="J58" i="10"/>
  <c r="D59" i="10"/>
  <c r="G59" i="10"/>
  <c r="H59" i="10"/>
  <c r="I59" i="10"/>
  <c r="J59" i="10"/>
  <c r="D60" i="10"/>
  <c r="G60" i="10"/>
  <c r="H60" i="10"/>
  <c r="I60" i="10"/>
  <c r="J60" i="10"/>
  <c r="D61" i="10"/>
  <c r="G61" i="10"/>
  <c r="H61" i="10"/>
  <c r="I61" i="10"/>
  <c r="J61" i="10"/>
  <c r="D62" i="10"/>
  <c r="G62" i="10"/>
  <c r="H62" i="10"/>
  <c r="I62" i="10"/>
  <c r="J62" i="10"/>
  <c r="D63" i="10"/>
  <c r="G63" i="10"/>
  <c r="H63" i="10"/>
  <c r="I63" i="10"/>
  <c r="J63" i="10"/>
  <c r="D64" i="10"/>
  <c r="G64" i="10"/>
  <c r="H64" i="10"/>
  <c r="I64" i="10"/>
  <c r="J64" i="10"/>
  <c r="D65" i="10"/>
  <c r="G65" i="10"/>
  <c r="H65" i="10"/>
  <c r="I65" i="10"/>
  <c r="J65" i="10"/>
  <c r="D66" i="10"/>
  <c r="G66" i="10"/>
  <c r="H66" i="10"/>
  <c r="I66" i="10"/>
  <c r="J66" i="10"/>
  <c r="D67" i="10"/>
  <c r="G67" i="10"/>
  <c r="H67" i="10"/>
  <c r="I67" i="10"/>
  <c r="J67" i="10"/>
  <c r="D68" i="10"/>
  <c r="G68" i="10"/>
  <c r="H68" i="10"/>
  <c r="I68" i="10"/>
  <c r="J68" i="10"/>
  <c r="D69" i="10"/>
  <c r="G69" i="10"/>
  <c r="H69" i="10"/>
  <c r="I69" i="10"/>
  <c r="J69" i="10"/>
  <c r="D70" i="10"/>
  <c r="G70" i="10"/>
  <c r="H70" i="10"/>
  <c r="I70" i="10"/>
  <c r="J70" i="10"/>
  <c r="D71" i="10"/>
  <c r="G71" i="10"/>
  <c r="H71" i="10"/>
  <c r="I71" i="10"/>
  <c r="J71" i="10"/>
  <c r="D72" i="10"/>
  <c r="G72" i="10"/>
  <c r="H72" i="10"/>
  <c r="I72" i="10"/>
  <c r="J72" i="10"/>
  <c r="C73" i="10"/>
  <c r="D73" i="10"/>
  <c r="E73" i="10"/>
  <c r="F73" i="10"/>
  <c r="G73" i="10"/>
  <c r="H73" i="10"/>
  <c r="I73" i="10"/>
  <c r="J73" i="10"/>
  <c r="C74" i="10"/>
  <c r="D74" i="10"/>
  <c r="E74" i="10"/>
  <c r="F74" i="10"/>
  <c r="G74" i="10"/>
  <c r="H74" i="10"/>
  <c r="I74" i="10"/>
  <c r="J74" i="10"/>
  <c r="C75" i="10"/>
  <c r="D75" i="10"/>
  <c r="E75" i="10"/>
  <c r="F75" i="10"/>
  <c r="G75" i="10"/>
  <c r="H75" i="10"/>
  <c r="I75" i="10"/>
  <c r="J75" i="10"/>
  <c r="C76" i="10"/>
  <c r="D76" i="10"/>
  <c r="E76" i="10"/>
  <c r="F76" i="10"/>
  <c r="G76" i="10"/>
  <c r="H76" i="10"/>
  <c r="I76" i="10"/>
  <c r="J76" i="10"/>
  <c r="C77" i="10"/>
  <c r="D77" i="10"/>
  <c r="E77" i="10"/>
  <c r="F77" i="10"/>
  <c r="G77" i="10"/>
  <c r="H77" i="10"/>
  <c r="I77" i="10"/>
  <c r="J77" i="10"/>
  <c r="C78" i="10"/>
  <c r="D78" i="10"/>
  <c r="E78" i="10"/>
  <c r="F78" i="10"/>
  <c r="G78" i="10"/>
  <c r="H78" i="10"/>
  <c r="I78" i="10"/>
  <c r="J78" i="10"/>
  <c r="C79" i="10"/>
  <c r="D79" i="10"/>
  <c r="E79" i="10"/>
  <c r="F79" i="10"/>
  <c r="G79" i="10"/>
  <c r="H79" i="10"/>
  <c r="I79" i="10"/>
  <c r="J79" i="10"/>
  <c r="C80" i="10"/>
  <c r="D80" i="10"/>
  <c r="E80" i="10"/>
  <c r="F80" i="10"/>
  <c r="G80" i="10"/>
  <c r="H80" i="10"/>
  <c r="I80" i="10"/>
  <c r="J80" i="10"/>
  <c r="C81" i="10"/>
  <c r="D81" i="10"/>
  <c r="E81" i="10"/>
  <c r="F81" i="10"/>
  <c r="G81" i="10"/>
  <c r="H81" i="10"/>
  <c r="I81" i="10"/>
  <c r="J81" i="10"/>
  <c r="C82" i="10"/>
  <c r="D82" i="10"/>
  <c r="E82" i="10"/>
  <c r="F82" i="10"/>
  <c r="G82" i="10"/>
  <c r="H82" i="10"/>
  <c r="I82" i="10"/>
  <c r="J82" i="10"/>
  <c r="C83" i="10"/>
  <c r="D83" i="10"/>
  <c r="E83" i="10"/>
  <c r="F83" i="10"/>
  <c r="G83" i="10"/>
  <c r="H83" i="10"/>
  <c r="I83" i="10"/>
  <c r="J83" i="10"/>
  <c r="C84" i="10"/>
  <c r="D84" i="10"/>
  <c r="E84" i="10"/>
  <c r="F84" i="10"/>
  <c r="G84" i="10"/>
  <c r="H84" i="10"/>
  <c r="I84" i="10"/>
  <c r="J84" i="10"/>
  <c r="C85" i="10"/>
  <c r="D85" i="10"/>
  <c r="E85" i="10"/>
  <c r="F85" i="10"/>
  <c r="G85" i="10"/>
  <c r="H85" i="10"/>
  <c r="I85" i="10"/>
  <c r="J85" i="10"/>
  <c r="C86" i="10"/>
  <c r="D86" i="10"/>
  <c r="E86" i="10"/>
  <c r="F86" i="10"/>
  <c r="G86" i="10"/>
  <c r="H86" i="10"/>
  <c r="I86" i="10"/>
  <c r="J86" i="10"/>
  <c r="C87" i="10"/>
  <c r="D87" i="10"/>
  <c r="E87" i="10"/>
  <c r="F87" i="10"/>
  <c r="G87" i="10"/>
  <c r="H87" i="10"/>
  <c r="I87" i="10"/>
  <c r="J87" i="10"/>
  <c r="C88" i="10"/>
  <c r="D88" i="10"/>
  <c r="E88" i="10"/>
  <c r="F88" i="10"/>
  <c r="G88" i="10"/>
  <c r="H88" i="10"/>
  <c r="I88" i="10"/>
  <c r="J88" i="10"/>
  <c r="C89" i="10"/>
  <c r="D89" i="10"/>
  <c r="E89" i="10"/>
  <c r="F89" i="10"/>
  <c r="G89" i="10"/>
  <c r="H89" i="10"/>
  <c r="I89" i="10"/>
  <c r="J89" i="10"/>
  <c r="C90" i="10"/>
  <c r="D90" i="10"/>
  <c r="E90" i="10"/>
  <c r="F90" i="10"/>
  <c r="G90" i="10"/>
  <c r="H90" i="10"/>
  <c r="I90" i="10"/>
  <c r="J90" i="10"/>
  <c r="C91" i="10"/>
  <c r="D91" i="10"/>
  <c r="E91" i="10"/>
  <c r="F91" i="10"/>
  <c r="G91" i="10"/>
  <c r="H91" i="10"/>
  <c r="I91" i="10"/>
  <c r="J91" i="10"/>
  <c r="C92" i="10"/>
  <c r="D92" i="10"/>
  <c r="E92" i="10"/>
  <c r="F92" i="10"/>
  <c r="G92" i="10"/>
  <c r="H92" i="10"/>
  <c r="I92" i="10"/>
  <c r="J92" i="10"/>
  <c r="C93" i="10"/>
  <c r="D93" i="10"/>
  <c r="E93" i="10"/>
  <c r="F93" i="10"/>
  <c r="G93" i="10"/>
  <c r="H93" i="10"/>
  <c r="I93" i="10"/>
  <c r="J93" i="10"/>
  <c r="C94" i="10"/>
  <c r="D94" i="10"/>
  <c r="E94" i="10"/>
  <c r="F94" i="10"/>
  <c r="G94" i="10"/>
  <c r="H94" i="10"/>
  <c r="I94" i="10"/>
  <c r="J94" i="10"/>
  <c r="C95" i="10"/>
  <c r="D95" i="10"/>
  <c r="E95" i="10"/>
  <c r="F95" i="10"/>
  <c r="G95" i="10"/>
  <c r="H95" i="10"/>
  <c r="I95" i="10"/>
  <c r="J95" i="10"/>
  <c r="C96" i="10"/>
  <c r="D96" i="10"/>
  <c r="E96" i="10"/>
  <c r="F96" i="10"/>
  <c r="G96" i="10"/>
  <c r="H96" i="10"/>
  <c r="I96" i="10"/>
  <c r="J96" i="10"/>
  <c r="C97" i="10"/>
  <c r="D97" i="10"/>
  <c r="E97" i="10"/>
  <c r="F97" i="10"/>
  <c r="G97" i="10"/>
  <c r="H97" i="10"/>
  <c r="I97" i="10"/>
  <c r="J97" i="10"/>
  <c r="C98" i="10"/>
  <c r="D98" i="10"/>
  <c r="E98" i="10"/>
  <c r="F98" i="10"/>
  <c r="G98" i="10"/>
  <c r="H98" i="10"/>
  <c r="I98" i="10"/>
  <c r="J98" i="10"/>
  <c r="C99" i="10"/>
  <c r="D99" i="10"/>
  <c r="E99" i="10"/>
  <c r="F99" i="10"/>
  <c r="G99" i="10"/>
  <c r="H99" i="10"/>
  <c r="I99" i="10"/>
  <c r="J99" i="10"/>
  <c r="C100" i="10"/>
  <c r="D100" i="10"/>
  <c r="E100" i="10"/>
  <c r="F100" i="10"/>
  <c r="G100" i="10"/>
  <c r="H100" i="10"/>
  <c r="I100" i="10"/>
  <c r="J100" i="10"/>
  <c r="C101" i="10"/>
  <c r="D101" i="10"/>
  <c r="E101" i="10"/>
  <c r="F101" i="10"/>
  <c r="G101" i="10"/>
  <c r="H101" i="10"/>
  <c r="I101" i="10"/>
  <c r="J101" i="10"/>
  <c r="C102" i="10"/>
  <c r="D102" i="10"/>
  <c r="E102" i="10"/>
  <c r="F102" i="10"/>
  <c r="G102" i="10"/>
  <c r="H102" i="10"/>
  <c r="I102" i="10"/>
  <c r="J102" i="10"/>
  <c r="C103" i="10"/>
  <c r="D103" i="10"/>
  <c r="E103" i="10"/>
  <c r="F103" i="10"/>
  <c r="G103" i="10"/>
  <c r="H103" i="10"/>
  <c r="I103" i="10"/>
  <c r="J103" i="10"/>
  <c r="C104" i="10"/>
  <c r="D104" i="10"/>
  <c r="E104" i="10"/>
  <c r="F104" i="10"/>
  <c r="G104" i="10"/>
  <c r="H104" i="10"/>
  <c r="I104" i="10"/>
  <c r="J104" i="10"/>
  <c r="C105" i="10"/>
  <c r="D105" i="10"/>
  <c r="E105" i="10"/>
  <c r="F105" i="10"/>
  <c r="G105" i="10"/>
  <c r="H105" i="10"/>
  <c r="I105" i="10"/>
  <c r="J105" i="10"/>
  <c r="C106" i="10"/>
  <c r="D106" i="10"/>
  <c r="E106" i="10"/>
  <c r="F106" i="10"/>
  <c r="G106" i="10"/>
  <c r="H106" i="10"/>
  <c r="I106" i="10"/>
  <c r="J106" i="10"/>
  <c r="C107" i="10"/>
  <c r="D107" i="10"/>
  <c r="E107" i="10"/>
  <c r="F107" i="10"/>
  <c r="G107" i="10"/>
  <c r="H107" i="10"/>
  <c r="I107" i="10"/>
  <c r="J107" i="10"/>
  <c r="C108" i="10"/>
  <c r="D108" i="10"/>
  <c r="E108" i="10"/>
  <c r="F108" i="10"/>
  <c r="G108" i="10"/>
  <c r="H108" i="10"/>
  <c r="I108" i="10"/>
  <c r="J108" i="10"/>
  <c r="C109" i="10"/>
  <c r="D109" i="10"/>
  <c r="E109" i="10"/>
  <c r="F109" i="10"/>
  <c r="G109" i="10"/>
  <c r="H109" i="10"/>
  <c r="I109" i="10"/>
  <c r="J109" i="10"/>
  <c r="C110" i="10"/>
  <c r="D110" i="10"/>
  <c r="E110" i="10"/>
  <c r="F110" i="10"/>
  <c r="G110" i="10"/>
  <c r="H110" i="10"/>
  <c r="I110" i="10"/>
  <c r="J110" i="10"/>
  <c r="C111" i="10"/>
  <c r="D111" i="10"/>
  <c r="E111" i="10"/>
  <c r="F111" i="10"/>
  <c r="G111" i="10"/>
  <c r="H111" i="10"/>
  <c r="I111" i="10"/>
  <c r="J111" i="10"/>
  <c r="C112" i="10"/>
  <c r="D112" i="10"/>
  <c r="E112" i="10"/>
  <c r="F112" i="10"/>
  <c r="G112" i="10"/>
  <c r="H112" i="10"/>
  <c r="I112" i="10"/>
  <c r="J112" i="10"/>
  <c r="C113" i="10"/>
  <c r="D113" i="10"/>
  <c r="E113" i="10"/>
  <c r="F113" i="10"/>
  <c r="G113" i="10"/>
  <c r="H113" i="10"/>
  <c r="I113" i="10"/>
  <c r="J113" i="10"/>
  <c r="C114" i="10"/>
  <c r="D114" i="10"/>
  <c r="E114" i="10"/>
  <c r="F114" i="10"/>
  <c r="G114" i="10"/>
  <c r="H114" i="10"/>
  <c r="I114" i="10"/>
  <c r="J114" i="10"/>
  <c r="C115" i="10"/>
  <c r="D115" i="10"/>
  <c r="E115" i="10"/>
  <c r="F115" i="10"/>
  <c r="G115" i="10"/>
  <c r="H115" i="10"/>
  <c r="I115" i="10"/>
  <c r="J115" i="10"/>
  <c r="C116" i="10"/>
  <c r="D116" i="10"/>
  <c r="E116" i="10"/>
  <c r="F116" i="10"/>
  <c r="G116" i="10"/>
  <c r="H116" i="10"/>
  <c r="I116" i="10"/>
  <c r="J116" i="10"/>
  <c r="C117" i="10"/>
  <c r="D117" i="10"/>
  <c r="E117" i="10"/>
  <c r="F117" i="10"/>
  <c r="G117" i="10"/>
  <c r="H117" i="10"/>
  <c r="I117" i="10"/>
  <c r="J117" i="10"/>
  <c r="C118" i="10"/>
  <c r="D118" i="10"/>
  <c r="E118" i="10"/>
  <c r="F118" i="10"/>
  <c r="G118" i="10"/>
  <c r="H118" i="10"/>
  <c r="I118" i="10"/>
  <c r="J118" i="10"/>
  <c r="C119" i="10"/>
  <c r="D119" i="10"/>
  <c r="E119" i="10"/>
  <c r="F119" i="10"/>
  <c r="G119" i="10"/>
  <c r="H119" i="10"/>
  <c r="I119" i="10"/>
  <c r="J119" i="10"/>
  <c r="C120" i="10"/>
  <c r="D120" i="10"/>
  <c r="E120" i="10"/>
  <c r="F120" i="10"/>
  <c r="G120" i="10"/>
  <c r="H120" i="10"/>
  <c r="I120" i="10"/>
  <c r="J120" i="10"/>
  <c r="C121" i="10"/>
  <c r="D121" i="10"/>
  <c r="E121" i="10"/>
  <c r="F121" i="10"/>
  <c r="G121" i="10"/>
  <c r="H121" i="10"/>
  <c r="I121" i="10"/>
  <c r="J121" i="10"/>
  <c r="C122" i="10"/>
  <c r="D122" i="10"/>
  <c r="E122" i="10"/>
  <c r="F122" i="10"/>
  <c r="G122" i="10"/>
  <c r="H122" i="10"/>
  <c r="I122" i="10"/>
  <c r="J122" i="10"/>
  <c r="C123" i="10"/>
  <c r="D123" i="10"/>
  <c r="E123" i="10"/>
  <c r="F123" i="10"/>
  <c r="G123" i="10"/>
  <c r="H123" i="10"/>
  <c r="I123" i="10"/>
  <c r="J123" i="10"/>
  <c r="C124" i="10"/>
  <c r="D124" i="10"/>
  <c r="E124" i="10"/>
  <c r="F124" i="10"/>
  <c r="G124" i="10"/>
  <c r="H124" i="10"/>
  <c r="I124" i="10"/>
  <c r="J124" i="10"/>
  <c r="C125" i="10"/>
  <c r="D125" i="10"/>
  <c r="E125" i="10"/>
  <c r="F125" i="10"/>
  <c r="G125" i="10"/>
  <c r="H125" i="10"/>
  <c r="I125" i="10"/>
  <c r="J125" i="10"/>
  <c r="C126" i="10"/>
  <c r="D126" i="10"/>
  <c r="E126" i="10"/>
  <c r="F126" i="10"/>
  <c r="G126" i="10"/>
  <c r="H126" i="10"/>
  <c r="I126" i="10"/>
  <c r="J126" i="10"/>
  <c r="C127" i="10"/>
  <c r="D127" i="10"/>
  <c r="E127" i="10"/>
  <c r="F127" i="10"/>
  <c r="G127" i="10"/>
  <c r="H127" i="10"/>
  <c r="I127" i="10"/>
  <c r="J127" i="10"/>
  <c r="C128" i="10"/>
  <c r="D128" i="10"/>
  <c r="E128" i="10"/>
  <c r="F128" i="10"/>
  <c r="G128" i="10"/>
  <c r="H128" i="10"/>
  <c r="I128" i="10"/>
  <c r="J128" i="10"/>
  <c r="C129" i="10"/>
  <c r="D129" i="10"/>
  <c r="E129" i="10"/>
  <c r="F129" i="10"/>
  <c r="G129" i="10"/>
  <c r="H129" i="10"/>
  <c r="I129" i="10"/>
  <c r="J129" i="10"/>
  <c r="C130" i="10"/>
  <c r="D130" i="10"/>
  <c r="E130" i="10"/>
  <c r="F130" i="10"/>
  <c r="G130" i="10"/>
  <c r="H130" i="10"/>
  <c r="I130" i="10"/>
  <c r="J130" i="10"/>
  <c r="C131" i="10"/>
  <c r="D131" i="10"/>
  <c r="E131" i="10"/>
  <c r="F131" i="10"/>
  <c r="G131" i="10"/>
  <c r="H131" i="10"/>
  <c r="I131" i="10"/>
  <c r="J131" i="10"/>
  <c r="C132" i="10"/>
  <c r="D132" i="10"/>
  <c r="E132" i="10"/>
  <c r="F132" i="10"/>
  <c r="G132" i="10"/>
  <c r="H132" i="10"/>
  <c r="I132" i="10"/>
  <c r="J132" i="10"/>
  <c r="C133" i="10"/>
  <c r="D133" i="10"/>
  <c r="E133" i="10"/>
  <c r="F133" i="10"/>
  <c r="G133" i="10"/>
  <c r="H133" i="10"/>
  <c r="I133" i="10"/>
  <c r="J133" i="10"/>
  <c r="C134" i="10"/>
  <c r="D134" i="10"/>
  <c r="E134" i="10"/>
  <c r="F134" i="10"/>
  <c r="G134" i="10"/>
  <c r="H134" i="10"/>
  <c r="I134" i="10"/>
  <c r="J134" i="10"/>
  <c r="C135" i="10"/>
  <c r="D135" i="10"/>
  <c r="E135" i="10"/>
  <c r="F135" i="10"/>
  <c r="G135" i="10"/>
  <c r="H135" i="10"/>
  <c r="I135" i="10"/>
  <c r="J135" i="10"/>
  <c r="C136" i="10"/>
  <c r="D136" i="10"/>
  <c r="E136" i="10"/>
  <c r="F136" i="10"/>
  <c r="G136" i="10"/>
  <c r="H136" i="10"/>
  <c r="I136" i="10"/>
  <c r="J136" i="10"/>
  <c r="C137" i="10"/>
  <c r="D137" i="10"/>
  <c r="E137" i="10"/>
  <c r="F137" i="10"/>
  <c r="G137" i="10"/>
  <c r="H137" i="10"/>
  <c r="I137" i="10"/>
  <c r="J137" i="10"/>
  <c r="C138" i="10"/>
  <c r="D138" i="10"/>
  <c r="E138" i="10"/>
  <c r="F138" i="10"/>
  <c r="G138" i="10"/>
  <c r="H138" i="10"/>
  <c r="I138" i="10"/>
  <c r="J138" i="10"/>
  <c r="C139" i="10"/>
  <c r="D139" i="10"/>
  <c r="E139" i="10"/>
  <c r="F139" i="10"/>
  <c r="G139" i="10"/>
  <c r="H139" i="10"/>
  <c r="I139" i="10"/>
  <c r="J139" i="10"/>
  <c r="C140" i="10"/>
  <c r="D140" i="10"/>
  <c r="E140" i="10"/>
  <c r="F140" i="10"/>
  <c r="G140" i="10"/>
  <c r="H140" i="10"/>
  <c r="I140" i="10"/>
  <c r="J140" i="10"/>
  <c r="C141" i="10"/>
  <c r="D141" i="10"/>
  <c r="E141" i="10"/>
  <c r="F141" i="10"/>
  <c r="G141" i="10"/>
  <c r="H141" i="10"/>
  <c r="I141" i="10"/>
  <c r="J141" i="10"/>
  <c r="C142" i="10"/>
  <c r="D142" i="10"/>
  <c r="E142" i="10"/>
  <c r="F142" i="10"/>
  <c r="G142" i="10"/>
  <c r="H142" i="10"/>
  <c r="I142" i="10"/>
  <c r="J142" i="10"/>
  <c r="C143" i="10"/>
  <c r="D143" i="10"/>
  <c r="E143" i="10"/>
  <c r="F143" i="10"/>
  <c r="G143" i="10"/>
  <c r="H143" i="10"/>
  <c r="I143" i="10"/>
  <c r="J143" i="10"/>
  <c r="C144" i="10"/>
  <c r="D144" i="10"/>
  <c r="E144" i="10"/>
  <c r="F144" i="10"/>
  <c r="G144" i="10"/>
  <c r="H144" i="10"/>
  <c r="I144" i="10"/>
  <c r="J144" i="10"/>
  <c r="C145" i="10"/>
  <c r="D145" i="10"/>
  <c r="E145" i="10"/>
  <c r="F145" i="10"/>
  <c r="G145" i="10"/>
  <c r="H145" i="10"/>
  <c r="I145" i="10"/>
  <c r="J145" i="10"/>
  <c r="C146" i="10"/>
  <c r="D146" i="10"/>
  <c r="E146" i="10"/>
  <c r="F146" i="10"/>
  <c r="G146" i="10"/>
  <c r="H146" i="10"/>
  <c r="I146" i="10"/>
  <c r="J146" i="10"/>
  <c r="C147" i="10"/>
  <c r="D147" i="10"/>
  <c r="E147" i="10"/>
  <c r="F147" i="10"/>
  <c r="G147" i="10"/>
  <c r="H147" i="10"/>
  <c r="I147" i="10"/>
  <c r="J147" i="10"/>
  <c r="C148" i="10"/>
  <c r="D148" i="10"/>
  <c r="E148" i="10"/>
  <c r="F148" i="10"/>
  <c r="G148" i="10"/>
  <c r="H148" i="10"/>
  <c r="I148" i="10"/>
  <c r="J148" i="10"/>
  <c r="C149" i="10"/>
  <c r="D149" i="10"/>
  <c r="E149" i="10"/>
  <c r="F149" i="10"/>
  <c r="G149" i="10"/>
  <c r="H149" i="10"/>
  <c r="I149" i="10"/>
  <c r="J149" i="10"/>
  <c r="C150" i="10"/>
  <c r="D150" i="10"/>
  <c r="E150" i="10"/>
  <c r="F150" i="10"/>
  <c r="G150" i="10"/>
  <c r="H150" i="10"/>
  <c r="I150" i="10"/>
  <c r="J150" i="10"/>
  <c r="C151" i="10"/>
  <c r="D151" i="10"/>
  <c r="E151" i="10"/>
  <c r="F151" i="10"/>
  <c r="G151" i="10"/>
  <c r="H151" i="10"/>
  <c r="I151" i="10"/>
  <c r="J151" i="10"/>
  <c r="C152" i="10"/>
  <c r="D152" i="10"/>
  <c r="E152" i="10"/>
  <c r="F152" i="10"/>
  <c r="G152" i="10"/>
  <c r="H152" i="10"/>
  <c r="I152" i="10"/>
  <c r="J152" i="10"/>
  <c r="C153" i="10"/>
  <c r="D153" i="10"/>
  <c r="E153" i="10"/>
  <c r="F153" i="10"/>
  <c r="G153" i="10"/>
  <c r="H153" i="10"/>
  <c r="I153" i="10"/>
  <c r="J153" i="10"/>
  <c r="C154" i="10"/>
  <c r="D154" i="10"/>
  <c r="E154" i="10"/>
  <c r="F154" i="10"/>
  <c r="G154" i="10"/>
  <c r="H154" i="10"/>
  <c r="I154" i="10"/>
  <c r="J154" i="10"/>
  <c r="C155" i="10"/>
  <c r="D155" i="10"/>
  <c r="E155" i="10"/>
  <c r="F155" i="10"/>
  <c r="G155" i="10"/>
  <c r="H155" i="10"/>
  <c r="I155" i="10"/>
  <c r="J155" i="10"/>
  <c r="CG157" i="10" l="1"/>
  <c r="CF158" i="10"/>
  <c r="CA157" i="10"/>
  <c r="CE158" i="10"/>
  <c r="BZ157" i="10"/>
  <c r="CH156" i="10"/>
  <c r="CG159" i="10"/>
  <c r="CD158" i="10"/>
  <c r="BY157" i="10"/>
  <c r="BX159" i="10"/>
  <c r="BX157" i="10"/>
  <c r="CH160" i="10"/>
  <c r="CG156" i="10"/>
  <c r="CG160" i="10"/>
  <c r="CF156" i="10"/>
  <c r="AJ159" i="12"/>
  <c r="AJ158" i="12"/>
  <c r="AJ157" i="12"/>
  <c r="AJ160" i="12"/>
  <c r="AJ156" i="12"/>
  <c r="CH159" i="10"/>
  <c r="CD159" i="10"/>
  <c r="BY158" i="10"/>
  <c r="CE159" i="10"/>
  <c r="BZ158" i="10"/>
  <c r="BX158" i="10"/>
  <c r="CF160" i="10"/>
  <c r="CA159" i="10"/>
  <c r="CE160" i="10"/>
  <c r="BZ159" i="10"/>
  <c r="CE156" i="10"/>
  <c r="BW158" i="10"/>
  <c r="BY159" i="10"/>
  <c r="CH157" i="10"/>
  <c r="CA156" i="10"/>
  <c r="BZ160" i="10"/>
  <c r="CE157" i="10"/>
  <c r="BZ156" i="10"/>
  <c r="BY160" i="10"/>
  <c r="CH158" i="10"/>
  <c r="CD157" i="10"/>
  <c r="BY156" i="10"/>
  <c r="CA160" i="10"/>
  <c r="BX160" i="10"/>
  <c r="BX156" i="10"/>
  <c r="CI156" i="10" l="1"/>
  <c r="CB157" i="10"/>
  <c r="CI158" i="10"/>
  <c r="CI160" i="10"/>
  <c r="CB156" i="10"/>
  <c r="CB159" i="10"/>
  <c r="CB160" i="10"/>
  <c r="CI157" i="10"/>
  <c r="CB158" i="10"/>
  <c r="CI159" i="10"/>
  <c r="B54" i="12" l="1"/>
  <c r="B53" i="12"/>
  <c r="B54" i="10" l="1"/>
  <c r="B141" i="19" s="1"/>
  <c r="B53" i="10"/>
  <c r="B140" i="19" s="1"/>
  <c r="J53" i="10"/>
  <c r="E53" i="10" l="1"/>
  <c r="E53" i="12"/>
  <c r="C53" i="10"/>
  <c r="C53" i="12"/>
  <c r="D53" i="10"/>
  <c r="D53" i="12"/>
  <c r="F53" i="10"/>
  <c r="F53" i="12"/>
  <c r="H53" i="10"/>
  <c r="H53" i="12"/>
  <c r="Y53" i="6"/>
  <c r="S53" i="6"/>
  <c r="S72" i="6" l="1"/>
  <c r="S71" i="6"/>
  <c r="S70" i="6"/>
  <c r="S69" i="6"/>
  <c r="S68" i="6"/>
  <c r="S67" i="6"/>
  <c r="S66" i="6"/>
  <c r="S64" i="6"/>
  <c r="S63" i="6"/>
  <c r="S62" i="6"/>
  <c r="S61" i="6"/>
  <c r="S60" i="6"/>
  <c r="S59" i="6"/>
  <c r="S58" i="6"/>
  <c r="S57" i="6"/>
  <c r="S56" i="6"/>
  <c r="S55" i="6"/>
  <c r="B55" i="16" l="1"/>
  <c r="B56" i="16"/>
  <c r="B57" i="16"/>
  <c r="B45" i="16"/>
  <c r="B46" i="16"/>
  <c r="B47" i="16"/>
  <c r="B48" i="16"/>
  <c r="B49" i="16"/>
  <c r="B50" i="16"/>
  <c r="B51" i="16"/>
  <c r="B52" i="16"/>
  <c r="B53" i="16"/>
  <c r="B54" i="16"/>
  <c r="B44" i="16"/>
  <c r="D75" i="8" l="1"/>
  <c r="C75" i="8"/>
  <c r="E74" i="8"/>
  <c r="F74" i="8" s="1"/>
  <c r="G74" i="8" s="1"/>
  <c r="H74" i="8" s="1"/>
  <c r="D74" i="8"/>
  <c r="F75" i="8" l="1"/>
  <c r="E75" i="8"/>
  <c r="B33" i="4" l="1"/>
  <c r="B46" i="4" s="1"/>
  <c r="B59" i="4" s="1"/>
  <c r="B13" i="4"/>
  <c r="B14" i="4"/>
  <c r="B15" i="4"/>
  <c r="B28" i="4" s="1"/>
  <c r="B41" i="4" s="1"/>
  <c r="B54" i="4" s="1"/>
  <c r="B66" i="4" s="1"/>
  <c r="B16" i="4"/>
  <c r="B29" i="4" s="1"/>
  <c r="B42" i="4" s="1"/>
  <c r="B55" i="4" s="1"/>
  <c r="B67" i="4" s="1"/>
  <c r="B17" i="4"/>
  <c r="B30" i="4" s="1"/>
  <c r="B43" i="4" s="1"/>
  <c r="B56" i="4" s="1"/>
  <c r="B68" i="4" s="1"/>
  <c r="B18" i="4"/>
  <c r="B31" i="4" s="1"/>
  <c r="B44" i="4" s="1"/>
  <c r="B57" i="4" s="1"/>
  <c r="B69" i="4" s="1"/>
  <c r="B19" i="4"/>
  <c r="B32" i="4" s="1"/>
  <c r="B45" i="4" s="1"/>
  <c r="B58" i="4" s="1"/>
  <c r="B70" i="4" s="1"/>
  <c r="B12" i="4"/>
  <c r="B25" i="4" s="1"/>
  <c r="B38" i="4" s="1"/>
  <c r="B51" i="4" s="1"/>
  <c r="B63" i="4" s="1"/>
  <c r="B26" i="4"/>
  <c r="B39" i="4" s="1"/>
  <c r="B52" i="4" s="1"/>
  <c r="B64" i="4" s="1"/>
  <c r="B27" i="4"/>
  <c r="B40" i="4" s="1"/>
  <c r="B53" i="4" s="1"/>
  <c r="B65" i="4" s="1"/>
  <c r="E71" i="4" l="1"/>
  <c r="C71" i="4"/>
  <c r="D71" i="4"/>
  <c r="F71" i="4"/>
  <c r="B103" i="19" l="1"/>
  <c r="B101" i="19"/>
  <c r="B100" i="19"/>
  <c r="B99" i="19"/>
  <c r="B5" i="19" l="1"/>
  <c r="B6" i="19"/>
  <c r="B7" i="19"/>
  <c r="B8" i="19"/>
  <c r="B4" i="19"/>
  <c r="C74" i="12" l="1"/>
  <c r="D74" i="12"/>
  <c r="E74" i="12"/>
  <c r="F74" i="12"/>
  <c r="G74" i="12"/>
  <c r="H74" i="12"/>
  <c r="I74" i="12"/>
  <c r="C75" i="12"/>
  <c r="D75" i="12"/>
  <c r="E75" i="12"/>
  <c r="F75" i="12"/>
  <c r="G75" i="12"/>
  <c r="H75" i="12"/>
  <c r="I75" i="12"/>
  <c r="C76" i="12"/>
  <c r="D76" i="12"/>
  <c r="E76" i="12"/>
  <c r="F76" i="12"/>
  <c r="G76" i="12"/>
  <c r="H76" i="12"/>
  <c r="I76" i="12"/>
  <c r="C77" i="12"/>
  <c r="D77" i="12"/>
  <c r="E77" i="12"/>
  <c r="F77" i="12"/>
  <c r="G77" i="12"/>
  <c r="H77" i="12"/>
  <c r="I77" i="12"/>
  <c r="C78" i="12"/>
  <c r="D78" i="12"/>
  <c r="E78" i="12"/>
  <c r="F78" i="12"/>
  <c r="G78" i="12"/>
  <c r="H78" i="12"/>
  <c r="I78" i="12"/>
  <c r="C79" i="12"/>
  <c r="D79" i="12"/>
  <c r="E79" i="12"/>
  <c r="F79" i="12"/>
  <c r="G79" i="12"/>
  <c r="H79" i="12"/>
  <c r="I79" i="12"/>
  <c r="C80" i="12"/>
  <c r="D80" i="12"/>
  <c r="E80" i="12"/>
  <c r="F80" i="12"/>
  <c r="G80" i="12"/>
  <c r="H80" i="12"/>
  <c r="I80" i="12"/>
  <c r="C81" i="12"/>
  <c r="D81" i="12"/>
  <c r="E81" i="12"/>
  <c r="F81" i="12"/>
  <c r="G81" i="12"/>
  <c r="H81" i="12"/>
  <c r="I81" i="12"/>
  <c r="C82" i="12"/>
  <c r="D82" i="12"/>
  <c r="E82" i="12"/>
  <c r="F82" i="12"/>
  <c r="G82" i="12"/>
  <c r="H82" i="12"/>
  <c r="I82" i="12"/>
  <c r="C83" i="12"/>
  <c r="D83" i="12"/>
  <c r="E83" i="12"/>
  <c r="F83" i="12"/>
  <c r="G83" i="12"/>
  <c r="H83" i="12"/>
  <c r="I83" i="12"/>
  <c r="C84" i="12"/>
  <c r="D84" i="12"/>
  <c r="E84" i="12"/>
  <c r="F84" i="12"/>
  <c r="G84" i="12"/>
  <c r="H84" i="12"/>
  <c r="I84" i="12"/>
  <c r="C85" i="12"/>
  <c r="D85" i="12"/>
  <c r="E85" i="12"/>
  <c r="F85" i="12"/>
  <c r="G85" i="12"/>
  <c r="H85" i="12"/>
  <c r="I85" i="12"/>
  <c r="C86" i="12"/>
  <c r="D86" i="12"/>
  <c r="E86" i="12"/>
  <c r="F86" i="12"/>
  <c r="G86" i="12"/>
  <c r="H86" i="12"/>
  <c r="I86" i="12"/>
  <c r="C87" i="12"/>
  <c r="D87" i="12"/>
  <c r="E87" i="12"/>
  <c r="F87" i="12"/>
  <c r="G87" i="12"/>
  <c r="H87" i="12"/>
  <c r="I87" i="12"/>
  <c r="C88" i="12"/>
  <c r="D88" i="12"/>
  <c r="E88" i="12"/>
  <c r="F88" i="12"/>
  <c r="G88" i="12"/>
  <c r="H88" i="12"/>
  <c r="I88" i="12"/>
  <c r="C89" i="12"/>
  <c r="D89" i="12"/>
  <c r="E89" i="12"/>
  <c r="F89" i="12"/>
  <c r="G89" i="12"/>
  <c r="H89" i="12"/>
  <c r="I89" i="12"/>
  <c r="C90" i="12"/>
  <c r="D90" i="12"/>
  <c r="E90" i="12"/>
  <c r="F90" i="12"/>
  <c r="G90" i="12"/>
  <c r="H90" i="12"/>
  <c r="I90" i="12"/>
  <c r="C91" i="12"/>
  <c r="D91" i="12"/>
  <c r="E91" i="12"/>
  <c r="F91" i="12"/>
  <c r="G91" i="12"/>
  <c r="H91" i="12"/>
  <c r="I91" i="12"/>
  <c r="C92" i="12"/>
  <c r="D92" i="12"/>
  <c r="E92" i="12"/>
  <c r="F92" i="12"/>
  <c r="G92" i="12"/>
  <c r="H92" i="12"/>
  <c r="I92" i="12"/>
  <c r="C93" i="12"/>
  <c r="D93" i="12"/>
  <c r="E93" i="12"/>
  <c r="F93" i="12"/>
  <c r="G93" i="12"/>
  <c r="H93" i="12"/>
  <c r="I93" i="12"/>
  <c r="C94" i="12"/>
  <c r="D94" i="12"/>
  <c r="E94" i="12"/>
  <c r="F94" i="12"/>
  <c r="G94" i="12"/>
  <c r="H94" i="12"/>
  <c r="I94" i="12"/>
  <c r="C95" i="12"/>
  <c r="D95" i="12"/>
  <c r="E95" i="12"/>
  <c r="F95" i="12"/>
  <c r="G95" i="12"/>
  <c r="H95" i="12"/>
  <c r="I95" i="12"/>
  <c r="C96" i="12"/>
  <c r="D96" i="12"/>
  <c r="E96" i="12"/>
  <c r="F96" i="12"/>
  <c r="G96" i="12"/>
  <c r="H96" i="12"/>
  <c r="I96" i="12"/>
  <c r="C97" i="12"/>
  <c r="D97" i="12"/>
  <c r="E97" i="12"/>
  <c r="F97" i="12"/>
  <c r="G97" i="12"/>
  <c r="H97" i="12"/>
  <c r="I97" i="12"/>
  <c r="C98" i="12"/>
  <c r="D98" i="12"/>
  <c r="E98" i="12"/>
  <c r="F98" i="12"/>
  <c r="G98" i="12"/>
  <c r="H98" i="12"/>
  <c r="I98" i="12"/>
  <c r="C99" i="12"/>
  <c r="D99" i="12"/>
  <c r="E99" i="12"/>
  <c r="F99" i="12"/>
  <c r="G99" i="12"/>
  <c r="H99" i="12"/>
  <c r="I99" i="12"/>
  <c r="C100" i="12"/>
  <c r="D100" i="12"/>
  <c r="E100" i="12"/>
  <c r="F100" i="12"/>
  <c r="G100" i="12"/>
  <c r="H100" i="12"/>
  <c r="I100" i="12"/>
  <c r="C101" i="12"/>
  <c r="D101" i="12"/>
  <c r="E101" i="12"/>
  <c r="F101" i="12"/>
  <c r="G101" i="12"/>
  <c r="H101" i="12"/>
  <c r="I101" i="12"/>
  <c r="C102" i="12"/>
  <c r="D102" i="12"/>
  <c r="E102" i="12"/>
  <c r="F102" i="12"/>
  <c r="G102" i="12"/>
  <c r="H102" i="12"/>
  <c r="I102" i="12"/>
  <c r="C103" i="12"/>
  <c r="D103" i="12"/>
  <c r="E103" i="12"/>
  <c r="F103" i="12"/>
  <c r="G103" i="12"/>
  <c r="H103" i="12"/>
  <c r="I103" i="12"/>
  <c r="C104" i="12"/>
  <c r="D104" i="12"/>
  <c r="E104" i="12"/>
  <c r="F104" i="12"/>
  <c r="G104" i="12"/>
  <c r="H104" i="12"/>
  <c r="I104" i="12"/>
  <c r="C105" i="12"/>
  <c r="D105" i="12"/>
  <c r="E105" i="12"/>
  <c r="F105" i="12"/>
  <c r="G105" i="12"/>
  <c r="H105" i="12"/>
  <c r="I105" i="12"/>
  <c r="C106" i="12"/>
  <c r="D106" i="12"/>
  <c r="E106" i="12"/>
  <c r="F106" i="12"/>
  <c r="G106" i="12"/>
  <c r="H106" i="12"/>
  <c r="I106" i="12"/>
  <c r="C107" i="12"/>
  <c r="D107" i="12"/>
  <c r="E107" i="12"/>
  <c r="F107" i="12"/>
  <c r="G107" i="12"/>
  <c r="H107" i="12"/>
  <c r="I107" i="12"/>
  <c r="C108" i="12"/>
  <c r="D108" i="12"/>
  <c r="E108" i="12"/>
  <c r="F108" i="12"/>
  <c r="G108" i="12"/>
  <c r="H108" i="12"/>
  <c r="I108" i="12"/>
  <c r="C109" i="12"/>
  <c r="D109" i="12"/>
  <c r="E109" i="12"/>
  <c r="F109" i="12"/>
  <c r="G109" i="12"/>
  <c r="H109" i="12"/>
  <c r="I109" i="12"/>
  <c r="C110" i="12"/>
  <c r="D110" i="12"/>
  <c r="E110" i="12"/>
  <c r="F110" i="12"/>
  <c r="G110" i="12"/>
  <c r="H110" i="12"/>
  <c r="I110" i="12"/>
  <c r="C111" i="12"/>
  <c r="D111" i="12"/>
  <c r="E111" i="12"/>
  <c r="F111" i="12"/>
  <c r="G111" i="12"/>
  <c r="H111" i="12"/>
  <c r="I111" i="12"/>
  <c r="C112" i="12"/>
  <c r="D112" i="12"/>
  <c r="E112" i="12"/>
  <c r="F112" i="12"/>
  <c r="G112" i="12"/>
  <c r="H112" i="12"/>
  <c r="I112" i="12"/>
  <c r="C113" i="12"/>
  <c r="D113" i="12"/>
  <c r="E113" i="12"/>
  <c r="F113" i="12"/>
  <c r="G113" i="12"/>
  <c r="H113" i="12"/>
  <c r="I113" i="12"/>
  <c r="C114" i="12"/>
  <c r="D114" i="12"/>
  <c r="E114" i="12"/>
  <c r="F114" i="12"/>
  <c r="G114" i="12"/>
  <c r="H114" i="12"/>
  <c r="I114" i="12"/>
  <c r="C115" i="12"/>
  <c r="D115" i="12"/>
  <c r="E115" i="12"/>
  <c r="F115" i="12"/>
  <c r="G115" i="12"/>
  <c r="H115" i="12"/>
  <c r="I115" i="12"/>
  <c r="C116" i="12"/>
  <c r="D116" i="12"/>
  <c r="E116" i="12"/>
  <c r="F116" i="12"/>
  <c r="G116" i="12"/>
  <c r="H116" i="12"/>
  <c r="I116" i="12"/>
  <c r="C117" i="12"/>
  <c r="D117" i="12"/>
  <c r="E117" i="12"/>
  <c r="F117" i="12"/>
  <c r="G117" i="12"/>
  <c r="H117" i="12"/>
  <c r="I117" i="12"/>
  <c r="C118" i="12"/>
  <c r="D118" i="12"/>
  <c r="E118" i="12"/>
  <c r="F118" i="12"/>
  <c r="G118" i="12"/>
  <c r="H118" i="12"/>
  <c r="I118" i="12"/>
  <c r="C119" i="12"/>
  <c r="D119" i="12"/>
  <c r="E119" i="12"/>
  <c r="F119" i="12"/>
  <c r="G119" i="12"/>
  <c r="H119" i="12"/>
  <c r="I119" i="12"/>
  <c r="C120" i="12"/>
  <c r="D120" i="12"/>
  <c r="E120" i="12"/>
  <c r="F120" i="12"/>
  <c r="G120" i="12"/>
  <c r="H120" i="12"/>
  <c r="I120" i="12"/>
  <c r="C121" i="12"/>
  <c r="D121" i="12"/>
  <c r="E121" i="12"/>
  <c r="F121" i="12"/>
  <c r="G121" i="12"/>
  <c r="H121" i="12"/>
  <c r="I121" i="12"/>
  <c r="C122" i="12"/>
  <c r="D122" i="12"/>
  <c r="E122" i="12"/>
  <c r="F122" i="12"/>
  <c r="G122" i="12"/>
  <c r="H122" i="12"/>
  <c r="I122" i="12"/>
  <c r="C123" i="12"/>
  <c r="D123" i="12"/>
  <c r="E123" i="12"/>
  <c r="F123" i="12"/>
  <c r="G123" i="12"/>
  <c r="H123" i="12"/>
  <c r="I123" i="12"/>
  <c r="C124" i="12"/>
  <c r="D124" i="12"/>
  <c r="E124" i="12"/>
  <c r="F124" i="12"/>
  <c r="G124" i="12"/>
  <c r="H124" i="12"/>
  <c r="I124" i="12"/>
  <c r="C125" i="12"/>
  <c r="D125" i="12"/>
  <c r="E125" i="12"/>
  <c r="F125" i="12"/>
  <c r="G125" i="12"/>
  <c r="H125" i="12"/>
  <c r="I125" i="12"/>
  <c r="C126" i="12"/>
  <c r="D126" i="12"/>
  <c r="E126" i="12"/>
  <c r="F126" i="12"/>
  <c r="G126" i="12"/>
  <c r="H126" i="12"/>
  <c r="I126" i="12"/>
  <c r="C127" i="12"/>
  <c r="D127" i="12"/>
  <c r="E127" i="12"/>
  <c r="F127" i="12"/>
  <c r="G127" i="12"/>
  <c r="H127" i="12"/>
  <c r="I127" i="12"/>
  <c r="C128" i="12"/>
  <c r="D128" i="12"/>
  <c r="E128" i="12"/>
  <c r="F128" i="12"/>
  <c r="G128" i="12"/>
  <c r="H128" i="12"/>
  <c r="I128" i="12"/>
  <c r="C129" i="12"/>
  <c r="D129" i="12"/>
  <c r="E129" i="12"/>
  <c r="F129" i="12"/>
  <c r="G129" i="12"/>
  <c r="H129" i="12"/>
  <c r="I129" i="12"/>
  <c r="C130" i="12"/>
  <c r="D130" i="12"/>
  <c r="E130" i="12"/>
  <c r="F130" i="12"/>
  <c r="G130" i="12"/>
  <c r="H130" i="12"/>
  <c r="I130" i="12"/>
  <c r="C131" i="12"/>
  <c r="D131" i="12"/>
  <c r="E131" i="12"/>
  <c r="F131" i="12"/>
  <c r="G131" i="12"/>
  <c r="H131" i="12"/>
  <c r="I131" i="12"/>
  <c r="C132" i="12"/>
  <c r="D132" i="12"/>
  <c r="E132" i="12"/>
  <c r="F132" i="12"/>
  <c r="G132" i="12"/>
  <c r="H132" i="12"/>
  <c r="I132" i="12"/>
  <c r="C133" i="12"/>
  <c r="D133" i="12"/>
  <c r="E133" i="12"/>
  <c r="F133" i="12"/>
  <c r="G133" i="12"/>
  <c r="H133" i="12"/>
  <c r="I133" i="12"/>
  <c r="C134" i="12"/>
  <c r="D134" i="12"/>
  <c r="E134" i="12"/>
  <c r="F134" i="12"/>
  <c r="G134" i="12"/>
  <c r="H134" i="12"/>
  <c r="I134" i="12"/>
  <c r="C135" i="12"/>
  <c r="D135" i="12"/>
  <c r="E135" i="12"/>
  <c r="F135" i="12"/>
  <c r="G135" i="12"/>
  <c r="H135" i="12"/>
  <c r="I135" i="12"/>
  <c r="C136" i="12"/>
  <c r="D136" i="12"/>
  <c r="E136" i="12"/>
  <c r="F136" i="12"/>
  <c r="G136" i="12"/>
  <c r="H136" i="12"/>
  <c r="I136" i="12"/>
  <c r="C137" i="12"/>
  <c r="D137" i="12"/>
  <c r="E137" i="12"/>
  <c r="F137" i="12"/>
  <c r="G137" i="12"/>
  <c r="H137" i="12"/>
  <c r="I137" i="12"/>
  <c r="C138" i="12"/>
  <c r="D138" i="12"/>
  <c r="E138" i="12"/>
  <c r="F138" i="12"/>
  <c r="G138" i="12"/>
  <c r="H138" i="12"/>
  <c r="I138" i="12"/>
  <c r="C139" i="12"/>
  <c r="D139" i="12"/>
  <c r="E139" i="12"/>
  <c r="F139" i="12"/>
  <c r="G139" i="12"/>
  <c r="H139" i="12"/>
  <c r="I139" i="12"/>
  <c r="C140" i="12"/>
  <c r="D140" i="12"/>
  <c r="E140" i="12"/>
  <c r="F140" i="12"/>
  <c r="G140" i="12"/>
  <c r="H140" i="12"/>
  <c r="I140" i="12"/>
  <c r="C141" i="12"/>
  <c r="D141" i="12"/>
  <c r="E141" i="12"/>
  <c r="F141" i="12"/>
  <c r="G141" i="12"/>
  <c r="H141" i="12"/>
  <c r="I141" i="12"/>
  <c r="C142" i="12"/>
  <c r="D142" i="12"/>
  <c r="E142" i="12"/>
  <c r="F142" i="12"/>
  <c r="G142" i="12"/>
  <c r="H142" i="12"/>
  <c r="I142" i="12"/>
  <c r="C143" i="12"/>
  <c r="D143" i="12"/>
  <c r="E143" i="12"/>
  <c r="F143" i="12"/>
  <c r="G143" i="12"/>
  <c r="H143" i="12"/>
  <c r="I143" i="12"/>
  <c r="C144" i="12"/>
  <c r="D144" i="12"/>
  <c r="E144" i="12"/>
  <c r="F144" i="12"/>
  <c r="G144" i="12"/>
  <c r="H144" i="12"/>
  <c r="I144" i="12"/>
  <c r="C145" i="12"/>
  <c r="D145" i="12"/>
  <c r="E145" i="12"/>
  <c r="F145" i="12"/>
  <c r="G145" i="12"/>
  <c r="H145" i="12"/>
  <c r="I145" i="12"/>
  <c r="C146" i="12"/>
  <c r="D146" i="12"/>
  <c r="E146" i="12"/>
  <c r="F146" i="12"/>
  <c r="G146" i="12"/>
  <c r="H146" i="12"/>
  <c r="I146" i="12"/>
  <c r="C147" i="12"/>
  <c r="D147" i="12"/>
  <c r="E147" i="12"/>
  <c r="F147" i="12"/>
  <c r="G147" i="12"/>
  <c r="H147" i="12"/>
  <c r="I147" i="12"/>
  <c r="C148" i="12"/>
  <c r="D148" i="12"/>
  <c r="E148" i="12"/>
  <c r="F148" i="12"/>
  <c r="G148" i="12"/>
  <c r="H148" i="12"/>
  <c r="I148" i="12"/>
  <c r="C149" i="12"/>
  <c r="D149" i="12"/>
  <c r="E149" i="12"/>
  <c r="F149" i="12"/>
  <c r="G149" i="12"/>
  <c r="H149" i="12"/>
  <c r="I149" i="12"/>
  <c r="C150" i="12"/>
  <c r="D150" i="12"/>
  <c r="E150" i="12"/>
  <c r="F150" i="12"/>
  <c r="G150" i="12"/>
  <c r="H150" i="12"/>
  <c r="I150" i="12"/>
  <c r="C151" i="12"/>
  <c r="D151" i="12"/>
  <c r="E151" i="12"/>
  <c r="F151" i="12"/>
  <c r="G151" i="12"/>
  <c r="H151" i="12"/>
  <c r="I151" i="12"/>
  <c r="C152" i="12"/>
  <c r="D152" i="12"/>
  <c r="E152" i="12"/>
  <c r="F152" i="12"/>
  <c r="G152" i="12"/>
  <c r="H152" i="12"/>
  <c r="I152" i="12"/>
  <c r="C153" i="12"/>
  <c r="D153" i="12"/>
  <c r="E153" i="12"/>
  <c r="F153" i="12"/>
  <c r="G153" i="12"/>
  <c r="H153" i="12"/>
  <c r="I153" i="12"/>
  <c r="C154" i="12"/>
  <c r="D154" i="12"/>
  <c r="E154" i="12"/>
  <c r="F154" i="12"/>
  <c r="G154" i="12"/>
  <c r="H154" i="12"/>
  <c r="I154" i="12"/>
  <c r="C155" i="12"/>
  <c r="D155" i="12"/>
  <c r="E155" i="12"/>
  <c r="F155" i="12"/>
  <c r="G155" i="12"/>
  <c r="H155" i="12"/>
  <c r="I155" i="12"/>
  <c r="B119" i="12"/>
  <c r="B120" i="12"/>
  <c r="B121" i="12"/>
  <c r="B122" i="12"/>
  <c r="B123" i="12"/>
  <c r="B124" i="12"/>
  <c r="B125" i="12"/>
  <c r="B126" i="12"/>
  <c r="B127" i="12"/>
  <c r="B128" i="12"/>
  <c r="B129" i="12"/>
  <c r="B130" i="12"/>
  <c r="B131" i="12"/>
  <c r="B132" i="12"/>
  <c r="B133" i="12"/>
  <c r="B134" i="12"/>
  <c r="B135" i="12"/>
  <c r="B136" i="12"/>
  <c r="B137" i="12"/>
  <c r="B138" i="12"/>
  <c r="B139" i="12"/>
  <c r="B140" i="12"/>
  <c r="B141" i="12"/>
  <c r="B142" i="12"/>
  <c r="B143" i="12"/>
  <c r="B144" i="12"/>
  <c r="B145" i="12"/>
  <c r="B146" i="12"/>
  <c r="B147" i="12"/>
  <c r="B148" i="12"/>
  <c r="B149" i="12"/>
  <c r="B150" i="12"/>
  <c r="B151" i="12"/>
  <c r="B152" i="12"/>
  <c r="B153" i="12"/>
  <c r="B154" i="12"/>
  <c r="B155" i="12"/>
  <c r="B74" i="12"/>
  <c r="B75" i="12"/>
  <c r="B76" i="12"/>
  <c r="B77" i="12"/>
  <c r="B78" i="12"/>
  <c r="B79" i="12"/>
  <c r="B80" i="12"/>
  <c r="B81" i="12"/>
  <c r="B82" i="12"/>
  <c r="B83" i="12"/>
  <c r="B84" i="12"/>
  <c r="B85" i="12"/>
  <c r="B86" i="12"/>
  <c r="B87" i="12"/>
  <c r="B88" i="12"/>
  <c r="B89" i="12"/>
  <c r="B90" i="12"/>
  <c r="B91" i="12"/>
  <c r="B92" i="12"/>
  <c r="B93" i="12"/>
  <c r="B94" i="12"/>
  <c r="B95" i="12"/>
  <c r="B96" i="12"/>
  <c r="B97" i="12"/>
  <c r="B98" i="12"/>
  <c r="B99" i="12"/>
  <c r="B100" i="12"/>
  <c r="B101" i="12"/>
  <c r="B102" i="12"/>
  <c r="B103" i="12"/>
  <c r="B104" i="12"/>
  <c r="B105" i="12"/>
  <c r="B106" i="12"/>
  <c r="B107" i="12"/>
  <c r="B108" i="12"/>
  <c r="B109" i="12"/>
  <c r="B110" i="12"/>
  <c r="B111" i="12"/>
  <c r="B112" i="12"/>
  <c r="B113" i="12"/>
  <c r="B114" i="12"/>
  <c r="B115" i="12"/>
  <c r="B116" i="12"/>
  <c r="B117" i="12"/>
  <c r="B118" i="12"/>
  <c r="A12" i="12" l="1"/>
  <c r="A12" i="6"/>
  <c r="Y55" i="6"/>
  <c r="Y56" i="6"/>
  <c r="Y57" i="6"/>
  <c r="Y58" i="6"/>
  <c r="Y59" i="6"/>
  <c r="Y60" i="6"/>
  <c r="Y61" i="6"/>
  <c r="A13" i="6" l="1"/>
  <c r="A14" i="6" l="1"/>
  <c r="A15" i="6" l="1"/>
  <c r="A16" i="6" l="1"/>
  <c r="A17" i="6" l="1"/>
  <c r="A18" i="6" l="1"/>
  <c r="A19" i="6" l="1"/>
  <c r="A20" i="6" l="1"/>
  <c r="A21" i="6" l="1"/>
  <c r="A22" i="6" l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A130" i="6" s="1"/>
  <c r="A131" i="6" s="1"/>
  <c r="A132" i="6" s="1"/>
  <c r="A133" i="6" s="1"/>
  <c r="A134" i="6" s="1"/>
  <c r="A135" i="6" s="1"/>
  <c r="A136" i="6" s="1"/>
  <c r="A137" i="6" s="1"/>
  <c r="A138" i="6" s="1"/>
  <c r="A139" i="6" s="1"/>
  <c r="A140" i="6" s="1"/>
  <c r="A141" i="6" s="1"/>
  <c r="A142" i="6" s="1"/>
  <c r="A143" i="6" s="1"/>
  <c r="A144" i="6" s="1"/>
  <c r="A145" i="6" s="1"/>
  <c r="A146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B72" i="10" l="1"/>
  <c r="B69" i="12"/>
  <c r="B60" i="10" l="1"/>
  <c r="B60" i="12"/>
  <c r="B55" i="10"/>
  <c r="B55" i="12"/>
  <c r="B61" i="10"/>
  <c r="B61" i="12"/>
  <c r="B57" i="10"/>
  <c r="B57" i="12"/>
  <c r="B63" i="10"/>
  <c r="B63" i="12"/>
  <c r="B62" i="10"/>
  <c r="B62" i="12"/>
  <c r="B59" i="10"/>
  <c r="B59" i="12"/>
  <c r="B65" i="10"/>
  <c r="B65" i="12"/>
  <c r="B64" i="10"/>
  <c r="B64" i="12"/>
  <c r="B67" i="10"/>
  <c r="B67" i="12"/>
  <c r="B70" i="10"/>
  <c r="B70" i="12"/>
  <c r="B68" i="10"/>
  <c r="B68" i="12"/>
  <c r="B71" i="12"/>
  <c r="B58" i="10"/>
  <c r="B58" i="12"/>
  <c r="B56" i="10"/>
  <c r="B56" i="12"/>
  <c r="B69" i="10"/>
  <c r="B71" i="10"/>
  <c r="B66" i="12"/>
  <c r="E67" i="12"/>
  <c r="F67" i="12"/>
  <c r="C67" i="12"/>
  <c r="C69" i="12"/>
  <c r="F69" i="12"/>
  <c r="E69" i="12"/>
  <c r="E70" i="12"/>
  <c r="C70" i="12"/>
  <c r="F70" i="12"/>
  <c r="F68" i="12"/>
  <c r="C68" i="12"/>
  <c r="E68" i="12"/>
  <c r="C71" i="12"/>
  <c r="F71" i="12"/>
  <c r="E71" i="12"/>
  <c r="C65" i="12"/>
  <c r="F65" i="12"/>
  <c r="E65" i="12"/>
  <c r="F58" i="10" l="1"/>
  <c r="F58" i="12"/>
  <c r="E63" i="10"/>
  <c r="E63" i="12"/>
  <c r="E61" i="10"/>
  <c r="E61" i="12"/>
  <c r="F61" i="10"/>
  <c r="F61" i="12"/>
  <c r="F63" i="10"/>
  <c r="F63" i="12"/>
  <c r="C61" i="10"/>
  <c r="C61" i="12"/>
  <c r="C58" i="10"/>
  <c r="C58" i="12"/>
  <c r="E57" i="10"/>
  <c r="E57" i="12"/>
  <c r="E64" i="10"/>
  <c r="E64" i="12"/>
  <c r="C64" i="10"/>
  <c r="C64" i="12"/>
  <c r="E62" i="10"/>
  <c r="E62" i="12"/>
  <c r="F59" i="10"/>
  <c r="F59" i="12"/>
  <c r="F64" i="10"/>
  <c r="F64" i="12"/>
  <c r="F62" i="10"/>
  <c r="F62" i="12"/>
  <c r="E58" i="10"/>
  <c r="E58" i="12"/>
  <c r="C62" i="10"/>
  <c r="C62" i="12"/>
  <c r="C63" i="10"/>
  <c r="C63" i="12"/>
  <c r="F57" i="10"/>
  <c r="F57" i="12"/>
  <c r="C57" i="10"/>
  <c r="C57" i="12"/>
  <c r="E59" i="10"/>
  <c r="E59" i="12"/>
  <c r="C59" i="10"/>
  <c r="C59" i="12"/>
  <c r="F55" i="10"/>
  <c r="F55" i="12"/>
  <c r="E56" i="10"/>
  <c r="E56" i="12"/>
  <c r="E55" i="10"/>
  <c r="E55" i="12"/>
  <c r="C55" i="10"/>
  <c r="C55" i="12"/>
  <c r="C56" i="10"/>
  <c r="C56" i="12"/>
  <c r="F56" i="10"/>
  <c r="F56" i="12"/>
  <c r="E60" i="10"/>
  <c r="E60" i="12"/>
  <c r="C60" i="10"/>
  <c r="C60" i="12"/>
  <c r="F60" i="10"/>
  <c r="F60" i="12"/>
  <c r="B66" i="10"/>
  <c r="F69" i="10"/>
  <c r="E65" i="10"/>
  <c r="E68" i="10"/>
  <c r="C69" i="10"/>
  <c r="C65" i="10"/>
  <c r="C68" i="10"/>
  <c r="C67" i="10"/>
  <c r="C72" i="10"/>
  <c r="F68" i="10"/>
  <c r="F67" i="10"/>
  <c r="E67" i="10"/>
  <c r="F65" i="10"/>
  <c r="E72" i="10"/>
  <c r="F71" i="10"/>
  <c r="C70" i="10"/>
  <c r="E71" i="10"/>
  <c r="C71" i="10"/>
  <c r="E70" i="10"/>
  <c r="F70" i="10"/>
  <c r="F72" i="10"/>
  <c r="E69" i="10"/>
  <c r="F66" i="12"/>
  <c r="E66" i="12"/>
  <c r="C66" i="12"/>
  <c r="C66" i="10" l="1"/>
  <c r="E66" i="10"/>
  <c r="F66" i="10"/>
  <c r="J155" i="16"/>
  <c r="J156" i="16" l="1"/>
  <c r="J157" i="16" l="1"/>
  <c r="J158" i="16" l="1"/>
  <c r="J159" i="16" l="1"/>
  <c r="J160" i="16" l="1"/>
  <c r="J161" i="16" l="1"/>
  <c r="J162" i="16" l="1"/>
  <c r="J163" i="16" l="1"/>
  <c r="J164" i="16" s="1"/>
  <c r="J165" i="16" l="1"/>
  <c r="B50" i="12"/>
  <c r="B52" i="12" l="1"/>
  <c r="B40" i="10"/>
  <c r="B40" i="12"/>
  <c r="B36" i="10"/>
  <c r="B36" i="12"/>
  <c r="B27" i="10"/>
  <c r="B57" i="19" s="1"/>
  <c r="B27" i="12"/>
  <c r="B16" i="10"/>
  <c r="B23" i="19" s="1"/>
  <c r="B16" i="12"/>
  <c r="B31" i="10"/>
  <c r="B31" i="12"/>
  <c r="B49" i="10"/>
  <c r="B49" i="12"/>
  <c r="B17" i="10"/>
  <c r="B16" i="19" s="1"/>
  <c r="B17" i="12"/>
  <c r="B23" i="10"/>
  <c r="B26" i="19" s="1"/>
  <c r="B23" i="12"/>
  <c r="B15" i="10"/>
  <c r="B15" i="19" s="1"/>
  <c r="B15" i="12"/>
  <c r="B25" i="10"/>
  <c r="B34" i="19" s="1"/>
  <c r="B25" i="12"/>
  <c r="B42" i="10"/>
  <c r="B42" i="12"/>
  <c r="B39" i="10"/>
  <c r="B39" i="12"/>
  <c r="B47" i="10"/>
  <c r="B47" i="12"/>
  <c r="B41" i="10"/>
  <c r="B41" i="12"/>
  <c r="B12" i="10"/>
  <c r="B13" i="19" s="1"/>
  <c r="B12" i="12"/>
  <c r="B29" i="10"/>
  <c r="B29" i="12"/>
  <c r="B22" i="10"/>
  <c r="B39" i="19" s="1"/>
  <c r="B22" i="12"/>
  <c r="B44" i="10"/>
  <c r="B44" i="12"/>
  <c r="B38" i="10"/>
  <c r="B38" i="12"/>
  <c r="B21" i="10"/>
  <c r="B38" i="19" s="1"/>
  <c r="B21" i="12"/>
  <c r="B30" i="10"/>
  <c r="B30" i="12"/>
  <c r="B26" i="10"/>
  <c r="B62" i="19" s="1"/>
  <c r="B26" i="12"/>
  <c r="B33" i="10"/>
  <c r="B125" i="19" s="1"/>
  <c r="B102" i="19" s="1"/>
  <c r="B33" i="12"/>
  <c r="B37" i="10"/>
  <c r="B37" i="12"/>
  <c r="B28" i="10"/>
  <c r="B67" i="19" s="1"/>
  <c r="B28" i="12"/>
  <c r="B18" i="10"/>
  <c r="B17" i="19" s="1"/>
  <c r="B18" i="12"/>
  <c r="B14" i="10"/>
  <c r="B22" i="19" s="1"/>
  <c r="B14" i="12"/>
  <c r="B34" i="10"/>
  <c r="B34" i="12"/>
  <c r="B45" i="10"/>
  <c r="B45" i="12"/>
  <c r="B43" i="10"/>
  <c r="B43" i="12"/>
  <c r="B20" i="10"/>
  <c r="B25" i="19" s="1"/>
  <c r="B20" i="12"/>
  <c r="B51" i="12"/>
  <c r="B46" i="10"/>
  <c r="B133" i="19" s="1"/>
  <c r="B104" i="19" s="1"/>
  <c r="B46" i="12"/>
  <c r="B19" i="10"/>
  <c r="B24" i="19" s="1"/>
  <c r="B19" i="12"/>
  <c r="B32" i="10"/>
  <c r="B32" i="12"/>
  <c r="B24" i="10"/>
  <c r="B56" i="19" s="1"/>
  <c r="B24" i="12"/>
  <c r="B48" i="10"/>
  <c r="B48" i="12"/>
  <c r="B13" i="10"/>
  <c r="B14" i="19" s="1"/>
  <c r="B13" i="12"/>
  <c r="B35" i="10"/>
  <c r="B35" i="12"/>
  <c r="B50" i="10"/>
  <c r="B137" i="19" s="1"/>
  <c r="B51" i="10"/>
  <c r="B138" i="19" s="1"/>
  <c r="B52" i="10"/>
  <c r="B139" i="19" s="1"/>
  <c r="Y62" i="6" l="1"/>
  <c r="Y63" i="6" l="1"/>
  <c r="Y64" i="6"/>
  <c r="Y65" i="6"/>
  <c r="Y66" i="6"/>
  <c r="S65" i="6"/>
  <c r="D46" i="12" l="1"/>
  <c r="D21" i="12"/>
  <c r="D42" i="12"/>
  <c r="D52" i="12"/>
  <c r="D15" i="12"/>
  <c r="D30" i="12"/>
  <c r="D35" i="12"/>
  <c r="D51" i="12"/>
  <c r="D25" i="12"/>
  <c r="D33" i="12"/>
  <c r="D44" i="12"/>
  <c r="D47" i="12"/>
  <c r="D50" i="12"/>
  <c r="D19" i="12"/>
  <c r="D27" i="12"/>
  <c r="D40" i="12"/>
  <c r="D13" i="12"/>
  <c r="D20" i="12"/>
  <c r="D28" i="12"/>
  <c r="D43" i="12"/>
  <c r="D24" i="12"/>
  <c r="D32" i="12"/>
  <c r="D16" i="12"/>
  <c r="D54" i="10" l="1"/>
  <c r="D54" i="12"/>
  <c r="F31" i="12"/>
  <c r="C31" i="12"/>
  <c r="E31" i="12"/>
  <c r="H31" i="12"/>
  <c r="C34" i="12"/>
  <c r="E34" i="12"/>
  <c r="F34" i="12"/>
  <c r="H34" i="12"/>
  <c r="C49" i="12"/>
  <c r="E49" i="12"/>
  <c r="F49" i="12"/>
  <c r="H49" i="12"/>
  <c r="C48" i="12"/>
  <c r="F48" i="12"/>
  <c r="E48" i="12"/>
  <c r="H48" i="12"/>
  <c r="H38" i="12"/>
  <c r="C38" i="12"/>
  <c r="F38" i="12"/>
  <c r="E38" i="12"/>
  <c r="F39" i="12"/>
  <c r="C39" i="12"/>
  <c r="E39" i="12"/>
  <c r="H39" i="12"/>
  <c r="F27" i="12"/>
  <c r="C27" i="12"/>
  <c r="E27" i="12"/>
  <c r="H27" i="12"/>
  <c r="C37" i="12"/>
  <c r="E37" i="12"/>
  <c r="F37" i="12"/>
  <c r="H37" i="12"/>
  <c r="C18" i="12"/>
  <c r="E18" i="12"/>
  <c r="F18" i="12"/>
  <c r="H18" i="12"/>
  <c r="C22" i="12"/>
  <c r="E22" i="12"/>
  <c r="F22" i="12"/>
  <c r="H22" i="12"/>
  <c r="C32" i="12"/>
  <c r="F32" i="12"/>
  <c r="E32" i="12"/>
  <c r="H32" i="12"/>
  <c r="C41" i="12"/>
  <c r="E41" i="12"/>
  <c r="F41" i="12"/>
  <c r="H41" i="12"/>
  <c r="C45" i="12"/>
  <c r="E45" i="12"/>
  <c r="F45" i="12"/>
  <c r="H45" i="12"/>
  <c r="D48" i="12"/>
  <c r="F23" i="12"/>
  <c r="C23" i="12"/>
  <c r="E23" i="12"/>
  <c r="H23" i="12"/>
  <c r="C16" i="12"/>
  <c r="F16" i="12"/>
  <c r="E16" i="12"/>
  <c r="H16" i="12"/>
  <c r="C42" i="12"/>
  <c r="E42" i="12"/>
  <c r="H42" i="12"/>
  <c r="F42" i="12"/>
  <c r="C17" i="12"/>
  <c r="E17" i="12"/>
  <c r="F17" i="12"/>
  <c r="H17" i="12"/>
  <c r="D17" i="12"/>
  <c r="D38" i="12"/>
  <c r="H50" i="12"/>
  <c r="C50" i="12"/>
  <c r="F50" i="12"/>
  <c r="E50" i="12"/>
  <c r="C30" i="12"/>
  <c r="E30" i="12"/>
  <c r="F30" i="12"/>
  <c r="H30" i="12"/>
  <c r="F35" i="12"/>
  <c r="C35" i="12"/>
  <c r="E35" i="12"/>
  <c r="H35" i="12"/>
  <c r="C13" i="12"/>
  <c r="E13" i="12"/>
  <c r="F13" i="12"/>
  <c r="H13" i="12"/>
  <c r="C52" i="12"/>
  <c r="E52" i="12"/>
  <c r="F52" i="12"/>
  <c r="H52" i="12"/>
  <c r="C14" i="12"/>
  <c r="E14" i="12"/>
  <c r="F14" i="12"/>
  <c r="H14" i="12"/>
  <c r="C40" i="12"/>
  <c r="F40" i="12"/>
  <c r="E40" i="12"/>
  <c r="H40" i="12"/>
  <c r="C33" i="12"/>
  <c r="E33" i="12"/>
  <c r="F33" i="12"/>
  <c r="H33" i="12"/>
  <c r="C36" i="12"/>
  <c r="E36" i="12"/>
  <c r="H36" i="12"/>
  <c r="F36" i="12"/>
  <c r="C46" i="12"/>
  <c r="E46" i="12"/>
  <c r="F46" i="12"/>
  <c r="H46" i="12"/>
  <c r="D41" i="12"/>
  <c r="H26" i="12"/>
  <c r="C26" i="12"/>
  <c r="E26" i="12"/>
  <c r="F26" i="12"/>
  <c r="C28" i="12"/>
  <c r="E28" i="12"/>
  <c r="F28" i="12"/>
  <c r="H28" i="12"/>
  <c r="C20" i="12"/>
  <c r="F20" i="12"/>
  <c r="E20" i="12"/>
  <c r="H20" i="12"/>
  <c r="F15" i="12"/>
  <c r="C15" i="12"/>
  <c r="E15" i="12"/>
  <c r="H15" i="12"/>
  <c r="D22" i="12"/>
  <c r="D39" i="12"/>
  <c r="F43" i="12"/>
  <c r="C43" i="12"/>
  <c r="E43" i="12"/>
  <c r="H43" i="12"/>
  <c r="C44" i="12"/>
  <c r="F44" i="12"/>
  <c r="E44" i="12"/>
  <c r="H44" i="12"/>
  <c r="F51" i="12"/>
  <c r="C51" i="12"/>
  <c r="E51" i="12"/>
  <c r="H51" i="12"/>
  <c r="C29" i="12"/>
  <c r="E29" i="12"/>
  <c r="F29" i="12"/>
  <c r="H29" i="12"/>
  <c r="C21" i="12"/>
  <c r="E21" i="12"/>
  <c r="F21" i="12"/>
  <c r="H21" i="12"/>
  <c r="C25" i="12"/>
  <c r="E25" i="12"/>
  <c r="F25" i="12"/>
  <c r="H25" i="12"/>
  <c r="C24" i="12"/>
  <c r="F24" i="12"/>
  <c r="E24" i="12"/>
  <c r="H24" i="12"/>
  <c r="C12" i="12"/>
  <c r="F12" i="12"/>
  <c r="E12" i="12"/>
  <c r="H12" i="12"/>
  <c r="D29" i="12"/>
  <c r="D14" i="12"/>
  <c r="D49" i="12"/>
  <c r="D34" i="12"/>
  <c r="D12" i="12"/>
  <c r="D26" i="12"/>
  <c r="D31" i="12"/>
  <c r="D23" i="12"/>
  <c r="D37" i="12"/>
  <c r="F19" i="12"/>
  <c r="C19" i="12"/>
  <c r="E19" i="12"/>
  <c r="H19" i="12"/>
  <c r="F47" i="12"/>
  <c r="C47" i="12"/>
  <c r="E47" i="12"/>
  <c r="H47" i="12"/>
  <c r="D36" i="12"/>
  <c r="D18" i="12"/>
  <c r="D45" i="12"/>
  <c r="H54" i="10" l="1"/>
  <c r="H54" i="12"/>
  <c r="F54" i="10"/>
  <c r="F54" i="12"/>
  <c r="E54" i="10"/>
  <c r="E54" i="12"/>
  <c r="C54" i="10"/>
  <c r="C54" i="12"/>
  <c r="AF12" i="12" l="1"/>
  <c r="AG12" i="12"/>
  <c r="AF25" i="12"/>
  <c r="AG25" i="12"/>
  <c r="AF36" i="12"/>
  <c r="AG36" i="12"/>
  <c r="AF24" i="12"/>
  <c r="AG24" i="12"/>
  <c r="AF39" i="12"/>
  <c r="AG39" i="12"/>
  <c r="AF30" i="12"/>
  <c r="AG30" i="12"/>
  <c r="AF29" i="12"/>
  <c r="AG29" i="12"/>
  <c r="AG21" i="12"/>
  <c r="AF21" i="12"/>
  <c r="AF16" i="12"/>
  <c r="AG16" i="12"/>
  <c r="AF13" i="12"/>
  <c r="AG13" i="12"/>
  <c r="AF22" i="12"/>
  <c r="AG22" i="12"/>
  <c r="AF20" i="12"/>
  <c r="AG20" i="12"/>
  <c r="AF48" i="12"/>
  <c r="AG48" i="12"/>
  <c r="AF38" i="12"/>
  <c r="AG38" i="12"/>
  <c r="AF34" i="12"/>
  <c r="AG34" i="12"/>
  <c r="AF15" i="12"/>
  <c r="AG15" i="12"/>
  <c r="AF19" i="12"/>
  <c r="AG19" i="12"/>
  <c r="AF35" i="12"/>
  <c r="AG35" i="12"/>
  <c r="AG37" i="12"/>
  <c r="AF37" i="12"/>
  <c r="AF18" i="12"/>
  <c r="AG18" i="12"/>
  <c r="AG47" i="12"/>
  <c r="AF47" i="12"/>
  <c r="AF27" i="12"/>
  <c r="AG27" i="12"/>
  <c r="AG23" i="12"/>
  <c r="AF23" i="12"/>
  <c r="AF40" i="12"/>
  <c r="AG40" i="12"/>
  <c r="AF17" i="12"/>
  <c r="AG17" i="12"/>
  <c r="AG31" i="12"/>
  <c r="AF31" i="12"/>
  <c r="AF33" i="12"/>
  <c r="AG33" i="12"/>
  <c r="AF28" i="12"/>
  <c r="AG28" i="12"/>
  <c r="AF26" i="12"/>
  <c r="AG26" i="12"/>
  <c r="AF14" i="12"/>
  <c r="AG14" i="12"/>
  <c r="J54" i="10"/>
  <c r="J93" i="19"/>
  <c r="J84" i="19"/>
  <c r="J83" i="19"/>
  <c r="J72" i="19"/>
  <c r="J73" i="19"/>
  <c r="J74" i="19"/>
  <c r="J75" i="19"/>
  <c r="J76" i="19"/>
  <c r="J71" i="19"/>
  <c r="AG45" i="12" l="1"/>
  <c r="AF45" i="12"/>
  <c r="AF43" i="12"/>
  <c r="AG43" i="12"/>
  <c r="AG42" i="12"/>
  <c r="AF42" i="12"/>
  <c r="AF41" i="12"/>
  <c r="AG41" i="12"/>
  <c r="AF46" i="12"/>
  <c r="AG46" i="12"/>
  <c r="AF49" i="12"/>
  <c r="AG49" i="12"/>
  <c r="AF44" i="12"/>
  <c r="AG44" i="12"/>
  <c r="AF32" i="12"/>
  <c r="AG32" i="12"/>
  <c r="D227" i="16"/>
  <c r="D228" i="16" l="1"/>
  <c r="D229" i="16" s="1"/>
  <c r="D230" i="16" s="1"/>
  <c r="D231" i="16" s="1"/>
  <c r="D232" i="16" l="1"/>
  <c r="B21" i="7"/>
  <c r="B22" i="7"/>
  <c r="D233" i="16" l="1"/>
  <c r="J171" i="16"/>
  <c r="J172" i="16" s="1"/>
  <c r="J173" i="16" s="1"/>
  <c r="J174" i="16" s="1"/>
  <c r="J175" i="16" s="1"/>
  <c r="J176" i="16" s="1"/>
  <c r="J177" i="16" s="1"/>
  <c r="J178" i="16" s="1"/>
  <c r="J179" i="16" s="1"/>
  <c r="J180" i="16" s="1"/>
  <c r="J181" i="16" s="1"/>
  <c r="J182" i="16" s="1"/>
  <c r="J183" i="16" s="1"/>
  <c r="J184" i="16" s="1"/>
  <c r="J185" i="16" s="1"/>
  <c r="J186" i="16" s="1"/>
  <c r="J187" i="16" s="1"/>
  <c r="J190" i="16" s="1"/>
  <c r="J191" i="16" s="1"/>
  <c r="J192" i="16" s="1"/>
  <c r="J193" i="16" s="1"/>
  <c r="J194" i="16" s="1"/>
  <c r="D234" i="16" l="1"/>
  <c r="D235" i="16" l="1"/>
  <c r="D236" i="16" l="1"/>
  <c r="D237" i="16" l="1"/>
  <c r="D238" i="16" l="1"/>
  <c r="D239" i="16" l="1"/>
  <c r="D240" i="16" s="1"/>
  <c r="B13" i="7" l="1"/>
  <c r="B27" i="7" s="1"/>
  <c r="B39" i="7" s="1"/>
  <c r="B51" i="7" s="1"/>
  <c r="B63" i="7" s="1"/>
  <c r="B14" i="7"/>
  <c r="B28" i="7" s="1"/>
  <c r="B40" i="7" s="1"/>
  <c r="B52" i="7" s="1"/>
  <c r="B64" i="7" s="1"/>
  <c r="B15" i="7"/>
  <c r="B29" i="7" s="1"/>
  <c r="B41" i="7" s="1"/>
  <c r="B53" i="7" s="1"/>
  <c r="B65" i="7" s="1"/>
  <c r="B16" i="7"/>
  <c r="B30" i="7" s="1"/>
  <c r="B42" i="7" s="1"/>
  <c r="B54" i="7" s="1"/>
  <c r="B66" i="7" s="1"/>
  <c r="B17" i="7"/>
  <c r="B31" i="7" s="1"/>
  <c r="B43" i="7" s="1"/>
  <c r="B55" i="7" s="1"/>
  <c r="B67" i="7" s="1"/>
  <c r="B18" i="7"/>
  <c r="B32" i="7" s="1"/>
  <c r="B44" i="7" s="1"/>
  <c r="B56" i="7" s="1"/>
  <c r="B68" i="7" s="1"/>
  <c r="B19" i="7"/>
  <c r="B33" i="7" s="1"/>
  <c r="B45" i="7" s="1"/>
  <c r="B57" i="7" s="1"/>
  <c r="B69" i="7" s="1"/>
  <c r="B20" i="7"/>
  <c r="B34" i="7" s="1"/>
  <c r="B46" i="7" s="1"/>
  <c r="B58" i="7" s="1"/>
  <c r="B70" i="7" s="1"/>
  <c r="B12" i="7"/>
  <c r="B26" i="7" s="1"/>
  <c r="B38" i="7" s="1"/>
  <c r="B50" i="7" s="1"/>
  <c r="B62" i="7" s="1"/>
  <c r="D215" i="16"/>
  <c r="E215" i="16"/>
  <c r="F215" i="16"/>
  <c r="G215" i="16"/>
  <c r="H215" i="16"/>
  <c r="C215" i="16"/>
  <c r="AD26" i="18"/>
  <c r="AD27" i="18"/>
  <c r="S39" i="18"/>
  <c r="U36" i="18"/>
  <c r="V36" i="18"/>
  <c r="W36" i="18"/>
  <c r="X36" i="18"/>
  <c r="T36" i="18"/>
  <c r="S25" i="18" l="1"/>
  <c r="R25" i="18"/>
  <c r="Q25" i="18"/>
  <c r="R8" i="18"/>
  <c r="D96" i="16"/>
  <c r="E96" i="16"/>
  <c r="F96" i="16"/>
  <c r="G96" i="16"/>
  <c r="C96" i="16"/>
  <c r="R9" i="18" l="1"/>
  <c r="R10" i="18" l="1"/>
  <c r="R11" i="18" l="1"/>
  <c r="R12" i="18" l="1"/>
  <c r="R13" i="18" l="1"/>
  <c r="R14" i="18" l="1"/>
  <c r="X151" i="2"/>
  <c r="X152" i="2"/>
  <c r="X153" i="2"/>
  <c r="X154" i="2"/>
  <c r="X155" i="2"/>
  <c r="X156" i="2"/>
  <c r="X157" i="2"/>
  <c r="X158" i="2"/>
  <c r="X159" i="2"/>
  <c r="X160" i="2"/>
  <c r="I30" i="4" l="1"/>
  <c r="I25" i="4"/>
  <c r="I57" i="4"/>
  <c r="R15" i="18"/>
  <c r="R16" i="18" s="1"/>
  <c r="I33" i="4"/>
  <c r="I59" i="4"/>
  <c r="I56" i="4"/>
  <c r="I27" i="4"/>
  <c r="I54" i="4"/>
  <c r="I52" i="4"/>
  <c r="I51" i="4"/>
  <c r="I29" i="4"/>
  <c r="I55" i="4"/>
  <c r="I53" i="4"/>
  <c r="I28" i="4"/>
  <c r="I26" i="4"/>
  <c r="G12" i="10"/>
  <c r="I12" i="10"/>
  <c r="G13" i="10"/>
  <c r="I13" i="10"/>
  <c r="G14" i="10"/>
  <c r="I14" i="10"/>
  <c r="G15" i="10"/>
  <c r="I15" i="10"/>
  <c r="G16" i="10"/>
  <c r="I16" i="10"/>
  <c r="G17" i="10"/>
  <c r="I17" i="10"/>
  <c r="G18" i="10"/>
  <c r="I18" i="10"/>
  <c r="G19" i="10"/>
  <c r="I19" i="10"/>
  <c r="G20" i="10"/>
  <c r="I20" i="10"/>
  <c r="G21" i="10"/>
  <c r="I21" i="10"/>
  <c r="G22" i="10"/>
  <c r="I22" i="10"/>
  <c r="G23" i="10"/>
  <c r="I23" i="10"/>
  <c r="G24" i="10"/>
  <c r="I24" i="10"/>
  <c r="G25" i="10"/>
  <c r="I25" i="10"/>
  <c r="G26" i="10"/>
  <c r="I26" i="10"/>
  <c r="G27" i="10"/>
  <c r="I27" i="10"/>
  <c r="G28" i="10"/>
  <c r="I28" i="10"/>
  <c r="G29" i="10"/>
  <c r="I29" i="10"/>
  <c r="G30" i="10"/>
  <c r="I30" i="10"/>
  <c r="G31" i="10"/>
  <c r="I31" i="10"/>
  <c r="G32" i="10"/>
  <c r="I32" i="10"/>
  <c r="G33" i="10"/>
  <c r="I33" i="10"/>
  <c r="G34" i="10"/>
  <c r="I34" i="10"/>
  <c r="G35" i="10"/>
  <c r="I35" i="10"/>
  <c r="G36" i="10"/>
  <c r="I36" i="10"/>
  <c r="G37" i="10"/>
  <c r="I37" i="10"/>
  <c r="G38" i="10"/>
  <c r="I38" i="10"/>
  <c r="G39" i="10"/>
  <c r="I39" i="10"/>
  <c r="G40" i="10"/>
  <c r="I40" i="10"/>
  <c r="G41" i="10"/>
  <c r="I41" i="10"/>
  <c r="G42" i="10"/>
  <c r="I42" i="10"/>
  <c r="G43" i="10"/>
  <c r="I43" i="10"/>
  <c r="G44" i="10"/>
  <c r="I44" i="10"/>
  <c r="G45" i="10"/>
  <c r="I45" i="10"/>
  <c r="G46" i="10"/>
  <c r="I46" i="10"/>
  <c r="G47" i="10"/>
  <c r="I47" i="10"/>
  <c r="G48" i="10"/>
  <c r="I48" i="10"/>
  <c r="G49" i="10"/>
  <c r="I49" i="10"/>
  <c r="G50" i="10"/>
  <c r="I50" i="10"/>
  <c r="G51" i="10"/>
  <c r="I51" i="10"/>
  <c r="G52" i="10"/>
  <c r="I52" i="10"/>
  <c r="BW94" i="10"/>
  <c r="CA98" i="10"/>
  <c r="BX101" i="10"/>
  <c r="BZ103" i="10"/>
  <c r="BW106" i="10"/>
  <c r="BY108" i="10"/>
  <c r="CA110" i="10"/>
  <c r="CA122" i="10"/>
  <c r="BZ127" i="10"/>
  <c r="BW130" i="10"/>
  <c r="CA134" i="10"/>
  <c r="BX137" i="10"/>
  <c r="BW154" i="10"/>
  <c r="G11" i="10"/>
  <c r="I11" i="10"/>
  <c r="B11" i="10"/>
  <c r="K73" i="12"/>
  <c r="K74" i="12"/>
  <c r="K75" i="12"/>
  <c r="K76" i="12"/>
  <c r="K77" i="12"/>
  <c r="K78" i="12"/>
  <c r="K79" i="12"/>
  <c r="K80" i="12"/>
  <c r="K81" i="12"/>
  <c r="K82" i="12"/>
  <c r="K83" i="12"/>
  <c r="K84" i="12"/>
  <c r="K85" i="12"/>
  <c r="K86" i="12"/>
  <c r="K87" i="12"/>
  <c r="G11" i="12"/>
  <c r="I11" i="12"/>
  <c r="B11" i="12"/>
  <c r="C54" i="8"/>
  <c r="F53" i="8"/>
  <c r="E53" i="8"/>
  <c r="D53" i="8"/>
  <c r="C53" i="8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K10" i="17"/>
  <c r="L10" i="17"/>
  <c r="M10" i="17"/>
  <c r="N10" i="17"/>
  <c r="J10" i="17"/>
  <c r="B123" i="17"/>
  <c r="C123" i="17"/>
  <c r="D123" i="17"/>
  <c r="E123" i="17"/>
  <c r="F123" i="17"/>
  <c r="G123" i="17"/>
  <c r="H123" i="17"/>
  <c r="B124" i="17"/>
  <c r="C124" i="17"/>
  <c r="D124" i="17"/>
  <c r="E124" i="17"/>
  <c r="F124" i="17"/>
  <c r="G124" i="17"/>
  <c r="H124" i="17"/>
  <c r="B125" i="17"/>
  <c r="C125" i="17"/>
  <c r="D125" i="17"/>
  <c r="E125" i="17"/>
  <c r="F125" i="17"/>
  <c r="G125" i="17"/>
  <c r="H125" i="17"/>
  <c r="B126" i="17"/>
  <c r="C126" i="17"/>
  <c r="D126" i="17"/>
  <c r="E126" i="17"/>
  <c r="F126" i="17"/>
  <c r="G126" i="17"/>
  <c r="H126" i="17"/>
  <c r="B127" i="17"/>
  <c r="C127" i="17"/>
  <c r="D127" i="17"/>
  <c r="E127" i="17"/>
  <c r="F127" i="17"/>
  <c r="G127" i="17"/>
  <c r="H127" i="17"/>
  <c r="B128" i="17"/>
  <c r="C128" i="17"/>
  <c r="D128" i="17"/>
  <c r="E128" i="17"/>
  <c r="F128" i="17"/>
  <c r="G128" i="17"/>
  <c r="H128" i="17"/>
  <c r="B129" i="17"/>
  <c r="C129" i="17"/>
  <c r="D129" i="17"/>
  <c r="E129" i="17"/>
  <c r="F129" i="17"/>
  <c r="G129" i="17"/>
  <c r="H129" i="17"/>
  <c r="B130" i="17"/>
  <c r="C130" i="17"/>
  <c r="D130" i="17"/>
  <c r="E130" i="17"/>
  <c r="F130" i="17"/>
  <c r="G130" i="17"/>
  <c r="H130" i="17"/>
  <c r="B131" i="17"/>
  <c r="C131" i="17"/>
  <c r="D131" i="17"/>
  <c r="E131" i="17"/>
  <c r="F131" i="17"/>
  <c r="G131" i="17"/>
  <c r="H131" i="17"/>
  <c r="B132" i="17"/>
  <c r="C132" i="17"/>
  <c r="D132" i="17"/>
  <c r="E132" i="17"/>
  <c r="F132" i="17"/>
  <c r="G132" i="17"/>
  <c r="H132" i="17"/>
  <c r="B133" i="17"/>
  <c r="C133" i="17"/>
  <c r="D133" i="17"/>
  <c r="E133" i="17"/>
  <c r="F133" i="17"/>
  <c r="G133" i="17"/>
  <c r="H133" i="17"/>
  <c r="B134" i="17"/>
  <c r="C134" i="17"/>
  <c r="D134" i="17"/>
  <c r="E134" i="17"/>
  <c r="F134" i="17"/>
  <c r="G134" i="17"/>
  <c r="H134" i="17"/>
  <c r="B135" i="17"/>
  <c r="C135" i="17"/>
  <c r="D135" i="17"/>
  <c r="E135" i="17"/>
  <c r="F135" i="17"/>
  <c r="G135" i="17"/>
  <c r="H135" i="17"/>
  <c r="B136" i="17"/>
  <c r="C136" i="17"/>
  <c r="D136" i="17"/>
  <c r="E136" i="17"/>
  <c r="F136" i="17"/>
  <c r="G136" i="17"/>
  <c r="H136" i="17"/>
  <c r="B137" i="17"/>
  <c r="C137" i="17"/>
  <c r="D137" i="17"/>
  <c r="E137" i="17"/>
  <c r="F137" i="17"/>
  <c r="G137" i="17"/>
  <c r="H137" i="17"/>
  <c r="B138" i="17"/>
  <c r="C138" i="17"/>
  <c r="D138" i="17"/>
  <c r="E138" i="17"/>
  <c r="F138" i="17"/>
  <c r="G138" i="17"/>
  <c r="H138" i="17"/>
  <c r="B139" i="17"/>
  <c r="C139" i="17"/>
  <c r="D139" i="17"/>
  <c r="E139" i="17"/>
  <c r="F139" i="17"/>
  <c r="G139" i="17"/>
  <c r="H139" i="17"/>
  <c r="B140" i="17"/>
  <c r="C140" i="17"/>
  <c r="D140" i="17"/>
  <c r="E140" i="17"/>
  <c r="F140" i="17"/>
  <c r="G140" i="17"/>
  <c r="H140" i="17"/>
  <c r="B141" i="17"/>
  <c r="C141" i="17"/>
  <c r="D141" i="17"/>
  <c r="E141" i="17"/>
  <c r="F141" i="17"/>
  <c r="G141" i="17"/>
  <c r="H141" i="17"/>
  <c r="B142" i="17"/>
  <c r="C142" i="17"/>
  <c r="D142" i="17"/>
  <c r="E142" i="17"/>
  <c r="F142" i="17"/>
  <c r="G142" i="17"/>
  <c r="H142" i="17"/>
  <c r="B143" i="17"/>
  <c r="C143" i="17"/>
  <c r="D143" i="17"/>
  <c r="E143" i="17"/>
  <c r="F143" i="17"/>
  <c r="G143" i="17"/>
  <c r="H143" i="17"/>
  <c r="B144" i="17"/>
  <c r="C144" i="17"/>
  <c r="D144" i="17"/>
  <c r="E144" i="17"/>
  <c r="F144" i="17"/>
  <c r="G144" i="17"/>
  <c r="H144" i="17"/>
  <c r="B145" i="17"/>
  <c r="C145" i="17"/>
  <c r="D145" i="17"/>
  <c r="E145" i="17"/>
  <c r="F145" i="17"/>
  <c r="G145" i="17"/>
  <c r="H145" i="17"/>
  <c r="B146" i="17"/>
  <c r="C146" i="17"/>
  <c r="D146" i="17"/>
  <c r="E146" i="17"/>
  <c r="F146" i="17"/>
  <c r="G146" i="17"/>
  <c r="H146" i="17"/>
  <c r="B147" i="17"/>
  <c r="C147" i="17"/>
  <c r="D147" i="17"/>
  <c r="E147" i="17"/>
  <c r="F147" i="17"/>
  <c r="G147" i="17"/>
  <c r="H147" i="17"/>
  <c r="B148" i="17"/>
  <c r="C148" i="17"/>
  <c r="D148" i="17"/>
  <c r="E148" i="17"/>
  <c r="F148" i="17"/>
  <c r="G148" i="17"/>
  <c r="H148" i="17"/>
  <c r="B149" i="17"/>
  <c r="C149" i="17"/>
  <c r="D149" i="17"/>
  <c r="E149" i="17"/>
  <c r="F149" i="17"/>
  <c r="G149" i="17"/>
  <c r="H149" i="17"/>
  <c r="B150" i="17"/>
  <c r="C150" i="17"/>
  <c r="D150" i="17"/>
  <c r="E150" i="17"/>
  <c r="F150" i="17"/>
  <c r="G150" i="17"/>
  <c r="H150" i="17"/>
  <c r="B151" i="17"/>
  <c r="C151" i="17"/>
  <c r="D151" i="17"/>
  <c r="E151" i="17"/>
  <c r="F151" i="17"/>
  <c r="G151" i="17"/>
  <c r="H151" i="17"/>
  <c r="B152" i="17"/>
  <c r="C152" i="17"/>
  <c r="D152" i="17"/>
  <c r="E152" i="17"/>
  <c r="F152" i="17"/>
  <c r="G152" i="17"/>
  <c r="H152" i="17"/>
  <c r="B153" i="17"/>
  <c r="C153" i="17"/>
  <c r="D153" i="17"/>
  <c r="E153" i="17"/>
  <c r="F153" i="17"/>
  <c r="G153" i="17"/>
  <c r="H153" i="17"/>
  <c r="B154" i="17"/>
  <c r="C154" i="17"/>
  <c r="D154" i="17"/>
  <c r="E154" i="17"/>
  <c r="F154" i="17"/>
  <c r="G154" i="17"/>
  <c r="H154" i="17"/>
  <c r="B155" i="17"/>
  <c r="C155" i="17"/>
  <c r="D155" i="17"/>
  <c r="E155" i="17"/>
  <c r="F155" i="17"/>
  <c r="G155" i="17"/>
  <c r="H155" i="17"/>
  <c r="B156" i="17"/>
  <c r="C156" i="17"/>
  <c r="D156" i="17"/>
  <c r="E156" i="17"/>
  <c r="F156" i="17"/>
  <c r="G156" i="17"/>
  <c r="H156" i="17"/>
  <c r="B157" i="17"/>
  <c r="C157" i="17"/>
  <c r="D157" i="17"/>
  <c r="E157" i="17"/>
  <c r="F157" i="17"/>
  <c r="G157" i="17"/>
  <c r="H157" i="17"/>
  <c r="B158" i="17"/>
  <c r="C158" i="17"/>
  <c r="D158" i="17"/>
  <c r="E158" i="17"/>
  <c r="F158" i="17"/>
  <c r="G158" i="17"/>
  <c r="H158" i="17"/>
  <c r="B159" i="17"/>
  <c r="C159" i="17"/>
  <c r="D159" i="17"/>
  <c r="E159" i="17"/>
  <c r="F159" i="17"/>
  <c r="G159" i="17"/>
  <c r="H159" i="17"/>
  <c r="B160" i="17"/>
  <c r="C160" i="17"/>
  <c r="D160" i="17"/>
  <c r="E160" i="17"/>
  <c r="F160" i="17"/>
  <c r="G160" i="17"/>
  <c r="H160" i="17"/>
  <c r="B94" i="17"/>
  <c r="C94" i="17"/>
  <c r="D94" i="17"/>
  <c r="E94" i="17"/>
  <c r="F94" i="17"/>
  <c r="G94" i="17"/>
  <c r="H94" i="17"/>
  <c r="B95" i="17"/>
  <c r="C95" i="17"/>
  <c r="D95" i="17"/>
  <c r="E95" i="17"/>
  <c r="F95" i="17"/>
  <c r="G95" i="17"/>
  <c r="H95" i="17"/>
  <c r="B96" i="17"/>
  <c r="C96" i="17"/>
  <c r="D96" i="17"/>
  <c r="E96" i="17"/>
  <c r="F96" i="17"/>
  <c r="G96" i="17"/>
  <c r="H96" i="17"/>
  <c r="B97" i="17"/>
  <c r="C97" i="17"/>
  <c r="D97" i="17"/>
  <c r="E97" i="17"/>
  <c r="F97" i="17"/>
  <c r="G97" i="17"/>
  <c r="H97" i="17"/>
  <c r="B98" i="17"/>
  <c r="C98" i="17"/>
  <c r="D98" i="17"/>
  <c r="E98" i="17"/>
  <c r="F98" i="17"/>
  <c r="G98" i="17"/>
  <c r="H98" i="17"/>
  <c r="B99" i="17"/>
  <c r="C99" i="17"/>
  <c r="D99" i="17"/>
  <c r="E99" i="17"/>
  <c r="F99" i="17"/>
  <c r="G99" i="17"/>
  <c r="H99" i="17"/>
  <c r="B100" i="17"/>
  <c r="C100" i="17"/>
  <c r="D100" i="17"/>
  <c r="E100" i="17"/>
  <c r="F100" i="17"/>
  <c r="G100" i="17"/>
  <c r="H100" i="17"/>
  <c r="B101" i="17"/>
  <c r="C101" i="17"/>
  <c r="D101" i="17"/>
  <c r="E101" i="17"/>
  <c r="F101" i="17"/>
  <c r="G101" i="17"/>
  <c r="H101" i="17"/>
  <c r="B102" i="17"/>
  <c r="C102" i="17"/>
  <c r="D102" i="17"/>
  <c r="E102" i="17"/>
  <c r="F102" i="17"/>
  <c r="G102" i="17"/>
  <c r="H102" i="17"/>
  <c r="B103" i="17"/>
  <c r="C103" i="17"/>
  <c r="D103" i="17"/>
  <c r="E103" i="17"/>
  <c r="F103" i="17"/>
  <c r="G103" i="17"/>
  <c r="H103" i="17"/>
  <c r="B104" i="17"/>
  <c r="C104" i="17"/>
  <c r="D104" i="17"/>
  <c r="E104" i="17"/>
  <c r="F104" i="17"/>
  <c r="G104" i="17"/>
  <c r="H104" i="17"/>
  <c r="B105" i="17"/>
  <c r="C105" i="17"/>
  <c r="D105" i="17"/>
  <c r="E105" i="17"/>
  <c r="F105" i="17"/>
  <c r="G105" i="17"/>
  <c r="H105" i="17"/>
  <c r="B106" i="17"/>
  <c r="C106" i="17"/>
  <c r="D106" i="17"/>
  <c r="E106" i="17"/>
  <c r="F106" i="17"/>
  <c r="G106" i="17"/>
  <c r="H106" i="17"/>
  <c r="B107" i="17"/>
  <c r="C107" i="17"/>
  <c r="D107" i="17"/>
  <c r="E107" i="17"/>
  <c r="F107" i="17"/>
  <c r="G107" i="17"/>
  <c r="H107" i="17"/>
  <c r="B108" i="17"/>
  <c r="C108" i="17"/>
  <c r="D108" i="17"/>
  <c r="E108" i="17"/>
  <c r="F108" i="17"/>
  <c r="G108" i="17"/>
  <c r="H108" i="17"/>
  <c r="B109" i="17"/>
  <c r="C109" i="17"/>
  <c r="D109" i="17"/>
  <c r="E109" i="17"/>
  <c r="F109" i="17"/>
  <c r="G109" i="17"/>
  <c r="H109" i="17"/>
  <c r="B110" i="17"/>
  <c r="C110" i="17"/>
  <c r="D110" i="17"/>
  <c r="E110" i="17"/>
  <c r="F110" i="17"/>
  <c r="G110" i="17"/>
  <c r="H110" i="17"/>
  <c r="B111" i="17"/>
  <c r="C111" i="17"/>
  <c r="D111" i="17"/>
  <c r="E111" i="17"/>
  <c r="F111" i="17"/>
  <c r="G111" i="17"/>
  <c r="H111" i="17"/>
  <c r="B112" i="17"/>
  <c r="C112" i="17"/>
  <c r="D112" i="17"/>
  <c r="E112" i="17"/>
  <c r="F112" i="17"/>
  <c r="G112" i="17"/>
  <c r="H112" i="17"/>
  <c r="B113" i="17"/>
  <c r="C113" i="17"/>
  <c r="D113" i="17"/>
  <c r="E113" i="17"/>
  <c r="F113" i="17"/>
  <c r="G113" i="17"/>
  <c r="H113" i="17"/>
  <c r="B114" i="17"/>
  <c r="C114" i="17"/>
  <c r="D114" i="17"/>
  <c r="E114" i="17"/>
  <c r="F114" i="17"/>
  <c r="G114" i="17"/>
  <c r="H114" i="17"/>
  <c r="B115" i="17"/>
  <c r="C115" i="17"/>
  <c r="D115" i="17"/>
  <c r="E115" i="17"/>
  <c r="F115" i="17"/>
  <c r="G115" i="17"/>
  <c r="H115" i="17"/>
  <c r="B116" i="17"/>
  <c r="C116" i="17"/>
  <c r="D116" i="17"/>
  <c r="E116" i="17"/>
  <c r="F116" i="17"/>
  <c r="G116" i="17"/>
  <c r="H116" i="17"/>
  <c r="B117" i="17"/>
  <c r="C117" i="17"/>
  <c r="D117" i="17"/>
  <c r="E117" i="17"/>
  <c r="F117" i="17"/>
  <c r="G117" i="17"/>
  <c r="H117" i="17"/>
  <c r="B118" i="17"/>
  <c r="C118" i="17"/>
  <c r="D118" i="17"/>
  <c r="E118" i="17"/>
  <c r="F118" i="17"/>
  <c r="G118" i="17"/>
  <c r="H118" i="17"/>
  <c r="B119" i="17"/>
  <c r="C119" i="17"/>
  <c r="D119" i="17"/>
  <c r="E119" i="17"/>
  <c r="F119" i="17"/>
  <c r="G119" i="17"/>
  <c r="H119" i="17"/>
  <c r="B120" i="17"/>
  <c r="C120" i="17"/>
  <c r="D120" i="17"/>
  <c r="E120" i="17"/>
  <c r="F120" i="17"/>
  <c r="G120" i="17"/>
  <c r="H120" i="17"/>
  <c r="B121" i="17"/>
  <c r="C121" i="17"/>
  <c r="D121" i="17"/>
  <c r="E121" i="17"/>
  <c r="F121" i="17"/>
  <c r="G121" i="17"/>
  <c r="H121" i="17"/>
  <c r="B122" i="17"/>
  <c r="C122" i="17"/>
  <c r="D122" i="17"/>
  <c r="E122" i="17"/>
  <c r="F122" i="17"/>
  <c r="G122" i="17"/>
  <c r="H122" i="17"/>
  <c r="B64" i="17"/>
  <c r="C64" i="17"/>
  <c r="D64" i="17"/>
  <c r="E64" i="17"/>
  <c r="F64" i="17"/>
  <c r="G64" i="17"/>
  <c r="H64" i="17"/>
  <c r="B65" i="17"/>
  <c r="C65" i="17"/>
  <c r="D65" i="17"/>
  <c r="E65" i="17"/>
  <c r="F65" i="17"/>
  <c r="G65" i="17"/>
  <c r="H65" i="17"/>
  <c r="B66" i="17"/>
  <c r="C66" i="17"/>
  <c r="D66" i="17"/>
  <c r="E66" i="17"/>
  <c r="F66" i="17"/>
  <c r="G66" i="17"/>
  <c r="H66" i="17"/>
  <c r="B67" i="17"/>
  <c r="C67" i="17"/>
  <c r="D67" i="17"/>
  <c r="E67" i="17"/>
  <c r="F67" i="17"/>
  <c r="G67" i="17"/>
  <c r="H67" i="17"/>
  <c r="B68" i="17"/>
  <c r="C68" i="17"/>
  <c r="D68" i="17"/>
  <c r="E68" i="17"/>
  <c r="F68" i="17"/>
  <c r="G68" i="17"/>
  <c r="H68" i="17"/>
  <c r="B69" i="17"/>
  <c r="C69" i="17"/>
  <c r="D69" i="17"/>
  <c r="E69" i="17"/>
  <c r="F69" i="17"/>
  <c r="G69" i="17"/>
  <c r="H69" i="17"/>
  <c r="B70" i="17"/>
  <c r="C70" i="17"/>
  <c r="D70" i="17"/>
  <c r="E70" i="17"/>
  <c r="F70" i="17"/>
  <c r="G70" i="17"/>
  <c r="H70" i="17"/>
  <c r="B71" i="17"/>
  <c r="C71" i="17"/>
  <c r="D71" i="17"/>
  <c r="E71" i="17"/>
  <c r="F71" i="17"/>
  <c r="G71" i="17"/>
  <c r="H71" i="17"/>
  <c r="B72" i="17"/>
  <c r="C72" i="17"/>
  <c r="D72" i="17"/>
  <c r="E72" i="17"/>
  <c r="F72" i="17"/>
  <c r="G72" i="17"/>
  <c r="H72" i="17"/>
  <c r="B73" i="17"/>
  <c r="C73" i="17"/>
  <c r="D73" i="17"/>
  <c r="E73" i="17"/>
  <c r="F73" i="17"/>
  <c r="G73" i="17"/>
  <c r="H73" i="17"/>
  <c r="B74" i="17"/>
  <c r="C74" i="17"/>
  <c r="D74" i="17"/>
  <c r="E74" i="17"/>
  <c r="F74" i="17"/>
  <c r="G74" i="17"/>
  <c r="H74" i="17"/>
  <c r="B75" i="17"/>
  <c r="C75" i="17"/>
  <c r="D75" i="17"/>
  <c r="E75" i="17"/>
  <c r="F75" i="17"/>
  <c r="G75" i="17"/>
  <c r="H75" i="17"/>
  <c r="B76" i="17"/>
  <c r="C76" i="17"/>
  <c r="D76" i="17"/>
  <c r="E76" i="17"/>
  <c r="F76" i="17"/>
  <c r="G76" i="17"/>
  <c r="H76" i="17"/>
  <c r="B77" i="17"/>
  <c r="C77" i="17"/>
  <c r="D77" i="17"/>
  <c r="E77" i="17"/>
  <c r="F77" i="17"/>
  <c r="G77" i="17"/>
  <c r="H77" i="17"/>
  <c r="B78" i="17"/>
  <c r="C78" i="17"/>
  <c r="D78" i="17"/>
  <c r="E78" i="17"/>
  <c r="F78" i="17"/>
  <c r="G78" i="17"/>
  <c r="H78" i="17"/>
  <c r="B79" i="17"/>
  <c r="C79" i="17"/>
  <c r="D79" i="17"/>
  <c r="E79" i="17"/>
  <c r="F79" i="17"/>
  <c r="G79" i="17"/>
  <c r="H79" i="17"/>
  <c r="B80" i="17"/>
  <c r="C80" i="17"/>
  <c r="D80" i="17"/>
  <c r="E80" i="17"/>
  <c r="F80" i="17"/>
  <c r="G80" i="17"/>
  <c r="H80" i="17"/>
  <c r="B81" i="17"/>
  <c r="C81" i="17"/>
  <c r="D81" i="17"/>
  <c r="E81" i="17"/>
  <c r="F81" i="17"/>
  <c r="G81" i="17"/>
  <c r="H81" i="17"/>
  <c r="B82" i="17"/>
  <c r="C82" i="17"/>
  <c r="D82" i="17"/>
  <c r="E82" i="17"/>
  <c r="F82" i="17"/>
  <c r="G82" i="17"/>
  <c r="H82" i="17"/>
  <c r="B83" i="17"/>
  <c r="C83" i="17"/>
  <c r="D83" i="17"/>
  <c r="E83" i="17"/>
  <c r="F83" i="17"/>
  <c r="G83" i="17"/>
  <c r="H83" i="17"/>
  <c r="B84" i="17"/>
  <c r="C84" i="17"/>
  <c r="D84" i="17"/>
  <c r="E84" i="17"/>
  <c r="F84" i="17"/>
  <c r="G84" i="17"/>
  <c r="H84" i="17"/>
  <c r="B85" i="17"/>
  <c r="C85" i="17"/>
  <c r="D85" i="17"/>
  <c r="E85" i="17"/>
  <c r="F85" i="17"/>
  <c r="G85" i="17"/>
  <c r="H85" i="17"/>
  <c r="B86" i="17"/>
  <c r="C86" i="17"/>
  <c r="D86" i="17"/>
  <c r="E86" i="17"/>
  <c r="F86" i="17"/>
  <c r="G86" i="17"/>
  <c r="H86" i="17"/>
  <c r="B87" i="17"/>
  <c r="C87" i="17"/>
  <c r="D87" i="17"/>
  <c r="E87" i="17"/>
  <c r="F87" i="17"/>
  <c r="G87" i="17"/>
  <c r="H87" i="17"/>
  <c r="B88" i="17"/>
  <c r="C88" i="17"/>
  <c r="D88" i="17"/>
  <c r="E88" i="17"/>
  <c r="F88" i="17"/>
  <c r="G88" i="17"/>
  <c r="H88" i="17"/>
  <c r="B89" i="17"/>
  <c r="C89" i="17"/>
  <c r="D89" i="17"/>
  <c r="E89" i="17"/>
  <c r="F89" i="17"/>
  <c r="G89" i="17"/>
  <c r="H89" i="17"/>
  <c r="B90" i="17"/>
  <c r="C90" i="17"/>
  <c r="D90" i="17"/>
  <c r="E90" i="17"/>
  <c r="F90" i="17"/>
  <c r="G90" i="17"/>
  <c r="H90" i="17"/>
  <c r="B91" i="17"/>
  <c r="C91" i="17"/>
  <c r="D91" i="17"/>
  <c r="E91" i="17"/>
  <c r="F91" i="17"/>
  <c r="G91" i="17"/>
  <c r="H91" i="17"/>
  <c r="B92" i="17"/>
  <c r="C92" i="17"/>
  <c r="D92" i="17"/>
  <c r="E92" i="17"/>
  <c r="F92" i="17"/>
  <c r="G92" i="17"/>
  <c r="H92" i="17"/>
  <c r="B93" i="17"/>
  <c r="C93" i="17"/>
  <c r="D93" i="17"/>
  <c r="E93" i="17"/>
  <c r="F93" i="17"/>
  <c r="G93" i="17"/>
  <c r="H93" i="17"/>
  <c r="B34" i="17"/>
  <c r="C34" i="17"/>
  <c r="D34" i="17"/>
  <c r="E34" i="17"/>
  <c r="F34" i="17"/>
  <c r="G34" i="17"/>
  <c r="H34" i="17"/>
  <c r="B35" i="17"/>
  <c r="C35" i="17"/>
  <c r="D35" i="17"/>
  <c r="E35" i="17"/>
  <c r="F35" i="17"/>
  <c r="G35" i="17"/>
  <c r="H35" i="17"/>
  <c r="B36" i="17"/>
  <c r="C36" i="17"/>
  <c r="D36" i="17"/>
  <c r="E36" i="17"/>
  <c r="F36" i="17"/>
  <c r="G36" i="17"/>
  <c r="H36" i="17"/>
  <c r="B37" i="17"/>
  <c r="C37" i="17"/>
  <c r="D37" i="17"/>
  <c r="E37" i="17"/>
  <c r="F37" i="17"/>
  <c r="G37" i="17"/>
  <c r="H37" i="17"/>
  <c r="B38" i="17"/>
  <c r="C38" i="17"/>
  <c r="D38" i="17"/>
  <c r="E38" i="17"/>
  <c r="F38" i="17"/>
  <c r="G38" i="17"/>
  <c r="H38" i="17"/>
  <c r="B39" i="17"/>
  <c r="C39" i="17"/>
  <c r="D39" i="17"/>
  <c r="E39" i="17"/>
  <c r="F39" i="17"/>
  <c r="G39" i="17"/>
  <c r="H39" i="17"/>
  <c r="B40" i="17"/>
  <c r="C40" i="17"/>
  <c r="D40" i="17"/>
  <c r="E40" i="17"/>
  <c r="F40" i="17"/>
  <c r="G40" i="17"/>
  <c r="H40" i="17"/>
  <c r="B41" i="17"/>
  <c r="C41" i="17"/>
  <c r="D41" i="17"/>
  <c r="E41" i="17"/>
  <c r="F41" i="17"/>
  <c r="G41" i="17"/>
  <c r="H41" i="17"/>
  <c r="B42" i="17"/>
  <c r="C42" i="17"/>
  <c r="D42" i="17"/>
  <c r="E42" i="17"/>
  <c r="F42" i="17"/>
  <c r="G42" i="17"/>
  <c r="H42" i="17"/>
  <c r="B43" i="17"/>
  <c r="C43" i="17"/>
  <c r="D43" i="17"/>
  <c r="E43" i="17"/>
  <c r="F43" i="17"/>
  <c r="G43" i="17"/>
  <c r="H43" i="17"/>
  <c r="B44" i="17"/>
  <c r="C44" i="17"/>
  <c r="D44" i="17"/>
  <c r="E44" i="17"/>
  <c r="F44" i="17"/>
  <c r="G44" i="17"/>
  <c r="H44" i="17"/>
  <c r="B45" i="17"/>
  <c r="C45" i="17"/>
  <c r="D45" i="17"/>
  <c r="E45" i="17"/>
  <c r="F45" i="17"/>
  <c r="G45" i="17"/>
  <c r="H45" i="17"/>
  <c r="B46" i="17"/>
  <c r="C46" i="17"/>
  <c r="D46" i="17"/>
  <c r="E46" i="17"/>
  <c r="F46" i="17"/>
  <c r="G46" i="17"/>
  <c r="H46" i="17"/>
  <c r="B47" i="17"/>
  <c r="C47" i="17"/>
  <c r="D47" i="17"/>
  <c r="E47" i="17"/>
  <c r="F47" i="17"/>
  <c r="G47" i="17"/>
  <c r="H47" i="17"/>
  <c r="B48" i="17"/>
  <c r="C48" i="17"/>
  <c r="D48" i="17"/>
  <c r="E48" i="17"/>
  <c r="F48" i="17"/>
  <c r="G48" i="17"/>
  <c r="H48" i="17"/>
  <c r="B49" i="17"/>
  <c r="C49" i="17"/>
  <c r="D49" i="17"/>
  <c r="E49" i="17"/>
  <c r="F49" i="17"/>
  <c r="G49" i="17"/>
  <c r="H49" i="17"/>
  <c r="B50" i="17"/>
  <c r="C50" i="17"/>
  <c r="D50" i="17"/>
  <c r="E50" i="17"/>
  <c r="F50" i="17"/>
  <c r="G50" i="17"/>
  <c r="H50" i="17"/>
  <c r="B51" i="17"/>
  <c r="C51" i="17"/>
  <c r="D51" i="17"/>
  <c r="E51" i="17"/>
  <c r="F51" i="17"/>
  <c r="G51" i="17"/>
  <c r="H51" i="17"/>
  <c r="B52" i="17"/>
  <c r="C52" i="17"/>
  <c r="D52" i="17"/>
  <c r="E52" i="17"/>
  <c r="F52" i="17"/>
  <c r="G52" i="17"/>
  <c r="H52" i="17"/>
  <c r="B53" i="17"/>
  <c r="C53" i="17"/>
  <c r="D53" i="17"/>
  <c r="E53" i="17"/>
  <c r="F53" i="17"/>
  <c r="G53" i="17"/>
  <c r="H53" i="17"/>
  <c r="B54" i="17"/>
  <c r="C54" i="17"/>
  <c r="D54" i="17"/>
  <c r="E54" i="17"/>
  <c r="F54" i="17"/>
  <c r="G54" i="17"/>
  <c r="H54" i="17"/>
  <c r="B55" i="17"/>
  <c r="C55" i="17"/>
  <c r="D55" i="17"/>
  <c r="E55" i="17"/>
  <c r="F55" i="17"/>
  <c r="G55" i="17"/>
  <c r="H55" i="17"/>
  <c r="B56" i="17"/>
  <c r="C56" i="17"/>
  <c r="D56" i="17"/>
  <c r="E56" i="17"/>
  <c r="F56" i="17"/>
  <c r="G56" i="17"/>
  <c r="H56" i="17"/>
  <c r="B57" i="17"/>
  <c r="C57" i="17"/>
  <c r="D57" i="17"/>
  <c r="E57" i="17"/>
  <c r="F57" i="17"/>
  <c r="G57" i="17"/>
  <c r="H57" i="17"/>
  <c r="B58" i="17"/>
  <c r="C58" i="17"/>
  <c r="D58" i="17"/>
  <c r="E58" i="17"/>
  <c r="F58" i="17"/>
  <c r="G58" i="17"/>
  <c r="H58" i="17"/>
  <c r="B59" i="17"/>
  <c r="C59" i="17"/>
  <c r="D59" i="17"/>
  <c r="E59" i="17"/>
  <c r="F59" i="17"/>
  <c r="G59" i="17"/>
  <c r="H59" i="17"/>
  <c r="B60" i="17"/>
  <c r="C60" i="17"/>
  <c r="D60" i="17"/>
  <c r="E60" i="17"/>
  <c r="F60" i="17"/>
  <c r="G60" i="17"/>
  <c r="H60" i="17"/>
  <c r="B61" i="17"/>
  <c r="C61" i="17"/>
  <c r="D61" i="17"/>
  <c r="E61" i="17"/>
  <c r="F61" i="17"/>
  <c r="G61" i="17"/>
  <c r="H61" i="17"/>
  <c r="B62" i="17"/>
  <c r="C62" i="17"/>
  <c r="D62" i="17"/>
  <c r="E62" i="17"/>
  <c r="F62" i="17"/>
  <c r="G62" i="17"/>
  <c r="H62" i="17"/>
  <c r="B63" i="17"/>
  <c r="C63" i="17"/>
  <c r="D63" i="17"/>
  <c r="E63" i="17"/>
  <c r="F63" i="17"/>
  <c r="G63" i="17"/>
  <c r="H63" i="17"/>
  <c r="B12" i="17"/>
  <c r="F12" i="17"/>
  <c r="G12" i="17"/>
  <c r="B13" i="17"/>
  <c r="F13" i="17"/>
  <c r="G13" i="17"/>
  <c r="B14" i="17"/>
  <c r="F14" i="17"/>
  <c r="G14" i="17"/>
  <c r="B15" i="17"/>
  <c r="F15" i="17"/>
  <c r="G15" i="17"/>
  <c r="B16" i="17"/>
  <c r="F16" i="17"/>
  <c r="G16" i="17"/>
  <c r="B17" i="17"/>
  <c r="F17" i="17"/>
  <c r="G17" i="17"/>
  <c r="B18" i="17"/>
  <c r="F18" i="17"/>
  <c r="G18" i="17"/>
  <c r="B19" i="17"/>
  <c r="F19" i="17"/>
  <c r="G19" i="17"/>
  <c r="B20" i="17"/>
  <c r="F20" i="17"/>
  <c r="G20" i="17"/>
  <c r="B21" i="17"/>
  <c r="F21" i="17"/>
  <c r="G21" i="17"/>
  <c r="B22" i="17"/>
  <c r="F22" i="17"/>
  <c r="G22" i="17"/>
  <c r="B23" i="17"/>
  <c r="F23" i="17"/>
  <c r="G23" i="17"/>
  <c r="B24" i="17"/>
  <c r="F24" i="17"/>
  <c r="G24" i="17"/>
  <c r="B25" i="17"/>
  <c r="F25" i="17"/>
  <c r="G25" i="17"/>
  <c r="B26" i="17"/>
  <c r="F26" i="17"/>
  <c r="G26" i="17"/>
  <c r="B27" i="17"/>
  <c r="F27" i="17"/>
  <c r="G27" i="17"/>
  <c r="B28" i="17"/>
  <c r="F28" i="17"/>
  <c r="G28" i="17"/>
  <c r="B29" i="17"/>
  <c r="F29" i="17"/>
  <c r="G29" i="17"/>
  <c r="B30" i="17"/>
  <c r="F30" i="17"/>
  <c r="G30" i="17"/>
  <c r="B31" i="17"/>
  <c r="F31" i="17"/>
  <c r="G31" i="17"/>
  <c r="B32" i="17"/>
  <c r="F32" i="17"/>
  <c r="G32" i="17"/>
  <c r="B33" i="17"/>
  <c r="C33" i="17"/>
  <c r="D33" i="17"/>
  <c r="E33" i="17"/>
  <c r="F33" i="17"/>
  <c r="G33" i="17"/>
  <c r="H33" i="17"/>
  <c r="G11" i="17"/>
  <c r="F11" i="17"/>
  <c r="B11" i="17"/>
  <c r="P33" i="14"/>
  <c r="Q33" i="14"/>
  <c r="R33" i="14"/>
  <c r="S33" i="14"/>
  <c r="T33" i="14"/>
  <c r="P34" i="14"/>
  <c r="Q34" i="14"/>
  <c r="R34" i="14"/>
  <c r="S34" i="14"/>
  <c r="T34" i="14"/>
  <c r="P35" i="14"/>
  <c r="Q35" i="14"/>
  <c r="R35" i="14"/>
  <c r="S35" i="14"/>
  <c r="T35" i="14"/>
  <c r="P36" i="14"/>
  <c r="Q36" i="14"/>
  <c r="R36" i="14"/>
  <c r="S36" i="14"/>
  <c r="T36" i="14"/>
  <c r="P37" i="14"/>
  <c r="Q37" i="14"/>
  <c r="R37" i="14"/>
  <c r="S37" i="14"/>
  <c r="T37" i="14"/>
  <c r="P38" i="14"/>
  <c r="Q38" i="14"/>
  <c r="R38" i="14"/>
  <c r="S38" i="14"/>
  <c r="T38" i="14"/>
  <c r="P39" i="14"/>
  <c r="Q39" i="14"/>
  <c r="R39" i="14"/>
  <c r="S39" i="14"/>
  <c r="T39" i="14"/>
  <c r="P40" i="14"/>
  <c r="Q40" i="14"/>
  <c r="R40" i="14"/>
  <c r="S40" i="14"/>
  <c r="T40" i="14"/>
  <c r="P41" i="14"/>
  <c r="Q41" i="14"/>
  <c r="R41" i="14"/>
  <c r="S41" i="14"/>
  <c r="T41" i="14"/>
  <c r="P42" i="14"/>
  <c r="Q42" i="14"/>
  <c r="R42" i="14"/>
  <c r="S42" i="14"/>
  <c r="T42" i="14"/>
  <c r="P43" i="14"/>
  <c r="Q43" i="14"/>
  <c r="R43" i="14"/>
  <c r="S43" i="14"/>
  <c r="T43" i="14"/>
  <c r="P44" i="14"/>
  <c r="Q44" i="14"/>
  <c r="R44" i="14"/>
  <c r="S44" i="14"/>
  <c r="T44" i="14"/>
  <c r="P45" i="14"/>
  <c r="Q45" i="14"/>
  <c r="R45" i="14"/>
  <c r="S45" i="14"/>
  <c r="T45" i="14"/>
  <c r="P46" i="14"/>
  <c r="Q46" i="14"/>
  <c r="R46" i="14"/>
  <c r="S46" i="14"/>
  <c r="T46" i="14"/>
  <c r="P47" i="14"/>
  <c r="Q47" i="14"/>
  <c r="R47" i="14"/>
  <c r="S47" i="14"/>
  <c r="T47" i="14"/>
  <c r="P48" i="14"/>
  <c r="Q48" i="14"/>
  <c r="R48" i="14"/>
  <c r="S48" i="14"/>
  <c r="T48" i="14"/>
  <c r="P49" i="14"/>
  <c r="Q49" i="14"/>
  <c r="R49" i="14"/>
  <c r="S49" i="14"/>
  <c r="T49" i="14"/>
  <c r="P50" i="14"/>
  <c r="Q50" i="14"/>
  <c r="R50" i="14"/>
  <c r="S50" i="14"/>
  <c r="T50" i="14"/>
  <c r="P51" i="14"/>
  <c r="Q51" i="14"/>
  <c r="R51" i="14"/>
  <c r="S51" i="14"/>
  <c r="T51" i="14"/>
  <c r="P52" i="14"/>
  <c r="Q52" i="14"/>
  <c r="R52" i="14"/>
  <c r="S52" i="14"/>
  <c r="T52" i="14"/>
  <c r="P53" i="14"/>
  <c r="Q53" i="14"/>
  <c r="R53" i="14"/>
  <c r="S53" i="14"/>
  <c r="T53" i="14"/>
  <c r="P54" i="14"/>
  <c r="Q54" i="14"/>
  <c r="R54" i="14"/>
  <c r="S54" i="14"/>
  <c r="T54" i="14"/>
  <c r="P55" i="14"/>
  <c r="Q55" i="14"/>
  <c r="R55" i="14"/>
  <c r="S55" i="14"/>
  <c r="T55" i="14"/>
  <c r="P56" i="14"/>
  <c r="Q56" i="14"/>
  <c r="R56" i="14"/>
  <c r="S56" i="14"/>
  <c r="T56" i="14"/>
  <c r="P57" i="14"/>
  <c r="Q57" i="14"/>
  <c r="R57" i="14"/>
  <c r="S57" i="14"/>
  <c r="T57" i="14"/>
  <c r="P58" i="14"/>
  <c r="Q58" i="14"/>
  <c r="R58" i="14"/>
  <c r="S58" i="14"/>
  <c r="T58" i="14"/>
  <c r="P59" i="14"/>
  <c r="Q59" i="14"/>
  <c r="R59" i="14"/>
  <c r="S59" i="14"/>
  <c r="T59" i="14"/>
  <c r="P60" i="14"/>
  <c r="Q60" i="14"/>
  <c r="R60" i="14"/>
  <c r="S60" i="14"/>
  <c r="T60" i="14"/>
  <c r="P61" i="14"/>
  <c r="Q61" i="14"/>
  <c r="R61" i="14"/>
  <c r="S61" i="14"/>
  <c r="T61" i="14"/>
  <c r="P62" i="14"/>
  <c r="Q62" i="14"/>
  <c r="R62" i="14"/>
  <c r="S62" i="14"/>
  <c r="T62" i="14"/>
  <c r="P63" i="14"/>
  <c r="Q63" i="14"/>
  <c r="R63" i="14"/>
  <c r="S63" i="14"/>
  <c r="T63" i="14"/>
  <c r="P64" i="14"/>
  <c r="Q64" i="14"/>
  <c r="R64" i="14"/>
  <c r="S64" i="14"/>
  <c r="T64" i="14"/>
  <c r="P65" i="14"/>
  <c r="Q65" i="14"/>
  <c r="R65" i="14"/>
  <c r="S65" i="14"/>
  <c r="T65" i="14"/>
  <c r="P66" i="14"/>
  <c r="Q66" i="14"/>
  <c r="R66" i="14"/>
  <c r="S66" i="14"/>
  <c r="T66" i="14"/>
  <c r="P67" i="14"/>
  <c r="Q67" i="14"/>
  <c r="R67" i="14"/>
  <c r="S67" i="14"/>
  <c r="T67" i="14"/>
  <c r="P68" i="14"/>
  <c r="Q68" i="14"/>
  <c r="R68" i="14"/>
  <c r="S68" i="14"/>
  <c r="T68" i="14"/>
  <c r="P69" i="14"/>
  <c r="Q69" i="14"/>
  <c r="R69" i="14"/>
  <c r="S69" i="14"/>
  <c r="T69" i="14"/>
  <c r="P70" i="14"/>
  <c r="Q70" i="14"/>
  <c r="R70" i="14"/>
  <c r="S70" i="14"/>
  <c r="T70" i="14"/>
  <c r="P71" i="14"/>
  <c r="Q71" i="14"/>
  <c r="R71" i="14"/>
  <c r="S71" i="14"/>
  <c r="T71" i="14"/>
  <c r="P72" i="14"/>
  <c r="Q72" i="14"/>
  <c r="R72" i="14"/>
  <c r="S72" i="14"/>
  <c r="T72" i="14"/>
  <c r="P73" i="14"/>
  <c r="Q73" i="14"/>
  <c r="R73" i="14"/>
  <c r="S73" i="14"/>
  <c r="T73" i="14"/>
  <c r="P74" i="14"/>
  <c r="Q74" i="14"/>
  <c r="R74" i="14"/>
  <c r="S74" i="14"/>
  <c r="T74" i="14"/>
  <c r="P75" i="14"/>
  <c r="Q75" i="14"/>
  <c r="R75" i="14"/>
  <c r="S75" i="14"/>
  <c r="T75" i="14"/>
  <c r="P76" i="14"/>
  <c r="Q76" i="14"/>
  <c r="R76" i="14"/>
  <c r="S76" i="14"/>
  <c r="T76" i="14"/>
  <c r="P77" i="14"/>
  <c r="Q77" i="14"/>
  <c r="R77" i="14"/>
  <c r="S77" i="14"/>
  <c r="T77" i="14"/>
  <c r="P78" i="14"/>
  <c r="Q78" i="14"/>
  <c r="R78" i="14"/>
  <c r="S78" i="14"/>
  <c r="T78" i="14"/>
  <c r="P79" i="14"/>
  <c r="Q79" i="14"/>
  <c r="R79" i="14"/>
  <c r="S79" i="14"/>
  <c r="T79" i="14"/>
  <c r="P80" i="14"/>
  <c r="Q80" i="14"/>
  <c r="R80" i="14"/>
  <c r="S80" i="14"/>
  <c r="T80" i="14"/>
  <c r="P81" i="14"/>
  <c r="Q81" i="14"/>
  <c r="R81" i="14"/>
  <c r="S81" i="14"/>
  <c r="T81" i="14"/>
  <c r="P82" i="14"/>
  <c r="Q82" i="14"/>
  <c r="R82" i="14"/>
  <c r="S82" i="14"/>
  <c r="T82" i="14"/>
  <c r="P83" i="14"/>
  <c r="Q83" i="14"/>
  <c r="R83" i="14"/>
  <c r="S83" i="14"/>
  <c r="T83" i="14"/>
  <c r="P84" i="14"/>
  <c r="Q84" i="14"/>
  <c r="R84" i="14"/>
  <c r="S84" i="14"/>
  <c r="T84" i="14"/>
  <c r="P85" i="14"/>
  <c r="Q85" i="14"/>
  <c r="R85" i="14"/>
  <c r="S85" i="14"/>
  <c r="T85" i="14"/>
  <c r="P86" i="14"/>
  <c r="Q86" i="14"/>
  <c r="R86" i="14"/>
  <c r="S86" i="14"/>
  <c r="T86" i="14"/>
  <c r="P87" i="14"/>
  <c r="Q87" i="14"/>
  <c r="R87" i="14"/>
  <c r="S87" i="14"/>
  <c r="T87" i="14"/>
  <c r="P88" i="14"/>
  <c r="Q88" i="14"/>
  <c r="R88" i="14"/>
  <c r="S88" i="14"/>
  <c r="T88" i="14"/>
  <c r="P89" i="14"/>
  <c r="Q89" i="14"/>
  <c r="R89" i="14"/>
  <c r="S89" i="14"/>
  <c r="T89" i="14"/>
  <c r="P90" i="14"/>
  <c r="Q90" i="14"/>
  <c r="R90" i="14"/>
  <c r="S90" i="14"/>
  <c r="T90" i="14"/>
  <c r="P91" i="14"/>
  <c r="Q91" i="14"/>
  <c r="R91" i="14"/>
  <c r="S91" i="14"/>
  <c r="T91" i="14"/>
  <c r="P92" i="14"/>
  <c r="Q92" i="14"/>
  <c r="R92" i="14"/>
  <c r="S92" i="14"/>
  <c r="T92" i="14"/>
  <c r="P93" i="14"/>
  <c r="Q93" i="14"/>
  <c r="R93" i="14"/>
  <c r="S93" i="14"/>
  <c r="T93" i="14"/>
  <c r="P94" i="14"/>
  <c r="Q94" i="14"/>
  <c r="R94" i="14"/>
  <c r="S94" i="14"/>
  <c r="T94" i="14"/>
  <c r="P95" i="14"/>
  <c r="Q95" i="14"/>
  <c r="R95" i="14"/>
  <c r="S95" i="14"/>
  <c r="T95" i="14"/>
  <c r="P96" i="14"/>
  <c r="Q96" i="14"/>
  <c r="R96" i="14"/>
  <c r="S96" i="14"/>
  <c r="T96" i="14"/>
  <c r="P97" i="14"/>
  <c r="Q97" i="14"/>
  <c r="R97" i="14"/>
  <c r="S97" i="14"/>
  <c r="T97" i="14"/>
  <c r="P98" i="14"/>
  <c r="Q98" i="14"/>
  <c r="R98" i="14"/>
  <c r="S98" i="14"/>
  <c r="T98" i="14"/>
  <c r="P99" i="14"/>
  <c r="Q99" i="14"/>
  <c r="R99" i="14"/>
  <c r="S99" i="14"/>
  <c r="T99" i="14"/>
  <c r="P100" i="14"/>
  <c r="Q100" i="14"/>
  <c r="R100" i="14"/>
  <c r="S100" i="14"/>
  <c r="T100" i="14"/>
  <c r="P101" i="14"/>
  <c r="Q101" i="14"/>
  <c r="R101" i="14"/>
  <c r="S101" i="14"/>
  <c r="T101" i="14"/>
  <c r="P102" i="14"/>
  <c r="Q102" i="14"/>
  <c r="R102" i="14"/>
  <c r="S102" i="14"/>
  <c r="T102" i="14"/>
  <c r="P103" i="14"/>
  <c r="Q103" i="14"/>
  <c r="R103" i="14"/>
  <c r="S103" i="14"/>
  <c r="T103" i="14"/>
  <c r="P104" i="14"/>
  <c r="Q104" i="14"/>
  <c r="R104" i="14"/>
  <c r="S104" i="14"/>
  <c r="T104" i="14"/>
  <c r="P105" i="14"/>
  <c r="Q105" i="14"/>
  <c r="R105" i="14"/>
  <c r="S105" i="14"/>
  <c r="T105" i="14"/>
  <c r="P106" i="14"/>
  <c r="Q106" i="14"/>
  <c r="R106" i="14"/>
  <c r="S106" i="14"/>
  <c r="T106" i="14"/>
  <c r="P107" i="14"/>
  <c r="Q107" i="14"/>
  <c r="R107" i="14"/>
  <c r="S107" i="14"/>
  <c r="T107" i="14"/>
  <c r="P108" i="14"/>
  <c r="Q108" i="14"/>
  <c r="R108" i="14"/>
  <c r="S108" i="14"/>
  <c r="T108" i="14"/>
  <c r="P109" i="14"/>
  <c r="Q109" i="14"/>
  <c r="R109" i="14"/>
  <c r="S109" i="14"/>
  <c r="T109" i="14"/>
  <c r="P110" i="14"/>
  <c r="Q110" i="14"/>
  <c r="R110" i="14"/>
  <c r="S110" i="14"/>
  <c r="T110" i="14"/>
  <c r="P111" i="14"/>
  <c r="Q111" i="14"/>
  <c r="R111" i="14"/>
  <c r="S111" i="14"/>
  <c r="T111" i="14"/>
  <c r="P112" i="14"/>
  <c r="Q112" i="14"/>
  <c r="R112" i="14"/>
  <c r="S112" i="14"/>
  <c r="T112" i="14"/>
  <c r="P113" i="14"/>
  <c r="Q113" i="14"/>
  <c r="R113" i="14"/>
  <c r="S113" i="14"/>
  <c r="T113" i="14"/>
  <c r="P114" i="14"/>
  <c r="Q114" i="14"/>
  <c r="R114" i="14"/>
  <c r="S114" i="14"/>
  <c r="T114" i="14"/>
  <c r="P115" i="14"/>
  <c r="Q115" i="14"/>
  <c r="R115" i="14"/>
  <c r="S115" i="14"/>
  <c r="T115" i="14"/>
  <c r="P116" i="14"/>
  <c r="Q116" i="14"/>
  <c r="R116" i="14"/>
  <c r="S116" i="14"/>
  <c r="T116" i="14"/>
  <c r="P117" i="14"/>
  <c r="Q117" i="14"/>
  <c r="R117" i="14"/>
  <c r="S117" i="14"/>
  <c r="T117" i="14"/>
  <c r="P118" i="14"/>
  <c r="Q118" i="14"/>
  <c r="R118" i="14"/>
  <c r="S118" i="14"/>
  <c r="T118" i="14"/>
  <c r="P119" i="14"/>
  <c r="Q119" i="14"/>
  <c r="R119" i="14"/>
  <c r="S119" i="14"/>
  <c r="T119" i="14"/>
  <c r="P120" i="14"/>
  <c r="Q120" i="14"/>
  <c r="R120" i="14"/>
  <c r="S120" i="14"/>
  <c r="T120" i="14"/>
  <c r="P121" i="14"/>
  <c r="Q121" i="14"/>
  <c r="R121" i="14"/>
  <c r="S121" i="14"/>
  <c r="T121" i="14"/>
  <c r="P122" i="14"/>
  <c r="Q122" i="14"/>
  <c r="R122" i="14"/>
  <c r="S122" i="14"/>
  <c r="T122" i="14"/>
  <c r="P123" i="14"/>
  <c r="Q123" i="14"/>
  <c r="R123" i="14"/>
  <c r="S123" i="14"/>
  <c r="T123" i="14"/>
  <c r="P124" i="14"/>
  <c r="Q124" i="14"/>
  <c r="R124" i="14"/>
  <c r="S124" i="14"/>
  <c r="T124" i="14"/>
  <c r="P125" i="14"/>
  <c r="Q125" i="14"/>
  <c r="R125" i="14"/>
  <c r="S125" i="14"/>
  <c r="T125" i="14"/>
  <c r="P126" i="14"/>
  <c r="Q126" i="14"/>
  <c r="R126" i="14"/>
  <c r="S126" i="14"/>
  <c r="T126" i="14"/>
  <c r="P127" i="14"/>
  <c r="Q127" i="14"/>
  <c r="R127" i="14"/>
  <c r="S127" i="14"/>
  <c r="T127" i="14"/>
  <c r="P128" i="14"/>
  <c r="Q128" i="14"/>
  <c r="R128" i="14"/>
  <c r="S128" i="14"/>
  <c r="T128" i="14"/>
  <c r="P129" i="14"/>
  <c r="Q129" i="14"/>
  <c r="R129" i="14"/>
  <c r="S129" i="14"/>
  <c r="T129" i="14"/>
  <c r="P130" i="14"/>
  <c r="Q130" i="14"/>
  <c r="R130" i="14"/>
  <c r="S130" i="14"/>
  <c r="T130" i="14"/>
  <c r="P131" i="14"/>
  <c r="Q131" i="14"/>
  <c r="R131" i="14"/>
  <c r="S131" i="14"/>
  <c r="T131" i="14"/>
  <c r="P132" i="14"/>
  <c r="Q132" i="14"/>
  <c r="R132" i="14"/>
  <c r="S132" i="14"/>
  <c r="T132" i="14"/>
  <c r="P133" i="14"/>
  <c r="Q133" i="14"/>
  <c r="R133" i="14"/>
  <c r="S133" i="14"/>
  <c r="T133" i="14"/>
  <c r="P134" i="14"/>
  <c r="Q134" i="14"/>
  <c r="R134" i="14"/>
  <c r="S134" i="14"/>
  <c r="T134" i="14"/>
  <c r="P135" i="14"/>
  <c r="Q135" i="14"/>
  <c r="R135" i="14"/>
  <c r="S135" i="14"/>
  <c r="T135" i="14"/>
  <c r="P136" i="14"/>
  <c r="Q136" i="14"/>
  <c r="R136" i="14"/>
  <c r="S136" i="14"/>
  <c r="T136" i="14"/>
  <c r="P137" i="14"/>
  <c r="Q137" i="14"/>
  <c r="R137" i="14"/>
  <c r="S137" i="14"/>
  <c r="T137" i="14"/>
  <c r="P138" i="14"/>
  <c r="Q138" i="14"/>
  <c r="R138" i="14"/>
  <c r="S138" i="14"/>
  <c r="T138" i="14"/>
  <c r="P139" i="14"/>
  <c r="Q139" i="14"/>
  <c r="R139" i="14"/>
  <c r="S139" i="14"/>
  <c r="T139" i="14"/>
  <c r="P140" i="14"/>
  <c r="Q140" i="14"/>
  <c r="R140" i="14"/>
  <c r="S140" i="14"/>
  <c r="T140" i="14"/>
  <c r="P141" i="14"/>
  <c r="Q141" i="14"/>
  <c r="R141" i="14"/>
  <c r="S141" i="14"/>
  <c r="T141" i="14"/>
  <c r="P142" i="14"/>
  <c r="Q142" i="14"/>
  <c r="R142" i="14"/>
  <c r="S142" i="14"/>
  <c r="T142" i="14"/>
  <c r="P143" i="14"/>
  <c r="Q143" i="14"/>
  <c r="R143" i="14"/>
  <c r="S143" i="14"/>
  <c r="T143" i="14"/>
  <c r="P144" i="14"/>
  <c r="Q144" i="14"/>
  <c r="R144" i="14"/>
  <c r="S144" i="14"/>
  <c r="T144" i="14"/>
  <c r="P145" i="14"/>
  <c r="Q145" i="14"/>
  <c r="R145" i="14"/>
  <c r="S145" i="14"/>
  <c r="T145" i="14"/>
  <c r="P146" i="14"/>
  <c r="Q146" i="14"/>
  <c r="R146" i="14"/>
  <c r="S146" i="14"/>
  <c r="T146" i="14"/>
  <c r="P147" i="14"/>
  <c r="Q147" i="14"/>
  <c r="R147" i="14"/>
  <c r="S147" i="14"/>
  <c r="T147" i="14"/>
  <c r="P148" i="14"/>
  <c r="Q148" i="14"/>
  <c r="R148" i="14"/>
  <c r="S148" i="14"/>
  <c r="T148" i="14"/>
  <c r="P149" i="14"/>
  <c r="Q149" i="14"/>
  <c r="R149" i="14"/>
  <c r="S149" i="14"/>
  <c r="T149" i="14"/>
  <c r="P150" i="14"/>
  <c r="Q150" i="14"/>
  <c r="R150" i="14"/>
  <c r="S150" i="14"/>
  <c r="T150" i="14"/>
  <c r="P151" i="14"/>
  <c r="Q151" i="14"/>
  <c r="R151" i="14"/>
  <c r="S151" i="14"/>
  <c r="T151" i="14"/>
  <c r="P152" i="14"/>
  <c r="Q152" i="14"/>
  <c r="R152" i="14"/>
  <c r="S152" i="14"/>
  <c r="T152" i="14"/>
  <c r="P153" i="14"/>
  <c r="Q153" i="14"/>
  <c r="R153" i="14"/>
  <c r="S153" i="14"/>
  <c r="T153" i="14"/>
  <c r="P154" i="14"/>
  <c r="Q154" i="14"/>
  <c r="R154" i="14"/>
  <c r="S154" i="14"/>
  <c r="T154" i="14"/>
  <c r="P155" i="14"/>
  <c r="Q155" i="14"/>
  <c r="R155" i="14"/>
  <c r="S155" i="14"/>
  <c r="T155" i="14"/>
  <c r="P156" i="14"/>
  <c r="Q156" i="14"/>
  <c r="R156" i="14"/>
  <c r="S156" i="14"/>
  <c r="T156" i="14"/>
  <c r="P157" i="14"/>
  <c r="Q157" i="14"/>
  <c r="R157" i="14"/>
  <c r="S157" i="14"/>
  <c r="T157" i="14"/>
  <c r="P158" i="14"/>
  <c r="Q158" i="14"/>
  <c r="R158" i="14"/>
  <c r="S158" i="14"/>
  <c r="T158" i="14"/>
  <c r="P159" i="14"/>
  <c r="Q159" i="14"/>
  <c r="R159" i="14"/>
  <c r="S159" i="14"/>
  <c r="T159" i="14"/>
  <c r="P160" i="14"/>
  <c r="Q160" i="14"/>
  <c r="R160" i="14"/>
  <c r="S160" i="14"/>
  <c r="T160" i="14"/>
  <c r="C32" i="17"/>
  <c r="D32" i="17"/>
  <c r="E32" i="17"/>
  <c r="R32" i="14"/>
  <c r="T32" i="14"/>
  <c r="C28" i="17"/>
  <c r="D28" i="17"/>
  <c r="E28" i="17"/>
  <c r="Q28" i="14"/>
  <c r="S28" i="14"/>
  <c r="T28" i="14"/>
  <c r="C29" i="17"/>
  <c r="D29" i="17"/>
  <c r="E29" i="17"/>
  <c r="P29" i="14"/>
  <c r="T29" i="14"/>
  <c r="C30" i="17"/>
  <c r="D30" i="17"/>
  <c r="E30" i="17"/>
  <c r="P30" i="14"/>
  <c r="R30" i="14"/>
  <c r="S30" i="14"/>
  <c r="C31" i="17"/>
  <c r="D31" i="17"/>
  <c r="E31" i="17"/>
  <c r="P31" i="14"/>
  <c r="R31" i="14"/>
  <c r="C12" i="17"/>
  <c r="D12" i="17"/>
  <c r="E12" i="17"/>
  <c r="S12" i="14"/>
  <c r="C13" i="17"/>
  <c r="D13" i="17"/>
  <c r="E13" i="17"/>
  <c r="P13" i="14"/>
  <c r="T13" i="14"/>
  <c r="C14" i="17"/>
  <c r="D14" i="17"/>
  <c r="E14" i="17"/>
  <c r="P14" i="14"/>
  <c r="Q14" i="14"/>
  <c r="T14" i="14"/>
  <c r="C15" i="17"/>
  <c r="D15" i="17"/>
  <c r="E15" i="17"/>
  <c r="S15" i="14"/>
  <c r="C16" i="17"/>
  <c r="D16" i="17"/>
  <c r="E16" i="17"/>
  <c r="Q16" i="14"/>
  <c r="S16" i="14"/>
  <c r="T16" i="14"/>
  <c r="C17" i="17"/>
  <c r="D17" i="17"/>
  <c r="E17" i="17"/>
  <c r="P17" i="14"/>
  <c r="R17" i="14"/>
  <c r="T17" i="14"/>
  <c r="C18" i="17"/>
  <c r="E18" i="17"/>
  <c r="P18" i="14"/>
  <c r="S18" i="14"/>
  <c r="C19" i="17"/>
  <c r="E19" i="17"/>
  <c r="P19" i="14"/>
  <c r="R19" i="14"/>
  <c r="C20" i="17"/>
  <c r="E20" i="17"/>
  <c r="Q20" i="14"/>
  <c r="R20" i="14"/>
  <c r="C21" i="17"/>
  <c r="D21" i="17"/>
  <c r="E21" i="17"/>
  <c r="P21" i="14"/>
  <c r="Q21" i="14"/>
  <c r="R21" i="14"/>
  <c r="T21" i="14"/>
  <c r="C22" i="17"/>
  <c r="D22" i="17"/>
  <c r="E22" i="17"/>
  <c r="T22" i="14"/>
  <c r="C23" i="17"/>
  <c r="D23" i="17"/>
  <c r="E23" i="17"/>
  <c r="R23" i="14"/>
  <c r="S23" i="14"/>
  <c r="T23" i="14"/>
  <c r="C24" i="17"/>
  <c r="D24" i="17"/>
  <c r="E24" i="17"/>
  <c r="S24" i="14"/>
  <c r="C25" i="17"/>
  <c r="D25" i="17"/>
  <c r="E25" i="17"/>
  <c r="P25" i="14"/>
  <c r="S25" i="14"/>
  <c r="T25" i="14"/>
  <c r="C26" i="17"/>
  <c r="D26" i="17"/>
  <c r="E26" i="17"/>
  <c r="Q26" i="14"/>
  <c r="C27" i="17"/>
  <c r="D27" i="17"/>
  <c r="E27" i="17"/>
  <c r="S27" i="14"/>
  <c r="Q11" i="14"/>
  <c r="D11" i="17"/>
  <c r="E11" i="17"/>
  <c r="C11" i="17"/>
  <c r="I80" i="13" l="1"/>
  <c r="F80" i="13"/>
  <c r="H80" i="13"/>
  <c r="G80" i="13"/>
  <c r="E80" i="13"/>
  <c r="B109" i="19"/>
  <c r="B98" i="19" s="1"/>
  <c r="I34" i="13"/>
  <c r="H34" i="13"/>
  <c r="G34" i="13"/>
  <c r="F34" i="13"/>
  <c r="E34" i="13"/>
  <c r="L72" i="12"/>
  <c r="K72" i="12"/>
  <c r="L2" i="12"/>
  <c r="K149" i="12"/>
  <c r="L149" i="12"/>
  <c r="K110" i="12"/>
  <c r="L110" i="12"/>
  <c r="K104" i="12"/>
  <c r="L104" i="12"/>
  <c r="K153" i="12"/>
  <c r="L153" i="12"/>
  <c r="K150" i="12"/>
  <c r="L150" i="12"/>
  <c r="K147" i="12"/>
  <c r="L147" i="12"/>
  <c r="K144" i="12"/>
  <c r="L144" i="12"/>
  <c r="K141" i="12"/>
  <c r="L141" i="12"/>
  <c r="K138" i="12"/>
  <c r="L138" i="12"/>
  <c r="K135" i="12"/>
  <c r="L135" i="12"/>
  <c r="K132" i="12"/>
  <c r="L132" i="12"/>
  <c r="K129" i="12"/>
  <c r="L129" i="12"/>
  <c r="K126" i="12"/>
  <c r="L126" i="12"/>
  <c r="K123" i="12"/>
  <c r="L123" i="12"/>
  <c r="K120" i="12"/>
  <c r="L120" i="12"/>
  <c r="K117" i="12"/>
  <c r="L117" i="12"/>
  <c r="K114" i="12"/>
  <c r="L114" i="12"/>
  <c r="L111" i="12"/>
  <c r="K111" i="12"/>
  <c r="K108" i="12"/>
  <c r="L108" i="12"/>
  <c r="K105" i="12"/>
  <c r="L105" i="12"/>
  <c r="K102" i="12"/>
  <c r="L102" i="12"/>
  <c r="K99" i="12"/>
  <c r="L99" i="12"/>
  <c r="K96" i="12"/>
  <c r="L96" i="12"/>
  <c r="K93" i="12"/>
  <c r="L93" i="12"/>
  <c r="K90" i="12"/>
  <c r="L90" i="12"/>
  <c r="L87" i="12"/>
  <c r="CD145" i="10"/>
  <c r="CE145" i="10"/>
  <c r="CF145" i="10"/>
  <c r="CG145" i="10"/>
  <c r="CH145" i="10"/>
  <c r="CH117" i="10"/>
  <c r="CD117" i="10"/>
  <c r="CE117" i="10"/>
  <c r="CF117" i="10"/>
  <c r="CG117" i="10"/>
  <c r="CE113" i="10"/>
  <c r="CH113" i="10"/>
  <c r="CF113" i="10"/>
  <c r="CG113" i="10"/>
  <c r="CD113" i="10"/>
  <c r="CH105" i="10"/>
  <c r="CE105" i="10"/>
  <c r="CD105" i="10"/>
  <c r="CF105" i="10"/>
  <c r="CG105" i="10"/>
  <c r="K137" i="12"/>
  <c r="L137" i="12"/>
  <c r="K128" i="12"/>
  <c r="L128" i="12"/>
  <c r="K116" i="12"/>
  <c r="L116" i="12"/>
  <c r="CD155" i="10"/>
  <c r="CF155" i="10"/>
  <c r="CG155" i="10"/>
  <c r="CE155" i="10"/>
  <c r="CH155" i="10"/>
  <c r="CG151" i="10"/>
  <c r="CH151" i="10"/>
  <c r="CF151" i="10"/>
  <c r="CD151" i="10"/>
  <c r="CE151" i="10"/>
  <c r="CF147" i="10"/>
  <c r="CD147" i="10"/>
  <c r="CE147" i="10"/>
  <c r="CG147" i="10"/>
  <c r="CH147" i="10"/>
  <c r="CD143" i="10"/>
  <c r="CE143" i="10"/>
  <c r="CG143" i="10"/>
  <c r="CF143" i="10"/>
  <c r="CH143" i="10"/>
  <c r="CG139" i="10"/>
  <c r="CH139" i="10"/>
  <c r="CF139" i="10"/>
  <c r="CD139" i="10"/>
  <c r="CE139" i="10"/>
  <c r="CD135" i="10"/>
  <c r="CE135" i="10"/>
  <c r="CF135" i="10"/>
  <c r="CG135" i="10"/>
  <c r="CH135" i="10"/>
  <c r="CD131" i="10"/>
  <c r="CE131" i="10"/>
  <c r="CG131" i="10"/>
  <c r="CF131" i="10"/>
  <c r="CH131" i="10"/>
  <c r="CG127" i="10"/>
  <c r="CH127" i="10"/>
  <c r="CF127" i="10"/>
  <c r="CD127" i="10"/>
  <c r="CE127" i="10"/>
  <c r="CF123" i="10"/>
  <c r="CD123" i="10"/>
  <c r="CE123" i="10"/>
  <c r="CG123" i="10"/>
  <c r="CH123" i="10"/>
  <c r="CD119" i="10"/>
  <c r="CG119" i="10"/>
  <c r="CE119" i="10"/>
  <c r="CF119" i="10"/>
  <c r="CH119" i="10"/>
  <c r="CG115" i="10"/>
  <c r="CH115" i="10"/>
  <c r="CF115" i="10"/>
  <c r="CD115" i="10"/>
  <c r="CE115" i="10"/>
  <c r="CD111" i="10"/>
  <c r="CE111" i="10"/>
  <c r="CF111" i="10"/>
  <c r="CG111" i="10"/>
  <c r="CH111" i="10"/>
  <c r="CD107" i="10"/>
  <c r="CE107" i="10"/>
  <c r="CF107" i="10"/>
  <c r="CG107" i="10"/>
  <c r="CH107" i="10"/>
  <c r="CG103" i="10"/>
  <c r="CF103" i="10"/>
  <c r="CH103" i="10"/>
  <c r="CD103" i="10"/>
  <c r="CE103" i="10"/>
  <c r="CD99" i="10"/>
  <c r="CE99" i="10"/>
  <c r="CF99" i="10"/>
  <c r="CG99" i="10"/>
  <c r="CH99" i="10"/>
  <c r="CD95" i="10"/>
  <c r="CE95" i="10"/>
  <c r="CF95" i="10"/>
  <c r="CG95" i="10"/>
  <c r="CH95" i="10"/>
  <c r="CG91" i="10"/>
  <c r="CH91" i="10"/>
  <c r="CF91" i="10"/>
  <c r="CD91" i="10"/>
  <c r="CE91" i="10"/>
  <c r="K113" i="12"/>
  <c r="L113" i="12"/>
  <c r="L86" i="12"/>
  <c r="L80" i="12"/>
  <c r="K119" i="12"/>
  <c r="L119" i="12"/>
  <c r="L78" i="12"/>
  <c r="K154" i="12"/>
  <c r="L154" i="12"/>
  <c r="K151" i="12"/>
  <c r="L151" i="12"/>
  <c r="K148" i="12"/>
  <c r="L148" i="12"/>
  <c r="K145" i="12"/>
  <c r="L145" i="12"/>
  <c r="K142" i="12"/>
  <c r="L142" i="12"/>
  <c r="K139" i="12"/>
  <c r="L139" i="12"/>
  <c r="K136" i="12"/>
  <c r="L136" i="12"/>
  <c r="K133" i="12"/>
  <c r="L133" i="12"/>
  <c r="K130" i="12"/>
  <c r="L130" i="12"/>
  <c r="K127" i="12"/>
  <c r="L127" i="12"/>
  <c r="K124" i="12"/>
  <c r="L124" i="12"/>
  <c r="K121" i="12"/>
  <c r="L121" i="12"/>
  <c r="K118" i="12"/>
  <c r="L118" i="12"/>
  <c r="K115" i="12"/>
  <c r="L115" i="12"/>
  <c r="L112" i="12"/>
  <c r="K112" i="12"/>
  <c r="K109" i="12"/>
  <c r="L109" i="12"/>
  <c r="L106" i="12"/>
  <c r="K106" i="12"/>
  <c r="K103" i="12"/>
  <c r="L103" i="12"/>
  <c r="K100" i="12"/>
  <c r="L100" i="12"/>
  <c r="K97" i="12"/>
  <c r="L97" i="12"/>
  <c r="L94" i="12"/>
  <c r="K94" i="12"/>
  <c r="K91" i="12"/>
  <c r="L91" i="12"/>
  <c r="CD152" i="10"/>
  <c r="CE152" i="10"/>
  <c r="CF152" i="10"/>
  <c r="CG152" i="10"/>
  <c r="CH152" i="10"/>
  <c r="CF148" i="10"/>
  <c r="CD148" i="10"/>
  <c r="CE148" i="10"/>
  <c r="CG148" i="10"/>
  <c r="CH148" i="10"/>
  <c r="CF144" i="10"/>
  <c r="CG144" i="10"/>
  <c r="CH144" i="10"/>
  <c r="CE144" i="10"/>
  <c r="CD144" i="10"/>
  <c r="CE140" i="10"/>
  <c r="CD140" i="10"/>
  <c r="CF140" i="10"/>
  <c r="CG140" i="10"/>
  <c r="CH140" i="10"/>
  <c r="CF136" i="10"/>
  <c r="CD136" i="10"/>
  <c r="CE136" i="10"/>
  <c r="CG136" i="10"/>
  <c r="CH136" i="10"/>
  <c r="CF132" i="10"/>
  <c r="CG132" i="10"/>
  <c r="CH132" i="10"/>
  <c r="CE132" i="10"/>
  <c r="CD132" i="10"/>
  <c r="CD128" i="10"/>
  <c r="CE128" i="10"/>
  <c r="CF128" i="10"/>
  <c r="CG128" i="10"/>
  <c r="CH128" i="10"/>
  <c r="CF124" i="10"/>
  <c r="CD124" i="10"/>
  <c r="CE124" i="10"/>
  <c r="CG124" i="10"/>
  <c r="CH124" i="10"/>
  <c r="CF120" i="10"/>
  <c r="CG120" i="10"/>
  <c r="CH120" i="10"/>
  <c r="CE120" i="10"/>
  <c r="CD120" i="10"/>
  <c r="CE116" i="10"/>
  <c r="CD116" i="10"/>
  <c r="CF116" i="10"/>
  <c r="CG116" i="10"/>
  <c r="CH116" i="10"/>
  <c r="CD112" i="10"/>
  <c r="CE112" i="10"/>
  <c r="CF112" i="10"/>
  <c r="CG112" i="10"/>
  <c r="CH112" i="10"/>
  <c r="CF108" i="10"/>
  <c r="CG108" i="10"/>
  <c r="CH108" i="10"/>
  <c r="CE108" i="10"/>
  <c r="CD108" i="10"/>
  <c r="CD104" i="10"/>
  <c r="CE104" i="10"/>
  <c r="CF104" i="10"/>
  <c r="CG104" i="10"/>
  <c r="CH104" i="10"/>
  <c r="CF100" i="10"/>
  <c r="CD100" i="10"/>
  <c r="CE100" i="10"/>
  <c r="CG100" i="10"/>
  <c r="CH100" i="10"/>
  <c r="CF96" i="10"/>
  <c r="CG96" i="10"/>
  <c r="CH96" i="10"/>
  <c r="CE96" i="10"/>
  <c r="CD96" i="10"/>
  <c r="CD92" i="10"/>
  <c r="CE92" i="10"/>
  <c r="CF92" i="10"/>
  <c r="CG92" i="10"/>
  <c r="CH92" i="10"/>
  <c r="CE137" i="10"/>
  <c r="CH137" i="10"/>
  <c r="CF137" i="10"/>
  <c r="CG137" i="10"/>
  <c r="CD137" i="10"/>
  <c r="CE125" i="10"/>
  <c r="CF125" i="10"/>
  <c r="CH125" i="10"/>
  <c r="CG125" i="10"/>
  <c r="CD125" i="10"/>
  <c r="CD109" i="10"/>
  <c r="CE109" i="10"/>
  <c r="CF109" i="10"/>
  <c r="CG109" i="10"/>
  <c r="CH109" i="10"/>
  <c r="CE101" i="10"/>
  <c r="CH101" i="10"/>
  <c r="CF101" i="10"/>
  <c r="CG101" i="10"/>
  <c r="CD101" i="10"/>
  <c r="CD97" i="10"/>
  <c r="CE97" i="10"/>
  <c r="CF97" i="10"/>
  <c r="CG97" i="10"/>
  <c r="CH97" i="10"/>
  <c r="CH93" i="10"/>
  <c r="CD93" i="10"/>
  <c r="CE93" i="10"/>
  <c r="CF93" i="10"/>
  <c r="CG93" i="10"/>
  <c r="K134" i="12"/>
  <c r="L134" i="12"/>
  <c r="K101" i="12"/>
  <c r="L101" i="12"/>
  <c r="L83" i="12"/>
  <c r="L79" i="12"/>
  <c r="CE149" i="10"/>
  <c r="CF149" i="10"/>
  <c r="CH149" i="10"/>
  <c r="CD149" i="10"/>
  <c r="CG149" i="10"/>
  <c r="K152" i="12"/>
  <c r="L152" i="12"/>
  <c r="K146" i="12"/>
  <c r="L146" i="12"/>
  <c r="K140" i="12"/>
  <c r="L140" i="12"/>
  <c r="K125" i="12"/>
  <c r="L125" i="12"/>
  <c r="K107" i="12"/>
  <c r="L107" i="12"/>
  <c r="K98" i="12"/>
  <c r="L98" i="12"/>
  <c r="L95" i="12"/>
  <c r="K95" i="12"/>
  <c r="K92" i="12"/>
  <c r="L92" i="12"/>
  <c r="CD133" i="10"/>
  <c r="CE133" i="10"/>
  <c r="CF133" i="10"/>
  <c r="CG133" i="10"/>
  <c r="CH133" i="10"/>
  <c r="CD121" i="10"/>
  <c r="CE121" i="10"/>
  <c r="CF121" i="10"/>
  <c r="CG121" i="10"/>
  <c r="CH121" i="10"/>
  <c r="K131" i="12"/>
  <c r="L131" i="12"/>
  <c r="K122" i="12"/>
  <c r="L122" i="12"/>
  <c r="CD154" i="10"/>
  <c r="CF154" i="10"/>
  <c r="CG154" i="10"/>
  <c r="CE154" i="10"/>
  <c r="CH154" i="10"/>
  <c r="CD150" i="10"/>
  <c r="CE150" i="10"/>
  <c r="CF150" i="10"/>
  <c r="CG150" i="10"/>
  <c r="CH150" i="10"/>
  <c r="CH146" i="10"/>
  <c r="CD146" i="10"/>
  <c r="CG146" i="10"/>
  <c r="CE146" i="10"/>
  <c r="CF146" i="10"/>
  <c r="CD142" i="10"/>
  <c r="CF142" i="10"/>
  <c r="CE142" i="10"/>
  <c r="CG142" i="10"/>
  <c r="CH142" i="10"/>
  <c r="CD138" i="10"/>
  <c r="CE138" i="10"/>
  <c r="CF138" i="10"/>
  <c r="CG138" i="10"/>
  <c r="CH138" i="10"/>
  <c r="CH134" i="10"/>
  <c r="CD134" i="10"/>
  <c r="CG134" i="10"/>
  <c r="CE134" i="10"/>
  <c r="CF134" i="10"/>
  <c r="CD130" i="10"/>
  <c r="CG130" i="10"/>
  <c r="CE130" i="10"/>
  <c r="CF130" i="10"/>
  <c r="CH130" i="10"/>
  <c r="CD126" i="10"/>
  <c r="CE126" i="10"/>
  <c r="CF126" i="10"/>
  <c r="CG126" i="10"/>
  <c r="CH126" i="10"/>
  <c r="CH122" i="10"/>
  <c r="CG122" i="10"/>
  <c r="CD122" i="10"/>
  <c r="CE122" i="10"/>
  <c r="CF122" i="10"/>
  <c r="CD118" i="10"/>
  <c r="CG118" i="10"/>
  <c r="CE118" i="10"/>
  <c r="CF118" i="10"/>
  <c r="CH118" i="10"/>
  <c r="CD114" i="10"/>
  <c r="CE114" i="10"/>
  <c r="CF114" i="10"/>
  <c r="CG114" i="10"/>
  <c r="CH114" i="10"/>
  <c r="CH110" i="10"/>
  <c r="CG110" i="10"/>
  <c r="CD110" i="10"/>
  <c r="CE110" i="10"/>
  <c r="CF110" i="10"/>
  <c r="CD106" i="10"/>
  <c r="CG106" i="10"/>
  <c r="CE106" i="10"/>
  <c r="CF106" i="10"/>
  <c r="CH106" i="10"/>
  <c r="CD102" i="10"/>
  <c r="CE102" i="10"/>
  <c r="CF102" i="10"/>
  <c r="CG102" i="10"/>
  <c r="CH102" i="10"/>
  <c r="CH98" i="10"/>
  <c r="CD98" i="10"/>
  <c r="CG98" i="10"/>
  <c r="CE98" i="10"/>
  <c r="CF98" i="10"/>
  <c r="CD94" i="10"/>
  <c r="CG94" i="10"/>
  <c r="CE94" i="10"/>
  <c r="CF94" i="10"/>
  <c r="CH94" i="10"/>
  <c r="CD90" i="10"/>
  <c r="CE90" i="10"/>
  <c r="CF90" i="10"/>
  <c r="CG90" i="10"/>
  <c r="CH90" i="10"/>
  <c r="CD153" i="10"/>
  <c r="CE153" i="10"/>
  <c r="CF153" i="10"/>
  <c r="CG153" i="10"/>
  <c r="CH153" i="10"/>
  <c r="CH141" i="10"/>
  <c r="CD141" i="10"/>
  <c r="CE141" i="10"/>
  <c r="CF141" i="10"/>
  <c r="CG141" i="10"/>
  <c r="CH129" i="10"/>
  <c r="CD129" i="10"/>
  <c r="CE129" i="10"/>
  <c r="CF129" i="10"/>
  <c r="CG129" i="10"/>
  <c r="K155" i="12"/>
  <c r="L155" i="12"/>
  <c r="K143" i="12"/>
  <c r="L143" i="12"/>
  <c r="L82" i="12"/>
  <c r="L85" i="12"/>
  <c r="L81" i="12"/>
  <c r="L77" i="12"/>
  <c r="K89" i="12"/>
  <c r="L89" i="12"/>
  <c r="K88" i="12"/>
  <c r="L88" i="12"/>
  <c r="CD86" i="10"/>
  <c r="CE86" i="10"/>
  <c r="CF86" i="10"/>
  <c r="CG86" i="10"/>
  <c r="CH86" i="10"/>
  <c r="CD83" i="10"/>
  <c r="CE83" i="10"/>
  <c r="CF83" i="10"/>
  <c r="CG83" i="10"/>
  <c r="CH83" i="10"/>
  <c r="CG80" i="10"/>
  <c r="CH80" i="10"/>
  <c r="CF80" i="10"/>
  <c r="CD80" i="10"/>
  <c r="CE80" i="10"/>
  <c r="CD77" i="10"/>
  <c r="CE77" i="10"/>
  <c r="CF77" i="10"/>
  <c r="CG77" i="10"/>
  <c r="CH77" i="10"/>
  <c r="CH87" i="10"/>
  <c r="CG87" i="10"/>
  <c r="CD87" i="10"/>
  <c r="CE87" i="10"/>
  <c r="CF87" i="10"/>
  <c r="CF85" i="10"/>
  <c r="CG85" i="10"/>
  <c r="CH85" i="10"/>
  <c r="CD85" i="10"/>
  <c r="CE85" i="10"/>
  <c r="CD82" i="10"/>
  <c r="CH82" i="10"/>
  <c r="CE82" i="10"/>
  <c r="CF82" i="10"/>
  <c r="CG82" i="10"/>
  <c r="CD79" i="10"/>
  <c r="CE79" i="10"/>
  <c r="CF79" i="10"/>
  <c r="CG79" i="10"/>
  <c r="CH79" i="10"/>
  <c r="CD76" i="10"/>
  <c r="CE76" i="10"/>
  <c r="CF76" i="10"/>
  <c r="CG76" i="10"/>
  <c r="CH76" i="10"/>
  <c r="CD88" i="10"/>
  <c r="CE88" i="10"/>
  <c r="CF88" i="10"/>
  <c r="CG88" i="10"/>
  <c r="CH88" i="10"/>
  <c r="CD84" i="10"/>
  <c r="CE84" i="10"/>
  <c r="CF84" i="10"/>
  <c r="CG84" i="10"/>
  <c r="CH84" i="10"/>
  <c r="CD81" i="10"/>
  <c r="CE81" i="10"/>
  <c r="CF81" i="10"/>
  <c r="CG81" i="10"/>
  <c r="CH81" i="10"/>
  <c r="CE78" i="10"/>
  <c r="CF78" i="10"/>
  <c r="CG78" i="10"/>
  <c r="CH78" i="10"/>
  <c r="CD78" i="10"/>
  <c r="CD89" i="10"/>
  <c r="CE89" i="10"/>
  <c r="CF89" i="10"/>
  <c r="CG89" i="10"/>
  <c r="CH89" i="10"/>
  <c r="CF74" i="10"/>
  <c r="CG74" i="10"/>
  <c r="CH74" i="10"/>
  <c r="CE74" i="10"/>
  <c r="CD74" i="10"/>
  <c r="CD71" i="10"/>
  <c r="CE71" i="10"/>
  <c r="CF71" i="10"/>
  <c r="CG71" i="10"/>
  <c r="CH71" i="10"/>
  <c r="CD68" i="10"/>
  <c r="CE68" i="10"/>
  <c r="CF68" i="10"/>
  <c r="CG68" i="10"/>
  <c r="CH68" i="10"/>
  <c r="CD65" i="10"/>
  <c r="CE65" i="10"/>
  <c r="CF65" i="10"/>
  <c r="CG65" i="10"/>
  <c r="CH65" i="10"/>
  <c r="CD73" i="10"/>
  <c r="CE73" i="10"/>
  <c r="CF73" i="10"/>
  <c r="CG73" i="10"/>
  <c r="CH73" i="10"/>
  <c r="CD70" i="10"/>
  <c r="CE70" i="10"/>
  <c r="CF70" i="10"/>
  <c r="CG70" i="10"/>
  <c r="CH70" i="10"/>
  <c r="CE67" i="10"/>
  <c r="CF67" i="10"/>
  <c r="CG67" i="10"/>
  <c r="CH67" i="10"/>
  <c r="CD67" i="10"/>
  <c r="CD75" i="10"/>
  <c r="CE75" i="10"/>
  <c r="CF75" i="10"/>
  <c r="CG75" i="10"/>
  <c r="CH75" i="10"/>
  <c r="CD72" i="10"/>
  <c r="CE72" i="10"/>
  <c r="CF72" i="10"/>
  <c r="CG72" i="10"/>
  <c r="CH72" i="10"/>
  <c r="CG69" i="10"/>
  <c r="CH69" i="10"/>
  <c r="CF69" i="10"/>
  <c r="CD69" i="10"/>
  <c r="CE69" i="10"/>
  <c r="CD66" i="10"/>
  <c r="CE66" i="10"/>
  <c r="CF66" i="10"/>
  <c r="CG66" i="10"/>
  <c r="CH66" i="10"/>
  <c r="CD64" i="10"/>
  <c r="CE64" i="10"/>
  <c r="CF64" i="10"/>
  <c r="CG64" i="10"/>
  <c r="CH64" i="10"/>
  <c r="BW99" i="10"/>
  <c r="BX99" i="10"/>
  <c r="BY99" i="10"/>
  <c r="BZ99" i="10"/>
  <c r="CA99" i="10"/>
  <c r="BW155" i="10"/>
  <c r="BX155" i="10"/>
  <c r="BY155" i="10"/>
  <c r="BZ155" i="10"/>
  <c r="CA155" i="10"/>
  <c r="BW143" i="10"/>
  <c r="BX143" i="10"/>
  <c r="BY143" i="10"/>
  <c r="BZ143" i="10"/>
  <c r="CA143" i="10"/>
  <c r="BW111" i="10"/>
  <c r="BX111" i="10"/>
  <c r="BY111" i="10"/>
  <c r="BZ111" i="10"/>
  <c r="CA111" i="10"/>
  <c r="CA151" i="10"/>
  <c r="BW151" i="10"/>
  <c r="BX151" i="10"/>
  <c r="BY151" i="10"/>
  <c r="CA139" i="10"/>
  <c r="BW139" i="10"/>
  <c r="BX139" i="10"/>
  <c r="BY139" i="10"/>
  <c r="BW123" i="10"/>
  <c r="BX123" i="10"/>
  <c r="BY123" i="10"/>
  <c r="BZ123" i="10"/>
  <c r="CA123" i="10"/>
  <c r="CA115" i="10"/>
  <c r="BW115" i="10"/>
  <c r="BX115" i="10"/>
  <c r="BY115" i="10"/>
  <c r="CA91" i="10"/>
  <c r="BW91" i="10"/>
  <c r="BX91" i="10"/>
  <c r="BY91" i="10"/>
  <c r="BW152" i="10"/>
  <c r="BX152" i="10"/>
  <c r="BY152" i="10"/>
  <c r="BZ152" i="10"/>
  <c r="CA152" i="10"/>
  <c r="BW148" i="10"/>
  <c r="BX148" i="10"/>
  <c r="BY148" i="10"/>
  <c r="BZ148" i="10"/>
  <c r="CA148" i="10"/>
  <c r="BZ144" i="10"/>
  <c r="CA144" i="10"/>
  <c r="BW144" i="10"/>
  <c r="BX144" i="10"/>
  <c r="BW140" i="10"/>
  <c r="BX140" i="10"/>
  <c r="BY140" i="10"/>
  <c r="BZ140" i="10"/>
  <c r="CA140" i="10"/>
  <c r="BW136" i="10"/>
  <c r="BX136" i="10"/>
  <c r="BY136" i="10"/>
  <c r="BZ136" i="10"/>
  <c r="CA136" i="10"/>
  <c r="BZ132" i="10"/>
  <c r="CA132" i="10"/>
  <c r="BW132" i="10"/>
  <c r="BX132" i="10"/>
  <c r="BW128" i="10"/>
  <c r="BX128" i="10"/>
  <c r="BY128" i="10"/>
  <c r="BZ128" i="10"/>
  <c r="CA128" i="10"/>
  <c r="BW124" i="10"/>
  <c r="BX124" i="10"/>
  <c r="BY124" i="10"/>
  <c r="BZ124" i="10"/>
  <c r="CA124" i="10"/>
  <c r="BZ120" i="10"/>
  <c r="CA120" i="10"/>
  <c r="BW120" i="10"/>
  <c r="BX120" i="10"/>
  <c r="BW116" i="10"/>
  <c r="BX116" i="10"/>
  <c r="BY116" i="10"/>
  <c r="BZ116" i="10"/>
  <c r="CA116" i="10"/>
  <c r="BW112" i="10"/>
  <c r="BX112" i="10"/>
  <c r="BY112" i="10"/>
  <c r="BZ112" i="10"/>
  <c r="CA112" i="10"/>
  <c r="BZ108" i="10"/>
  <c r="CA108" i="10"/>
  <c r="BW108" i="10"/>
  <c r="BX108" i="10"/>
  <c r="BW104" i="10"/>
  <c r="BX104" i="10"/>
  <c r="BY104" i="10"/>
  <c r="BZ104" i="10"/>
  <c r="CA104" i="10"/>
  <c r="BW100" i="10"/>
  <c r="BX100" i="10"/>
  <c r="BY100" i="10"/>
  <c r="BZ100" i="10"/>
  <c r="CA100" i="10"/>
  <c r="BZ96" i="10"/>
  <c r="CA96" i="10"/>
  <c r="BW96" i="10"/>
  <c r="BX96" i="10"/>
  <c r="BW92" i="10"/>
  <c r="BX92" i="10"/>
  <c r="BY92" i="10"/>
  <c r="BZ92" i="10"/>
  <c r="CA92" i="10"/>
  <c r="BY132" i="10"/>
  <c r="BW107" i="10"/>
  <c r="BX107" i="10"/>
  <c r="BY107" i="10"/>
  <c r="BZ107" i="10"/>
  <c r="CA107" i="10"/>
  <c r="BZ139" i="10"/>
  <c r="BW131" i="10"/>
  <c r="BX131" i="10"/>
  <c r="BY131" i="10"/>
  <c r="BZ131" i="10"/>
  <c r="CA131" i="10"/>
  <c r="BW95" i="10"/>
  <c r="BX95" i="10"/>
  <c r="BY95" i="10"/>
  <c r="BZ95" i="10"/>
  <c r="CA95" i="10"/>
  <c r="BW135" i="10"/>
  <c r="BX135" i="10"/>
  <c r="BY135" i="10"/>
  <c r="BZ135" i="10"/>
  <c r="CA135" i="10"/>
  <c r="BW153" i="10"/>
  <c r="BX153" i="10"/>
  <c r="BY153" i="10"/>
  <c r="BZ153" i="10"/>
  <c r="CA153" i="10"/>
  <c r="BY149" i="10"/>
  <c r="BZ149" i="10"/>
  <c r="CA149" i="10"/>
  <c r="BW149" i="10"/>
  <c r="BW145" i="10"/>
  <c r="BX145" i="10"/>
  <c r="BY145" i="10"/>
  <c r="BZ145" i="10"/>
  <c r="CA145" i="10"/>
  <c r="BW141" i="10"/>
  <c r="BX141" i="10"/>
  <c r="BY141" i="10"/>
  <c r="BZ141" i="10"/>
  <c r="CA141" i="10"/>
  <c r="BY137" i="10"/>
  <c r="BZ137" i="10"/>
  <c r="CA137" i="10"/>
  <c r="BW137" i="10"/>
  <c r="BW133" i="10"/>
  <c r="BX133" i="10"/>
  <c r="BY133" i="10"/>
  <c r="BZ133" i="10"/>
  <c r="CA133" i="10"/>
  <c r="BW129" i="10"/>
  <c r="BX129" i="10"/>
  <c r="BY129" i="10"/>
  <c r="BZ129" i="10"/>
  <c r="CA129" i="10"/>
  <c r="BY125" i="10"/>
  <c r="BZ125" i="10"/>
  <c r="CA125" i="10"/>
  <c r="BW125" i="10"/>
  <c r="BW121" i="10"/>
  <c r="BX121" i="10"/>
  <c r="BY121" i="10"/>
  <c r="BZ121" i="10"/>
  <c r="CA121" i="10"/>
  <c r="BW117" i="10"/>
  <c r="BX117" i="10"/>
  <c r="BY117" i="10"/>
  <c r="BZ117" i="10"/>
  <c r="CA117" i="10"/>
  <c r="BY113" i="10"/>
  <c r="BZ113" i="10"/>
  <c r="CA113" i="10"/>
  <c r="BW113" i="10"/>
  <c r="BW109" i="10"/>
  <c r="BX109" i="10"/>
  <c r="BY109" i="10"/>
  <c r="BZ109" i="10"/>
  <c r="CA109" i="10"/>
  <c r="BW105" i="10"/>
  <c r="BX105" i="10"/>
  <c r="BY105" i="10"/>
  <c r="BZ105" i="10"/>
  <c r="CA105" i="10"/>
  <c r="BY101" i="10"/>
  <c r="BZ101" i="10"/>
  <c r="CA101" i="10"/>
  <c r="BW101" i="10"/>
  <c r="BW97" i="10"/>
  <c r="BX97" i="10"/>
  <c r="BY97" i="10"/>
  <c r="BZ97" i="10"/>
  <c r="CA97" i="10"/>
  <c r="BW93" i="10"/>
  <c r="BX93" i="10"/>
  <c r="BY93" i="10"/>
  <c r="BZ93" i="10"/>
  <c r="CA93" i="10"/>
  <c r="BX125" i="10"/>
  <c r="BY96" i="10"/>
  <c r="BW119" i="10"/>
  <c r="BX119" i="10"/>
  <c r="BY119" i="10"/>
  <c r="BZ119" i="10"/>
  <c r="CA119" i="10"/>
  <c r="BZ151" i="10"/>
  <c r="CA127" i="10"/>
  <c r="BW127" i="10"/>
  <c r="BX127" i="10"/>
  <c r="BY127" i="10"/>
  <c r="BX149" i="10"/>
  <c r="BY120" i="10"/>
  <c r="BZ91" i="10"/>
  <c r="BW147" i="10"/>
  <c r="BX147" i="10"/>
  <c r="BY147" i="10"/>
  <c r="BZ147" i="10"/>
  <c r="CA147" i="10"/>
  <c r="CA103" i="10"/>
  <c r="BW103" i="10"/>
  <c r="BX103" i="10"/>
  <c r="BY103" i="10"/>
  <c r="BX154" i="10"/>
  <c r="BY154" i="10"/>
  <c r="BZ154" i="10"/>
  <c r="CA154" i="10"/>
  <c r="BW150" i="10"/>
  <c r="BX150" i="10"/>
  <c r="BY150" i="10"/>
  <c r="BZ150" i="10"/>
  <c r="CA150" i="10"/>
  <c r="BW146" i="10"/>
  <c r="BX146" i="10"/>
  <c r="BY146" i="10"/>
  <c r="BZ146" i="10"/>
  <c r="BX142" i="10"/>
  <c r="BY142" i="10"/>
  <c r="BZ142" i="10"/>
  <c r="CA142" i="10"/>
  <c r="BW138" i="10"/>
  <c r="BX138" i="10"/>
  <c r="BY138" i="10"/>
  <c r="BZ138" i="10"/>
  <c r="CA138" i="10"/>
  <c r="BW134" i="10"/>
  <c r="BX134" i="10"/>
  <c r="BY134" i="10"/>
  <c r="BZ134" i="10"/>
  <c r="BX130" i="10"/>
  <c r="BY130" i="10"/>
  <c r="BZ130" i="10"/>
  <c r="CA130" i="10"/>
  <c r="BW126" i="10"/>
  <c r="BX126" i="10"/>
  <c r="BY126" i="10"/>
  <c r="BZ126" i="10"/>
  <c r="CA126" i="10"/>
  <c r="BW122" i="10"/>
  <c r="BX122" i="10"/>
  <c r="BY122" i="10"/>
  <c r="BZ122" i="10"/>
  <c r="BX118" i="10"/>
  <c r="BY118" i="10"/>
  <c r="BZ118" i="10"/>
  <c r="CA118" i="10"/>
  <c r="BW114" i="10"/>
  <c r="BX114" i="10"/>
  <c r="BY114" i="10"/>
  <c r="BZ114" i="10"/>
  <c r="CA114" i="10"/>
  <c r="BW110" i="10"/>
  <c r="BX110" i="10"/>
  <c r="BY110" i="10"/>
  <c r="BZ110" i="10"/>
  <c r="BX106" i="10"/>
  <c r="BY106" i="10"/>
  <c r="BZ106" i="10"/>
  <c r="CA106" i="10"/>
  <c r="BW102" i="10"/>
  <c r="BX102" i="10"/>
  <c r="BY102" i="10"/>
  <c r="BZ102" i="10"/>
  <c r="CA102" i="10"/>
  <c r="BW98" i="10"/>
  <c r="BX98" i="10"/>
  <c r="BY98" i="10"/>
  <c r="BZ98" i="10"/>
  <c r="BX94" i="10"/>
  <c r="BY94" i="10"/>
  <c r="BZ94" i="10"/>
  <c r="CA94" i="10"/>
  <c r="BW90" i="10"/>
  <c r="BX90" i="10"/>
  <c r="BY90" i="10"/>
  <c r="BZ90" i="10"/>
  <c r="CA90" i="10"/>
  <c r="CA146" i="10"/>
  <c r="BW118" i="10"/>
  <c r="BY144" i="10"/>
  <c r="BZ115" i="10"/>
  <c r="BW142" i="10"/>
  <c r="BX113" i="10"/>
  <c r="D54" i="8"/>
  <c r="J20" i="17" s="1"/>
  <c r="F54" i="8"/>
  <c r="L26" i="17" s="1"/>
  <c r="AJ144" i="12"/>
  <c r="AI144" i="12"/>
  <c r="AJ138" i="12"/>
  <c r="AI138" i="12"/>
  <c r="AJ132" i="12"/>
  <c r="AI132" i="12"/>
  <c r="AJ120" i="12"/>
  <c r="AI120" i="12"/>
  <c r="AJ114" i="12"/>
  <c r="AI114" i="12"/>
  <c r="AI105" i="12"/>
  <c r="AJ105" i="12"/>
  <c r="AJ96" i="12"/>
  <c r="AI96" i="12"/>
  <c r="AI93" i="12"/>
  <c r="AJ93" i="12"/>
  <c r="AJ90" i="12"/>
  <c r="AI90" i="12"/>
  <c r="AJ150" i="12"/>
  <c r="AI150" i="12"/>
  <c r="AI135" i="12"/>
  <c r="AJ135" i="12"/>
  <c r="AI123" i="12"/>
  <c r="AJ123" i="12"/>
  <c r="AI117" i="12"/>
  <c r="AJ117" i="12"/>
  <c r="AI111" i="12"/>
  <c r="AJ111" i="12"/>
  <c r="AJ102" i="12"/>
  <c r="AI102" i="12"/>
  <c r="AI154" i="12"/>
  <c r="AJ154" i="12"/>
  <c r="AJ151" i="12"/>
  <c r="AI151" i="12"/>
  <c r="AI148" i="12"/>
  <c r="AJ148" i="12"/>
  <c r="AJ145" i="12"/>
  <c r="AI145" i="12"/>
  <c r="AI142" i="12"/>
  <c r="AJ142" i="12"/>
  <c r="AJ139" i="12"/>
  <c r="AI139" i="12"/>
  <c r="AI136" i="12"/>
  <c r="AJ136" i="12"/>
  <c r="AJ133" i="12"/>
  <c r="AI133" i="12"/>
  <c r="AI130" i="12"/>
  <c r="AJ130" i="12"/>
  <c r="AJ127" i="12"/>
  <c r="AI127" i="12"/>
  <c r="AI124" i="12"/>
  <c r="AJ124" i="12"/>
  <c r="AJ121" i="12"/>
  <c r="AI121" i="12"/>
  <c r="AI118" i="12"/>
  <c r="AJ118" i="12"/>
  <c r="AJ115" i="12"/>
  <c r="AI115" i="12"/>
  <c r="AI112" i="12"/>
  <c r="AJ112" i="12"/>
  <c r="AJ109" i="12"/>
  <c r="AI109" i="12"/>
  <c r="AI106" i="12"/>
  <c r="AJ106" i="12"/>
  <c r="AJ103" i="12"/>
  <c r="AI103" i="12"/>
  <c r="AI100" i="12"/>
  <c r="AJ100" i="12"/>
  <c r="AJ97" i="12"/>
  <c r="AI97" i="12"/>
  <c r="AI94" i="12"/>
  <c r="AJ94" i="12"/>
  <c r="AJ91" i="12"/>
  <c r="AI91" i="12"/>
  <c r="AI147" i="12"/>
  <c r="AJ147" i="12"/>
  <c r="AI141" i="12"/>
  <c r="AJ141" i="12"/>
  <c r="AI129" i="12"/>
  <c r="AJ129" i="12"/>
  <c r="AI126" i="12"/>
  <c r="AJ126" i="12"/>
  <c r="AI108" i="12"/>
  <c r="AJ108" i="12"/>
  <c r="AI99" i="12"/>
  <c r="AJ99" i="12"/>
  <c r="AI153" i="12"/>
  <c r="AJ153" i="12"/>
  <c r="AI149" i="12"/>
  <c r="AJ149" i="12"/>
  <c r="AI146" i="12"/>
  <c r="AJ146" i="12"/>
  <c r="AJ143" i="12"/>
  <c r="AI143" i="12"/>
  <c r="AI140" i="12"/>
  <c r="AJ140" i="12"/>
  <c r="AI137" i="12"/>
  <c r="AJ137" i="12"/>
  <c r="AI134" i="12"/>
  <c r="AJ134" i="12"/>
  <c r="AJ131" i="12"/>
  <c r="AI131" i="12"/>
  <c r="AI128" i="12"/>
  <c r="AJ128" i="12"/>
  <c r="AI125" i="12"/>
  <c r="AJ125" i="12"/>
  <c r="AI122" i="12"/>
  <c r="AJ122" i="12"/>
  <c r="AJ119" i="12"/>
  <c r="AI119" i="12"/>
  <c r="AI116" i="12"/>
  <c r="AJ116" i="12"/>
  <c r="AI110" i="12"/>
  <c r="AJ110" i="12"/>
  <c r="AI107" i="12"/>
  <c r="AJ107" i="12"/>
  <c r="AI104" i="12"/>
  <c r="AJ104" i="12"/>
  <c r="AJ101" i="12"/>
  <c r="AI101" i="12"/>
  <c r="AI98" i="12"/>
  <c r="AJ98" i="12"/>
  <c r="AJ95" i="12"/>
  <c r="AI95" i="12"/>
  <c r="AI92" i="12"/>
  <c r="AJ92" i="12"/>
  <c r="AJ155" i="12"/>
  <c r="AI155" i="12"/>
  <c r="AI113" i="12"/>
  <c r="AJ113" i="12"/>
  <c r="AI152" i="12"/>
  <c r="AJ152" i="12"/>
  <c r="J113" i="17"/>
  <c r="J126" i="17"/>
  <c r="J144" i="17"/>
  <c r="J153" i="17"/>
  <c r="J154" i="17"/>
  <c r="J23" i="17"/>
  <c r="C21" i="16" s="1"/>
  <c r="E54" i="8"/>
  <c r="K46" i="17" s="1"/>
  <c r="J72" i="17"/>
  <c r="J129" i="17"/>
  <c r="J109" i="17"/>
  <c r="J80" i="17"/>
  <c r="J67" i="17"/>
  <c r="J44" i="17"/>
  <c r="J56" i="17"/>
  <c r="J156" i="17"/>
  <c r="J132" i="17"/>
  <c r="J91" i="17"/>
  <c r="J55" i="17"/>
  <c r="J151" i="17"/>
  <c r="J146" i="17"/>
  <c r="J105" i="17"/>
  <c r="J94" i="17"/>
  <c r="J66" i="17"/>
  <c r="J43" i="17"/>
  <c r="J14" i="17"/>
  <c r="C17" i="16" s="1"/>
  <c r="J158" i="17"/>
  <c r="J101" i="17"/>
  <c r="J90" i="17"/>
  <c r="J79" i="17"/>
  <c r="J54" i="17"/>
  <c r="J128" i="17"/>
  <c r="J70" i="17"/>
  <c r="J42" i="17"/>
  <c r="J148" i="17"/>
  <c r="J140" i="17"/>
  <c r="J78" i="17"/>
  <c r="J15" i="17"/>
  <c r="J150" i="17"/>
  <c r="J89" i="17"/>
  <c r="J69" i="17"/>
  <c r="J36" i="17"/>
  <c r="J60" i="17"/>
  <c r="J53" i="17"/>
  <c r="J65" i="17"/>
  <c r="J77" i="17"/>
  <c r="J75" i="17"/>
  <c r="J87" i="17"/>
  <c r="J99" i="17"/>
  <c r="J111" i="17"/>
  <c r="J123" i="17"/>
  <c r="J37" i="17"/>
  <c r="J61" i="17"/>
  <c r="J47" i="17"/>
  <c r="J59" i="17"/>
  <c r="J71" i="17"/>
  <c r="J119" i="17"/>
  <c r="J131" i="17"/>
  <c r="J143" i="17"/>
  <c r="J40" i="17"/>
  <c r="J52" i="17"/>
  <c r="J76" i="17"/>
  <c r="J100" i="17"/>
  <c r="J38" i="17"/>
  <c r="J50" i="17"/>
  <c r="J62" i="17"/>
  <c r="J110" i="17"/>
  <c r="J122" i="17"/>
  <c r="J134" i="17"/>
  <c r="J157" i="17"/>
  <c r="J130" i="17"/>
  <c r="J127" i="17"/>
  <c r="J96" i="17"/>
  <c r="J85" i="17"/>
  <c r="J73" i="17"/>
  <c r="J155" i="17"/>
  <c r="J152" i="17"/>
  <c r="J147" i="17"/>
  <c r="J133" i="17"/>
  <c r="J92" i="17"/>
  <c r="J68" i="17"/>
  <c r="J57" i="17"/>
  <c r="J145" i="17"/>
  <c r="J121" i="17"/>
  <c r="J93" i="17"/>
  <c r="J82" i="17"/>
  <c r="J27" i="17"/>
  <c r="J159" i="17"/>
  <c r="J120" i="17"/>
  <c r="J106" i="17"/>
  <c r="T31" i="14"/>
  <c r="R16" i="14"/>
  <c r="J17" i="17"/>
  <c r="Q31" i="14"/>
  <c r="P24" i="14"/>
  <c r="P16" i="14"/>
  <c r="T30" i="14"/>
  <c r="Q23" i="14"/>
  <c r="P15" i="14"/>
  <c r="P22" i="14"/>
  <c r="S21" i="14"/>
  <c r="R14" i="14"/>
  <c r="R28" i="14"/>
  <c r="T20" i="14"/>
  <c r="R11" i="14"/>
  <c r="P28" i="14"/>
  <c r="T19" i="14"/>
  <c r="S13" i="14"/>
  <c r="J29" i="17"/>
  <c r="C25" i="16" s="1"/>
  <c r="P27" i="14"/>
  <c r="T26" i="14"/>
  <c r="R18" i="14"/>
  <c r="P12" i="14"/>
  <c r="J19" i="17"/>
  <c r="T18" i="14"/>
  <c r="R26" i="14"/>
  <c r="J18" i="17"/>
  <c r="P26" i="14"/>
  <c r="Q17" i="14"/>
  <c r="S32" i="14"/>
  <c r="Q30" i="14"/>
  <c r="T27" i="14"/>
  <c r="R25" i="14"/>
  <c r="P23" i="14"/>
  <c r="S20" i="14"/>
  <c r="Q18" i="14"/>
  <c r="T15" i="14"/>
  <c r="R13" i="14"/>
  <c r="Q25" i="14"/>
  <c r="Q13" i="14"/>
  <c r="P11" i="14"/>
  <c r="Q32" i="14"/>
  <c r="R27" i="14"/>
  <c r="S22" i="14"/>
  <c r="R15" i="14"/>
  <c r="M161" i="14"/>
  <c r="T11" i="14"/>
  <c r="P32" i="14"/>
  <c r="S29" i="14"/>
  <c r="Q27" i="14"/>
  <c r="T24" i="14"/>
  <c r="R22" i="14"/>
  <c r="P20" i="14"/>
  <c r="S17" i="14"/>
  <c r="Q15" i="14"/>
  <c r="T12" i="14"/>
  <c r="S11" i="14"/>
  <c r="R29" i="14"/>
  <c r="Q22" i="14"/>
  <c r="Q29" i="14"/>
  <c r="S31" i="14"/>
  <c r="R24" i="14"/>
  <c r="S19" i="14"/>
  <c r="R12" i="14"/>
  <c r="S26" i="14"/>
  <c r="Q24" i="14"/>
  <c r="S14" i="14"/>
  <c r="Q12" i="14"/>
  <c r="Q19" i="14"/>
  <c r="K32" i="17" l="1"/>
  <c r="K14" i="17"/>
  <c r="D17" i="16" s="1"/>
  <c r="K112" i="17"/>
  <c r="K17" i="17"/>
  <c r="K141" i="17"/>
  <c r="K100" i="17"/>
  <c r="K51" i="17"/>
  <c r="K26" i="17"/>
  <c r="K13" i="17"/>
  <c r="D16" i="16" s="1"/>
  <c r="K11" i="17"/>
  <c r="K113" i="17"/>
  <c r="K156" i="17"/>
  <c r="K155" i="17"/>
  <c r="K34" i="17"/>
  <c r="K157" i="17"/>
  <c r="K96" i="17"/>
  <c r="K38" i="17"/>
  <c r="K50" i="17"/>
  <c r="K147" i="17"/>
  <c r="K24" i="17"/>
  <c r="K98" i="17"/>
  <c r="K133" i="17"/>
  <c r="K91" i="17"/>
  <c r="K73" i="17"/>
  <c r="K27" i="17"/>
  <c r="K22" i="17"/>
  <c r="D20" i="16" s="1"/>
  <c r="K87" i="17"/>
  <c r="K40" i="17"/>
  <c r="K25" i="17"/>
  <c r="D22" i="16" s="1"/>
  <c r="K109" i="17"/>
  <c r="K125" i="17"/>
  <c r="K89" i="17"/>
  <c r="K144" i="17"/>
  <c r="K84" i="17"/>
  <c r="K37" i="17"/>
  <c r="K83" i="17"/>
  <c r="K160" i="17"/>
  <c r="K71" i="17"/>
  <c r="K19" i="17"/>
  <c r="K131" i="17"/>
  <c r="K102" i="17"/>
  <c r="K97" i="17"/>
  <c r="K104" i="17"/>
  <c r="K130" i="17"/>
  <c r="K76" i="17"/>
  <c r="K145" i="17"/>
  <c r="K88" i="17"/>
  <c r="K67" i="17"/>
  <c r="K137" i="17"/>
  <c r="K39" i="17"/>
  <c r="K134" i="17"/>
  <c r="K129" i="17"/>
  <c r="K79" i="17"/>
  <c r="K64" i="17"/>
  <c r="K106" i="17"/>
  <c r="K75" i="17"/>
  <c r="K152" i="17"/>
  <c r="K70" i="17"/>
  <c r="L156" i="17"/>
  <c r="L102" i="17"/>
  <c r="L55" i="17"/>
  <c r="L116" i="17"/>
  <c r="L147" i="17"/>
  <c r="L123" i="17"/>
  <c r="L19" i="17"/>
  <c r="L63" i="17"/>
  <c r="L22" i="17"/>
  <c r="E20" i="16" s="1"/>
  <c r="L139" i="17"/>
  <c r="L122" i="17"/>
  <c r="L40" i="17"/>
  <c r="L96" i="17"/>
  <c r="L31" i="17"/>
  <c r="E26" i="16" s="1"/>
  <c r="L106" i="17"/>
  <c r="L114" i="17"/>
  <c r="L65" i="17"/>
  <c r="L142" i="17"/>
  <c r="L92" i="17"/>
  <c r="L59" i="17"/>
  <c r="L83" i="17"/>
  <c r="L11" i="17"/>
  <c r="L34" i="17"/>
  <c r="L111" i="17"/>
  <c r="L54" i="17"/>
  <c r="L155" i="17"/>
  <c r="L78" i="17"/>
  <c r="L62" i="17"/>
  <c r="L133" i="17"/>
  <c r="L69" i="17"/>
  <c r="L16" i="17"/>
  <c r="L121" i="17"/>
  <c r="L18" i="17"/>
  <c r="L158" i="17"/>
  <c r="L119" i="17"/>
  <c r="L145" i="17"/>
  <c r="L81" i="17"/>
  <c r="L47" i="17"/>
  <c r="L38" i="17"/>
  <c r="L57" i="17"/>
  <c r="L49" i="17"/>
  <c r="L146" i="17"/>
  <c r="L109" i="17"/>
  <c r="L32" i="17"/>
  <c r="E27" i="16" s="1"/>
  <c r="L107" i="17"/>
  <c r="L58" i="17"/>
  <c r="L37" i="17"/>
  <c r="L82" i="17"/>
  <c r="L71" i="17"/>
  <c r="L151" i="17"/>
  <c r="L144" i="17"/>
  <c r="L148" i="17"/>
  <c r="L149" i="17"/>
  <c r="L152" i="17"/>
  <c r="L104" i="17"/>
  <c r="L33" i="17"/>
  <c r="L39" i="17"/>
  <c r="L45" i="17"/>
  <c r="L25" i="17"/>
  <c r="E22" i="16" s="1"/>
  <c r="L80" i="17"/>
  <c r="L112" i="17"/>
  <c r="L46" i="17"/>
  <c r="L15" i="17"/>
  <c r="L44" i="17"/>
  <c r="L75" i="17"/>
  <c r="L56" i="17"/>
  <c r="L125" i="17"/>
  <c r="L29" i="17"/>
  <c r="E25" i="16" s="1"/>
  <c r="L101" i="17"/>
  <c r="L21" i="17"/>
  <c r="E19" i="16" s="1"/>
  <c r="L84" i="17"/>
  <c r="L100" i="17"/>
  <c r="L89" i="17"/>
  <c r="L27" i="17"/>
  <c r="L36" i="17"/>
  <c r="L43" i="17"/>
  <c r="L118" i="17"/>
  <c r="L136" i="17"/>
  <c r="L124" i="17"/>
  <c r="L95" i="17"/>
  <c r="L77" i="17"/>
  <c r="L150" i="17"/>
  <c r="L160" i="17"/>
  <c r="L153" i="17"/>
  <c r="K132" i="17"/>
  <c r="K49" i="17"/>
  <c r="K142" i="17"/>
  <c r="K139" i="17"/>
  <c r="K59" i="17"/>
  <c r="K21" i="17"/>
  <c r="D19" i="16" s="1"/>
  <c r="L20" i="17"/>
  <c r="K30" i="17"/>
  <c r="J81" i="17"/>
  <c r="J30" i="17"/>
  <c r="L90" i="17"/>
  <c r="L51" i="17"/>
  <c r="L50" i="17"/>
  <c r="J142" i="17"/>
  <c r="J112" i="17"/>
  <c r="J35" i="17"/>
  <c r="J41" i="17"/>
  <c r="J12" i="17"/>
  <c r="J160" i="17"/>
  <c r="L134" i="17"/>
  <c r="J28" i="17"/>
  <c r="C24" i="16" s="1"/>
  <c r="K31" i="17"/>
  <c r="D26" i="16" s="1"/>
  <c r="J141" i="17"/>
  <c r="L135" i="17"/>
  <c r="K116" i="17"/>
  <c r="K158" i="17"/>
  <c r="K140" i="17"/>
  <c r="K127" i="17"/>
  <c r="K110" i="17"/>
  <c r="K126" i="17"/>
  <c r="L17" i="17"/>
  <c r="J45" i="17"/>
  <c r="J24" i="17"/>
  <c r="J103" i="17"/>
  <c r="J137" i="17"/>
  <c r="L66" i="17"/>
  <c r="L137" i="17"/>
  <c r="J46" i="17"/>
  <c r="L24" i="17"/>
  <c r="J88" i="17"/>
  <c r="J49" i="17"/>
  <c r="J48" i="17"/>
  <c r="K18" i="17"/>
  <c r="L12" i="17"/>
  <c r="L48" i="17"/>
  <c r="L129" i="17"/>
  <c r="J22" i="17"/>
  <c r="C20" i="16" s="1"/>
  <c r="L28" i="17"/>
  <c r="E24" i="16" s="1"/>
  <c r="J149" i="17"/>
  <c r="K61" i="17"/>
  <c r="K122" i="17"/>
  <c r="K115" i="17"/>
  <c r="K85" i="17"/>
  <c r="K154" i="17"/>
  <c r="K42" i="17"/>
  <c r="L141" i="17"/>
  <c r="J31" i="17"/>
  <c r="C26" i="16" s="1"/>
  <c r="L72" i="17"/>
  <c r="L159" i="17"/>
  <c r="J117" i="17"/>
  <c r="K12" i="17"/>
  <c r="L42" i="17"/>
  <c r="L113" i="17"/>
  <c r="L68" i="17"/>
  <c r="L35" i="17"/>
  <c r="J64" i="17"/>
  <c r="J135" i="17"/>
  <c r="K29" i="17"/>
  <c r="D25" i="16" s="1"/>
  <c r="L127" i="17"/>
  <c r="K23" i="17"/>
  <c r="D21" i="16" s="1"/>
  <c r="L70" i="17"/>
  <c r="L60" i="17"/>
  <c r="L14" i="17"/>
  <c r="E17" i="16" s="1"/>
  <c r="J11" i="17"/>
  <c r="J13" i="17"/>
  <c r="C16" i="16" s="1"/>
  <c r="K149" i="17"/>
  <c r="K101" i="17"/>
  <c r="K65" i="17"/>
  <c r="K52" i="17"/>
  <c r="K123" i="17"/>
  <c r="K118" i="17"/>
  <c r="J33" i="17"/>
  <c r="L53" i="17"/>
  <c r="L93" i="17"/>
  <c r="L97" i="17"/>
  <c r="L74" i="17"/>
  <c r="K153" i="17"/>
  <c r="K117" i="17"/>
  <c r="J32" i="17"/>
  <c r="C27" i="16" s="1"/>
  <c r="L126" i="17"/>
  <c r="L154" i="17"/>
  <c r="L76" i="17"/>
  <c r="L85" i="17"/>
  <c r="L41" i="17"/>
  <c r="L110" i="17"/>
  <c r="J98" i="17"/>
  <c r="J107" i="17"/>
  <c r="J63" i="17"/>
  <c r="J114" i="17"/>
  <c r="J104" i="17"/>
  <c r="L86" i="17"/>
  <c r="J125" i="17"/>
  <c r="L128" i="17"/>
  <c r="L94" i="17"/>
  <c r="J84" i="17"/>
  <c r="L91" i="17"/>
  <c r="K146" i="17"/>
  <c r="K143" i="17"/>
  <c r="K111" i="17"/>
  <c r="K92" i="17"/>
  <c r="K81" i="17"/>
  <c r="J16" i="17"/>
  <c r="J102" i="17"/>
  <c r="L99" i="17"/>
  <c r="L115" i="17"/>
  <c r="K151" i="17"/>
  <c r="K103" i="17"/>
  <c r="L23" i="17"/>
  <c r="E21" i="16" s="1"/>
  <c r="J136" i="17"/>
  <c r="K15" i="17"/>
  <c r="L30" i="17"/>
  <c r="L64" i="17"/>
  <c r="L73" i="17"/>
  <c r="L79" i="17"/>
  <c r="L117" i="17"/>
  <c r="J86" i="17"/>
  <c r="J95" i="17"/>
  <c r="J51" i="17"/>
  <c r="J124" i="17"/>
  <c r="J115" i="17"/>
  <c r="J97" i="17"/>
  <c r="L131" i="17"/>
  <c r="J138" i="17"/>
  <c r="L105" i="17"/>
  <c r="L87" i="17"/>
  <c r="L132" i="17"/>
  <c r="K135" i="17"/>
  <c r="K128" i="17"/>
  <c r="K53" i="17"/>
  <c r="K77" i="17"/>
  <c r="K45" i="17"/>
  <c r="J26" i="17"/>
  <c r="J58" i="17"/>
  <c r="K16" i="17"/>
  <c r="L88" i="17"/>
  <c r="L103" i="17"/>
  <c r="L108" i="17"/>
  <c r="K121" i="17"/>
  <c r="J21" i="17"/>
  <c r="C19" i="16" s="1"/>
  <c r="J25" i="17"/>
  <c r="C22" i="16" s="1"/>
  <c r="L157" i="17"/>
  <c r="K28" i="17"/>
  <c r="D24" i="16" s="1"/>
  <c r="K20" i="17"/>
  <c r="J139" i="17"/>
  <c r="J34" i="17"/>
  <c r="L13" i="17"/>
  <c r="E16" i="16" s="1"/>
  <c r="L52" i="17"/>
  <c r="L61" i="17"/>
  <c r="L67" i="17"/>
  <c r="L120" i="17"/>
  <c r="J74" i="17"/>
  <c r="J83" i="17"/>
  <c r="J39" i="17"/>
  <c r="L130" i="17"/>
  <c r="J118" i="17"/>
  <c r="J108" i="17"/>
  <c r="L140" i="17"/>
  <c r="L143" i="17"/>
  <c r="J116" i="17"/>
  <c r="L98" i="17"/>
  <c r="K80" i="17"/>
  <c r="K119" i="17"/>
  <c r="K108" i="17"/>
  <c r="K150" i="17"/>
  <c r="K63" i="17"/>
  <c r="K107" i="17"/>
  <c r="L138" i="17"/>
  <c r="K148" i="17"/>
  <c r="CB91" i="10"/>
  <c r="CB134" i="10"/>
  <c r="CB108" i="10"/>
  <c r="CB133" i="10"/>
  <c r="CB153" i="10"/>
  <c r="CB111" i="10"/>
  <c r="CB106" i="10"/>
  <c r="CB150" i="10"/>
  <c r="CB117" i="10"/>
  <c r="CB141" i="10"/>
  <c r="CB132" i="10"/>
  <c r="CB124" i="10"/>
  <c r="CB99" i="10"/>
  <c r="CB122" i="10"/>
  <c r="CB110" i="10"/>
  <c r="CB154" i="10"/>
  <c r="CB147" i="10"/>
  <c r="CB121" i="10"/>
  <c r="CB96" i="10"/>
  <c r="CB101" i="10"/>
  <c r="CB151" i="10"/>
  <c r="CB90" i="10"/>
  <c r="CB116" i="10"/>
  <c r="CB102" i="10"/>
  <c r="CB131" i="10"/>
  <c r="CB128" i="10"/>
  <c r="CB123" i="10"/>
  <c r="CB97" i="10"/>
  <c r="CB112" i="10"/>
  <c r="CB94" i="10"/>
  <c r="CB138" i="10"/>
  <c r="CB137" i="10"/>
  <c r="CB95" i="10"/>
  <c r="CB107" i="10"/>
  <c r="CB92" i="10"/>
  <c r="CB143" i="10"/>
  <c r="CB126" i="10"/>
  <c r="CB105" i="10"/>
  <c r="CB125" i="10"/>
  <c r="CB109" i="10"/>
  <c r="CB140" i="10"/>
  <c r="CB127" i="10"/>
  <c r="CB115" i="10"/>
  <c r="CB149" i="10"/>
  <c r="CB142" i="10"/>
  <c r="CB144" i="10"/>
  <c r="CB118" i="10"/>
  <c r="CB98" i="10"/>
  <c r="CB114" i="10"/>
  <c r="CB130" i="10"/>
  <c r="CB146" i="10"/>
  <c r="CB103" i="10"/>
  <c r="CB119" i="10"/>
  <c r="CB93" i="10"/>
  <c r="CB129" i="10"/>
  <c r="CB145" i="10"/>
  <c r="CB135" i="10"/>
  <c r="CB100" i="10"/>
  <c r="CB104" i="10"/>
  <c r="CB120" i="10"/>
  <c r="CB136" i="10"/>
  <c r="CB148" i="10"/>
  <c r="CB152" i="10"/>
  <c r="CB139" i="10"/>
  <c r="CB155" i="10"/>
  <c r="CB113" i="10"/>
  <c r="K47" i="17"/>
  <c r="K36" i="17"/>
  <c r="K35" i="17"/>
  <c r="K55" i="17"/>
  <c r="K78" i="17"/>
  <c r="K136" i="17"/>
  <c r="K69" i="17"/>
  <c r="K56" i="17"/>
  <c r="K99" i="17"/>
  <c r="K57" i="17"/>
  <c r="K68" i="17"/>
  <c r="K60" i="17"/>
  <c r="K44" i="17"/>
  <c r="K74" i="17"/>
  <c r="K41" i="17"/>
  <c r="K120" i="17"/>
  <c r="K93" i="17"/>
  <c r="K114" i="17"/>
  <c r="K72" i="17"/>
  <c r="K43" i="17"/>
  <c r="C18" i="16"/>
  <c r="K105" i="17"/>
  <c r="K138" i="17"/>
  <c r="K94" i="17"/>
  <c r="K48" i="17"/>
  <c r="K33" i="17"/>
  <c r="K90" i="17"/>
  <c r="K82" i="17"/>
  <c r="K86" i="17"/>
  <c r="K124" i="17"/>
  <c r="K159" i="17"/>
  <c r="K62" i="17"/>
  <c r="K95" i="17"/>
  <c r="K66" i="17"/>
  <c r="K58" i="17"/>
  <c r="K54" i="17"/>
  <c r="D27" i="16"/>
  <c r="T161" i="14"/>
  <c r="C23" i="16" l="1"/>
  <c r="D23" i="16"/>
  <c r="E23" i="16"/>
  <c r="E18" i="16"/>
  <c r="E15" i="16"/>
  <c r="C15" i="16"/>
  <c r="D15" i="16"/>
  <c r="L161" i="17"/>
  <c r="D18" i="16"/>
  <c r="J161" i="17"/>
  <c r="K161" i="17"/>
  <c r="D18" i="17"/>
  <c r="D19" i="17" l="1"/>
  <c r="D20" i="17" l="1"/>
  <c r="C32" i="16" s="1"/>
  <c r="D36" i="16" l="1"/>
  <c r="E36" i="16"/>
  <c r="E34" i="16"/>
  <c r="D35" i="16"/>
  <c r="G35" i="16"/>
  <c r="E39" i="16"/>
  <c r="E38" i="16"/>
  <c r="F36" i="16"/>
  <c r="D38" i="16"/>
  <c r="D39" i="16"/>
  <c r="D37" i="16"/>
  <c r="D32" i="16"/>
  <c r="G36" i="16"/>
  <c r="C38" i="16"/>
  <c r="E33" i="16"/>
  <c r="C37" i="16"/>
  <c r="D33" i="16"/>
  <c r="C33" i="16"/>
  <c r="F35" i="16"/>
  <c r="C39" i="16"/>
  <c r="C36" i="16"/>
  <c r="E35" i="16"/>
  <c r="E32" i="16"/>
  <c r="D34" i="16"/>
  <c r="C34" i="16"/>
  <c r="E37" i="16"/>
  <c r="C35" i="16"/>
  <c r="H60" i="4" l="1"/>
  <c r="G60" i="4"/>
  <c r="H34" i="4"/>
  <c r="G34" i="4"/>
  <c r="Q161" i="14" l="1"/>
  <c r="S161" i="14"/>
  <c r="N161" i="14"/>
  <c r="R161" i="14"/>
  <c r="J161" i="14"/>
  <c r="K161" i="14"/>
  <c r="P161" i="14"/>
  <c r="L161" i="14"/>
  <c r="T6" i="14" l="1"/>
  <c r="N6" i="14"/>
  <c r="C39" i="4" l="1"/>
  <c r="E41" i="4"/>
  <c r="C46" i="4"/>
  <c r="E46" i="4"/>
  <c r="C42" i="4"/>
  <c r="F41" i="4"/>
  <c r="C44" i="4"/>
  <c r="C43" i="4"/>
  <c r="F46" i="4"/>
  <c r="C12" i="4"/>
  <c r="D42" i="4"/>
  <c r="F42" i="4"/>
  <c r="C38" i="4"/>
  <c r="D46" i="4"/>
  <c r="D41" i="4"/>
  <c r="E42" i="4"/>
  <c r="C40" i="4"/>
  <c r="C45" i="4"/>
  <c r="C41" i="4"/>
  <c r="I161" i="2"/>
  <c r="C60" i="4" l="1"/>
  <c r="C47" i="4"/>
  <c r="C34" i="4"/>
  <c r="E43" i="4"/>
  <c r="D43" i="4"/>
  <c r="F43" i="4"/>
  <c r="X70" i="2" l="1"/>
  <c r="X23" i="2"/>
  <c r="X135" i="2"/>
  <c r="X85" i="2"/>
  <c r="X82" i="2"/>
  <c r="X68" i="2"/>
  <c r="X79" i="2"/>
  <c r="X16" i="2"/>
  <c r="X45" i="2"/>
  <c r="X33" i="2"/>
  <c r="X50" i="2"/>
  <c r="X71" i="2"/>
  <c r="X18" i="2"/>
  <c r="X38" i="2"/>
  <c r="X27" i="2"/>
  <c r="X147" i="2"/>
  <c r="X19" i="2"/>
  <c r="X28" i="2"/>
  <c r="X34" i="2"/>
  <c r="X72" i="2"/>
  <c r="X80" i="2"/>
  <c r="X83" i="2"/>
  <c r="X86" i="2"/>
  <c r="X94" i="2"/>
  <c r="X97" i="2"/>
  <c r="X100" i="2"/>
  <c r="X103" i="2"/>
  <c r="X106" i="2"/>
  <c r="X109" i="2"/>
  <c r="X112" i="2"/>
  <c r="X115" i="2"/>
  <c r="X118" i="2"/>
  <c r="X121" i="2"/>
  <c r="X124" i="2"/>
  <c r="X136" i="2"/>
  <c r="X138" i="2"/>
  <c r="X141" i="2"/>
  <c r="X144" i="2"/>
  <c r="X66" i="2"/>
  <c r="X64" i="2"/>
  <c r="X87" i="2"/>
  <c r="X90" i="2"/>
  <c r="X22" i="2"/>
  <c r="X57" i="2"/>
  <c r="X65" i="2"/>
  <c r="X127" i="2"/>
  <c r="X150" i="2"/>
  <c r="X26" i="2"/>
  <c r="X32" i="2"/>
  <c r="X43" i="2"/>
  <c r="X89" i="2"/>
  <c r="X134" i="2"/>
  <c r="E40" i="4"/>
  <c r="X30" i="2"/>
  <c r="X37" i="2"/>
  <c r="X47" i="2"/>
  <c r="X52" i="2"/>
  <c r="X11" i="2"/>
  <c r="X13" i="2"/>
  <c r="X17" i="2"/>
  <c r="X129" i="2"/>
  <c r="X46" i="2"/>
  <c r="X42" i="2"/>
  <c r="X60" i="2"/>
  <c r="X62" i="2"/>
  <c r="X77" i="2"/>
  <c r="X131" i="2"/>
  <c r="X21" i="2"/>
  <c r="X36" i="2"/>
  <c r="X56" i="2"/>
  <c r="X88" i="2"/>
  <c r="X91" i="2"/>
  <c r="X25" i="2"/>
  <c r="X31" i="2"/>
  <c r="X51" i="2"/>
  <c r="X55" i="2"/>
  <c r="X59" i="2"/>
  <c r="X126" i="2"/>
  <c r="X133" i="2"/>
  <c r="X146" i="2"/>
  <c r="X149" i="2"/>
  <c r="X93" i="2"/>
  <c r="X96" i="2"/>
  <c r="X99" i="2"/>
  <c r="X102" i="2"/>
  <c r="X105" i="2"/>
  <c r="X108" i="2"/>
  <c r="X111" i="2"/>
  <c r="X114" i="2"/>
  <c r="X117" i="2"/>
  <c r="X120" i="2"/>
  <c r="X123" i="2"/>
  <c r="X128" i="2"/>
  <c r="X137" i="2"/>
  <c r="X140" i="2"/>
  <c r="X143" i="2"/>
  <c r="X15" i="2"/>
  <c r="X14" i="2"/>
  <c r="X41" i="2"/>
  <c r="X49" i="2"/>
  <c r="X130" i="2"/>
  <c r="X12" i="2"/>
  <c r="X20" i="2"/>
  <c r="X24" i="2"/>
  <c r="X35" i="2"/>
  <c r="X61" i="2"/>
  <c r="X63" i="2"/>
  <c r="X67" i="2"/>
  <c r="X69" i="2"/>
  <c r="X78" i="2"/>
  <c r="X145" i="2"/>
  <c r="X148" i="2"/>
  <c r="X40" i="2"/>
  <c r="X76" i="2"/>
  <c r="X81" i="2"/>
  <c r="X84" i="2"/>
  <c r="X92" i="2"/>
  <c r="X95" i="2"/>
  <c r="X98" i="2"/>
  <c r="X101" i="2"/>
  <c r="X104" i="2"/>
  <c r="X107" i="2"/>
  <c r="X110" i="2"/>
  <c r="X113" i="2"/>
  <c r="X116" i="2"/>
  <c r="X119" i="2"/>
  <c r="X122" i="2"/>
  <c r="X125" i="2"/>
  <c r="X132" i="2"/>
  <c r="X139" i="2"/>
  <c r="X142" i="2"/>
  <c r="D44" i="4"/>
  <c r="F44" i="4"/>
  <c r="D45" i="4"/>
  <c r="D40" i="4"/>
  <c r="D38" i="4"/>
  <c r="F40" i="4"/>
  <c r="X58" i="2"/>
  <c r="X53" i="2"/>
  <c r="E44" i="4"/>
  <c r="X54" i="2"/>
  <c r="E38" i="4"/>
  <c r="D39" i="4"/>
  <c r="X39" i="2"/>
  <c r="X48" i="2"/>
  <c r="E45" i="4"/>
  <c r="E39" i="4"/>
  <c r="X75" i="2"/>
  <c r="F39" i="4"/>
  <c r="F45" i="4" l="1"/>
  <c r="X73" i="2"/>
  <c r="F38" i="4"/>
  <c r="X74" i="2"/>
  <c r="X29" i="2"/>
  <c r="X44" i="2"/>
  <c r="E47" i="4"/>
  <c r="D47" i="4"/>
  <c r="F47" i="4" l="1"/>
  <c r="X161" i="2"/>
  <c r="X6" i="2" s="1"/>
  <c r="B20" i="13" l="1"/>
  <c r="B21" i="13"/>
  <c r="B22" i="13"/>
  <c r="B23" i="13"/>
  <c r="B24" i="13"/>
  <c r="B25" i="13"/>
  <c r="B19" i="13"/>
  <c r="I140" i="13" l="1"/>
  <c r="H140" i="13"/>
  <c r="G140" i="13"/>
  <c r="F140" i="13"/>
  <c r="E140" i="13"/>
  <c r="I114" i="13"/>
  <c r="H114" i="13"/>
  <c r="G114" i="13"/>
  <c r="F114" i="13"/>
  <c r="E114" i="13"/>
  <c r="C41" i="8" l="1"/>
  <c r="D41" i="8"/>
  <c r="H41" i="8" l="1"/>
  <c r="N149" i="12"/>
  <c r="Z149" i="12"/>
  <c r="N145" i="12"/>
  <c r="Z145" i="12"/>
  <c r="N107" i="12"/>
  <c r="Z107" i="12"/>
  <c r="N103" i="12"/>
  <c r="Z103" i="12"/>
  <c r="N121" i="12"/>
  <c r="Z121" i="12"/>
  <c r="O94" i="12"/>
  <c r="AA94" i="12"/>
  <c r="N117" i="12"/>
  <c r="Z117" i="12"/>
  <c r="N91" i="12"/>
  <c r="Z91" i="12"/>
  <c r="N118" i="12"/>
  <c r="Z118" i="12"/>
  <c r="N141" i="12"/>
  <c r="Z141" i="12"/>
  <c r="N137" i="12"/>
  <c r="Z137" i="12"/>
  <c r="N155" i="12"/>
  <c r="Z155" i="12"/>
  <c r="O105" i="12"/>
  <c r="AA105" i="12"/>
  <c r="N128" i="12"/>
  <c r="Z128" i="12"/>
  <c r="N146" i="12"/>
  <c r="Z146" i="12"/>
  <c r="N151" i="12"/>
  <c r="Z151" i="12"/>
  <c r="N98" i="12"/>
  <c r="Z98" i="12"/>
  <c r="N127" i="12"/>
  <c r="Z127" i="12"/>
  <c r="N115" i="12"/>
  <c r="Z115" i="12"/>
  <c r="N133" i="12"/>
  <c r="Z133" i="12"/>
  <c r="N142" i="12"/>
  <c r="Z142" i="12"/>
  <c r="N89" i="12"/>
  <c r="Z89" i="12"/>
  <c r="N140" i="12"/>
  <c r="Z140" i="12"/>
  <c r="N109" i="12"/>
  <c r="Z109" i="12"/>
  <c r="N101" i="12"/>
  <c r="Z101" i="12"/>
  <c r="N153" i="12"/>
  <c r="Z153" i="12"/>
  <c r="N110" i="12"/>
  <c r="Z110" i="12"/>
  <c r="N152" i="12"/>
  <c r="Z152" i="12"/>
  <c r="N113" i="12"/>
  <c r="Z113" i="12"/>
  <c r="N131" i="12"/>
  <c r="Z131" i="12"/>
  <c r="N104" i="12"/>
  <c r="Z104" i="12"/>
  <c r="N122" i="12"/>
  <c r="Z122" i="12"/>
  <c r="N95" i="12"/>
  <c r="Z95" i="12"/>
  <c r="O92" i="12"/>
  <c r="AA92" i="12"/>
  <c r="N119" i="12"/>
  <c r="Z119" i="12"/>
  <c r="N97" i="12"/>
  <c r="Z97" i="12"/>
  <c r="N129" i="12"/>
  <c r="Z129" i="12"/>
  <c r="N93" i="12"/>
  <c r="Z93" i="12"/>
  <c r="O116" i="12"/>
  <c r="AA116" i="12"/>
  <c r="N125" i="12"/>
  <c r="Z125" i="12"/>
  <c r="N134" i="12"/>
  <c r="Z134" i="12"/>
  <c r="N139" i="12"/>
  <c r="Z139" i="12"/>
  <c r="O143" i="12"/>
  <c r="AA143" i="12"/>
  <c r="G41" i="8"/>
  <c r="G42" i="8"/>
  <c r="H42" i="8"/>
  <c r="AA101" i="12"/>
  <c r="AA100" i="12"/>
  <c r="AA135" i="12"/>
  <c r="AA130" i="12"/>
  <c r="AA148" i="12"/>
  <c r="AA111" i="12"/>
  <c r="Z147" i="12"/>
  <c r="AA147" i="12"/>
  <c r="AA146" i="12"/>
  <c r="AA96" i="12"/>
  <c r="AA141" i="12"/>
  <c r="AA117" i="12"/>
  <c r="AA126" i="12"/>
  <c r="AA150" i="12"/>
  <c r="AA109" i="12"/>
  <c r="N75" i="12" l="1"/>
  <c r="N76" i="12"/>
  <c r="Z81" i="12"/>
  <c r="N144" i="12"/>
  <c r="Z144" i="12"/>
  <c r="O134" i="12"/>
  <c r="AA134" i="12"/>
  <c r="O106" i="12"/>
  <c r="AA106" i="12"/>
  <c r="N106" i="12"/>
  <c r="Z106" i="12"/>
  <c r="N138" i="12"/>
  <c r="Z138" i="12"/>
  <c r="O110" i="12"/>
  <c r="AA110" i="12"/>
  <c r="N116" i="12"/>
  <c r="Z116" i="12"/>
  <c r="N85" i="12"/>
  <c r="Z85" i="12"/>
  <c r="O103" i="12"/>
  <c r="AA103" i="12"/>
  <c r="N74" i="12"/>
  <c r="Z74" i="12"/>
  <c r="O113" i="12"/>
  <c r="AA113" i="12"/>
  <c r="O125" i="12"/>
  <c r="AA125" i="12"/>
  <c r="O133" i="12"/>
  <c r="AA133" i="12"/>
  <c r="O108" i="12"/>
  <c r="AA108" i="12"/>
  <c r="N100" i="12"/>
  <c r="Z100" i="12"/>
  <c r="O142" i="12"/>
  <c r="AA142" i="12"/>
  <c r="N148" i="12"/>
  <c r="Z148" i="12"/>
  <c r="O129" i="12"/>
  <c r="AA129" i="12"/>
  <c r="O153" i="12"/>
  <c r="AA153" i="12"/>
  <c r="O99" i="12"/>
  <c r="AA99" i="12"/>
  <c r="O104" i="12"/>
  <c r="AA104" i="12"/>
  <c r="O132" i="12"/>
  <c r="AA132" i="12"/>
  <c r="O121" i="12"/>
  <c r="AA121" i="12"/>
  <c r="N99" i="12"/>
  <c r="Z99" i="12"/>
  <c r="N105" i="12"/>
  <c r="Z105" i="12"/>
  <c r="O119" i="12"/>
  <c r="AA119" i="12"/>
  <c r="O120" i="12"/>
  <c r="AA120" i="12"/>
  <c r="N135" i="12"/>
  <c r="Z135" i="12"/>
  <c r="N80" i="12"/>
  <c r="Z80" i="12"/>
  <c r="O118" i="12"/>
  <c r="AA118" i="12"/>
  <c r="N73" i="12"/>
  <c r="Z73" i="12"/>
  <c r="O127" i="12"/>
  <c r="AA127" i="12"/>
  <c r="O149" i="12"/>
  <c r="AA149" i="12"/>
  <c r="N79" i="12"/>
  <c r="Z79" i="12"/>
  <c r="N114" i="12"/>
  <c r="Z114" i="12"/>
  <c r="O102" i="12"/>
  <c r="AA102" i="12"/>
  <c r="N102" i="12"/>
  <c r="Z102" i="12"/>
  <c r="N96" i="12"/>
  <c r="Z96" i="12"/>
  <c r="O123" i="12"/>
  <c r="AA123" i="12"/>
  <c r="O136" i="12"/>
  <c r="AA136" i="12"/>
  <c r="N92" i="12"/>
  <c r="Z92" i="12"/>
  <c r="N112" i="12"/>
  <c r="Z112" i="12"/>
  <c r="O88" i="12"/>
  <c r="AA88" i="12"/>
  <c r="N87" i="12"/>
  <c r="Z87" i="12"/>
  <c r="N120" i="12"/>
  <c r="Z120" i="12"/>
  <c r="O122" i="12"/>
  <c r="AA122" i="12"/>
  <c r="N78" i="12"/>
  <c r="Z78" i="12"/>
  <c r="O90" i="12"/>
  <c r="AA90" i="12"/>
  <c r="O152" i="12"/>
  <c r="AA152" i="12"/>
  <c r="N123" i="12"/>
  <c r="Z123" i="12"/>
  <c r="N136" i="12"/>
  <c r="Z136" i="12"/>
  <c r="N124" i="12"/>
  <c r="Z124" i="12"/>
  <c r="O137" i="12"/>
  <c r="AA137" i="12"/>
  <c r="N77" i="12"/>
  <c r="Z77" i="12"/>
  <c r="N83" i="12"/>
  <c r="Z83" i="12"/>
  <c r="O97" i="12"/>
  <c r="AA97" i="12"/>
  <c r="N132" i="12"/>
  <c r="Z132" i="12"/>
  <c r="N88" i="12"/>
  <c r="Z88" i="12"/>
  <c r="O95" i="12"/>
  <c r="AA95" i="12"/>
  <c r="N126" i="12"/>
  <c r="Z126" i="12"/>
  <c r="N143" i="12"/>
  <c r="Z143" i="12"/>
  <c r="N154" i="12"/>
  <c r="Z154" i="12"/>
  <c r="N108" i="12"/>
  <c r="Z108" i="12"/>
  <c r="O151" i="12"/>
  <c r="AA151" i="12"/>
  <c r="O128" i="12"/>
  <c r="AA128" i="12"/>
  <c r="N150" i="12"/>
  <c r="Z150" i="12"/>
  <c r="O139" i="12"/>
  <c r="AA139" i="12"/>
  <c r="O145" i="12"/>
  <c r="AA145" i="12"/>
  <c r="N90" i="12"/>
  <c r="Z90" i="12"/>
  <c r="O98" i="12"/>
  <c r="AA98" i="12"/>
  <c r="N111" i="12"/>
  <c r="Z111" i="12"/>
  <c r="O124" i="12"/>
  <c r="AA124" i="12"/>
  <c r="N86" i="12"/>
  <c r="Z86" i="12"/>
  <c r="O138" i="12"/>
  <c r="AA138" i="12"/>
  <c r="N94" i="12"/>
  <c r="Z94" i="12"/>
  <c r="O87" i="12"/>
  <c r="AA87" i="12"/>
  <c r="O154" i="12"/>
  <c r="AA154" i="12"/>
  <c r="O114" i="12"/>
  <c r="AA114" i="12"/>
  <c r="O89" i="12"/>
  <c r="AA89" i="12"/>
  <c r="O131" i="12"/>
  <c r="AA131" i="12"/>
  <c r="O155" i="12"/>
  <c r="AA155" i="12"/>
  <c r="N72" i="12"/>
  <c r="Z72" i="12"/>
  <c r="O91" i="12"/>
  <c r="AA91" i="12"/>
  <c r="O144" i="12"/>
  <c r="AA144" i="12"/>
  <c r="O93" i="12"/>
  <c r="AA93" i="12"/>
  <c r="O115" i="12"/>
  <c r="AA115" i="12"/>
  <c r="O107" i="12"/>
  <c r="AA107" i="12"/>
  <c r="N130" i="12"/>
  <c r="Z130" i="12"/>
  <c r="O112" i="12"/>
  <c r="AA112" i="12"/>
  <c r="O140" i="12"/>
  <c r="AA140" i="12"/>
  <c r="O141" i="12"/>
  <c r="O147" i="12"/>
  <c r="O100" i="12"/>
  <c r="O96" i="12"/>
  <c r="N147" i="12"/>
  <c r="O148" i="12"/>
  <c r="O135" i="12"/>
  <c r="O109" i="12"/>
  <c r="O146" i="12"/>
  <c r="O150" i="12"/>
  <c r="O130" i="12"/>
  <c r="O101" i="12"/>
  <c r="O111" i="12"/>
  <c r="O126" i="12"/>
  <c r="O117" i="12"/>
  <c r="Z76" i="12" l="1"/>
  <c r="Z75" i="12"/>
  <c r="N81" i="12"/>
  <c r="N82" i="12"/>
  <c r="Z82" i="12"/>
  <c r="H70" i="7"/>
  <c r="H69" i="7"/>
  <c r="H68" i="7"/>
  <c r="H67" i="7"/>
  <c r="H66" i="7"/>
  <c r="H65" i="7"/>
  <c r="H64" i="7"/>
  <c r="H63" i="7"/>
  <c r="H62" i="7"/>
  <c r="H34" i="7"/>
  <c r="H33" i="7"/>
  <c r="H32" i="7"/>
  <c r="H31" i="7"/>
  <c r="H30" i="7"/>
  <c r="H29" i="7"/>
  <c r="H28" i="7"/>
  <c r="H27" i="7"/>
  <c r="H26" i="7"/>
  <c r="H35" i="7" l="1"/>
  <c r="H71" i="7"/>
  <c r="CI120" i="10"/>
  <c r="CI139" i="10"/>
  <c r="CI151" i="10"/>
  <c r="CI115" i="10"/>
  <c r="CI103" i="10"/>
  <c r="CI91" i="10"/>
  <c r="CI79" i="10"/>
  <c r="CI67" i="10"/>
  <c r="CI101" i="10"/>
  <c r="CI145" i="10"/>
  <c r="CI133" i="10"/>
  <c r="CI121" i="10"/>
  <c r="CI109" i="10"/>
  <c r="CI97" i="10"/>
  <c r="CI85" i="10"/>
  <c r="CI80" i="10"/>
  <c r="CI73" i="10"/>
  <c r="CI144" i="10"/>
  <c r="CI142" i="10"/>
  <c r="CI132" i="10"/>
  <c r="CI108" i="10"/>
  <c r="CI99" i="10"/>
  <c r="CI96" i="10"/>
  <c r="CI84" i="10"/>
  <c r="CI72" i="10"/>
  <c r="CI137" i="10"/>
  <c r="CI87" i="10"/>
  <c r="CI135" i="10"/>
  <c r="CI113" i="10"/>
  <c r="CI70" i="10"/>
  <c r="CI154" i="10"/>
  <c r="CI123" i="10"/>
  <c r="CI104" i="10"/>
  <c r="CI89" i="10"/>
  <c r="CI77" i="10"/>
  <c r="CI125" i="10"/>
  <c r="CI75" i="10"/>
  <c r="CI149" i="10"/>
  <c r="CI127" i="10"/>
  <c r="CI152" i="10"/>
  <c r="CI130" i="10"/>
  <c r="CI111" i="10"/>
  <c r="CI94" i="10"/>
  <c r="CI68" i="10"/>
  <c r="CI147" i="10"/>
  <c r="CI128" i="10"/>
  <c r="CI106" i="10"/>
  <c r="CI82" i="10"/>
  <c r="CI116" i="10"/>
  <c r="CI92" i="10"/>
  <c r="CI140" i="10"/>
  <c r="CI118" i="10"/>
  <c r="CI65" i="10"/>
  <c r="CI155" i="10"/>
  <c r="CI153" i="10"/>
  <c r="CI150" i="10"/>
  <c r="CI148" i="10"/>
  <c r="CI146" i="10"/>
  <c r="CI143" i="10"/>
  <c r="CI141" i="10"/>
  <c r="CI138" i="10"/>
  <c r="CI136" i="10"/>
  <c r="CI134" i="10"/>
  <c r="CI131" i="10"/>
  <c r="CI129" i="10"/>
  <c r="CI126" i="10"/>
  <c r="CI124" i="10"/>
  <c r="CI122" i="10"/>
  <c r="CI119" i="10"/>
  <c r="CI117" i="10"/>
  <c r="CI114" i="10"/>
  <c r="CI112" i="10"/>
  <c r="CI110" i="10"/>
  <c r="CI107" i="10"/>
  <c r="CI105" i="10"/>
  <c r="CI102" i="10"/>
  <c r="CI100" i="10"/>
  <c r="CI98" i="10"/>
  <c r="CI95" i="10"/>
  <c r="CI93" i="10"/>
  <c r="CI90" i="10"/>
  <c r="CI88" i="10"/>
  <c r="CI86" i="10"/>
  <c r="CI83" i="10"/>
  <c r="CI81" i="10"/>
  <c r="CI78" i="10"/>
  <c r="CI76" i="10"/>
  <c r="CI74" i="10"/>
  <c r="CI71" i="10"/>
  <c r="CI69" i="10"/>
  <c r="CI66" i="10"/>
  <c r="CI64" i="10"/>
  <c r="C47" i="8" l="1"/>
  <c r="C46" i="8"/>
  <c r="D63" i="8"/>
  <c r="E63" i="8" s="1"/>
  <c r="F63" i="8" s="1"/>
  <c r="C34" i="8" l="1"/>
  <c r="D28" i="8"/>
  <c r="D16" i="8"/>
  <c r="D17" i="8"/>
  <c r="D18" i="8"/>
  <c r="D19" i="8"/>
  <c r="D20" i="8"/>
  <c r="D21" i="8"/>
  <c r="D22" i="8"/>
  <c r="D23" i="8"/>
  <c r="D24" i="8"/>
  <c r="D25" i="8"/>
  <c r="D26" i="8"/>
  <c r="D27" i="8"/>
  <c r="D29" i="8"/>
  <c r="D30" i="8"/>
  <c r="D15" i="8"/>
  <c r="C32" i="8"/>
  <c r="T161" i="2"/>
  <c r="U161" i="2"/>
  <c r="V161" i="2"/>
  <c r="S161" i="2"/>
  <c r="O161" i="2"/>
  <c r="P161" i="2"/>
  <c r="N161" i="2"/>
  <c r="C31" i="8" l="1"/>
  <c r="C48" i="8" s="1"/>
  <c r="G75" i="8"/>
  <c r="V6" i="2"/>
  <c r="E48" i="4"/>
  <c r="D48" i="4"/>
  <c r="C48" i="4"/>
  <c r="E41" i="8"/>
  <c r="C49" i="8"/>
  <c r="D47" i="8"/>
  <c r="Q161" i="2"/>
  <c r="G53" i="8" l="1"/>
  <c r="G54" i="8" s="1"/>
  <c r="G43" i="8"/>
  <c r="I43" i="8"/>
  <c r="H43" i="8"/>
  <c r="Q6" i="2"/>
  <c r="K46" i="4" s="1"/>
  <c r="F48" i="4"/>
  <c r="M33" i="17"/>
  <c r="M45" i="17"/>
  <c r="M57" i="17"/>
  <c r="M38" i="17"/>
  <c r="M50" i="17"/>
  <c r="M62" i="17"/>
  <c r="M74" i="17"/>
  <c r="M36" i="17"/>
  <c r="M48" i="17"/>
  <c r="M60" i="17"/>
  <c r="M72" i="17"/>
  <c r="M84" i="17"/>
  <c r="M96" i="17"/>
  <c r="M108" i="17"/>
  <c r="M120" i="17"/>
  <c r="M132" i="17"/>
  <c r="M34" i="17"/>
  <c r="M46" i="17"/>
  <c r="M58" i="17"/>
  <c r="M70" i="17"/>
  <c r="M44" i="17"/>
  <c r="M56" i="17"/>
  <c r="M68" i="17"/>
  <c r="M80" i="17"/>
  <c r="M92" i="17"/>
  <c r="M104" i="17"/>
  <c r="M116" i="17"/>
  <c r="M128" i="17"/>
  <c r="M140" i="17"/>
  <c r="M37" i="17"/>
  <c r="M49" i="17"/>
  <c r="M61" i="17"/>
  <c r="M73" i="17"/>
  <c r="M85" i="17"/>
  <c r="M97" i="17"/>
  <c r="M109" i="17"/>
  <c r="M35" i="17"/>
  <c r="M47" i="17"/>
  <c r="M59" i="17"/>
  <c r="M71" i="17"/>
  <c r="M83" i="17"/>
  <c r="M95" i="17"/>
  <c r="M107" i="17"/>
  <c r="M119" i="17"/>
  <c r="M131" i="17"/>
  <c r="M67" i="17"/>
  <c r="M76" i="17"/>
  <c r="M91" i="17"/>
  <c r="M102" i="17"/>
  <c r="M129" i="17"/>
  <c r="M141" i="17"/>
  <c r="M156" i="17"/>
  <c r="M24" i="17"/>
  <c r="M130" i="17"/>
  <c r="M39" i="17"/>
  <c r="M88" i="17"/>
  <c r="M113" i="17"/>
  <c r="M126" i="17"/>
  <c r="M149" i="17"/>
  <c r="M103" i="17"/>
  <c r="M147" i="17"/>
  <c r="M51" i="17"/>
  <c r="M106" i="17"/>
  <c r="M123" i="17"/>
  <c r="M136" i="17"/>
  <c r="M144" i="17"/>
  <c r="M154" i="17"/>
  <c r="M52" i="17"/>
  <c r="M152" i="17"/>
  <c r="M40" i="17"/>
  <c r="M63" i="17"/>
  <c r="M77" i="17"/>
  <c r="M81" i="17"/>
  <c r="M99" i="17"/>
  <c r="M110" i="17"/>
  <c r="M117" i="17"/>
  <c r="M133" i="17"/>
  <c r="M139" i="17"/>
  <c r="M159" i="17"/>
  <c r="M114" i="17"/>
  <c r="M41" i="17"/>
  <c r="M64" i="17"/>
  <c r="M69" i="17"/>
  <c r="M89" i="17"/>
  <c r="M100" i="17"/>
  <c r="M124" i="17"/>
  <c r="M127" i="17"/>
  <c r="M142" i="17"/>
  <c r="M157" i="17"/>
  <c r="M53" i="17"/>
  <c r="M78" i="17"/>
  <c r="M82" i="17"/>
  <c r="M93" i="17"/>
  <c r="M121" i="17"/>
  <c r="M137" i="17"/>
  <c r="M145" i="17"/>
  <c r="M150" i="17"/>
  <c r="M42" i="17"/>
  <c r="M65" i="17"/>
  <c r="M86" i="17"/>
  <c r="M111" i="17"/>
  <c r="M118" i="17"/>
  <c r="M134" i="17"/>
  <c r="M155" i="17"/>
  <c r="M135" i="17"/>
  <c r="M146" i="17"/>
  <c r="M54" i="17"/>
  <c r="M90" i="17"/>
  <c r="M115" i="17"/>
  <c r="M148" i="17"/>
  <c r="M160" i="17"/>
  <c r="M143" i="17"/>
  <c r="M153" i="17"/>
  <c r="M43" i="17"/>
  <c r="M66" i="17"/>
  <c r="M79" i="17"/>
  <c r="M101" i="17"/>
  <c r="M112" i="17"/>
  <c r="M125" i="17"/>
  <c r="M87" i="17"/>
  <c r="M98" i="17"/>
  <c r="M55" i="17"/>
  <c r="M75" i="17"/>
  <c r="M94" i="17"/>
  <c r="M105" i="17"/>
  <c r="M122" i="17"/>
  <c r="M138" i="17"/>
  <c r="M158" i="17"/>
  <c r="M151" i="17"/>
  <c r="M29" i="17"/>
  <c r="M28" i="17"/>
  <c r="M16" i="17"/>
  <c r="M19" i="17"/>
  <c r="M20" i="17"/>
  <c r="M14" i="17"/>
  <c r="M26" i="17"/>
  <c r="M25" i="17"/>
  <c r="M17" i="17"/>
  <c r="M27" i="17"/>
  <c r="M11" i="17"/>
  <c r="M21" i="17"/>
  <c r="M13" i="17"/>
  <c r="M32" i="17"/>
  <c r="M18" i="17"/>
  <c r="M23" i="17"/>
  <c r="M22" i="17"/>
  <c r="M30" i="17"/>
  <c r="M31" i="17"/>
  <c r="M12" i="17"/>
  <c r="M15" i="17"/>
  <c r="I41" i="8"/>
  <c r="I42" i="8"/>
  <c r="H25" i="13"/>
  <c r="I25" i="13"/>
  <c r="F22" i="13"/>
  <c r="G25" i="13"/>
  <c r="G22" i="13"/>
  <c r="H22" i="13"/>
  <c r="E22" i="13"/>
  <c r="I22" i="13"/>
  <c r="F25" i="13"/>
  <c r="E25" i="13"/>
  <c r="L73" i="12" l="1"/>
  <c r="L74" i="12"/>
  <c r="L75" i="12"/>
  <c r="L76" i="12"/>
  <c r="F18" i="16"/>
  <c r="F33" i="16"/>
  <c r="F27" i="16"/>
  <c r="F24" i="16"/>
  <c r="F38" i="16"/>
  <c r="F16" i="16"/>
  <c r="F25" i="16"/>
  <c r="F37" i="16"/>
  <c r="F19" i="16"/>
  <c r="F15" i="16"/>
  <c r="M161" i="17"/>
  <c r="F32" i="16"/>
  <c r="F22" i="16"/>
  <c r="F26" i="16"/>
  <c r="F23" i="16"/>
  <c r="F17" i="16"/>
  <c r="F39" i="16"/>
  <c r="F20" i="16"/>
  <c r="F34" i="16"/>
  <c r="F21" i="16"/>
  <c r="H35" i="16"/>
  <c r="H36" i="16"/>
  <c r="D64" i="8"/>
  <c r="E64" i="8"/>
  <c r="F64" i="8"/>
  <c r="G64" i="8"/>
  <c r="C64" i="8"/>
  <c r="C36" i="8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160" i="6"/>
  <c r="Y67" i="6"/>
  <c r="Y68" i="6"/>
  <c r="Y69" i="6"/>
  <c r="Y70" i="6"/>
  <c r="Y71" i="6"/>
  <c r="Y72" i="6"/>
  <c r="Y73" i="6"/>
  <c r="Y74" i="6"/>
  <c r="Y75" i="6"/>
  <c r="Y76" i="6"/>
  <c r="Y77" i="6"/>
  <c r="Y78" i="6"/>
  <c r="Y79" i="6"/>
  <c r="Y80" i="6"/>
  <c r="Y81" i="6"/>
  <c r="Y82" i="6"/>
  <c r="Y83" i="6"/>
  <c r="Y84" i="6"/>
  <c r="Y85" i="6"/>
  <c r="Y86" i="6"/>
  <c r="Y87" i="6"/>
  <c r="Y88" i="6"/>
  <c r="Y89" i="6"/>
  <c r="Y90" i="6"/>
  <c r="Y91" i="6"/>
  <c r="Y92" i="6"/>
  <c r="Y93" i="6"/>
  <c r="Y94" i="6"/>
  <c r="Y95" i="6"/>
  <c r="Y96" i="6"/>
  <c r="Y97" i="6"/>
  <c r="Y98" i="6"/>
  <c r="Y99" i="6"/>
  <c r="Y100" i="6"/>
  <c r="Y101" i="6"/>
  <c r="Y102" i="6"/>
  <c r="Y103" i="6"/>
  <c r="Y104" i="6"/>
  <c r="Y105" i="6"/>
  <c r="Y106" i="6"/>
  <c r="Y107" i="6"/>
  <c r="Y108" i="6"/>
  <c r="Y109" i="6"/>
  <c r="Y110" i="6"/>
  <c r="Y111" i="6"/>
  <c r="Y112" i="6"/>
  <c r="Y113" i="6"/>
  <c r="Y114" i="6"/>
  <c r="Y115" i="6"/>
  <c r="Y116" i="6"/>
  <c r="Y117" i="6"/>
  <c r="Y118" i="6"/>
  <c r="Y119" i="6"/>
  <c r="Y120" i="6"/>
  <c r="Y121" i="6"/>
  <c r="Y122" i="6"/>
  <c r="Y123" i="6"/>
  <c r="Y124" i="6"/>
  <c r="Y125" i="6"/>
  <c r="Y126" i="6"/>
  <c r="Y127" i="6"/>
  <c r="Y128" i="6"/>
  <c r="Y129" i="6"/>
  <c r="Y130" i="6"/>
  <c r="Y131" i="6"/>
  <c r="Y132" i="6"/>
  <c r="Y133" i="6"/>
  <c r="Y134" i="6"/>
  <c r="Y135" i="6"/>
  <c r="Y136" i="6"/>
  <c r="Y137" i="6"/>
  <c r="Y138" i="6"/>
  <c r="Y139" i="6"/>
  <c r="Y140" i="6"/>
  <c r="Y141" i="6"/>
  <c r="Y142" i="6"/>
  <c r="Y143" i="6"/>
  <c r="Y144" i="6"/>
  <c r="Y145" i="6"/>
  <c r="Y146" i="6"/>
  <c r="Y147" i="6"/>
  <c r="Y148" i="6"/>
  <c r="Y149" i="6"/>
  <c r="Y150" i="6"/>
  <c r="Y151" i="6"/>
  <c r="Y152" i="6"/>
  <c r="Y153" i="6"/>
  <c r="Y154" i="6"/>
  <c r="Y155" i="6"/>
  <c r="Y156" i="6"/>
  <c r="Y157" i="6"/>
  <c r="Y158" i="6"/>
  <c r="Y159" i="6"/>
  <c r="Y160" i="6"/>
  <c r="D13" i="4"/>
  <c r="E13" i="4"/>
  <c r="F13" i="4"/>
  <c r="D14" i="4"/>
  <c r="E14" i="4"/>
  <c r="F14" i="4"/>
  <c r="D15" i="4"/>
  <c r="E15" i="4"/>
  <c r="F15" i="4"/>
  <c r="D16" i="4"/>
  <c r="E16" i="4"/>
  <c r="F16" i="4"/>
  <c r="E17" i="4"/>
  <c r="F17" i="4"/>
  <c r="D18" i="4"/>
  <c r="E18" i="4"/>
  <c r="F18" i="4"/>
  <c r="D19" i="4"/>
  <c r="E19" i="4"/>
  <c r="F19" i="4"/>
  <c r="C92" i="16"/>
  <c r="D92" i="16"/>
  <c r="E92" i="16"/>
  <c r="E12" i="4"/>
  <c r="F12" i="4"/>
  <c r="D12" i="4"/>
  <c r="C13" i="4"/>
  <c r="C14" i="4"/>
  <c r="C15" i="4"/>
  <c r="C16" i="4"/>
  <c r="C17" i="4"/>
  <c r="C18" i="4"/>
  <c r="C19" i="4"/>
  <c r="C71" i="7"/>
  <c r="D35" i="7"/>
  <c r="D71" i="7"/>
  <c r="E35" i="7"/>
  <c r="E71" i="7"/>
  <c r="C35" i="7"/>
  <c r="F35" i="7"/>
  <c r="F71" i="7"/>
  <c r="G35" i="7"/>
  <c r="G71" i="7"/>
  <c r="L147" i="10" l="1"/>
  <c r="N116" i="10"/>
  <c r="M98" i="10"/>
  <c r="N160" i="10"/>
  <c r="M119" i="10"/>
  <c r="N139" i="10"/>
  <c r="M75" i="10"/>
  <c r="N156" i="10"/>
  <c r="M108" i="10"/>
  <c r="M114" i="10"/>
  <c r="L126" i="10"/>
  <c r="L158" i="12"/>
  <c r="N85" i="10"/>
  <c r="N155" i="10"/>
  <c r="N145" i="10"/>
  <c r="L117" i="10"/>
  <c r="N131" i="10"/>
  <c r="P116" i="10"/>
  <c r="L107" i="10"/>
  <c r="L156" i="12"/>
  <c r="P133" i="10"/>
  <c r="O108" i="10"/>
  <c r="M84" i="10"/>
  <c r="N135" i="10"/>
  <c r="L137" i="10"/>
  <c r="L125" i="10"/>
  <c r="K159" i="12"/>
  <c r="M154" i="10"/>
  <c r="P100" i="10"/>
  <c r="L128" i="10"/>
  <c r="O116" i="10"/>
  <c r="N132" i="10"/>
  <c r="N109" i="10"/>
  <c r="L84" i="10"/>
  <c r="M124" i="10"/>
  <c r="M131" i="10"/>
  <c r="M99" i="10"/>
  <c r="O96" i="10"/>
  <c r="AF157" i="12"/>
  <c r="L88" i="10"/>
  <c r="L157" i="12"/>
  <c r="N138" i="10"/>
  <c r="P160" i="10"/>
  <c r="L111" i="10"/>
  <c r="P148" i="10"/>
  <c r="P77" i="10"/>
  <c r="N106" i="10"/>
  <c r="P156" i="10"/>
  <c r="O126" i="10"/>
  <c r="M149" i="10"/>
  <c r="L82" i="10"/>
  <c r="N157" i="10"/>
  <c r="N96" i="10"/>
  <c r="P158" i="10"/>
  <c r="L148" i="10"/>
  <c r="M136" i="10"/>
  <c r="N129" i="10"/>
  <c r="O152" i="10"/>
  <c r="L101" i="10"/>
  <c r="N122" i="10"/>
  <c r="L105" i="10"/>
  <c r="O159" i="10"/>
  <c r="M139" i="10"/>
  <c r="P115" i="10"/>
  <c r="L86" i="10"/>
  <c r="AG157" i="12"/>
  <c r="N98" i="10"/>
  <c r="O81" i="10"/>
  <c r="M156" i="10"/>
  <c r="L140" i="10"/>
  <c r="L78" i="10"/>
  <c r="N75" i="10"/>
  <c r="O140" i="10"/>
  <c r="L145" i="10"/>
  <c r="O105" i="10"/>
  <c r="M115" i="10"/>
  <c r="O72" i="10"/>
  <c r="P130" i="10"/>
  <c r="P143" i="10"/>
  <c r="P123" i="10"/>
  <c r="O132" i="10"/>
  <c r="P131" i="10"/>
  <c r="O102" i="10"/>
  <c r="M88" i="10"/>
  <c r="M87" i="10"/>
  <c r="L118" i="10"/>
  <c r="P149" i="10"/>
  <c r="M157" i="10"/>
  <c r="O99" i="10"/>
  <c r="M142" i="10"/>
  <c r="O149" i="10"/>
  <c r="L159" i="10"/>
  <c r="AF160" i="12"/>
  <c r="L73" i="10"/>
  <c r="L97" i="10"/>
  <c r="N77" i="10"/>
  <c r="O123" i="10"/>
  <c r="M143" i="10"/>
  <c r="L93" i="10"/>
  <c r="L110" i="10"/>
  <c r="O86" i="10"/>
  <c r="P120" i="10"/>
  <c r="P99" i="10"/>
  <c r="P108" i="10"/>
  <c r="P155" i="10"/>
  <c r="P147" i="10"/>
  <c r="O155" i="10"/>
  <c r="N84" i="10"/>
  <c r="N99" i="10"/>
  <c r="L95" i="10"/>
  <c r="L116" i="10"/>
  <c r="P126" i="10"/>
  <c r="M123" i="10"/>
  <c r="L112" i="10"/>
  <c r="P124" i="10"/>
  <c r="O160" i="10"/>
  <c r="M127" i="10"/>
  <c r="AG160" i="12"/>
  <c r="N100" i="10"/>
  <c r="P154" i="10"/>
  <c r="O157" i="10"/>
  <c r="L92" i="10"/>
  <c r="M160" i="10"/>
  <c r="L85" i="10"/>
  <c r="N149" i="10"/>
  <c r="L99" i="10"/>
  <c r="L76" i="10"/>
  <c r="P76" i="10"/>
  <c r="N104" i="10"/>
  <c r="P152" i="10"/>
  <c r="N103" i="10"/>
  <c r="L108" i="10"/>
  <c r="M148" i="10"/>
  <c r="L144" i="10"/>
  <c r="O97" i="10"/>
  <c r="L132" i="10"/>
  <c r="L72" i="10"/>
  <c r="N102" i="10"/>
  <c r="L135" i="10"/>
  <c r="O125" i="10"/>
  <c r="L96" i="10"/>
  <c r="M125" i="10"/>
  <c r="L83" i="10"/>
  <c r="O127" i="10"/>
  <c r="M72" i="10"/>
  <c r="M141" i="10"/>
  <c r="K156" i="12"/>
  <c r="N158" i="10"/>
  <c r="L103" i="10"/>
  <c r="P140" i="10"/>
  <c r="M133" i="10"/>
  <c r="N150" i="10"/>
  <c r="N81" i="10"/>
  <c r="O135" i="10"/>
  <c r="P139" i="10"/>
  <c r="M105" i="10"/>
  <c r="M103" i="10"/>
  <c r="M126" i="10"/>
  <c r="N130" i="10"/>
  <c r="L109" i="10"/>
  <c r="N78" i="10"/>
  <c r="P153" i="10"/>
  <c r="M151" i="10"/>
  <c r="O76" i="10"/>
  <c r="M137" i="10"/>
  <c r="N133" i="10"/>
  <c r="O82" i="10"/>
  <c r="N159" i="10"/>
  <c r="L134" i="10"/>
  <c r="M112" i="10"/>
  <c r="O148" i="10"/>
  <c r="L114" i="10"/>
  <c r="P102" i="10"/>
  <c r="M146" i="10"/>
  <c r="N144" i="10"/>
  <c r="K157" i="12"/>
  <c r="O131" i="10"/>
  <c r="P135" i="10"/>
  <c r="O120" i="10"/>
  <c r="N143" i="10"/>
  <c r="P141" i="10"/>
  <c r="N95" i="10"/>
  <c r="O156" i="10"/>
  <c r="P75" i="10"/>
  <c r="P159" i="10"/>
  <c r="L80" i="10"/>
  <c r="K158" i="12"/>
  <c r="P89" i="10"/>
  <c r="N74" i="10"/>
  <c r="L142" i="10"/>
  <c r="N79" i="10"/>
  <c r="P110" i="10"/>
  <c r="P121" i="10"/>
  <c r="M150" i="10"/>
  <c r="AF159" i="12"/>
  <c r="N141" i="10"/>
  <c r="M90" i="10"/>
  <c r="M130" i="10"/>
  <c r="N151" i="10"/>
  <c r="O151" i="10"/>
  <c r="L90" i="10"/>
  <c r="N147" i="10"/>
  <c r="O100" i="10"/>
  <c r="O139" i="10"/>
  <c r="O154" i="10"/>
  <c r="P92" i="10"/>
  <c r="P114" i="10"/>
  <c r="N118" i="10"/>
  <c r="M153" i="10"/>
  <c r="O109" i="10"/>
  <c r="O92" i="10"/>
  <c r="L87" i="10"/>
  <c r="O93" i="10"/>
  <c r="M111" i="10"/>
  <c r="P85" i="10"/>
  <c r="L74" i="10"/>
  <c r="O112" i="10"/>
  <c r="O146" i="10"/>
  <c r="L158" i="10"/>
  <c r="P94" i="10"/>
  <c r="N93" i="10"/>
  <c r="O98" i="10"/>
  <c r="P157" i="10"/>
  <c r="M80" i="10"/>
  <c r="P134" i="10"/>
  <c r="P91" i="10"/>
  <c r="L104" i="10"/>
  <c r="M109" i="10"/>
  <c r="P83" i="10"/>
  <c r="M100" i="10"/>
  <c r="P145" i="10"/>
  <c r="M74" i="10"/>
  <c r="L79" i="10"/>
  <c r="N105" i="10"/>
  <c r="P125" i="10"/>
  <c r="P146" i="10"/>
  <c r="O147" i="10"/>
  <c r="N148" i="10"/>
  <c r="O73" i="10"/>
  <c r="M83" i="10"/>
  <c r="L123" i="10"/>
  <c r="N107" i="10"/>
  <c r="M117" i="10"/>
  <c r="O87" i="10"/>
  <c r="P136" i="10"/>
  <c r="L121" i="10"/>
  <c r="M138" i="10"/>
  <c r="AF156" i="12"/>
  <c r="M147" i="10"/>
  <c r="M82" i="10"/>
  <c r="O103" i="10"/>
  <c r="P101" i="10"/>
  <c r="O79" i="10"/>
  <c r="N92" i="10"/>
  <c r="P105" i="10"/>
  <c r="O130" i="10"/>
  <c r="O83" i="10"/>
  <c r="L155" i="10"/>
  <c r="P118" i="10"/>
  <c r="M85" i="10"/>
  <c r="M73" i="10"/>
  <c r="N108" i="10"/>
  <c r="N114" i="10"/>
  <c r="L129" i="10"/>
  <c r="N76" i="10"/>
  <c r="N86" i="10"/>
  <c r="N115" i="10"/>
  <c r="N82" i="10"/>
  <c r="M135" i="10"/>
  <c r="P87" i="10"/>
  <c r="M107" i="10"/>
  <c r="M96" i="10"/>
  <c r="O74" i="10"/>
  <c r="O88" i="10"/>
  <c r="M113" i="10"/>
  <c r="M121" i="10"/>
  <c r="M95" i="10"/>
  <c r="P138" i="10"/>
  <c r="N140" i="10"/>
  <c r="M152" i="10"/>
  <c r="P132" i="10"/>
  <c r="L120" i="10"/>
  <c r="O111" i="10"/>
  <c r="L113" i="10"/>
  <c r="M97" i="10"/>
  <c r="L151" i="10"/>
  <c r="L124" i="10"/>
  <c r="P128" i="10"/>
  <c r="N88" i="10"/>
  <c r="N123" i="10"/>
  <c r="O122" i="10"/>
  <c r="AG156" i="12"/>
  <c r="N119" i="10"/>
  <c r="L159" i="12"/>
  <c r="O124" i="10"/>
  <c r="P79" i="10"/>
  <c r="M155" i="10"/>
  <c r="M134" i="10"/>
  <c r="O121" i="10"/>
  <c r="M76" i="10"/>
  <c r="M128" i="10"/>
  <c r="L115" i="10"/>
  <c r="M132" i="10"/>
  <c r="O145" i="10"/>
  <c r="L160" i="10"/>
  <c r="AG159" i="12"/>
  <c r="P78" i="10"/>
  <c r="P95" i="10"/>
  <c r="M91" i="10"/>
  <c r="O119" i="10"/>
  <c r="N124" i="10"/>
  <c r="L141" i="10"/>
  <c r="O136" i="10"/>
  <c r="N72" i="10"/>
  <c r="L75" i="10"/>
  <c r="L77" i="10"/>
  <c r="P109" i="10"/>
  <c r="P86" i="10"/>
  <c r="N101" i="10"/>
  <c r="P82" i="10"/>
  <c r="L156" i="10"/>
  <c r="L143" i="10"/>
  <c r="L139" i="10"/>
  <c r="P81" i="10"/>
  <c r="L91" i="10"/>
  <c r="O110" i="10"/>
  <c r="O91" i="10"/>
  <c r="M158" i="10"/>
  <c r="O101" i="10"/>
  <c r="M106" i="10"/>
  <c r="M104" i="10"/>
  <c r="P129" i="10"/>
  <c r="L146" i="10"/>
  <c r="M145" i="10"/>
  <c r="L119" i="10"/>
  <c r="L131" i="10"/>
  <c r="N112" i="10"/>
  <c r="O94" i="10"/>
  <c r="K160" i="12"/>
  <c r="M86" i="10"/>
  <c r="N73" i="10"/>
  <c r="N134" i="10"/>
  <c r="N137" i="10"/>
  <c r="N89" i="10"/>
  <c r="L122" i="10"/>
  <c r="P74" i="10"/>
  <c r="O134" i="10"/>
  <c r="P106" i="10"/>
  <c r="P104" i="10"/>
  <c r="M93" i="10"/>
  <c r="M140" i="10"/>
  <c r="O142" i="10"/>
  <c r="M122" i="10"/>
  <c r="P144" i="10"/>
  <c r="M116" i="10"/>
  <c r="L81" i="10"/>
  <c r="M129" i="10"/>
  <c r="O118" i="10"/>
  <c r="O143" i="10"/>
  <c r="M102" i="10"/>
  <c r="O90" i="10"/>
  <c r="O153" i="10"/>
  <c r="P113" i="10"/>
  <c r="O138" i="10"/>
  <c r="N113" i="10"/>
  <c r="N126" i="10"/>
  <c r="M77" i="10"/>
  <c r="M110" i="10"/>
  <c r="P150" i="10"/>
  <c r="L149" i="10"/>
  <c r="M89" i="10"/>
  <c r="O113" i="10"/>
  <c r="N90" i="10"/>
  <c r="P96" i="10"/>
  <c r="O104" i="10"/>
  <c r="O115" i="10"/>
  <c r="N127" i="10"/>
  <c r="N111" i="10"/>
  <c r="O117" i="10"/>
  <c r="P90" i="10"/>
  <c r="P72" i="10"/>
  <c r="L150" i="10"/>
  <c r="AG158" i="12"/>
  <c r="P88" i="10"/>
  <c r="L98" i="10"/>
  <c r="O77" i="10"/>
  <c r="N154" i="10"/>
  <c r="N142" i="10"/>
  <c r="P112" i="10"/>
  <c r="O107" i="10"/>
  <c r="L154" i="10"/>
  <c r="M94" i="10"/>
  <c r="N146" i="10"/>
  <c r="L157" i="10"/>
  <c r="O80" i="10"/>
  <c r="P119" i="10"/>
  <c r="P80" i="10"/>
  <c r="L127" i="10"/>
  <c r="N94" i="10"/>
  <c r="O150" i="10"/>
  <c r="O75" i="10"/>
  <c r="M120" i="10"/>
  <c r="P73" i="10"/>
  <c r="N125" i="10"/>
  <c r="L152" i="10"/>
  <c r="M81" i="10"/>
  <c r="L89" i="10"/>
  <c r="N87" i="10"/>
  <c r="M92" i="10"/>
  <c r="N91" i="10"/>
  <c r="L133" i="10"/>
  <c r="N117" i="10"/>
  <c r="L106" i="10"/>
  <c r="O158" i="10"/>
  <c r="M159" i="10"/>
  <c r="P127" i="10"/>
  <c r="P142" i="10"/>
  <c r="N120" i="10"/>
  <c r="O89" i="10"/>
  <c r="O129" i="10"/>
  <c r="O106" i="10"/>
  <c r="P93" i="10"/>
  <c r="O128" i="10"/>
  <c r="M144" i="10"/>
  <c r="P98" i="10"/>
  <c r="L136" i="10"/>
  <c r="N121" i="10"/>
  <c r="AF158" i="12"/>
  <c r="P111" i="10"/>
  <c r="O141" i="10"/>
  <c r="O78" i="10"/>
  <c r="N128" i="10"/>
  <c r="P151" i="10"/>
  <c r="P103" i="10"/>
  <c r="P97" i="10"/>
  <c r="L100" i="10"/>
  <c r="M78" i="10"/>
  <c r="L94" i="10"/>
  <c r="N97" i="10"/>
  <c r="P122" i="10"/>
  <c r="N153" i="10"/>
  <c r="N152" i="10"/>
  <c r="O144" i="10"/>
  <c r="P137" i="10"/>
  <c r="O133" i="10"/>
  <c r="O95" i="10"/>
  <c r="L160" i="12"/>
  <c r="M79" i="10"/>
  <c r="N80" i="10"/>
  <c r="N110" i="10"/>
  <c r="N83" i="10"/>
  <c r="M118" i="10"/>
  <c r="M101" i="10"/>
  <c r="O114" i="10"/>
  <c r="O85" i="10"/>
  <c r="L102" i="10"/>
  <c r="L130" i="10"/>
  <c r="P117" i="10"/>
  <c r="P84" i="10"/>
  <c r="O137" i="10"/>
  <c r="P107" i="10"/>
  <c r="L138" i="10"/>
  <c r="L153" i="10"/>
  <c r="O84" i="10"/>
  <c r="N136" i="10"/>
  <c r="D84" i="16"/>
  <c r="D118" i="16" s="1"/>
  <c r="D87" i="16"/>
  <c r="D121" i="16" s="1"/>
  <c r="C87" i="16"/>
  <c r="C121" i="16" s="1"/>
  <c r="E86" i="16"/>
  <c r="E120" i="16" s="1"/>
  <c r="D86" i="16"/>
  <c r="D120" i="16" s="1"/>
  <c r="C86" i="16"/>
  <c r="C120" i="16" s="1"/>
  <c r="D91" i="16"/>
  <c r="D125" i="16" s="1"/>
  <c r="E85" i="16"/>
  <c r="E119" i="16" s="1"/>
  <c r="C91" i="16"/>
  <c r="C125" i="16" s="1"/>
  <c r="D85" i="16"/>
  <c r="D119" i="16" s="1"/>
  <c r="E90" i="16"/>
  <c r="E124" i="16" s="1"/>
  <c r="C85" i="16"/>
  <c r="C119" i="16" s="1"/>
  <c r="D90" i="16"/>
  <c r="D124" i="16" s="1"/>
  <c r="C90" i="16"/>
  <c r="C124" i="16" s="1"/>
  <c r="E89" i="16"/>
  <c r="E123" i="16" s="1"/>
  <c r="E91" i="16"/>
  <c r="E125" i="16" s="1"/>
  <c r="D89" i="16"/>
  <c r="D123" i="16" s="1"/>
  <c r="E88" i="16"/>
  <c r="E122" i="16" s="1"/>
  <c r="D88" i="16"/>
  <c r="D122" i="16" s="1"/>
  <c r="C84" i="16"/>
  <c r="C118" i="16" s="1"/>
  <c r="C88" i="16"/>
  <c r="C122" i="16" s="1"/>
  <c r="E84" i="16"/>
  <c r="E118" i="16" s="1"/>
  <c r="E87" i="16"/>
  <c r="E121" i="16" s="1"/>
  <c r="D126" i="16"/>
  <c r="C126" i="16"/>
  <c r="E126" i="16"/>
  <c r="D49" i="8"/>
  <c r="F47" i="8" s="1"/>
  <c r="H75" i="8"/>
  <c r="AF88" i="12"/>
  <c r="AG149" i="12"/>
  <c r="AF54" i="12"/>
  <c r="AG106" i="12"/>
  <c r="AG59" i="12"/>
  <c r="AF94" i="12"/>
  <c r="AG99" i="12"/>
  <c r="AG63" i="12"/>
  <c r="AF111" i="12"/>
  <c r="AF101" i="12"/>
  <c r="AG55" i="12"/>
  <c r="AF65" i="12"/>
  <c r="AF63" i="12"/>
  <c r="AF68" i="12"/>
  <c r="AG115" i="12"/>
  <c r="AG150" i="12"/>
  <c r="AG129" i="12"/>
  <c r="AG108" i="12"/>
  <c r="AG79" i="12"/>
  <c r="AG132" i="12"/>
  <c r="AG128" i="12"/>
  <c r="AG153" i="12"/>
  <c r="AG138" i="12"/>
  <c r="AF70" i="12"/>
  <c r="AF55" i="12"/>
  <c r="AG54" i="12"/>
  <c r="AG62" i="12"/>
  <c r="AF141" i="12"/>
  <c r="AF85" i="12"/>
  <c r="AF92" i="12"/>
  <c r="AF95" i="12"/>
  <c r="AF57" i="12"/>
  <c r="AF73" i="12"/>
  <c r="AF136" i="12"/>
  <c r="AG97" i="12"/>
  <c r="AG61" i="12"/>
  <c r="AF154" i="12"/>
  <c r="AF97" i="12"/>
  <c r="AF90" i="12"/>
  <c r="AF104" i="12"/>
  <c r="AF122" i="12"/>
  <c r="AF106" i="12"/>
  <c r="AG87" i="12"/>
  <c r="AG134" i="12"/>
  <c r="AF146" i="12"/>
  <c r="AF133" i="12"/>
  <c r="AG147" i="12"/>
  <c r="AG146" i="12"/>
  <c r="AG142" i="12"/>
  <c r="AG95" i="12"/>
  <c r="AF77" i="12"/>
  <c r="AF61" i="12"/>
  <c r="AG148" i="12"/>
  <c r="AF127" i="12"/>
  <c r="AG71" i="12"/>
  <c r="AF105" i="12"/>
  <c r="AG107" i="12"/>
  <c r="AG154" i="12"/>
  <c r="AF89" i="12"/>
  <c r="AF86" i="12"/>
  <c r="AG113" i="12"/>
  <c r="AF114" i="12"/>
  <c r="AG74" i="12"/>
  <c r="AF81" i="12"/>
  <c r="AG103" i="12"/>
  <c r="AG144" i="12"/>
  <c r="AG67" i="12"/>
  <c r="AG121" i="12"/>
  <c r="AF72" i="12"/>
  <c r="AG130" i="12"/>
  <c r="AF102" i="12"/>
  <c r="AG69" i="12"/>
  <c r="AG141" i="12"/>
  <c r="AG85" i="12"/>
  <c r="AG109" i="12"/>
  <c r="AF62" i="12"/>
  <c r="AF82" i="12"/>
  <c r="AG110" i="12"/>
  <c r="AF56" i="12"/>
  <c r="AF71" i="12"/>
  <c r="AG120" i="12"/>
  <c r="AF128" i="12"/>
  <c r="AG105" i="12"/>
  <c r="AG96" i="12"/>
  <c r="AG101" i="12"/>
  <c r="AF59" i="12"/>
  <c r="AF140" i="12"/>
  <c r="AF112" i="12"/>
  <c r="AG75" i="12"/>
  <c r="AG126" i="12"/>
  <c r="AF93" i="12"/>
  <c r="AF139" i="12"/>
  <c r="AG84" i="12"/>
  <c r="AF108" i="12"/>
  <c r="AG98" i="12"/>
  <c r="AF75" i="12"/>
  <c r="AG118" i="12"/>
  <c r="AF134" i="12"/>
  <c r="AF150" i="12"/>
  <c r="AF100" i="12"/>
  <c r="AF155" i="12"/>
  <c r="AG155" i="12"/>
  <c r="AF87" i="12"/>
  <c r="AG83" i="12"/>
  <c r="AG117" i="12"/>
  <c r="AG93" i="12"/>
  <c r="AF138" i="12"/>
  <c r="AF118" i="12"/>
  <c r="AF110" i="12"/>
  <c r="AG114" i="12"/>
  <c r="AF76" i="12"/>
  <c r="AG111" i="12"/>
  <c r="AF78" i="12"/>
  <c r="AF83" i="12"/>
  <c r="AF103" i="12"/>
  <c r="AF149" i="12"/>
  <c r="AG100" i="12"/>
  <c r="AF119" i="12"/>
  <c r="AG64" i="12"/>
  <c r="AF107" i="12"/>
  <c r="AG66" i="12"/>
  <c r="AF98" i="12"/>
  <c r="AF99" i="12"/>
  <c r="AF153" i="12"/>
  <c r="AF125" i="12"/>
  <c r="AG81" i="12"/>
  <c r="AG140" i="12"/>
  <c r="AG133" i="12"/>
  <c r="AG135" i="12"/>
  <c r="AG94" i="12"/>
  <c r="AF131" i="12"/>
  <c r="AG145" i="12"/>
  <c r="AF132" i="12"/>
  <c r="AG90" i="12"/>
  <c r="AG116" i="12"/>
  <c r="AG122" i="12"/>
  <c r="AF123" i="12"/>
  <c r="AF79" i="12"/>
  <c r="AF117" i="12"/>
  <c r="AG60" i="12"/>
  <c r="AF124" i="12"/>
  <c r="AF58" i="12"/>
  <c r="AG123" i="12"/>
  <c r="AF109" i="12"/>
  <c r="AF113" i="12"/>
  <c r="AG152" i="12"/>
  <c r="AG119" i="12"/>
  <c r="AG82" i="12"/>
  <c r="AG88" i="12"/>
  <c r="AF130" i="12"/>
  <c r="AF80" i="12"/>
  <c r="AG136" i="12"/>
  <c r="AG58" i="12"/>
  <c r="AG89" i="12"/>
  <c r="AF60" i="12"/>
  <c r="AF66" i="12"/>
  <c r="AG124" i="12"/>
  <c r="AG91" i="12"/>
  <c r="AG131" i="12"/>
  <c r="AG104" i="12"/>
  <c r="AF69" i="12"/>
  <c r="AF126" i="12"/>
  <c r="AF67" i="12"/>
  <c r="AF96" i="12"/>
  <c r="AG137" i="12"/>
  <c r="AG56" i="12"/>
  <c r="AF84" i="12"/>
  <c r="AF129" i="12"/>
  <c r="AG112" i="12"/>
  <c r="AF64" i="12"/>
  <c r="AF147" i="12"/>
  <c r="AF137" i="12"/>
  <c r="AG125" i="12"/>
  <c r="AG65" i="12"/>
  <c r="AF74" i="12"/>
  <c r="AF135" i="12"/>
  <c r="AF151" i="12"/>
  <c r="AG78" i="12"/>
  <c r="AG151" i="12"/>
  <c r="AG86" i="12"/>
  <c r="AG92" i="12"/>
  <c r="AF115" i="12"/>
  <c r="AG72" i="12"/>
  <c r="AF142" i="12"/>
  <c r="AG143" i="12"/>
  <c r="AG80" i="12"/>
  <c r="AG77" i="12"/>
  <c r="AF148" i="12"/>
  <c r="AG70" i="12"/>
  <c r="AG127" i="12"/>
  <c r="AF116" i="12"/>
  <c r="AF143" i="12"/>
  <c r="AG139" i="12"/>
  <c r="AG68" i="12"/>
  <c r="AG102" i="12"/>
  <c r="AF91" i="12"/>
  <c r="AF152" i="12"/>
  <c r="AF145" i="12"/>
  <c r="AF144" i="12"/>
  <c r="AG73" i="12"/>
  <c r="AG76" i="12"/>
  <c r="AF120" i="12"/>
  <c r="AG57" i="12"/>
  <c r="AF121" i="12"/>
  <c r="K67" i="12"/>
  <c r="L67" i="12"/>
  <c r="AA67" i="12" s="1"/>
  <c r="K64" i="12"/>
  <c r="L65" i="12"/>
  <c r="O65" i="12" s="1"/>
  <c r="L66" i="12"/>
  <c r="O66" i="12" s="1"/>
  <c r="K66" i="12"/>
  <c r="L64" i="12"/>
  <c r="O64" i="12" s="1"/>
  <c r="K65" i="12"/>
  <c r="K68" i="12"/>
  <c r="K69" i="12"/>
  <c r="K71" i="12"/>
  <c r="L71" i="12"/>
  <c r="AA71" i="12" s="1"/>
  <c r="L70" i="12"/>
  <c r="O70" i="12" s="1"/>
  <c r="L68" i="12"/>
  <c r="O68" i="12" s="1"/>
  <c r="K70" i="12"/>
  <c r="L69" i="12"/>
  <c r="O69" i="12" s="1"/>
  <c r="C21" i="4"/>
  <c r="O79" i="12"/>
  <c r="AA79" i="12"/>
  <c r="O78" i="12"/>
  <c r="AA78" i="12"/>
  <c r="O73" i="12"/>
  <c r="AA73" i="12"/>
  <c r="O86" i="12"/>
  <c r="AA86" i="12"/>
  <c r="O75" i="12"/>
  <c r="AA75" i="12"/>
  <c r="O74" i="12"/>
  <c r="AA74" i="12"/>
  <c r="O80" i="12"/>
  <c r="AA80" i="12"/>
  <c r="O82" i="12"/>
  <c r="AA82" i="12"/>
  <c r="O85" i="12"/>
  <c r="AA85" i="12"/>
  <c r="O72" i="12"/>
  <c r="AA72" i="12"/>
  <c r="O83" i="12"/>
  <c r="AA83" i="12"/>
  <c r="O81" i="12"/>
  <c r="AA81" i="12"/>
  <c r="O76" i="12"/>
  <c r="AA76" i="12"/>
  <c r="O77" i="12"/>
  <c r="AA77" i="12"/>
  <c r="AD149" i="12"/>
  <c r="AC149" i="12"/>
  <c r="AC125" i="12"/>
  <c r="AD125" i="12"/>
  <c r="AC135" i="12"/>
  <c r="AD135" i="12"/>
  <c r="AD150" i="12"/>
  <c r="AC150" i="12"/>
  <c r="AD138" i="12"/>
  <c r="AC138" i="12"/>
  <c r="AD126" i="12"/>
  <c r="AC126" i="12"/>
  <c r="AD114" i="12"/>
  <c r="AC114" i="12"/>
  <c r="AD102" i="12"/>
  <c r="AC102" i="12"/>
  <c r="AD90" i="12"/>
  <c r="AC90" i="12"/>
  <c r="AS155" i="10"/>
  <c r="AZ155" i="10"/>
  <c r="AZ143" i="10"/>
  <c r="AS143" i="10"/>
  <c r="AS131" i="10"/>
  <c r="AZ131" i="10"/>
  <c r="AZ119" i="10"/>
  <c r="AS119" i="10"/>
  <c r="AZ107" i="10"/>
  <c r="AS107" i="10"/>
  <c r="AZ95" i="10"/>
  <c r="AS95" i="10"/>
  <c r="AC101" i="12"/>
  <c r="AD101" i="12"/>
  <c r="AS130" i="10"/>
  <c r="AZ130" i="10"/>
  <c r="AZ118" i="10"/>
  <c r="AS118" i="10"/>
  <c r="AZ106" i="10"/>
  <c r="AS106" i="10"/>
  <c r="AZ94" i="10"/>
  <c r="AS94" i="10"/>
  <c r="AZ154" i="10"/>
  <c r="AS154" i="10"/>
  <c r="AZ142" i="10"/>
  <c r="AS142" i="10"/>
  <c r="AC148" i="12"/>
  <c r="AD148" i="12"/>
  <c r="AC136" i="12"/>
  <c r="AD136" i="12"/>
  <c r="AC124" i="12"/>
  <c r="AD124" i="12"/>
  <c r="AD112" i="12"/>
  <c r="AC112" i="12"/>
  <c r="AD100" i="12"/>
  <c r="AC100" i="12"/>
  <c r="AD88" i="12"/>
  <c r="AJ88" i="12" s="1"/>
  <c r="AC88" i="12"/>
  <c r="AI88" i="12" s="1"/>
  <c r="AZ153" i="10"/>
  <c r="AS153" i="10"/>
  <c r="AZ141" i="10"/>
  <c r="AS141" i="10"/>
  <c r="AZ129" i="10"/>
  <c r="AS129" i="10"/>
  <c r="AZ117" i="10"/>
  <c r="AS117" i="10"/>
  <c r="AZ105" i="10"/>
  <c r="AS105" i="10"/>
  <c r="AZ93" i="10"/>
  <c r="AS93" i="10"/>
  <c r="AS128" i="10"/>
  <c r="AZ128" i="10"/>
  <c r="AZ116" i="10"/>
  <c r="AS116" i="10"/>
  <c r="AZ104" i="10"/>
  <c r="AS104" i="10"/>
  <c r="AZ92" i="10"/>
  <c r="AS92" i="10"/>
  <c r="AZ139" i="10"/>
  <c r="AS139" i="10"/>
  <c r="AS127" i="10"/>
  <c r="AZ127" i="10"/>
  <c r="AZ115" i="10"/>
  <c r="AS115" i="10"/>
  <c r="AZ103" i="10"/>
  <c r="AS103" i="10"/>
  <c r="AS91" i="10"/>
  <c r="AZ91" i="10"/>
  <c r="AZ138" i="10"/>
  <c r="AS138" i="10"/>
  <c r="AZ126" i="10"/>
  <c r="AS126" i="10"/>
  <c r="AZ114" i="10"/>
  <c r="AS114" i="10"/>
  <c r="AZ102" i="10"/>
  <c r="AS102" i="10"/>
  <c r="AZ90" i="10"/>
  <c r="AS90" i="10"/>
  <c r="AZ137" i="10"/>
  <c r="AS137" i="10"/>
  <c r="AZ125" i="10"/>
  <c r="AS125" i="10"/>
  <c r="AS113" i="10"/>
  <c r="AZ113" i="10"/>
  <c r="AS101" i="10"/>
  <c r="AZ101" i="10"/>
  <c r="AS89" i="10"/>
  <c r="AZ89" i="10"/>
  <c r="AZ150" i="10"/>
  <c r="AS150" i="10"/>
  <c r="AC144" i="12"/>
  <c r="AD144" i="12"/>
  <c r="AD120" i="12"/>
  <c r="AC120" i="12"/>
  <c r="AD96" i="12"/>
  <c r="AC96" i="12"/>
  <c r="AD131" i="12"/>
  <c r="AC131" i="12"/>
  <c r="AZ136" i="10"/>
  <c r="AS136" i="10"/>
  <c r="AZ124" i="10"/>
  <c r="AS124" i="10"/>
  <c r="AZ112" i="10"/>
  <c r="AS112" i="10"/>
  <c r="AS100" i="10"/>
  <c r="AZ100" i="10"/>
  <c r="AS88" i="10"/>
  <c r="AZ88" i="10"/>
  <c r="AS152" i="10"/>
  <c r="AZ152" i="10"/>
  <c r="AC134" i="12"/>
  <c r="AD134" i="12"/>
  <c r="AD110" i="12"/>
  <c r="AC110" i="12"/>
  <c r="AD133" i="12"/>
  <c r="AC133" i="12"/>
  <c r="AD109" i="12"/>
  <c r="AC109" i="12"/>
  <c r="AD132" i="12"/>
  <c r="AC132" i="12"/>
  <c r="AD95" i="12"/>
  <c r="AC95" i="12"/>
  <c r="AZ147" i="10"/>
  <c r="AS147" i="10"/>
  <c r="AZ135" i="10"/>
  <c r="AS135" i="10"/>
  <c r="AZ123" i="10"/>
  <c r="AS123" i="10"/>
  <c r="AZ111" i="10"/>
  <c r="AS111" i="10"/>
  <c r="AZ99" i="10"/>
  <c r="AS99" i="10"/>
  <c r="AZ87" i="10"/>
  <c r="AS87" i="10"/>
  <c r="AZ151" i="10"/>
  <c r="AS151" i="10"/>
  <c r="AC145" i="12"/>
  <c r="AD145" i="12"/>
  <c r="AD121" i="12"/>
  <c r="AC121" i="12"/>
  <c r="AC97" i="12"/>
  <c r="AD97" i="12"/>
  <c r="AD108" i="12"/>
  <c r="AC108" i="12"/>
  <c r="AZ148" i="10"/>
  <c r="AS148" i="10"/>
  <c r="AD154" i="12"/>
  <c r="AC154" i="12"/>
  <c r="AC130" i="12"/>
  <c r="AD130" i="12"/>
  <c r="AC106" i="12"/>
  <c r="AD106" i="12"/>
  <c r="AC94" i="12"/>
  <c r="AD94" i="12"/>
  <c r="AD153" i="12"/>
  <c r="AC153" i="12"/>
  <c r="AD141" i="12"/>
  <c r="AC141" i="12"/>
  <c r="AD129" i="12"/>
  <c r="AC129" i="12"/>
  <c r="AD117" i="12"/>
  <c r="AC117" i="12"/>
  <c r="AC105" i="12"/>
  <c r="AD105" i="12"/>
  <c r="AD93" i="12"/>
  <c r="AC93" i="12"/>
  <c r="AS146" i="10"/>
  <c r="AZ146" i="10"/>
  <c r="AZ134" i="10"/>
  <c r="AS134" i="10"/>
  <c r="AZ122" i="10"/>
  <c r="AS122" i="10"/>
  <c r="AZ110" i="10"/>
  <c r="AS110" i="10"/>
  <c r="AZ98" i="10"/>
  <c r="AS98" i="10"/>
  <c r="AS140" i="10"/>
  <c r="AZ140" i="10"/>
  <c r="AC146" i="12"/>
  <c r="AD146" i="12"/>
  <c r="AC122" i="12"/>
  <c r="AD122" i="12"/>
  <c r="AC98" i="12"/>
  <c r="AD98" i="12"/>
  <c r="AC152" i="12"/>
  <c r="AD152" i="12"/>
  <c r="AC140" i="12"/>
  <c r="AD140" i="12"/>
  <c r="AD128" i="12"/>
  <c r="AC128" i="12"/>
  <c r="AD104" i="12"/>
  <c r="AC104" i="12"/>
  <c r="AD92" i="12"/>
  <c r="AC92" i="12"/>
  <c r="AZ109" i="10"/>
  <c r="AS109" i="10"/>
  <c r="AS97" i="10"/>
  <c r="AZ97" i="10"/>
  <c r="AD137" i="12"/>
  <c r="AC137" i="12"/>
  <c r="AC113" i="12"/>
  <c r="AD113" i="12"/>
  <c r="AC89" i="12"/>
  <c r="AI89" i="12" s="1"/>
  <c r="AD89" i="12"/>
  <c r="AJ89" i="12" s="1"/>
  <c r="AD147" i="12"/>
  <c r="AC147" i="12"/>
  <c r="AD123" i="12"/>
  <c r="AC123" i="12"/>
  <c r="AD111" i="12"/>
  <c r="AC111" i="12"/>
  <c r="AC99" i="12"/>
  <c r="AD99" i="12"/>
  <c r="AC87" i="12"/>
  <c r="AI87" i="12" s="1"/>
  <c r="AD87" i="12"/>
  <c r="AJ87" i="12" s="1"/>
  <c r="AZ149" i="10"/>
  <c r="AS149" i="10"/>
  <c r="AD155" i="12"/>
  <c r="AC155" i="12"/>
  <c r="AC143" i="12"/>
  <c r="AD143" i="12"/>
  <c r="AC119" i="12"/>
  <c r="AD119" i="12"/>
  <c r="AD107" i="12"/>
  <c r="AC107" i="12"/>
  <c r="AD142" i="12"/>
  <c r="AC142" i="12"/>
  <c r="AD118" i="12"/>
  <c r="AC118" i="12"/>
  <c r="AC116" i="12"/>
  <c r="AD116" i="12"/>
  <c r="AS145" i="10"/>
  <c r="AZ145" i="10"/>
  <c r="AZ133" i="10"/>
  <c r="AS133" i="10"/>
  <c r="AS121" i="10"/>
  <c r="AZ121" i="10"/>
  <c r="AD151" i="12"/>
  <c r="AC151" i="12"/>
  <c r="AC139" i="12"/>
  <c r="AD139" i="12"/>
  <c r="AC127" i="12"/>
  <c r="AD127" i="12"/>
  <c r="AC115" i="12"/>
  <c r="AD115" i="12"/>
  <c r="AC103" i="12"/>
  <c r="AD103" i="12"/>
  <c r="AC91" i="12"/>
  <c r="AD91" i="12"/>
  <c r="AZ144" i="10"/>
  <c r="AS144" i="10"/>
  <c r="AZ132" i="10"/>
  <c r="AS132" i="10"/>
  <c r="AZ120" i="10"/>
  <c r="AS120" i="10"/>
  <c r="AS108" i="10"/>
  <c r="AZ108" i="10"/>
  <c r="AZ96" i="10"/>
  <c r="AS96" i="10"/>
  <c r="C70" i="8"/>
  <c r="C71" i="8" s="1"/>
  <c r="C65" i="8"/>
  <c r="D17" i="4"/>
  <c r="E21" i="4"/>
  <c r="F21" i="4"/>
  <c r="Q81" i="10" l="1"/>
  <c r="Q74" i="10"/>
  <c r="W137" i="10"/>
  <c r="AD137" i="10" s="1"/>
  <c r="AK137" i="10" s="1"/>
  <c r="BM137" i="10"/>
  <c r="V129" i="10"/>
  <c r="AC129" i="10" s="1"/>
  <c r="AJ129" i="10" s="1"/>
  <c r="BL129" i="10"/>
  <c r="U87" i="10"/>
  <c r="AB87" i="10" s="1"/>
  <c r="AI87" i="10" s="1"/>
  <c r="BK87" i="10"/>
  <c r="V113" i="10"/>
  <c r="AC113" i="10" s="1"/>
  <c r="BL113" i="10"/>
  <c r="BJ102" i="10"/>
  <c r="T102" i="10"/>
  <c r="AA102" i="10" s="1"/>
  <c r="AH102" i="10" s="1"/>
  <c r="W106" i="10"/>
  <c r="AD106" i="10" s="1"/>
  <c r="AK106" i="10" s="1"/>
  <c r="BM106" i="10"/>
  <c r="Q131" i="10"/>
  <c r="S131" i="10"/>
  <c r="BI131" i="10"/>
  <c r="Q141" i="10"/>
  <c r="S141" i="10"/>
  <c r="BI141" i="10"/>
  <c r="W128" i="10"/>
  <c r="AD128" i="10" s="1"/>
  <c r="AK128" i="10" s="1"/>
  <c r="BM128" i="10"/>
  <c r="T121" i="10"/>
  <c r="AA121" i="10" s="1"/>
  <c r="AH121" i="10" s="1"/>
  <c r="BJ121" i="10"/>
  <c r="Q129" i="10"/>
  <c r="S129" i="10"/>
  <c r="BI129" i="10"/>
  <c r="W101" i="10"/>
  <c r="AD101" i="10" s="1"/>
  <c r="AK101" i="10" s="1"/>
  <c r="BM101" i="10"/>
  <c r="BJ109" i="10"/>
  <c r="T109" i="10"/>
  <c r="V139" i="10"/>
  <c r="AC139" i="10" s="1"/>
  <c r="AJ139" i="10" s="1"/>
  <c r="BL139" i="10"/>
  <c r="BM110" i="10"/>
  <c r="W110" i="10"/>
  <c r="AD110" i="10" s="1"/>
  <c r="AK110" i="10" s="1"/>
  <c r="U143" i="10"/>
  <c r="AB143" i="10" s="1"/>
  <c r="AI143" i="10" s="1"/>
  <c r="BK143" i="10"/>
  <c r="BK159" i="10"/>
  <c r="U159" i="10"/>
  <c r="T105" i="10"/>
  <c r="AA105" i="10" s="1"/>
  <c r="BJ105" i="10"/>
  <c r="V127" i="10"/>
  <c r="AC127" i="10" s="1"/>
  <c r="BL127" i="10"/>
  <c r="S108" i="10"/>
  <c r="BI108" i="10"/>
  <c r="W154" i="10"/>
  <c r="AD154" i="10" s="1"/>
  <c r="AK154" i="10" s="1"/>
  <c r="BM154" i="10"/>
  <c r="T88" i="10"/>
  <c r="AA88" i="10" s="1"/>
  <c r="BJ88" i="10"/>
  <c r="U122" i="10"/>
  <c r="AB122" i="10" s="1"/>
  <c r="BK122" i="10"/>
  <c r="W156" i="10"/>
  <c r="AD156" i="10" s="1"/>
  <c r="AK156" i="10" s="1"/>
  <c r="BM156" i="10"/>
  <c r="T131" i="10"/>
  <c r="AA131" i="10" s="1"/>
  <c r="BJ131" i="10"/>
  <c r="BK135" i="10"/>
  <c r="U135" i="10"/>
  <c r="AB135" i="10" s="1"/>
  <c r="AI135" i="10" s="1"/>
  <c r="O158" i="12"/>
  <c r="AA158" i="12"/>
  <c r="BK128" i="10"/>
  <c r="U128" i="10"/>
  <c r="AB128" i="10" s="1"/>
  <c r="V144" i="10"/>
  <c r="AC144" i="10" s="1"/>
  <c r="BL144" i="10"/>
  <c r="V89" i="10"/>
  <c r="AC89" i="10" s="1"/>
  <c r="BL89" i="10"/>
  <c r="Q89" i="10"/>
  <c r="S89" i="10"/>
  <c r="Z89" i="10" s="1"/>
  <c r="BI89" i="10"/>
  <c r="T89" i="10"/>
  <c r="AA89" i="10" s="1"/>
  <c r="BJ89" i="10"/>
  <c r="V143" i="10"/>
  <c r="AC143" i="10" s="1"/>
  <c r="BL143" i="10"/>
  <c r="V134" i="10"/>
  <c r="AC134" i="10" s="1"/>
  <c r="BL134" i="10"/>
  <c r="Q119" i="10"/>
  <c r="S119" i="10"/>
  <c r="BI119" i="10"/>
  <c r="Q139" i="10"/>
  <c r="S139" i="10"/>
  <c r="BI139" i="10"/>
  <c r="U124" i="10"/>
  <c r="AB124" i="10" s="1"/>
  <c r="BK124" i="10"/>
  <c r="V121" i="10"/>
  <c r="AC121" i="10" s="1"/>
  <c r="BL121" i="10"/>
  <c r="Q124" i="10"/>
  <c r="S124" i="10"/>
  <c r="BI124" i="10"/>
  <c r="T113" i="10"/>
  <c r="AA113" i="10" s="1"/>
  <c r="BJ113" i="10"/>
  <c r="U114" i="10"/>
  <c r="AB114" i="10" s="1"/>
  <c r="BK114" i="10"/>
  <c r="V103" i="10"/>
  <c r="AC103" i="10" s="1"/>
  <c r="BL103" i="10"/>
  <c r="Q104" i="10"/>
  <c r="BI104" i="10"/>
  <c r="S104" i="10"/>
  <c r="V100" i="10"/>
  <c r="AC100" i="10" s="1"/>
  <c r="BL100" i="10"/>
  <c r="V120" i="10"/>
  <c r="AC120" i="10" s="1"/>
  <c r="BL120" i="10"/>
  <c r="W139" i="10"/>
  <c r="AD139" i="10" s="1"/>
  <c r="AK139" i="10" s="1"/>
  <c r="BM139" i="10"/>
  <c r="U103" i="10"/>
  <c r="AB103" i="10" s="1"/>
  <c r="BK103" i="10"/>
  <c r="U100" i="10"/>
  <c r="AB100" i="10" s="1"/>
  <c r="BK100" i="10"/>
  <c r="V155" i="10"/>
  <c r="AC155" i="10" s="1"/>
  <c r="BL155" i="10"/>
  <c r="Q97" i="10"/>
  <c r="S97" i="10"/>
  <c r="BI97" i="10"/>
  <c r="V102" i="10"/>
  <c r="AC102" i="10" s="1"/>
  <c r="BL102" i="10"/>
  <c r="Q78" i="10"/>
  <c r="Q101" i="10"/>
  <c r="S101" i="10"/>
  <c r="BI101" i="10"/>
  <c r="U106" i="10"/>
  <c r="AB106" i="10" s="1"/>
  <c r="BK106" i="10"/>
  <c r="T124" i="10"/>
  <c r="AA124" i="10" s="1"/>
  <c r="BJ124" i="10"/>
  <c r="Q126" i="10"/>
  <c r="S126" i="10"/>
  <c r="BI126" i="10"/>
  <c r="W119" i="10"/>
  <c r="AD119" i="10" s="1"/>
  <c r="AK119" i="10" s="1"/>
  <c r="BM119" i="10"/>
  <c r="V114" i="10"/>
  <c r="AC114" i="10" s="1"/>
  <c r="BL114" i="10"/>
  <c r="BK152" i="10"/>
  <c r="U152" i="10"/>
  <c r="AB152" i="10" s="1"/>
  <c r="V141" i="10"/>
  <c r="AC141" i="10" s="1"/>
  <c r="BL141" i="10"/>
  <c r="U120" i="10"/>
  <c r="AB120" i="10" s="1"/>
  <c r="BK120" i="10"/>
  <c r="BI157" i="10"/>
  <c r="S157" i="10"/>
  <c r="Q150" i="10"/>
  <c r="S150" i="10"/>
  <c r="BI150" i="10"/>
  <c r="Q149" i="10"/>
  <c r="S149" i="10"/>
  <c r="BI149" i="10"/>
  <c r="V118" i="10"/>
  <c r="AC118" i="10" s="1"/>
  <c r="BL118" i="10"/>
  <c r="T145" i="10"/>
  <c r="AA145" i="10" s="1"/>
  <c r="BJ145" i="10"/>
  <c r="Q143" i="10"/>
  <c r="S143" i="10"/>
  <c r="BI143" i="10"/>
  <c r="V119" i="10"/>
  <c r="AC119" i="10" s="1"/>
  <c r="BL119" i="10"/>
  <c r="T134" i="10"/>
  <c r="AA134" i="10" s="1"/>
  <c r="BJ134" i="10"/>
  <c r="Q151" i="10"/>
  <c r="S151" i="10"/>
  <c r="BI151" i="10"/>
  <c r="V88" i="10"/>
  <c r="AC88" i="10" s="1"/>
  <c r="BL88" i="10"/>
  <c r="Q108" i="10"/>
  <c r="U108" i="10"/>
  <c r="AB108" i="10" s="1"/>
  <c r="BK108" i="10"/>
  <c r="U148" i="10"/>
  <c r="AB148" i="10" s="1"/>
  <c r="BK148" i="10"/>
  <c r="W91" i="10"/>
  <c r="AD91" i="10" s="1"/>
  <c r="AK91" i="10" s="1"/>
  <c r="BM91" i="10"/>
  <c r="BJ111" i="10"/>
  <c r="T111" i="10"/>
  <c r="AA111" i="10" s="1"/>
  <c r="U147" i="10"/>
  <c r="AB147" i="10" s="1"/>
  <c r="BK147" i="10"/>
  <c r="Q142" i="10"/>
  <c r="S142" i="10"/>
  <c r="BI142" i="10"/>
  <c r="W135" i="10"/>
  <c r="AD135" i="10" s="1"/>
  <c r="AK135" i="10" s="1"/>
  <c r="BM135" i="10"/>
  <c r="BK133" i="10"/>
  <c r="U133" i="10"/>
  <c r="AB133" i="10" s="1"/>
  <c r="V135" i="10"/>
  <c r="AC135" i="10" s="1"/>
  <c r="BL135" i="10"/>
  <c r="T125" i="10"/>
  <c r="AA125" i="10" s="1"/>
  <c r="BJ125" i="10"/>
  <c r="W152" i="10"/>
  <c r="AD152" i="10" s="1"/>
  <c r="AK152" i="10" s="1"/>
  <c r="BM152" i="10"/>
  <c r="W147" i="10"/>
  <c r="AD147" i="10" s="1"/>
  <c r="AK147" i="10" s="1"/>
  <c r="BM147" i="10"/>
  <c r="Q73" i="10"/>
  <c r="W131" i="10"/>
  <c r="AD131" i="10" s="1"/>
  <c r="AK131" i="10" s="1"/>
  <c r="BM131" i="10"/>
  <c r="Q140" i="10"/>
  <c r="S140" i="10"/>
  <c r="BI140" i="10"/>
  <c r="BL152" i="10"/>
  <c r="V152" i="10"/>
  <c r="AC152" i="10" s="1"/>
  <c r="Q84" i="10"/>
  <c r="V108" i="10"/>
  <c r="AC108" i="10" s="1"/>
  <c r="BL108" i="10"/>
  <c r="BJ114" i="10"/>
  <c r="T114" i="10"/>
  <c r="AA114" i="10" s="1"/>
  <c r="Q102" i="10"/>
  <c r="S102" i="10"/>
  <c r="BI102" i="10"/>
  <c r="W88" i="10"/>
  <c r="AD88" i="10" s="1"/>
  <c r="AK88" i="10" s="1"/>
  <c r="BM88" i="10"/>
  <c r="U136" i="10"/>
  <c r="AB136" i="10" s="1"/>
  <c r="BK136" i="10"/>
  <c r="T101" i="10"/>
  <c r="AA101" i="10" s="1"/>
  <c r="BJ101" i="10"/>
  <c r="U153" i="10"/>
  <c r="AB153" i="10" s="1"/>
  <c r="BK153" i="10"/>
  <c r="W111" i="10"/>
  <c r="AD111" i="10" s="1"/>
  <c r="AK111" i="10" s="1"/>
  <c r="BM111" i="10"/>
  <c r="W142" i="10"/>
  <c r="AD142" i="10" s="1"/>
  <c r="AK142" i="10" s="1"/>
  <c r="BM142" i="10"/>
  <c r="Q152" i="10"/>
  <c r="S152" i="10"/>
  <c r="BI152" i="10"/>
  <c r="U146" i="10"/>
  <c r="AB146" i="10" s="1"/>
  <c r="BK146" i="10"/>
  <c r="W150" i="10"/>
  <c r="AD150" i="10" s="1"/>
  <c r="AK150" i="10" s="1"/>
  <c r="BM150" i="10"/>
  <c r="T129" i="10"/>
  <c r="AA129" i="10" s="1"/>
  <c r="BJ129" i="10"/>
  <c r="Q122" i="10"/>
  <c r="S122" i="10"/>
  <c r="BI122" i="10"/>
  <c r="Q146" i="10"/>
  <c r="S146" i="10"/>
  <c r="BI146" i="10"/>
  <c r="BI156" i="10"/>
  <c r="Q156" i="10"/>
  <c r="S156" i="10"/>
  <c r="T91" i="10"/>
  <c r="AA91" i="10" s="1"/>
  <c r="BJ91" i="10"/>
  <c r="T155" i="10"/>
  <c r="AA155" i="10" s="1"/>
  <c r="BJ155" i="10"/>
  <c r="T97" i="10"/>
  <c r="AA97" i="10" s="1"/>
  <c r="BJ97" i="10"/>
  <c r="T147" i="10"/>
  <c r="AA147" i="10" s="1"/>
  <c r="BJ147" i="10"/>
  <c r="V147" i="10"/>
  <c r="AC147" i="10" s="1"/>
  <c r="BL147" i="10"/>
  <c r="W134" i="10"/>
  <c r="AD134" i="10" s="1"/>
  <c r="AK134" i="10" s="1"/>
  <c r="BM134" i="10"/>
  <c r="V93" i="10"/>
  <c r="AC93" i="10" s="1"/>
  <c r="BL93" i="10"/>
  <c r="Q90" i="10"/>
  <c r="BI90" i="10"/>
  <c r="S90" i="10"/>
  <c r="V131" i="10"/>
  <c r="AC131" i="10" s="1"/>
  <c r="BL131" i="10"/>
  <c r="T137" i="10"/>
  <c r="AA137" i="10" s="1"/>
  <c r="BJ137" i="10"/>
  <c r="Q96" i="10"/>
  <c r="S96" i="10"/>
  <c r="BI96" i="10"/>
  <c r="BK104" i="10"/>
  <c r="U104" i="10"/>
  <c r="AB104" i="10" s="1"/>
  <c r="T127" i="10"/>
  <c r="AA127" i="10" s="1"/>
  <c r="BJ127" i="10"/>
  <c r="W155" i="10"/>
  <c r="AD155" i="10" s="1"/>
  <c r="AK155" i="10" s="1"/>
  <c r="BM155" i="10"/>
  <c r="V132" i="10"/>
  <c r="AC132" i="10" s="1"/>
  <c r="BL132" i="10"/>
  <c r="T156" i="10"/>
  <c r="BJ156" i="10"/>
  <c r="U129" i="10"/>
  <c r="AB129" i="10" s="1"/>
  <c r="BK129" i="10"/>
  <c r="W148" i="10"/>
  <c r="AD148" i="10" s="1"/>
  <c r="AK148" i="10" s="1"/>
  <c r="BM148" i="10"/>
  <c r="U109" i="10"/>
  <c r="AB109" i="10" s="1"/>
  <c r="BK109" i="10"/>
  <c r="W133" i="10"/>
  <c r="AD133" i="10" s="1"/>
  <c r="AK133" i="10" s="1"/>
  <c r="BM133" i="10"/>
  <c r="T108" i="10"/>
  <c r="AA108" i="10" s="1"/>
  <c r="BJ108" i="10"/>
  <c r="T110" i="10"/>
  <c r="AA110" i="10" s="1"/>
  <c r="AH110" i="10" s="1"/>
  <c r="BJ110" i="10"/>
  <c r="Q113" i="10"/>
  <c r="S113" i="10"/>
  <c r="BI113" i="10"/>
  <c r="BM89" i="10"/>
  <c r="W89" i="10"/>
  <c r="Q111" i="10"/>
  <c r="S111" i="10"/>
  <c r="BI111" i="10"/>
  <c r="O156" i="12"/>
  <c r="AA156" i="12"/>
  <c r="U156" i="10"/>
  <c r="AB156" i="10" s="1"/>
  <c r="AI156" i="10" s="1"/>
  <c r="BK156" i="10"/>
  <c r="W122" i="10"/>
  <c r="AD122" i="10" s="1"/>
  <c r="AK122" i="10" s="1"/>
  <c r="BM122" i="10"/>
  <c r="W127" i="10"/>
  <c r="AD127" i="10" s="1"/>
  <c r="AK127" i="10" s="1"/>
  <c r="BM127" i="10"/>
  <c r="U89" i="10"/>
  <c r="AB89" i="10" s="1"/>
  <c r="AI89" i="10" s="1"/>
  <c r="BK89" i="10"/>
  <c r="Q87" i="10"/>
  <c r="S87" i="10"/>
  <c r="BI87" i="10"/>
  <c r="Z157" i="12"/>
  <c r="N157" i="12"/>
  <c r="BL125" i="10"/>
  <c r="V125" i="10"/>
  <c r="AC125" i="10" s="1"/>
  <c r="AJ125" i="10" s="1"/>
  <c r="V160" i="10"/>
  <c r="BL160" i="10"/>
  <c r="W108" i="10"/>
  <c r="AD108" i="10" s="1"/>
  <c r="AK108" i="10" s="1"/>
  <c r="BM108" i="10"/>
  <c r="S159" i="10"/>
  <c r="BI159" i="10"/>
  <c r="Q159" i="10"/>
  <c r="BM123" i="10"/>
  <c r="W123" i="10"/>
  <c r="AD123" i="10" s="1"/>
  <c r="AK123" i="10" s="1"/>
  <c r="U132" i="10"/>
  <c r="AB132" i="10" s="1"/>
  <c r="BK132" i="10"/>
  <c r="Q153" i="10"/>
  <c r="S153" i="10"/>
  <c r="BI153" i="10"/>
  <c r="Q83" i="10"/>
  <c r="U97" i="10"/>
  <c r="AB97" i="10" s="1"/>
  <c r="BK97" i="10"/>
  <c r="BK121" i="10"/>
  <c r="U121" i="10"/>
  <c r="AB121" i="10" s="1"/>
  <c r="T159" i="10"/>
  <c r="BJ159" i="10"/>
  <c r="Q154" i="10"/>
  <c r="S154" i="10"/>
  <c r="BI154" i="10"/>
  <c r="V117" i="10"/>
  <c r="AC117" i="10" s="1"/>
  <c r="BL117" i="10"/>
  <c r="T116" i="10"/>
  <c r="AA116" i="10" s="1"/>
  <c r="BJ116" i="10"/>
  <c r="U137" i="10"/>
  <c r="AB137" i="10" s="1"/>
  <c r="BK137" i="10"/>
  <c r="T104" i="10"/>
  <c r="AA104" i="10" s="1"/>
  <c r="BJ104" i="10"/>
  <c r="U101" i="10"/>
  <c r="AB101" i="10" s="1"/>
  <c r="BK101" i="10"/>
  <c r="V124" i="10"/>
  <c r="AC124" i="10" s="1"/>
  <c r="BL124" i="10"/>
  <c r="V111" i="10"/>
  <c r="AC111" i="10" s="1"/>
  <c r="BL111" i="10"/>
  <c r="T107" i="10"/>
  <c r="AA107" i="10" s="1"/>
  <c r="BJ107" i="10"/>
  <c r="W118" i="10"/>
  <c r="AD118" i="10" s="1"/>
  <c r="AK118" i="10" s="1"/>
  <c r="BM118" i="10"/>
  <c r="T138" i="10"/>
  <c r="AA138" i="10" s="1"/>
  <c r="BJ138" i="10"/>
  <c r="W125" i="10"/>
  <c r="AD125" i="10" s="1"/>
  <c r="AK125" i="10" s="1"/>
  <c r="BM125" i="10"/>
  <c r="BM157" i="10"/>
  <c r="W157" i="10"/>
  <c r="V92" i="10"/>
  <c r="AC92" i="10" s="1"/>
  <c r="BL92" i="10"/>
  <c r="U151" i="10"/>
  <c r="AB151" i="10" s="1"/>
  <c r="BK151" i="10"/>
  <c r="N158" i="12"/>
  <c r="Z158" i="12"/>
  <c r="U144" i="10"/>
  <c r="AB144" i="10" s="1"/>
  <c r="BK144" i="10"/>
  <c r="T151" i="10"/>
  <c r="AA151" i="10" s="1"/>
  <c r="BJ151" i="10"/>
  <c r="BJ133" i="10"/>
  <c r="T133" i="10"/>
  <c r="AA133" i="10" s="1"/>
  <c r="Q135" i="10"/>
  <c r="BI135" i="10"/>
  <c r="S135" i="10"/>
  <c r="Q76" i="10"/>
  <c r="W124" i="10"/>
  <c r="AD124" i="10" s="1"/>
  <c r="AK124" i="10" s="1"/>
  <c r="BM124" i="10"/>
  <c r="W99" i="10"/>
  <c r="AD99" i="10" s="1"/>
  <c r="AK99" i="10" s="1"/>
  <c r="BM99" i="10"/>
  <c r="V149" i="10"/>
  <c r="AC149" i="10" s="1"/>
  <c r="BL149" i="10"/>
  <c r="W143" i="10"/>
  <c r="AD143" i="10" s="1"/>
  <c r="AK143" i="10" s="1"/>
  <c r="BM143" i="10"/>
  <c r="U98" i="10"/>
  <c r="AB98" i="10" s="1"/>
  <c r="BK98" i="10"/>
  <c r="Q148" i="10"/>
  <c r="S148" i="10"/>
  <c r="BI148" i="10"/>
  <c r="W160" i="10"/>
  <c r="BM160" i="10"/>
  <c r="V116" i="10"/>
  <c r="AC116" i="10" s="1"/>
  <c r="BL116" i="10"/>
  <c r="Q107" i="10"/>
  <c r="S107" i="10"/>
  <c r="BI107" i="10"/>
  <c r="T118" i="10"/>
  <c r="AA118" i="10" s="1"/>
  <c r="AH118" i="10" s="1"/>
  <c r="BJ118" i="10"/>
  <c r="U125" i="10"/>
  <c r="AB125" i="10" s="1"/>
  <c r="AI125" i="10" s="1"/>
  <c r="BK125" i="10"/>
  <c r="W129" i="10"/>
  <c r="AD129" i="10" s="1"/>
  <c r="AK129" i="10" s="1"/>
  <c r="BM129" i="10"/>
  <c r="W95" i="10"/>
  <c r="AD95" i="10" s="1"/>
  <c r="AK95" i="10" s="1"/>
  <c r="BM95" i="10"/>
  <c r="T96" i="10"/>
  <c r="AA96" i="10" s="1"/>
  <c r="AH96" i="10" s="1"/>
  <c r="BJ96" i="10"/>
  <c r="W146" i="10"/>
  <c r="AD146" i="10" s="1"/>
  <c r="AK146" i="10" s="1"/>
  <c r="BM146" i="10"/>
  <c r="V151" i="10"/>
  <c r="AC151" i="10" s="1"/>
  <c r="BL151" i="10"/>
  <c r="U150" i="10"/>
  <c r="AB150" i="10" s="1"/>
  <c r="AI150" i="10" s="1"/>
  <c r="BK150" i="10"/>
  <c r="T136" i="10"/>
  <c r="AA136" i="10" s="1"/>
  <c r="AH136" i="10" s="1"/>
  <c r="BJ136" i="10"/>
  <c r="BR143" i="10"/>
  <c r="BQ121" i="10"/>
  <c r="Q138" i="10"/>
  <c r="S138" i="10"/>
  <c r="BI138" i="10"/>
  <c r="U110" i="10"/>
  <c r="AB110" i="10" s="1"/>
  <c r="BK110" i="10"/>
  <c r="Q94" i="10"/>
  <c r="BI94" i="10"/>
  <c r="S94" i="10"/>
  <c r="Q136" i="10"/>
  <c r="S136" i="10"/>
  <c r="BI136" i="10"/>
  <c r="BL158" i="10"/>
  <c r="V158" i="10"/>
  <c r="T120" i="10"/>
  <c r="AA120" i="10" s="1"/>
  <c r="BJ120" i="10"/>
  <c r="V107" i="10"/>
  <c r="AC107" i="10" s="1"/>
  <c r="BL107" i="10"/>
  <c r="U111" i="10"/>
  <c r="AB111" i="10" s="1"/>
  <c r="BK111" i="10"/>
  <c r="U126" i="10"/>
  <c r="AB126" i="10" s="1"/>
  <c r="BK126" i="10"/>
  <c r="W144" i="10"/>
  <c r="AD144" i="10" s="1"/>
  <c r="AK144" i="10" s="1"/>
  <c r="BM144" i="10"/>
  <c r="U134" i="10"/>
  <c r="AB134" i="10" s="1"/>
  <c r="BK134" i="10"/>
  <c r="BJ106" i="10"/>
  <c r="T106" i="10"/>
  <c r="AA106" i="10" s="1"/>
  <c r="O159" i="12"/>
  <c r="AA159" i="12"/>
  <c r="Q120" i="10"/>
  <c r="S120" i="10"/>
  <c r="BI120" i="10"/>
  <c r="W87" i="10"/>
  <c r="AD87" i="10" s="1"/>
  <c r="AK87" i="10" s="1"/>
  <c r="BM87" i="10"/>
  <c r="Q155" i="10"/>
  <c r="S155" i="10"/>
  <c r="BI155" i="10"/>
  <c r="Q121" i="10"/>
  <c r="S121" i="10"/>
  <c r="BI121" i="10"/>
  <c r="U105" i="10"/>
  <c r="AB105" i="10" s="1"/>
  <c r="BK105" i="10"/>
  <c r="V98" i="10"/>
  <c r="AC98" i="10" s="1"/>
  <c r="BL98" i="10"/>
  <c r="V109" i="10"/>
  <c r="AC109" i="10" s="1"/>
  <c r="BL109" i="10"/>
  <c r="T130" i="10"/>
  <c r="AA130" i="10" s="1"/>
  <c r="BJ130" i="10"/>
  <c r="Q80" i="10"/>
  <c r="T146" i="10"/>
  <c r="AA146" i="10" s="1"/>
  <c r="BJ146" i="10"/>
  <c r="W153" i="10"/>
  <c r="AD153" i="10" s="1"/>
  <c r="AK153" i="10" s="1"/>
  <c r="BM153" i="10"/>
  <c r="W140" i="10"/>
  <c r="AD140" i="10" s="1"/>
  <c r="AK140" i="10" s="1"/>
  <c r="BM140" i="10"/>
  <c r="BT140" i="10" s="1"/>
  <c r="U102" i="10"/>
  <c r="AB102" i="10" s="1"/>
  <c r="BK102" i="10"/>
  <c r="Q99" i="10"/>
  <c r="S99" i="10"/>
  <c r="BI99" i="10"/>
  <c r="Q112" i="10"/>
  <c r="S112" i="10"/>
  <c r="BI112" i="10"/>
  <c r="W120" i="10"/>
  <c r="AD120" i="10" s="1"/>
  <c r="AK120" i="10" s="1"/>
  <c r="BM120" i="10"/>
  <c r="T142" i="10"/>
  <c r="AA142" i="10" s="1"/>
  <c r="BJ142" i="10"/>
  <c r="W130" i="10"/>
  <c r="AD130" i="10" s="1"/>
  <c r="AK130" i="10" s="1"/>
  <c r="BM130" i="10"/>
  <c r="BM158" i="10"/>
  <c r="W158" i="10"/>
  <c r="U138" i="10"/>
  <c r="AB138" i="10" s="1"/>
  <c r="BK138" i="10"/>
  <c r="Q128" i="10"/>
  <c r="S128" i="10"/>
  <c r="BI128" i="10"/>
  <c r="W116" i="10"/>
  <c r="AD116" i="10" s="1"/>
  <c r="AK116" i="10" s="1"/>
  <c r="BM116" i="10"/>
  <c r="U139" i="10"/>
  <c r="AB139" i="10" s="1"/>
  <c r="BK139" i="10"/>
  <c r="W107" i="10"/>
  <c r="AD107" i="10" s="1"/>
  <c r="AK107" i="10" s="1"/>
  <c r="BM107" i="10"/>
  <c r="BM98" i="10"/>
  <c r="W98" i="10"/>
  <c r="AD98" i="10" s="1"/>
  <c r="AK98" i="10" s="1"/>
  <c r="Q106" i="10"/>
  <c r="S106" i="10"/>
  <c r="BI106" i="10"/>
  <c r="W112" i="10"/>
  <c r="AD112" i="10" s="1"/>
  <c r="AK112" i="10" s="1"/>
  <c r="BM112" i="10"/>
  <c r="U127" i="10"/>
  <c r="AB127" i="10" s="1"/>
  <c r="BK127" i="10"/>
  <c r="U113" i="10"/>
  <c r="AB113" i="10" s="1"/>
  <c r="BK113" i="10"/>
  <c r="T122" i="10"/>
  <c r="AA122" i="10" s="1"/>
  <c r="BJ122" i="10"/>
  <c r="V101" i="10"/>
  <c r="AC101" i="10" s="1"/>
  <c r="BL101" i="10"/>
  <c r="W109" i="10"/>
  <c r="AD109" i="10" s="1"/>
  <c r="AK109" i="10" s="1"/>
  <c r="BM109" i="10"/>
  <c r="BI160" i="10"/>
  <c r="Q160" i="10"/>
  <c r="S160" i="10"/>
  <c r="U119" i="10"/>
  <c r="AB119" i="10" s="1"/>
  <c r="BK119" i="10"/>
  <c r="W132" i="10"/>
  <c r="AD132" i="10" s="1"/>
  <c r="AK132" i="10" s="1"/>
  <c r="BM132" i="10"/>
  <c r="T135" i="10"/>
  <c r="AA135" i="10" s="1"/>
  <c r="BJ135" i="10"/>
  <c r="W136" i="10"/>
  <c r="AD136" i="10" s="1"/>
  <c r="AK136" i="10" s="1"/>
  <c r="BM136" i="10"/>
  <c r="Q79" i="10"/>
  <c r="U93" i="10"/>
  <c r="AB93" i="10" s="1"/>
  <c r="BK93" i="10"/>
  <c r="T153" i="10"/>
  <c r="AA153" i="10" s="1"/>
  <c r="BJ153" i="10"/>
  <c r="T90" i="10"/>
  <c r="AA90" i="10" s="1"/>
  <c r="BJ90" i="10"/>
  <c r="BM159" i="10"/>
  <c r="W159" i="10"/>
  <c r="W102" i="10"/>
  <c r="AD102" i="10" s="1"/>
  <c r="AK102" i="10" s="1"/>
  <c r="BM102" i="10"/>
  <c r="Q103" i="10"/>
  <c r="S103" i="10"/>
  <c r="BI103" i="10"/>
  <c r="Q72" i="10"/>
  <c r="U149" i="10"/>
  <c r="AB149" i="10" s="1"/>
  <c r="BK149" i="10"/>
  <c r="BJ123" i="10"/>
  <c r="T123" i="10"/>
  <c r="AA123" i="10" s="1"/>
  <c r="V99" i="10"/>
  <c r="AC99" i="10" s="1"/>
  <c r="BL99" i="10"/>
  <c r="Q86" i="10"/>
  <c r="U96" i="10"/>
  <c r="AB96" i="10" s="1"/>
  <c r="BK96" i="10"/>
  <c r="AA157" i="12"/>
  <c r="O157" i="12"/>
  <c r="W100" i="10"/>
  <c r="AD100" i="10" s="1"/>
  <c r="AK100" i="10" s="1"/>
  <c r="BM100" i="10"/>
  <c r="U131" i="10"/>
  <c r="AB131" i="10" s="1"/>
  <c r="BK131" i="10"/>
  <c r="T119" i="10"/>
  <c r="AA119" i="10" s="1"/>
  <c r="BJ119" i="10"/>
  <c r="BR87" i="10"/>
  <c r="BY87" i="10" s="1"/>
  <c r="V137" i="10"/>
  <c r="AC137" i="10" s="1"/>
  <c r="BL137" i="10"/>
  <c r="Q100" i="10"/>
  <c r="S100" i="10"/>
  <c r="BI100" i="10"/>
  <c r="T144" i="10"/>
  <c r="AA144" i="10" s="1"/>
  <c r="BJ144" i="10"/>
  <c r="U117" i="10"/>
  <c r="AB117" i="10" s="1"/>
  <c r="BK117" i="10"/>
  <c r="V150" i="10"/>
  <c r="AC150" i="10" s="1"/>
  <c r="BL150" i="10"/>
  <c r="U142" i="10"/>
  <c r="AB142" i="10" s="1"/>
  <c r="BK142" i="10"/>
  <c r="V115" i="10"/>
  <c r="AC115" i="10" s="1"/>
  <c r="BL115" i="10"/>
  <c r="V138" i="10"/>
  <c r="AC138" i="10" s="1"/>
  <c r="BL138" i="10"/>
  <c r="V142" i="10"/>
  <c r="AC142" i="10" s="1"/>
  <c r="BL142" i="10"/>
  <c r="T158" i="10"/>
  <c r="BJ158" i="10"/>
  <c r="Q77" i="10"/>
  <c r="V145" i="10"/>
  <c r="AC145" i="10" s="1"/>
  <c r="BL145" i="10"/>
  <c r="T152" i="10"/>
  <c r="AA152" i="10" s="1"/>
  <c r="BJ152" i="10"/>
  <c r="V130" i="10"/>
  <c r="AC130" i="10" s="1"/>
  <c r="BL130" i="10"/>
  <c r="V87" i="10"/>
  <c r="AC87" i="10" s="1"/>
  <c r="BL87" i="10"/>
  <c r="W94" i="10"/>
  <c r="AD94" i="10" s="1"/>
  <c r="AK94" i="10" s="1"/>
  <c r="BM94" i="10"/>
  <c r="U118" i="10"/>
  <c r="AB118" i="10" s="1"/>
  <c r="BK118" i="10"/>
  <c r="U141" i="10"/>
  <c r="AB141" i="10" s="1"/>
  <c r="BK141" i="10"/>
  <c r="Q114" i="10"/>
  <c r="BI114" i="10"/>
  <c r="S114" i="10"/>
  <c r="Q109" i="10"/>
  <c r="S109" i="10"/>
  <c r="Z109" i="10" s="1"/>
  <c r="BI109" i="10"/>
  <c r="U158" i="10"/>
  <c r="BK158" i="10"/>
  <c r="Q132" i="10"/>
  <c r="S132" i="10"/>
  <c r="BI132" i="10"/>
  <c r="Q85" i="10"/>
  <c r="W126" i="10"/>
  <c r="AD126" i="10" s="1"/>
  <c r="AK126" i="10" s="1"/>
  <c r="BM126" i="10"/>
  <c r="Q110" i="10"/>
  <c r="S110" i="10"/>
  <c r="BI110" i="10"/>
  <c r="T157" i="10"/>
  <c r="BJ157" i="10"/>
  <c r="T115" i="10"/>
  <c r="AA115" i="10" s="1"/>
  <c r="BJ115" i="10"/>
  <c r="W115" i="10"/>
  <c r="AD115" i="10" s="1"/>
  <c r="AK115" i="10" s="1"/>
  <c r="BM115" i="10"/>
  <c r="Q157" i="10"/>
  <c r="U157" i="10"/>
  <c r="BK157" i="10"/>
  <c r="Q88" i="10"/>
  <c r="S88" i="10"/>
  <c r="BI88" i="10"/>
  <c r="T154" i="10"/>
  <c r="AA154" i="10" s="1"/>
  <c r="BJ154" i="10"/>
  <c r="Q117" i="10"/>
  <c r="S117" i="10"/>
  <c r="BI117" i="10"/>
  <c r="U160" i="10"/>
  <c r="BK160" i="10"/>
  <c r="W90" i="10"/>
  <c r="AD90" i="10" s="1"/>
  <c r="AK90" i="10" s="1"/>
  <c r="BM90" i="10"/>
  <c r="AA160" i="12"/>
  <c r="O160" i="12"/>
  <c r="W97" i="10"/>
  <c r="AD97" i="10" s="1"/>
  <c r="AK97" i="10" s="1"/>
  <c r="BM97" i="10"/>
  <c r="V128" i="10"/>
  <c r="AC128" i="10" s="1"/>
  <c r="BL128" i="10"/>
  <c r="Q133" i="10"/>
  <c r="BI133" i="10"/>
  <c r="S133" i="10"/>
  <c r="U94" i="10"/>
  <c r="AB94" i="10" s="1"/>
  <c r="BK94" i="10"/>
  <c r="U154" i="10"/>
  <c r="AB154" i="10" s="1"/>
  <c r="BK154" i="10"/>
  <c r="BL104" i="10"/>
  <c r="V104" i="10"/>
  <c r="AC104" i="10" s="1"/>
  <c r="W113" i="10"/>
  <c r="AD113" i="10" s="1"/>
  <c r="AK113" i="10" s="1"/>
  <c r="BM113" i="10"/>
  <c r="T140" i="10"/>
  <c r="AA140" i="10" s="1"/>
  <c r="BJ140" i="10"/>
  <c r="N160" i="12"/>
  <c r="Z160" i="12"/>
  <c r="V91" i="10"/>
  <c r="AC91" i="10" s="1"/>
  <c r="BL91" i="10"/>
  <c r="Q75" i="10"/>
  <c r="T132" i="10"/>
  <c r="AA132" i="10" s="1"/>
  <c r="BJ132" i="10"/>
  <c r="V122" i="10"/>
  <c r="AC122" i="10" s="1"/>
  <c r="BL122" i="10"/>
  <c r="U140" i="10"/>
  <c r="AB140" i="10" s="1"/>
  <c r="BK140" i="10"/>
  <c r="U115" i="10"/>
  <c r="AB115" i="10" s="1"/>
  <c r="BK115" i="10"/>
  <c r="W105" i="10"/>
  <c r="AD105" i="10" s="1"/>
  <c r="AK105" i="10" s="1"/>
  <c r="BM105" i="10"/>
  <c r="T117" i="10"/>
  <c r="AA117" i="10" s="1"/>
  <c r="BJ117" i="10"/>
  <c r="W145" i="10"/>
  <c r="AD145" i="10" s="1"/>
  <c r="AK145" i="10" s="1"/>
  <c r="BM145" i="10"/>
  <c r="S158" i="10"/>
  <c r="BI158" i="10"/>
  <c r="Q158" i="10"/>
  <c r="W114" i="10"/>
  <c r="AD114" i="10" s="1"/>
  <c r="AK114" i="10" s="1"/>
  <c r="BM114" i="10"/>
  <c r="V156" i="10"/>
  <c r="BL156" i="10"/>
  <c r="V148" i="10"/>
  <c r="AC148" i="10" s="1"/>
  <c r="BL148" i="10"/>
  <c r="BK130" i="10"/>
  <c r="U130" i="10"/>
  <c r="AB130" i="10" s="1"/>
  <c r="N156" i="12"/>
  <c r="Z156" i="12"/>
  <c r="V97" i="10"/>
  <c r="AC97" i="10" s="1"/>
  <c r="BL97" i="10"/>
  <c r="T160" i="10"/>
  <c r="BJ160" i="10"/>
  <c r="Q116" i="10"/>
  <c r="S116" i="10"/>
  <c r="BI116" i="10"/>
  <c r="Q93" i="10"/>
  <c r="S93" i="10"/>
  <c r="BI93" i="10"/>
  <c r="W149" i="10"/>
  <c r="AD149" i="10" s="1"/>
  <c r="AK149" i="10" s="1"/>
  <c r="BM149" i="10"/>
  <c r="V105" i="10"/>
  <c r="AC105" i="10" s="1"/>
  <c r="BL105" i="10"/>
  <c r="T139" i="10"/>
  <c r="AA139" i="10" s="1"/>
  <c r="BJ139" i="10"/>
  <c r="Q82" i="10"/>
  <c r="Z159" i="12"/>
  <c r="N159" i="12"/>
  <c r="U145" i="10"/>
  <c r="AB145" i="10" s="1"/>
  <c r="BK145" i="10"/>
  <c r="T98" i="10"/>
  <c r="AA98" i="10" s="1"/>
  <c r="BJ98" i="10"/>
  <c r="T94" i="10"/>
  <c r="AA94" i="10" s="1"/>
  <c r="AH94" i="10" s="1"/>
  <c r="BJ94" i="10"/>
  <c r="BQ110" i="10"/>
  <c r="W117" i="10"/>
  <c r="AD117" i="10" s="1"/>
  <c r="AK117" i="10" s="1"/>
  <c r="BM117" i="10"/>
  <c r="V95" i="10"/>
  <c r="AC95" i="10" s="1"/>
  <c r="BL95" i="10"/>
  <c r="W103" i="10"/>
  <c r="AD103" i="10" s="1"/>
  <c r="AK103" i="10" s="1"/>
  <c r="BM103" i="10"/>
  <c r="W93" i="10"/>
  <c r="AD93" i="10" s="1"/>
  <c r="AK93" i="10" s="1"/>
  <c r="BM93" i="10"/>
  <c r="U91" i="10"/>
  <c r="AB91" i="10" s="1"/>
  <c r="BK91" i="10"/>
  <c r="Q127" i="10"/>
  <c r="S127" i="10"/>
  <c r="BI127" i="10"/>
  <c r="W96" i="10"/>
  <c r="AD96" i="10" s="1"/>
  <c r="AK96" i="10" s="1"/>
  <c r="BM96" i="10"/>
  <c r="V153" i="10"/>
  <c r="AC153" i="10" s="1"/>
  <c r="BL153" i="10"/>
  <c r="T93" i="10"/>
  <c r="AA93" i="10" s="1"/>
  <c r="BJ93" i="10"/>
  <c r="V94" i="10"/>
  <c r="AC94" i="10" s="1"/>
  <c r="BL94" i="10"/>
  <c r="V110" i="10"/>
  <c r="AC110" i="10" s="1"/>
  <c r="BL110" i="10"/>
  <c r="Q115" i="10"/>
  <c r="S115" i="10"/>
  <c r="BI115" i="10"/>
  <c r="Q123" i="10"/>
  <c r="U123" i="10"/>
  <c r="AB123" i="10" s="1"/>
  <c r="BK123" i="10"/>
  <c r="W138" i="10"/>
  <c r="AD138" i="10" s="1"/>
  <c r="AK138" i="10" s="1"/>
  <c r="BM138" i="10"/>
  <c r="U92" i="10"/>
  <c r="AB92" i="10" s="1"/>
  <c r="BK92" i="10"/>
  <c r="U107" i="10"/>
  <c r="AB107" i="10" s="1"/>
  <c r="BK107" i="10"/>
  <c r="T100" i="10"/>
  <c r="AA100" i="10" s="1"/>
  <c r="BJ100" i="10"/>
  <c r="V146" i="10"/>
  <c r="AC146" i="10" s="1"/>
  <c r="BL146" i="10"/>
  <c r="W92" i="10"/>
  <c r="AD92" i="10" s="1"/>
  <c r="AK92" i="10" s="1"/>
  <c r="BM92" i="10"/>
  <c r="T150" i="10"/>
  <c r="AA150" i="10" s="1"/>
  <c r="BJ150" i="10"/>
  <c r="U95" i="10"/>
  <c r="AB95" i="10" s="1"/>
  <c r="BK95" i="10"/>
  <c r="T112" i="10"/>
  <c r="AA112" i="10" s="1"/>
  <c r="BJ112" i="10"/>
  <c r="T126" i="10"/>
  <c r="AA126" i="10" s="1"/>
  <c r="BJ126" i="10"/>
  <c r="T141" i="10"/>
  <c r="AA141" i="10" s="1"/>
  <c r="BJ141" i="10"/>
  <c r="Q144" i="10"/>
  <c r="S144" i="10"/>
  <c r="BI144" i="10"/>
  <c r="Q92" i="10"/>
  <c r="S92" i="10"/>
  <c r="BI92" i="10"/>
  <c r="Q95" i="10"/>
  <c r="BI95" i="10"/>
  <c r="S95" i="10"/>
  <c r="T143" i="10"/>
  <c r="AA143" i="10" s="1"/>
  <c r="BJ143" i="10"/>
  <c r="Q118" i="10"/>
  <c r="S118" i="10"/>
  <c r="BI118" i="10"/>
  <c r="Q145" i="10"/>
  <c r="S145" i="10"/>
  <c r="BI145" i="10"/>
  <c r="BL159" i="10"/>
  <c r="V159" i="10"/>
  <c r="T149" i="10"/>
  <c r="AA149" i="10" s="1"/>
  <c r="BJ149" i="10"/>
  <c r="V96" i="10"/>
  <c r="AC96" i="10" s="1"/>
  <c r="BL96" i="10"/>
  <c r="Q125" i="10"/>
  <c r="S125" i="10"/>
  <c r="BI125" i="10"/>
  <c r="U155" i="10"/>
  <c r="AB155" i="10" s="1"/>
  <c r="BK155" i="10"/>
  <c r="U116" i="10"/>
  <c r="AB116" i="10" s="1"/>
  <c r="BK116" i="10"/>
  <c r="Q130" i="10"/>
  <c r="S130" i="10"/>
  <c r="BI130" i="10"/>
  <c r="V133" i="10"/>
  <c r="AC133" i="10" s="1"/>
  <c r="BL133" i="10"/>
  <c r="W151" i="10"/>
  <c r="AD151" i="10" s="1"/>
  <c r="AK151" i="10" s="1"/>
  <c r="BM151" i="10"/>
  <c r="V106" i="10"/>
  <c r="AC106" i="10" s="1"/>
  <c r="BL106" i="10"/>
  <c r="T92" i="10"/>
  <c r="AA92" i="10" s="1"/>
  <c r="BJ92" i="10"/>
  <c r="Q98" i="10"/>
  <c r="S98" i="10"/>
  <c r="BI98" i="10"/>
  <c r="U90" i="10"/>
  <c r="AB90" i="10" s="1"/>
  <c r="BK90" i="10"/>
  <c r="V90" i="10"/>
  <c r="AC90" i="10" s="1"/>
  <c r="BL90" i="10"/>
  <c r="W104" i="10"/>
  <c r="AD104" i="10" s="1"/>
  <c r="AK104" i="10" s="1"/>
  <c r="BM104" i="10"/>
  <c r="U112" i="10"/>
  <c r="AB112" i="10" s="1"/>
  <c r="BK112" i="10"/>
  <c r="Q91" i="10"/>
  <c r="S91" i="10"/>
  <c r="BI91" i="10"/>
  <c r="V136" i="10"/>
  <c r="AC136" i="10" s="1"/>
  <c r="BL136" i="10"/>
  <c r="T128" i="10"/>
  <c r="AA128" i="10" s="1"/>
  <c r="BJ128" i="10"/>
  <c r="U88" i="10"/>
  <c r="AB88" i="10" s="1"/>
  <c r="BK88" i="10"/>
  <c r="T95" i="10"/>
  <c r="AA95" i="10" s="1"/>
  <c r="BJ95" i="10"/>
  <c r="BI123" i="10"/>
  <c r="S123" i="10"/>
  <c r="V112" i="10"/>
  <c r="AC112" i="10" s="1"/>
  <c r="BL112" i="10"/>
  <c r="V154" i="10"/>
  <c r="AC154" i="10" s="1"/>
  <c r="BL154" i="10"/>
  <c r="W121" i="10"/>
  <c r="AD121" i="10" s="1"/>
  <c r="AK121" i="10" s="1"/>
  <c r="BM121" i="10"/>
  <c r="W141" i="10"/>
  <c r="AD141" i="10" s="1"/>
  <c r="AK141" i="10" s="1"/>
  <c r="BM141" i="10"/>
  <c r="Q134" i="10"/>
  <c r="S134" i="10"/>
  <c r="BI134" i="10"/>
  <c r="T103" i="10"/>
  <c r="AA103" i="10" s="1"/>
  <c r="BJ103" i="10"/>
  <c r="T148" i="10"/>
  <c r="AA148" i="10" s="1"/>
  <c r="BJ148" i="10"/>
  <c r="BL157" i="10"/>
  <c r="V157" i="10"/>
  <c r="U99" i="10"/>
  <c r="AB99" i="10" s="1"/>
  <c r="BK99" i="10"/>
  <c r="BL123" i="10"/>
  <c r="V123" i="10"/>
  <c r="AC123" i="10" s="1"/>
  <c r="T87" i="10"/>
  <c r="AA87" i="10" s="1"/>
  <c r="BJ87" i="10"/>
  <c r="V140" i="10"/>
  <c r="AC140" i="10" s="1"/>
  <c r="BL140" i="10"/>
  <c r="Q105" i="10"/>
  <c r="S105" i="10"/>
  <c r="BI105" i="10"/>
  <c r="V126" i="10"/>
  <c r="AC126" i="10" s="1"/>
  <c r="BL126" i="10"/>
  <c r="T99" i="10"/>
  <c r="AA99" i="10" s="1"/>
  <c r="BJ99" i="10"/>
  <c r="Q137" i="10"/>
  <c r="S137" i="10"/>
  <c r="BI137" i="10"/>
  <c r="Q147" i="10"/>
  <c r="S147" i="10"/>
  <c r="BI147" i="10"/>
  <c r="F46" i="8"/>
  <c r="G49" i="8"/>
  <c r="F49" i="8"/>
  <c r="M63" i="10" s="1"/>
  <c r="F48" i="8"/>
  <c r="G47" i="8"/>
  <c r="M54" i="10" s="1"/>
  <c r="M58" i="10"/>
  <c r="M71" i="10"/>
  <c r="T71" i="10" s="1"/>
  <c r="O68" i="10"/>
  <c r="V68" i="10" s="1"/>
  <c r="P62" i="10"/>
  <c r="M68" i="10"/>
  <c r="T68" i="10" s="1"/>
  <c r="L60" i="10"/>
  <c r="O69" i="10"/>
  <c r="V69" i="10" s="1"/>
  <c r="N61" i="10"/>
  <c r="O63" i="10"/>
  <c r="L62" i="10"/>
  <c r="M55" i="10"/>
  <c r="N59" i="10"/>
  <c r="N69" i="10"/>
  <c r="U69" i="10" s="1"/>
  <c r="O64" i="10"/>
  <c r="V64" i="10" s="1"/>
  <c r="N55" i="10"/>
  <c r="L69" i="10"/>
  <c r="S69" i="10" s="1"/>
  <c r="O70" i="10"/>
  <c r="V70" i="10" s="1"/>
  <c r="L64" i="10"/>
  <c r="S64" i="10" s="1"/>
  <c r="N62" i="10"/>
  <c r="M66" i="10"/>
  <c r="T66" i="10" s="1"/>
  <c r="O57" i="10"/>
  <c r="L63" i="10"/>
  <c r="D93" i="16"/>
  <c r="E93" i="16"/>
  <c r="D127" i="16"/>
  <c r="D285" i="16" s="1"/>
  <c r="E127" i="16"/>
  <c r="E285" i="16" s="1"/>
  <c r="D76" i="8"/>
  <c r="C76" i="8"/>
  <c r="H76" i="8"/>
  <c r="E76" i="8"/>
  <c r="F76" i="8"/>
  <c r="G76" i="8"/>
  <c r="O67" i="12"/>
  <c r="AA65" i="12"/>
  <c r="O71" i="12"/>
  <c r="AA66" i="12"/>
  <c r="Z70" i="12"/>
  <c r="N70" i="12"/>
  <c r="AA69" i="12"/>
  <c r="N71" i="12"/>
  <c r="Z71" i="12"/>
  <c r="Z69" i="12"/>
  <c r="N69" i="12"/>
  <c r="N68" i="12"/>
  <c r="Z68" i="12"/>
  <c r="Z65" i="12"/>
  <c r="N65" i="12"/>
  <c r="AA70" i="12"/>
  <c r="N66" i="12"/>
  <c r="Z66" i="12"/>
  <c r="AA68" i="12"/>
  <c r="AA64" i="12"/>
  <c r="Z64" i="12"/>
  <c r="N64" i="12"/>
  <c r="N67" i="12"/>
  <c r="Z67" i="12"/>
  <c r="C22" i="4"/>
  <c r="D21" i="4"/>
  <c r="C89" i="16"/>
  <c r="V73" i="10"/>
  <c r="S76" i="10"/>
  <c r="U78" i="10"/>
  <c r="W80" i="10"/>
  <c r="T83" i="10"/>
  <c r="V85" i="10"/>
  <c r="W73" i="10"/>
  <c r="T76" i="10"/>
  <c r="V78" i="10"/>
  <c r="S81" i="10"/>
  <c r="U83" i="10"/>
  <c r="W85" i="10"/>
  <c r="S74" i="10"/>
  <c r="U76" i="10"/>
  <c r="W78" i="10"/>
  <c r="T81" i="10"/>
  <c r="V83" i="10"/>
  <c r="S86" i="10"/>
  <c r="T74" i="10"/>
  <c r="V76" i="10"/>
  <c r="S79" i="10"/>
  <c r="U81" i="10"/>
  <c r="W83" i="10"/>
  <c r="T86" i="10"/>
  <c r="S72" i="10"/>
  <c r="U74" i="10"/>
  <c r="W76" i="10"/>
  <c r="T79" i="10"/>
  <c r="V81" i="10"/>
  <c r="S84" i="10"/>
  <c r="U86" i="10"/>
  <c r="T72" i="10"/>
  <c r="V74" i="10"/>
  <c r="S77" i="10"/>
  <c r="U79" i="10"/>
  <c r="W81" i="10"/>
  <c r="T84" i="10"/>
  <c r="V86" i="10"/>
  <c r="U72" i="10"/>
  <c r="W74" i="10"/>
  <c r="T77" i="10"/>
  <c r="V79" i="10"/>
  <c r="S82" i="10"/>
  <c r="U84" i="10"/>
  <c r="W86" i="10"/>
  <c r="V72" i="10"/>
  <c r="S75" i="10"/>
  <c r="U77" i="10"/>
  <c r="W79" i="10"/>
  <c r="T82" i="10"/>
  <c r="V84" i="10"/>
  <c r="W72" i="10"/>
  <c r="T75" i="10"/>
  <c r="V77" i="10"/>
  <c r="S80" i="10"/>
  <c r="U82" i="10"/>
  <c r="W84" i="10"/>
  <c r="S73" i="10"/>
  <c r="U75" i="10"/>
  <c r="W77" i="10"/>
  <c r="T80" i="10"/>
  <c r="V82" i="10"/>
  <c r="S85" i="10"/>
  <c r="T73" i="10"/>
  <c r="V75" i="10"/>
  <c r="S78" i="10"/>
  <c r="U80" i="10"/>
  <c r="W82" i="10"/>
  <c r="T85" i="10"/>
  <c r="U73" i="10"/>
  <c r="W75" i="10"/>
  <c r="T78" i="10"/>
  <c r="V80" i="10"/>
  <c r="S83" i="10"/>
  <c r="U85" i="10"/>
  <c r="BT128" i="10"/>
  <c r="BT91" i="10"/>
  <c r="BG104" i="10"/>
  <c r="BG132" i="10"/>
  <c r="BG144" i="10"/>
  <c r="BT153" i="10"/>
  <c r="BG148" i="10"/>
  <c r="BT130" i="10"/>
  <c r="BT155" i="10"/>
  <c r="BT120" i="10"/>
  <c r="BG103" i="10"/>
  <c r="BG116" i="10"/>
  <c r="BG142" i="10"/>
  <c r="BG155" i="10"/>
  <c r="BG122" i="10"/>
  <c r="BG100" i="10"/>
  <c r="BG102" i="10"/>
  <c r="BG125" i="10"/>
  <c r="BG111" i="10"/>
  <c r="BG147" i="10"/>
  <c r="BG93" i="10"/>
  <c r="BG141" i="10"/>
  <c r="BG124" i="10"/>
  <c r="BG126" i="10"/>
  <c r="BG119" i="10"/>
  <c r="BT110" i="10"/>
  <c r="BG117" i="10"/>
  <c r="BG94" i="10"/>
  <c r="BG145" i="10"/>
  <c r="BT94" i="10"/>
  <c r="BG150" i="10"/>
  <c r="BG91" i="10"/>
  <c r="BG115" i="10"/>
  <c r="BG87" i="10"/>
  <c r="BG130" i="10"/>
  <c r="BT87" i="10"/>
  <c r="CA87" i="10" s="1"/>
  <c r="BG120" i="10"/>
  <c r="BT137" i="10"/>
  <c r="BP89" i="10"/>
  <c r="BW89" i="10" s="1"/>
  <c r="BG89" i="10"/>
  <c r="BG137" i="10"/>
  <c r="BG152" i="10"/>
  <c r="BT134" i="10"/>
  <c r="BG97" i="10"/>
  <c r="BG95" i="10"/>
  <c r="BG110" i="10"/>
  <c r="BT150" i="10"/>
  <c r="BT118" i="10"/>
  <c r="BT143" i="10"/>
  <c r="BG139" i="10"/>
  <c r="BG128" i="10"/>
  <c r="BG98" i="10"/>
  <c r="BT88" i="10"/>
  <c r="CA88" i="10" s="1"/>
  <c r="BG138" i="10"/>
  <c r="BG107" i="10"/>
  <c r="BG154" i="10"/>
  <c r="BG133" i="10"/>
  <c r="BG131" i="10"/>
  <c r="BT127" i="10"/>
  <c r="BG88" i="10"/>
  <c r="BG135" i="10"/>
  <c r="BG118" i="10"/>
  <c r="BG92" i="10"/>
  <c r="BG146" i="10"/>
  <c r="BG108" i="10"/>
  <c r="BG121" i="10"/>
  <c r="BG136" i="10"/>
  <c r="BG101" i="10"/>
  <c r="BG90" i="10"/>
  <c r="BG149" i="10"/>
  <c r="BG143" i="10"/>
  <c r="BG123" i="10"/>
  <c r="BG129" i="10"/>
  <c r="BT125" i="10"/>
  <c r="BG112" i="10"/>
  <c r="BG114" i="10"/>
  <c r="BG99" i="10"/>
  <c r="BG113" i="10"/>
  <c r="BG105" i="10"/>
  <c r="BG153" i="10"/>
  <c r="BG106" i="10"/>
  <c r="BG109" i="10"/>
  <c r="BG134" i="10"/>
  <c r="BG96" i="10"/>
  <c r="BT129" i="10"/>
  <c r="BT131" i="10"/>
  <c r="BG127" i="10"/>
  <c r="BG151" i="10"/>
  <c r="BG140" i="10"/>
  <c r="BT152" i="10"/>
  <c r="BT116" i="10"/>
  <c r="D69" i="8"/>
  <c r="D70" i="8" s="1"/>
  <c r="E69" i="8"/>
  <c r="G69" i="8"/>
  <c r="F69" i="8"/>
  <c r="H69" i="8"/>
  <c r="C35" i="8"/>
  <c r="C33" i="8"/>
  <c r="BT101" i="10" l="1"/>
  <c r="BT146" i="10"/>
  <c r="BQ102" i="10"/>
  <c r="BT111" i="10"/>
  <c r="BP109" i="10"/>
  <c r="BT100" i="10"/>
  <c r="BT124" i="10"/>
  <c r="BT114" i="10"/>
  <c r="BT106" i="10"/>
  <c r="BT96" i="10"/>
  <c r="BT103" i="10"/>
  <c r="BN134" i="10"/>
  <c r="BT119" i="10"/>
  <c r="BT93" i="10"/>
  <c r="N63" i="10"/>
  <c r="BT135" i="10"/>
  <c r="BT92" i="10"/>
  <c r="N54" i="10"/>
  <c r="P54" i="10"/>
  <c r="O65" i="10"/>
  <c r="V65" i="10" s="1"/>
  <c r="AC65" i="10" s="1"/>
  <c r="AJ65" i="10" s="1"/>
  <c r="P68" i="10"/>
  <c r="W68" i="10" s="1"/>
  <c r="AD68" i="10" s="1"/>
  <c r="AK68" i="10" s="1"/>
  <c r="BT117" i="10"/>
  <c r="L59" i="10"/>
  <c r="M57" i="10"/>
  <c r="L65" i="10"/>
  <c r="S65" i="10" s="1"/>
  <c r="Z65" i="10" s="1"/>
  <c r="AG65" i="10" s="1"/>
  <c r="O66" i="10"/>
  <c r="V66" i="10" s="1"/>
  <c r="AC66" i="10" s="1"/>
  <c r="AJ66" i="10" s="1"/>
  <c r="M70" i="10"/>
  <c r="T70" i="10" s="1"/>
  <c r="AA70" i="10" s="1"/>
  <c r="AH70" i="10" s="1"/>
  <c r="O56" i="10"/>
  <c r="P70" i="10"/>
  <c r="W70" i="10" s="1"/>
  <c r="N70" i="10"/>
  <c r="U70" i="10" s="1"/>
  <c r="AB70" i="10" s="1"/>
  <c r="AI70" i="10" s="1"/>
  <c r="BT102" i="10"/>
  <c r="P71" i="10"/>
  <c r="W71" i="10" s="1"/>
  <c r="AD71" i="10" s="1"/>
  <c r="AK71" i="10" s="1"/>
  <c r="N58" i="10"/>
  <c r="BT112" i="10"/>
  <c r="M69" i="10"/>
  <c r="T69" i="10" s="1"/>
  <c r="AA69" i="10" s="1"/>
  <c r="AH69" i="10" s="1"/>
  <c r="M60" i="10"/>
  <c r="N65" i="10"/>
  <c r="U65" i="10" s="1"/>
  <c r="AB65" i="10" s="1"/>
  <c r="AI65" i="10" s="1"/>
  <c r="N64" i="10"/>
  <c r="U64" i="10" s="1"/>
  <c r="M67" i="10"/>
  <c r="T67" i="10" s="1"/>
  <c r="AA67" i="10" s="1"/>
  <c r="AH67" i="10" s="1"/>
  <c r="O61" i="10"/>
  <c r="L68" i="10"/>
  <c r="S68" i="10" s="1"/>
  <c r="L55" i="10"/>
  <c r="P61" i="10"/>
  <c r="N67" i="10"/>
  <c r="U67" i="10" s="1"/>
  <c r="AB67" i="10" s="1"/>
  <c r="AI67" i="10" s="1"/>
  <c r="N66" i="10"/>
  <c r="U66" i="10" s="1"/>
  <c r="BQ94" i="10"/>
  <c r="BT145" i="10"/>
  <c r="O58" i="10"/>
  <c r="L56" i="10"/>
  <c r="O60" i="10"/>
  <c r="O71" i="10"/>
  <c r="V71" i="10" s="1"/>
  <c r="AC71" i="10" s="1"/>
  <c r="AJ71" i="10" s="1"/>
  <c r="N56" i="10"/>
  <c r="L58" i="10"/>
  <c r="M62" i="10"/>
  <c r="P69" i="10"/>
  <c r="W69" i="10" s="1"/>
  <c r="AD69" i="10" s="1"/>
  <c r="AK69" i="10" s="1"/>
  <c r="P63" i="10"/>
  <c r="P59" i="10"/>
  <c r="N71" i="10"/>
  <c r="U71" i="10" s="1"/>
  <c r="AB71" i="10" s="1"/>
  <c r="AI71" i="10" s="1"/>
  <c r="L61" i="10"/>
  <c r="M61" i="10"/>
  <c r="M65" i="10"/>
  <c r="T65" i="10" s="1"/>
  <c r="P56" i="10"/>
  <c r="O67" i="10"/>
  <c r="V67" i="10" s="1"/>
  <c r="N68" i="10"/>
  <c r="U68" i="10" s="1"/>
  <c r="AB68" i="10" s="1"/>
  <c r="AI68" i="10" s="1"/>
  <c r="BT142" i="10"/>
  <c r="P55" i="10"/>
  <c r="P67" i="10"/>
  <c r="W67" i="10" s="1"/>
  <c r="AD67" i="10" s="1"/>
  <c r="AK67" i="10" s="1"/>
  <c r="L57" i="10"/>
  <c r="P65" i="10"/>
  <c r="W65" i="10" s="1"/>
  <c r="AD65" i="10" s="1"/>
  <c r="AK65" i="10" s="1"/>
  <c r="O59" i="10"/>
  <c r="O62" i="10"/>
  <c r="P57" i="10"/>
  <c r="L70" i="10"/>
  <c r="S70" i="10" s="1"/>
  <c r="P66" i="10"/>
  <c r="W66" i="10" s="1"/>
  <c r="AD66" i="10" s="1"/>
  <c r="AK66" i="10" s="1"/>
  <c r="M59" i="10"/>
  <c r="BN136" i="10"/>
  <c r="BN106" i="10"/>
  <c r="BT121" i="10"/>
  <c r="BT141" i="10"/>
  <c r="L54" i="10"/>
  <c r="BT147" i="10"/>
  <c r="BT151" i="10"/>
  <c r="BN130" i="10"/>
  <c r="BS139" i="10"/>
  <c r="BN131" i="10"/>
  <c r="O54" i="10"/>
  <c r="BN142" i="10"/>
  <c r="P53" i="10"/>
  <c r="BN117" i="10"/>
  <c r="BN135" i="10"/>
  <c r="AD158" i="12"/>
  <c r="BN127" i="10"/>
  <c r="O53" i="10"/>
  <c r="L53" i="10"/>
  <c r="BT95" i="10"/>
  <c r="N53" i="10"/>
  <c r="L71" i="10"/>
  <c r="S71" i="10" s="1"/>
  <c r="BN95" i="10"/>
  <c r="BT109" i="10"/>
  <c r="BT98" i="10"/>
  <c r="M53" i="10"/>
  <c r="BN158" i="10"/>
  <c r="BN133" i="10"/>
  <c r="BT126" i="10"/>
  <c r="BT107" i="10"/>
  <c r="AC159" i="12"/>
  <c r="BT156" i="10"/>
  <c r="BS129" i="10"/>
  <c r="BT99" i="10"/>
  <c r="BT97" i="10"/>
  <c r="BN157" i="10"/>
  <c r="BT136" i="10"/>
  <c r="BT108" i="10"/>
  <c r="BN145" i="10"/>
  <c r="AD157" i="12"/>
  <c r="AC160" i="12"/>
  <c r="AC157" i="12"/>
  <c r="AC156" i="12"/>
  <c r="AD159" i="12"/>
  <c r="Z147" i="10"/>
  <c r="X147" i="10"/>
  <c r="AC156" i="10"/>
  <c r="BS156" i="10" s="1"/>
  <c r="BN112" i="10"/>
  <c r="BN138" i="10"/>
  <c r="BN153" i="10"/>
  <c r="Z111" i="10"/>
  <c r="X111" i="10"/>
  <c r="BN122" i="10"/>
  <c r="BN102" i="10"/>
  <c r="AI133" i="10"/>
  <c r="BR133" i="10"/>
  <c r="AH134" i="10"/>
  <c r="BQ134" i="10"/>
  <c r="BN101" i="10"/>
  <c r="AI100" i="10"/>
  <c r="BR100" i="10"/>
  <c r="AI124" i="10"/>
  <c r="BR124" i="10"/>
  <c r="AH89" i="10"/>
  <c r="BQ89" i="10"/>
  <c r="BX89" i="10" s="1"/>
  <c r="AJ112" i="10"/>
  <c r="BS112" i="10"/>
  <c r="Z133" i="10"/>
  <c r="X133" i="10"/>
  <c r="Z128" i="10"/>
  <c r="X128" i="10"/>
  <c r="AH106" i="10"/>
  <c r="BQ106" i="10"/>
  <c r="AH103" i="10"/>
  <c r="BQ103" i="10"/>
  <c r="AC159" i="10"/>
  <c r="BS159" i="10" s="1"/>
  <c r="AH112" i="10"/>
  <c r="BQ112" i="10"/>
  <c r="AJ110" i="10"/>
  <c r="BS110" i="10"/>
  <c r="BQ118" i="10"/>
  <c r="AH139" i="10"/>
  <c r="BQ139" i="10"/>
  <c r="X157" i="10"/>
  <c r="AB157" i="10"/>
  <c r="BR157" i="10" s="1"/>
  <c r="AH152" i="10"/>
  <c r="BQ152" i="10"/>
  <c r="AJ137" i="10"/>
  <c r="BS137" i="10"/>
  <c r="AI96" i="10"/>
  <c r="BR96" i="10"/>
  <c r="Z106" i="10"/>
  <c r="X106" i="10"/>
  <c r="X112" i="10"/>
  <c r="Z112" i="10"/>
  <c r="AH146" i="10"/>
  <c r="BQ146" i="10"/>
  <c r="AH120" i="10"/>
  <c r="BQ120" i="10"/>
  <c r="X138" i="10"/>
  <c r="Z138" i="10"/>
  <c r="BN107" i="10"/>
  <c r="AI98" i="10"/>
  <c r="BR98" i="10"/>
  <c r="AJ92" i="10"/>
  <c r="BS92" i="10"/>
  <c r="AJ111" i="10"/>
  <c r="BS111" i="10"/>
  <c r="AJ117" i="10"/>
  <c r="BS117" i="10"/>
  <c r="Z153" i="10"/>
  <c r="X153" i="10"/>
  <c r="Z90" i="10"/>
  <c r="X90" i="10"/>
  <c r="AH97" i="10"/>
  <c r="BQ97" i="10"/>
  <c r="X122" i="10"/>
  <c r="Z122" i="10"/>
  <c r="Z102" i="10"/>
  <c r="X102" i="10"/>
  <c r="BN150" i="10"/>
  <c r="Z101" i="10"/>
  <c r="X101" i="10"/>
  <c r="AJ103" i="10"/>
  <c r="BS103" i="10"/>
  <c r="BN139" i="10"/>
  <c r="BN89" i="10"/>
  <c r="BN108" i="10"/>
  <c r="AJ113" i="10"/>
  <c r="BS113" i="10"/>
  <c r="Z91" i="10"/>
  <c r="X91" i="10"/>
  <c r="AJ115" i="10"/>
  <c r="BS115" i="10"/>
  <c r="Z123" i="10"/>
  <c r="X123" i="10"/>
  <c r="AI107" i="10"/>
  <c r="BR107" i="10"/>
  <c r="BN137" i="10"/>
  <c r="BN123" i="10"/>
  <c r="AH92" i="10"/>
  <c r="BQ92" i="10"/>
  <c r="BN92" i="10"/>
  <c r="AI91" i="10"/>
  <c r="BR91" i="10"/>
  <c r="AA160" i="10"/>
  <c r="BQ160" i="10" s="1"/>
  <c r="AI115" i="10"/>
  <c r="BR115" i="10"/>
  <c r="AI142" i="10"/>
  <c r="BR142" i="10"/>
  <c r="BN155" i="10"/>
  <c r="AC158" i="10"/>
  <c r="BS158" i="10" s="1"/>
  <c r="X107" i="10"/>
  <c r="Z107" i="10"/>
  <c r="AH133" i="10"/>
  <c r="BQ133" i="10"/>
  <c r="AD157" i="10"/>
  <c r="BT157" i="10" s="1"/>
  <c r="BN154" i="10"/>
  <c r="X89" i="10"/>
  <c r="AD89" i="10"/>
  <c r="AE89" i="10" s="1"/>
  <c r="AI109" i="10"/>
  <c r="BR109" i="10"/>
  <c r="BN90" i="10"/>
  <c r="AI148" i="10"/>
  <c r="BR148" i="10"/>
  <c r="AJ119" i="10"/>
  <c r="BS119" i="10"/>
  <c r="X150" i="10"/>
  <c r="Z150" i="10"/>
  <c r="AJ114" i="10"/>
  <c r="BS114" i="10"/>
  <c r="AI103" i="10"/>
  <c r="BR103" i="10"/>
  <c r="X139" i="10"/>
  <c r="Z139" i="10"/>
  <c r="AG89" i="10"/>
  <c r="Z108" i="10"/>
  <c r="X108" i="10"/>
  <c r="BN141" i="10"/>
  <c r="AH149" i="10"/>
  <c r="BQ149" i="10"/>
  <c r="BN114" i="10"/>
  <c r="Z121" i="10"/>
  <c r="X121" i="10"/>
  <c r="AJ151" i="10"/>
  <c r="BS151" i="10"/>
  <c r="AJ131" i="10"/>
  <c r="BS131" i="10"/>
  <c r="AJ140" i="10"/>
  <c r="BS140" i="10"/>
  <c r="BT138" i="10"/>
  <c r="BT144" i="10"/>
  <c r="BT123" i="10"/>
  <c r="BT139" i="10"/>
  <c r="Z137" i="10"/>
  <c r="X137" i="10"/>
  <c r="AH87" i="10"/>
  <c r="BQ87" i="10"/>
  <c r="X134" i="10"/>
  <c r="Z134" i="10"/>
  <c r="AI112" i="10"/>
  <c r="BR112" i="10"/>
  <c r="AI116" i="10"/>
  <c r="BR116" i="10"/>
  <c r="X92" i="10"/>
  <c r="Z92" i="10"/>
  <c r="AI95" i="10"/>
  <c r="BR95" i="10"/>
  <c r="AI92" i="10"/>
  <c r="BR92" i="10"/>
  <c r="AJ94" i="10"/>
  <c r="BS94" i="10"/>
  <c r="AJ105" i="10"/>
  <c r="BS105" i="10"/>
  <c r="AH140" i="10"/>
  <c r="BQ140" i="10"/>
  <c r="AB160" i="10"/>
  <c r="BR160" i="10" s="1"/>
  <c r="BN132" i="10"/>
  <c r="AI141" i="10"/>
  <c r="BR141" i="10"/>
  <c r="AJ145" i="10"/>
  <c r="BS145" i="10"/>
  <c r="AD159" i="10"/>
  <c r="BT159" i="10" s="1"/>
  <c r="AH135" i="10"/>
  <c r="BQ135" i="10"/>
  <c r="AJ101" i="10"/>
  <c r="BS101" i="10"/>
  <c r="AI138" i="10"/>
  <c r="BR138" i="10"/>
  <c r="BN99" i="10"/>
  <c r="Z155" i="10"/>
  <c r="X155" i="10"/>
  <c r="AI134" i="10"/>
  <c r="BR134" i="10"/>
  <c r="BQ96" i="10"/>
  <c r="AJ124" i="10"/>
  <c r="BS124" i="10"/>
  <c r="X154" i="10"/>
  <c r="Z154" i="10"/>
  <c r="AC160" i="10"/>
  <c r="BS160" i="10" s="1"/>
  <c r="AH127" i="10"/>
  <c r="BQ127" i="10"/>
  <c r="AH155" i="10"/>
  <c r="BQ155" i="10"/>
  <c r="AH114" i="10"/>
  <c r="BQ114" i="10"/>
  <c r="BN143" i="10"/>
  <c r="AI114" i="10"/>
  <c r="BR114" i="10"/>
  <c r="AH131" i="10"/>
  <c r="BQ131" i="10"/>
  <c r="X109" i="10"/>
  <c r="AA109" i="10"/>
  <c r="AE109" i="10" s="1"/>
  <c r="Z141" i="10"/>
  <c r="X141" i="10"/>
  <c r="AJ123" i="10"/>
  <c r="BS123" i="10"/>
  <c r="AJ128" i="10"/>
  <c r="BS128" i="10"/>
  <c r="AJ99" i="10"/>
  <c r="BS99" i="10"/>
  <c r="AH129" i="10"/>
  <c r="BQ129" i="10"/>
  <c r="X143" i="10"/>
  <c r="Z143" i="10"/>
  <c r="BT90" i="10"/>
  <c r="BN144" i="10"/>
  <c r="AJ149" i="10"/>
  <c r="BS149" i="10"/>
  <c r="AJ93" i="10"/>
  <c r="BS93" i="10"/>
  <c r="AI153" i="10"/>
  <c r="BR153" i="10"/>
  <c r="X142" i="10"/>
  <c r="Z142" i="10"/>
  <c r="BN126" i="10"/>
  <c r="AH113" i="10"/>
  <c r="BQ113" i="10"/>
  <c r="AJ89" i="10"/>
  <c r="BS89" i="10"/>
  <c r="BZ89" i="10" s="1"/>
  <c r="BT154" i="10"/>
  <c r="BT113" i="10"/>
  <c r="BT133" i="10"/>
  <c r="AH99" i="10"/>
  <c r="BQ99" i="10"/>
  <c r="AI88" i="10"/>
  <c r="BR88" i="10"/>
  <c r="BY88" i="10" s="1"/>
  <c r="BN125" i="10"/>
  <c r="BN118" i="10"/>
  <c r="X144" i="10"/>
  <c r="Z144" i="10"/>
  <c r="BN93" i="10"/>
  <c r="Z158" i="10"/>
  <c r="X158" i="10"/>
  <c r="AJ122" i="10"/>
  <c r="BS122" i="10"/>
  <c r="AJ104" i="10"/>
  <c r="BS104" i="10"/>
  <c r="AH115" i="10"/>
  <c r="BQ115" i="10"/>
  <c r="AA158" i="10"/>
  <c r="BQ158" i="10" s="1"/>
  <c r="AI117" i="10"/>
  <c r="BR117" i="10"/>
  <c r="AH90" i="10"/>
  <c r="BQ90" i="10"/>
  <c r="AJ109" i="10"/>
  <c r="BS109" i="10"/>
  <c r="AA159" i="10"/>
  <c r="BQ159" i="10" s="1"/>
  <c r="BR156" i="10"/>
  <c r="AI129" i="10"/>
  <c r="BR129" i="10"/>
  <c r="BN96" i="10"/>
  <c r="Z156" i="10"/>
  <c r="AG156" i="10" s="1"/>
  <c r="X156" i="10"/>
  <c r="AJ108" i="10"/>
  <c r="BS108" i="10"/>
  <c r="X126" i="10"/>
  <c r="Z126" i="10"/>
  <c r="BN97" i="10"/>
  <c r="AJ120" i="10"/>
  <c r="BS120" i="10"/>
  <c r="BN124" i="10"/>
  <c r="AH105" i="10"/>
  <c r="BQ105" i="10"/>
  <c r="X131" i="10"/>
  <c r="Z131" i="10"/>
  <c r="AJ106" i="10"/>
  <c r="BS106" i="10"/>
  <c r="AJ97" i="10"/>
  <c r="BS97" i="10"/>
  <c r="Z99" i="10"/>
  <c r="X99" i="10"/>
  <c r="BN113" i="10"/>
  <c r="BN119" i="10"/>
  <c r="Z117" i="10"/>
  <c r="X117" i="10"/>
  <c r="AH119" i="10"/>
  <c r="BQ119" i="10"/>
  <c r="AH122" i="10"/>
  <c r="BQ122" i="10"/>
  <c r="X136" i="10"/>
  <c r="Z136" i="10"/>
  <c r="AJ116" i="10"/>
  <c r="BS116" i="10"/>
  <c r="AH151" i="10"/>
  <c r="BQ151" i="10"/>
  <c r="Z113" i="10"/>
  <c r="X113" i="10"/>
  <c r="AH91" i="10"/>
  <c r="BQ91" i="10"/>
  <c r="Z157" i="10"/>
  <c r="AG157" i="10" s="1"/>
  <c r="AJ102" i="10"/>
  <c r="BS102" i="10"/>
  <c r="X119" i="10"/>
  <c r="Z119" i="10"/>
  <c r="BT122" i="10"/>
  <c r="AI99" i="10"/>
  <c r="BR99" i="10"/>
  <c r="AJ90" i="10"/>
  <c r="BS90" i="10"/>
  <c r="Z125" i="10"/>
  <c r="X125" i="10"/>
  <c r="X118" i="10"/>
  <c r="Z118" i="10"/>
  <c r="AI123" i="10"/>
  <c r="BR123" i="10"/>
  <c r="AJ153" i="10"/>
  <c r="BS153" i="10"/>
  <c r="AI145" i="10"/>
  <c r="BR145" i="10"/>
  <c r="Z93" i="10"/>
  <c r="X93" i="10"/>
  <c r="AI130" i="10"/>
  <c r="BR130" i="10"/>
  <c r="AD160" i="12"/>
  <c r="AB158" i="10"/>
  <c r="BR158" i="10" s="1"/>
  <c r="AI131" i="10"/>
  <c r="BR131" i="10"/>
  <c r="AI119" i="10"/>
  <c r="BR119" i="10"/>
  <c r="AI113" i="10"/>
  <c r="BR113" i="10"/>
  <c r="AI102" i="10"/>
  <c r="BR102" i="10"/>
  <c r="BN120" i="10"/>
  <c r="AI126" i="10"/>
  <c r="BR126" i="10"/>
  <c r="X94" i="10"/>
  <c r="Z94" i="10"/>
  <c r="AI144" i="10"/>
  <c r="BR144" i="10"/>
  <c r="AH138" i="10"/>
  <c r="BQ138" i="10"/>
  <c r="AH104" i="10"/>
  <c r="BQ104" i="10"/>
  <c r="AI121" i="10"/>
  <c r="BR121" i="10"/>
  <c r="X96" i="10"/>
  <c r="Z96" i="10"/>
  <c r="AH101" i="10"/>
  <c r="BQ101" i="10"/>
  <c r="AJ88" i="10"/>
  <c r="BS88" i="10"/>
  <c r="BZ88" i="10" s="1"/>
  <c r="AH145" i="10"/>
  <c r="BQ145" i="10"/>
  <c r="Z97" i="10"/>
  <c r="X97" i="10"/>
  <c r="X124" i="10"/>
  <c r="Z124" i="10"/>
  <c r="AJ144" i="10"/>
  <c r="BS144" i="10"/>
  <c r="AB159" i="10"/>
  <c r="BR159" i="10" s="1"/>
  <c r="BN129" i="10"/>
  <c r="AJ150" i="10"/>
  <c r="BS150" i="10"/>
  <c r="AH130" i="10"/>
  <c r="BQ130" i="10"/>
  <c r="AI108" i="10"/>
  <c r="BR108" i="10"/>
  <c r="AI155" i="10"/>
  <c r="BR155" i="10"/>
  <c r="BT104" i="10"/>
  <c r="AJ126" i="10"/>
  <c r="BS126" i="10"/>
  <c r="AC157" i="10"/>
  <c r="BS157" i="10" s="1"/>
  <c r="AH128" i="10"/>
  <c r="BQ128" i="10"/>
  <c r="AJ133" i="10"/>
  <c r="BS133" i="10"/>
  <c r="AJ95" i="10"/>
  <c r="BS95" i="10"/>
  <c r="AH132" i="10"/>
  <c r="BQ132" i="10"/>
  <c r="AH154" i="10"/>
  <c r="BQ154" i="10"/>
  <c r="AA157" i="10"/>
  <c r="BQ157" i="10" s="1"/>
  <c r="BN109" i="10"/>
  <c r="AJ142" i="10"/>
  <c r="BS142" i="10"/>
  <c r="AH144" i="10"/>
  <c r="BQ144" i="10"/>
  <c r="AI149" i="10"/>
  <c r="BR149" i="10"/>
  <c r="AH153" i="10"/>
  <c r="BQ153" i="10"/>
  <c r="AI139" i="10"/>
  <c r="BR139" i="10"/>
  <c r="AJ98" i="10"/>
  <c r="BS98" i="10"/>
  <c r="X120" i="10"/>
  <c r="Z120" i="10"/>
  <c r="BN94" i="10"/>
  <c r="AD160" i="10"/>
  <c r="BT160" i="10" s="1"/>
  <c r="AC158" i="12"/>
  <c r="BN156" i="10"/>
  <c r="AI146" i="10"/>
  <c r="BR146" i="10"/>
  <c r="AJ152" i="10"/>
  <c r="BS152" i="10"/>
  <c r="AI147" i="10"/>
  <c r="BR147" i="10"/>
  <c r="BN151" i="10"/>
  <c r="AI120" i="10"/>
  <c r="BR120" i="10"/>
  <c r="AJ100" i="10"/>
  <c r="BS100" i="10"/>
  <c r="AJ134" i="10"/>
  <c r="BS134" i="10"/>
  <c r="AI128" i="10"/>
  <c r="BR128" i="10"/>
  <c r="AI122" i="10"/>
  <c r="BR122" i="10"/>
  <c r="X129" i="10"/>
  <c r="Z129" i="10"/>
  <c r="BQ136" i="10"/>
  <c r="Z145" i="10"/>
  <c r="X145" i="10"/>
  <c r="AI104" i="10"/>
  <c r="BR104" i="10"/>
  <c r="AH98" i="10"/>
  <c r="BQ98" i="10"/>
  <c r="AH123" i="10"/>
  <c r="BQ123" i="10"/>
  <c r="AI101" i="10"/>
  <c r="BR101" i="10"/>
  <c r="BT115" i="10"/>
  <c r="BT148" i="10"/>
  <c r="BN105" i="10"/>
  <c r="AI90" i="10"/>
  <c r="BR90" i="10"/>
  <c r="AH141" i="10"/>
  <c r="BQ141" i="10"/>
  <c r="AJ146" i="10"/>
  <c r="BS146" i="10"/>
  <c r="BN115" i="10"/>
  <c r="BN116" i="10"/>
  <c r="AI154" i="10"/>
  <c r="BR154" i="10"/>
  <c r="BR135" i="10"/>
  <c r="BN88" i="10"/>
  <c r="BN110" i="10"/>
  <c r="AG109" i="10"/>
  <c r="AJ87" i="10"/>
  <c r="BS87" i="10"/>
  <c r="BZ87" i="10" s="1"/>
  <c r="BN100" i="10"/>
  <c r="Z160" i="10"/>
  <c r="AG160" i="10" s="1"/>
  <c r="X160" i="10"/>
  <c r="AI127" i="10"/>
  <c r="BR127" i="10"/>
  <c r="AH142" i="10"/>
  <c r="BQ142" i="10"/>
  <c r="AI111" i="10"/>
  <c r="BR111" i="10"/>
  <c r="BN148" i="10"/>
  <c r="AI137" i="10"/>
  <c r="BR137" i="10"/>
  <c r="BN159" i="10"/>
  <c r="BN87" i="10"/>
  <c r="AD156" i="12"/>
  <c r="AA156" i="10"/>
  <c r="BQ156" i="10" s="1"/>
  <c r="AJ147" i="10"/>
  <c r="BS147" i="10"/>
  <c r="BN146" i="10"/>
  <c r="BN152" i="10"/>
  <c r="AI136" i="10"/>
  <c r="BR136" i="10"/>
  <c r="AH125" i="10"/>
  <c r="BQ125" i="10"/>
  <c r="AH111" i="10"/>
  <c r="BQ111" i="10"/>
  <c r="Z151" i="10"/>
  <c r="X151" i="10"/>
  <c r="AJ118" i="10"/>
  <c r="BS118" i="10"/>
  <c r="AH124" i="10"/>
  <c r="BQ124" i="10"/>
  <c r="X104" i="10"/>
  <c r="Z104" i="10"/>
  <c r="BS125" i="10"/>
  <c r="AI140" i="10"/>
  <c r="BR140" i="10"/>
  <c r="X132" i="10"/>
  <c r="Z132" i="10"/>
  <c r="AD158" i="10"/>
  <c r="BT158" i="10" s="1"/>
  <c r="AJ127" i="10"/>
  <c r="BS127" i="10"/>
  <c r="AH93" i="10"/>
  <c r="BQ93" i="10"/>
  <c r="Z105" i="10"/>
  <c r="X105" i="10"/>
  <c r="AJ154" i="10"/>
  <c r="BS154" i="10"/>
  <c r="AJ136" i="10"/>
  <c r="BS136" i="10"/>
  <c r="BN98" i="10"/>
  <c r="Z130" i="10"/>
  <c r="X130" i="10"/>
  <c r="AJ96" i="10"/>
  <c r="BS96" i="10"/>
  <c r="AH143" i="10"/>
  <c r="BQ143" i="10"/>
  <c r="Z115" i="10"/>
  <c r="X115" i="10"/>
  <c r="X116" i="10"/>
  <c r="Z116" i="10"/>
  <c r="AJ148" i="10"/>
  <c r="BS148" i="10"/>
  <c r="AH117" i="10"/>
  <c r="BQ117" i="10"/>
  <c r="BR89" i="10"/>
  <c r="BY89" i="10" s="1"/>
  <c r="X88" i="10"/>
  <c r="Z88" i="10"/>
  <c r="Z110" i="10"/>
  <c r="X110" i="10"/>
  <c r="AJ138" i="10"/>
  <c r="BS138" i="10"/>
  <c r="X100" i="10"/>
  <c r="Z100" i="10"/>
  <c r="BN103" i="10"/>
  <c r="AI93" i="10"/>
  <c r="BR93" i="10"/>
  <c r="AI105" i="10"/>
  <c r="BR105" i="10"/>
  <c r="X148" i="10"/>
  <c r="Z148" i="10"/>
  <c r="AI97" i="10"/>
  <c r="BR97" i="10"/>
  <c r="Z159" i="10"/>
  <c r="X159" i="10"/>
  <c r="Z87" i="10"/>
  <c r="X87" i="10"/>
  <c r="AH108" i="10"/>
  <c r="BQ108" i="10"/>
  <c r="AH137" i="10"/>
  <c r="BQ137" i="10"/>
  <c r="X146" i="10"/>
  <c r="Z146" i="10"/>
  <c r="Z152" i="10"/>
  <c r="X152" i="10"/>
  <c r="BN140" i="10"/>
  <c r="BN149" i="10"/>
  <c r="AJ141" i="10"/>
  <c r="BS141" i="10"/>
  <c r="AJ155" i="10"/>
  <c r="BS155" i="10"/>
  <c r="BN104" i="10"/>
  <c r="AJ121" i="10"/>
  <c r="BS121" i="10"/>
  <c r="AJ143" i="10"/>
  <c r="BS143" i="10"/>
  <c r="AH88" i="10"/>
  <c r="BQ88" i="10"/>
  <c r="BX88" i="10" s="1"/>
  <c r="BR150" i="10"/>
  <c r="AH95" i="10"/>
  <c r="BQ95" i="10"/>
  <c r="AI132" i="10"/>
  <c r="BR132" i="10"/>
  <c r="AH150" i="10"/>
  <c r="BQ150" i="10"/>
  <c r="AI118" i="10"/>
  <c r="BR118" i="10"/>
  <c r="BT149" i="10"/>
  <c r="BT105" i="10"/>
  <c r="BT132" i="10"/>
  <c r="BN147" i="10"/>
  <c r="AH148" i="10"/>
  <c r="BQ148" i="10"/>
  <c r="BN91" i="10"/>
  <c r="Z98" i="10"/>
  <c r="X98" i="10"/>
  <c r="Z95" i="10"/>
  <c r="X95" i="10"/>
  <c r="AH126" i="10"/>
  <c r="BQ126" i="10"/>
  <c r="AH100" i="10"/>
  <c r="BQ100" i="10"/>
  <c r="Z127" i="10"/>
  <c r="X127" i="10"/>
  <c r="AJ91" i="10"/>
  <c r="BS91" i="10"/>
  <c r="AI94" i="10"/>
  <c r="BR94" i="10"/>
  <c r="X114" i="10"/>
  <c r="Z114" i="10"/>
  <c r="AJ130" i="10"/>
  <c r="BS130" i="10"/>
  <c r="X103" i="10"/>
  <c r="Z103" i="10"/>
  <c r="BN160" i="10"/>
  <c r="BN128" i="10"/>
  <c r="BN121" i="10"/>
  <c r="AJ107" i="10"/>
  <c r="BS107" i="10"/>
  <c r="AI110" i="10"/>
  <c r="BR110" i="10"/>
  <c r="Z135" i="10"/>
  <c r="X135" i="10"/>
  <c r="AI151" i="10"/>
  <c r="BR151" i="10"/>
  <c r="AH107" i="10"/>
  <c r="BQ107" i="10"/>
  <c r="AH116" i="10"/>
  <c r="BQ116" i="10"/>
  <c r="BN111" i="10"/>
  <c r="AJ132" i="10"/>
  <c r="BS132" i="10"/>
  <c r="AH147" i="10"/>
  <c r="BQ147" i="10"/>
  <c r="Z140" i="10"/>
  <c r="X140" i="10"/>
  <c r="AJ135" i="10"/>
  <c r="BS135" i="10"/>
  <c r="Z149" i="10"/>
  <c r="X149" i="10"/>
  <c r="AI152" i="10"/>
  <c r="BR152" i="10"/>
  <c r="AI106" i="10"/>
  <c r="BR106" i="10"/>
  <c r="BR125" i="10"/>
  <c r="N57" i="10"/>
  <c r="M56" i="10"/>
  <c r="L67" i="10"/>
  <c r="S67" i="10" s="1"/>
  <c r="O55" i="10"/>
  <c r="P60" i="10"/>
  <c r="L66" i="10"/>
  <c r="S66" i="10" s="1"/>
  <c r="X66" i="10" s="1"/>
  <c r="P64" i="10"/>
  <c r="W64" i="10" s="1"/>
  <c r="AD64" i="10" s="1"/>
  <c r="AK64" i="10" s="1"/>
  <c r="P58" i="10"/>
  <c r="N60" i="10"/>
  <c r="M64" i="10"/>
  <c r="T64" i="10" s="1"/>
  <c r="AA64" i="10" s="1"/>
  <c r="AH64" i="10" s="1"/>
  <c r="C93" i="16"/>
  <c r="C123" i="16"/>
  <c r="AB85" i="10"/>
  <c r="AI85" i="10" s="1"/>
  <c r="AC70" i="10"/>
  <c r="AJ70" i="10" s="1"/>
  <c r="AC84" i="10"/>
  <c r="AJ84" i="10" s="1"/>
  <c r="AC79" i="10"/>
  <c r="AJ79" i="10" s="1"/>
  <c r="AC74" i="10"/>
  <c r="AJ74" i="10" s="1"/>
  <c r="AC69" i="10"/>
  <c r="AJ69" i="10" s="1"/>
  <c r="AC64" i="10"/>
  <c r="AJ64" i="10" s="1"/>
  <c r="AB83" i="10"/>
  <c r="AI83" i="10" s="1"/>
  <c r="AB78" i="10"/>
  <c r="AI78" i="10" s="1"/>
  <c r="AC75" i="10"/>
  <c r="AJ75" i="10" s="1"/>
  <c r="AA68" i="10"/>
  <c r="AH68" i="10" s="1"/>
  <c r="AA82" i="10"/>
  <c r="AH82" i="10" s="1"/>
  <c r="AA77" i="10"/>
  <c r="AH77" i="10" s="1"/>
  <c r="AA72" i="10"/>
  <c r="AH72" i="10" s="1"/>
  <c r="AC80" i="10"/>
  <c r="AJ80" i="10" s="1"/>
  <c r="AA73" i="10"/>
  <c r="AH73" i="10" s="1"/>
  <c r="AD79" i="10"/>
  <c r="AK79" i="10" s="1"/>
  <c r="AD74" i="10"/>
  <c r="AK74" i="10" s="1"/>
  <c r="AC83" i="10"/>
  <c r="AJ83" i="10" s="1"/>
  <c r="AC78" i="10"/>
  <c r="AJ78" i="10" s="1"/>
  <c r="AC73" i="10"/>
  <c r="AJ73" i="10" s="1"/>
  <c r="AA78" i="10"/>
  <c r="AH78" i="10" s="1"/>
  <c r="AD70" i="10"/>
  <c r="AK70" i="10" s="1"/>
  <c r="AD84" i="10"/>
  <c r="AK84" i="10" s="1"/>
  <c r="AB77" i="10"/>
  <c r="AI77" i="10" s="1"/>
  <c r="AB72" i="10"/>
  <c r="AI72" i="10" s="1"/>
  <c r="AA86" i="10"/>
  <c r="AH86" i="10" s="1"/>
  <c r="AA81" i="10"/>
  <c r="AH81" i="10" s="1"/>
  <c r="AA76" i="10"/>
  <c r="AH76" i="10" s="1"/>
  <c r="AA71" i="10"/>
  <c r="AH71" i="10" s="1"/>
  <c r="AD75" i="10"/>
  <c r="AK75" i="10" s="1"/>
  <c r="AB82" i="10"/>
  <c r="AI82" i="10" s="1"/>
  <c r="AD83" i="10"/>
  <c r="AK83" i="10" s="1"/>
  <c r="AD78" i="10"/>
  <c r="AK78" i="10" s="1"/>
  <c r="AD73" i="10"/>
  <c r="AK73" i="10" s="1"/>
  <c r="AB73" i="10"/>
  <c r="AI73" i="10" s="1"/>
  <c r="AC72" i="10"/>
  <c r="AJ72" i="10" s="1"/>
  <c r="AC67" i="10"/>
  <c r="AJ67" i="10" s="1"/>
  <c r="AB86" i="10"/>
  <c r="AI86" i="10" s="1"/>
  <c r="AB81" i="10"/>
  <c r="AI81" i="10" s="1"/>
  <c r="AB76" i="10"/>
  <c r="AI76" i="10" s="1"/>
  <c r="AB66" i="10"/>
  <c r="AI66" i="10" s="1"/>
  <c r="AC77" i="10"/>
  <c r="AJ77" i="10" s="1"/>
  <c r="AA65" i="10"/>
  <c r="AH65" i="10" s="1"/>
  <c r="AA66" i="10"/>
  <c r="AH66" i="10" s="1"/>
  <c r="AC82" i="10"/>
  <c r="AJ82" i="10" s="1"/>
  <c r="AA75" i="10"/>
  <c r="AH75" i="10" s="1"/>
  <c r="AC86" i="10"/>
  <c r="AJ86" i="10" s="1"/>
  <c r="AC81" i="10"/>
  <c r="AJ81" i="10" s="1"/>
  <c r="AC76" i="10"/>
  <c r="AJ76" i="10" s="1"/>
  <c r="AC68" i="10"/>
  <c r="AJ68" i="10" s="1"/>
  <c r="AA80" i="10"/>
  <c r="AH80" i="10" s="1"/>
  <c r="AD72" i="10"/>
  <c r="AK72" i="10" s="1"/>
  <c r="AA84" i="10"/>
  <c r="AH84" i="10" s="1"/>
  <c r="AA79" i="10"/>
  <c r="AH79" i="10" s="1"/>
  <c r="AA74" i="10"/>
  <c r="AH74" i="10" s="1"/>
  <c r="AA85" i="10"/>
  <c r="AH85" i="10" s="1"/>
  <c r="AD77" i="10"/>
  <c r="AK77" i="10" s="1"/>
  <c r="AD86" i="10"/>
  <c r="AK86" i="10" s="1"/>
  <c r="AD81" i="10"/>
  <c r="AK81" i="10" s="1"/>
  <c r="AD76" i="10"/>
  <c r="AK76" i="10" s="1"/>
  <c r="AC85" i="10"/>
  <c r="AJ85" i="10" s="1"/>
  <c r="AB75" i="10"/>
  <c r="AI75" i="10" s="1"/>
  <c r="AB84" i="10"/>
  <c r="AI84" i="10" s="1"/>
  <c r="AB79" i="10"/>
  <c r="AI79" i="10" s="1"/>
  <c r="AB74" i="10"/>
  <c r="AI74" i="10" s="1"/>
  <c r="AB69" i="10"/>
  <c r="AI69" i="10" s="1"/>
  <c r="AB64" i="10"/>
  <c r="AI64" i="10" s="1"/>
  <c r="AA83" i="10"/>
  <c r="AH83" i="10" s="1"/>
  <c r="AD82" i="10"/>
  <c r="AK82" i="10" s="1"/>
  <c r="AB80" i="10"/>
  <c r="AI80" i="10" s="1"/>
  <c r="AD85" i="10"/>
  <c r="AK85" i="10" s="1"/>
  <c r="AD80" i="10"/>
  <c r="AK80" i="10" s="1"/>
  <c r="X76" i="10"/>
  <c r="Z76" i="10"/>
  <c r="AG76" i="10" s="1"/>
  <c r="Z81" i="10"/>
  <c r="AG81" i="10" s="1"/>
  <c r="X81" i="10"/>
  <c r="X83" i="10"/>
  <c r="Z83" i="10"/>
  <c r="AG83" i="10" s="1"/>
  <c r="Z75" i="10"/>
  <c r="AG75" i="10" s="1"/>
  <c r="X75" i="10"/>
  <c r="X80" i="10"/>
  <c r="Z80" i="10"/>
  <c r="AG80" i="10" s="1"/>
  <c r="X78" i="10"/>
  <c r="Z78" i="10"/>
  <c r="AG78" i="10" s="1"/>
  <c r="Z71" i="10"/>
  <c r="AG71" i="10" s="1"/>
  <c r="Z85" i="10"/>
  <c r="AG85" i="10" s="1"/>
  <c r="X85" i="10"/>
  <c r="X84" i="10"/>
  <c r="Z84" i="10"/>
  <c r="AG84" i="10" s="1"/>
  <c r="Z79" i="10"/>
  <c r="AG79" i="10" s="1"/>
  <c r="X79" i="10"/>
  <c r="X74" i="10"/>
  <c r="Z74" i="10"/>
  <c r="AG74" i="10" s="1"/>
  <c r="Z69" i="10"/>
  <c r="AG69" i="10" s="1"/>
  <c r="Z64" i="10"/>
  <c r="X86" i="10"/>
  <c r="Z86" i="10"/>
  <c r="AG86" i="10" s="1"/>
  <c r="Z73" i="10"/>
  <c r="AG73" i="10" s="1"/>
  <c r="X73" i="10"/>
  <c r="X82" i="10"/>
  <c r="Z82" i="10"/>
  <c r="AG82" i="10" s="1"/>
  <c r="Z77" i="10"/>
  <c r="AG77" i="10" s="1"/>
  <c r="X77" i="10"/>
  <c r="X72" i="10"/>
  <c r="Z72" i="10"/>
  <c r="AG72" i="10" s="1"/>
  <c r="E54" i="16"/>
  <c r="E56" i="16"/>
  <c r="E52" i="16"/>
  <c r="E48" i="16"/>
  <c r="E55" i="16"/>
  <c r="E49" i="16"/>
  <c r="E46" i="16"/>
  <c r="E50" i="16"/>
  <c r="E45" i="16"/>
  <c r="E51" i="16"/>
  <c r="E53" i="16"/>
  <c r="E47" i="16"/>
  <c r="E44" i="16"/>
  <c r="D46" i="16"/>
  <c r="D53" i="16"/>
  <c r="D56" i="16"/>
  <c r="D50" i="16"/>
  <c r="D52" i="16"/>
  <c r="D55" i="16"/>
  <c r="D45" i="16"/>
  <c r="D49" i="16"/>
  <c r="D48" i="16"/>
  <c r="D51" i="16"/>
  <c r="D54" i="16"/>
  <c r="D47" i="16"/>
  <c r="D44" i="16"/>
  <c r="F54" i="16"/>
  <c r="F50" i="16"/>
  <c r="F47" i="16"/>
  <c r="F45" i="16"/>
  <c r="F46" i="16"/>
  <c r="F52" i="16"/>
  <c r="F48" i="16"/>
  <c r="F49" i="16"/>
  <c r="F53" i="16"/>
  <c r="F56" i="16"/>
  <c r="F55" i="16"/>
  <c r="F51" i="16"/>
  <c r="F44" i="16"/>
  <c r="C46" i="16"/>
  <c r="C54" i="16"/>
  <c r="C50" i="16"/>
  <c r="C51" i="16"/>
  <c r="C55" i="16"/>
  <c r="C48" i="16"/>
  <c r="C56" i="16"/>
  <c r="C47" i="16"/>
  <c r="C45" i="16"/>
  <c r="C52" i="16"/>
  <c r="C49" i="16"/>
  <c r="C53" i="16"/>
  <c r="C44" i="16"/>
  <c r="BK80" i="10"/>
  <c r="BL77" i="10"/>
  <c r="BI82" i="10"/>
  <c r="BJ72" i="10"/>
  <c r="BL76" i="10"/>
  <c r="BJ76" i="10"/>
  <c r="BI78" i="10"/>
  <c r="BJ75" i="10"/>
  <c r="BL79" i="10"/>
  <c r="BK86" i="10"/>
  <c r="BJ74" i="10"/>
  <c r="BM73" i="10"/>
  <c r="BJ78" i="10"/>
  <c r="BJ66" i="10"/>
  <c r="BL75" i="10"/>
  <c r="BM72" i="10"/>
  <c r="BJ77" i="10"/>
  <c r="BI84" i="10"/>
  <c r="BI86" i="10"/>
  <c r="BK71" i="10"/>
  <c r="BL85" i="10"/>
  <c r="BL74" i="10"/>
  <c r="BK85" i="10"/>
  <c r="BJ73" i="10"/>
  <c r="BI85" i="10"/>
  <c r="BK70" i="10"/>
  <c r="BM74" i="10"/>
  <c r="BL81" i="10"/>
  <c r="BK69" i="10"/>
  <c r="BL83" i="10"/>
  <c r="BI69" i="10"/>
  <c r="BJ83" i="10"/>
  <c r="BI71" i="10"/>
  <c r="BK64" i="10"/>
  <c r="BM70" i="10"/>
  <c r="BL82" i="10"/>
  <c r="BL84" i="10"/>
  <c r="BK72" i="10"/>
  <c r="BJ79" i="10"/>
  <c r="BJ81" i="10"/>
  <c r="BM80" i="10"/>
  <c r="BI79" i="10"/>
  <c r="BM75" i="10"/>
  <c r="BK68" i="10"/>
  <c r="BJ80" i="10"/>
  <c r="BJ82" i="10"/>
  <c r="BI70" i="10"/>
  <c r="BM76" i="10"/>
  <c r="BL64" i="10"/>
  <c r="BM78" i="10"/>
  <c r="BK78" i="10"/>
  <c r="BL68" i="10"/>
  <c r="BM77" i="10"/>
  <c r="BM79" i="10"/>
  <c r="BL67" i="10"/>
  <c r="BL86" i="10"/>
  <c r="BK74" i="10"/>
  <c r="BK76" i="10"/>
  <c r="BI76" i="10"/>
  <c r="BI83" i="10"/>
  <c r="BK75" i="10"/>
  <c r="BK77" i="10"/>
  <c r="BJ65" i="10"/>
  <c r="BJ84" i="10"/>
  <c r="BI72" i="10"/>
  <c r="BI74" i="10"/>
  <c r="BL73" i="10"/>
  <c r="BK73" i="10"/>
  <c r="BI73" i="10"/>
  <c r="BI75" i="10"/>
  <c r="BM81" i="10"/>
  <c r="BL69" i="10"/>
  <c r="BJ86" i="10"/>
  <c r="BM85" i="10"/>
  <c r="BJ71" i="10"/>
  <c r="BM82" i="10"/>
  <c r="BK84" i="10"/>
  <c r="BL78" i="10"/>
  <c r="BL70" i="10"/>
  <c r="BM84" i="10"/>
  <c r="BL72" i="10"/>
  <c r="BK79" i="10"/>
  <c r="BM83" i="10"/>
  <c r="BK83" i="10"/>
  <c r="BI80" i="10"/>
  <c r="BI64" i="10"/>
  <c r="BL80" i="10"/>
  <c r="BJ85" i="10"/>
  <c r="BJ68" i="10"/>
  <c r="BK82" i="10"/>
  <c r="BM86" i="10"/>
  <c r="BI77" i="10"/>
  <c r="BK81" i="10"/>
  <c r="BI81" i="10"/>
  <c r="BK66" i="10"/>
  <c r="D48" i="8"/>
  <c r="G48" i="8" s="1"/>
  <c r="H53" i="8"/>
  <c r="H54" i="8" s="1"/>
  <c r="AS84" i="10"/>
  <c r="AZ84" i="10"/>
  <c r="D46" i="8"/>
  <c r="G46" i="8" s="1"/>
  <c r="BG84" i="10"/>
  <c r="AC64" i="12"/>
  <c r="AI64" i="12" s="1"/>
  <c r="AD85" i="12"/>
  <c r="AJ85" i="12" s="1"/>
  <c r="AD68" i="12"/>
  <c r="AD72" i="12"/>
  <c r="AJ72" i="12" s="1"/>
  <c r="AD67" i="12"/>
  <c r="AD77" i="12"/>
  <c r="AC72" i="12"/>
  <c r="AI72" i="12" s="1"/>
  <c r="AC78" i="12"/>
  <c r="AI78" i="12" s="1"/>
  <c r="AC86" i="12"/>
  <c r="AI86" i="12" s="1"/>
  <c r="AD75" i="12"/>
  <c r="AJ75" i="12" s="1"/>
  <c r="AD64" i="12"/>
  <c r="AJ64" i="12" s="1"/>
  <c r="AC75" i="12"/>
  <c r="AI75" i="12" s="1"/>
  <c r="AS78" i="10"/>
  <c r="BG83" i="10"/>
  <c r="AD70" i="12"/>
  <c r="AJ70" i="12" s="1"/>
  <c r="AD74" i="12"/>
  <c r="AJ74" i="12" s="1"/>
  <c r="AD83" i="12"/>
  <c r="AJ83" i="12" s="1"/>
  <c r="AC65" i="12"/>
  <c r="AS68" i="10"/>
  <c r="AC73" i="12"/>
  <c r="AI73" i="12" s="1"/>
  <c r="AC81" i="12"/>
  <c r="AI81" i="12" s="1"/>
  <c r="AD86" i="12"/>
  <c r="AJ86" i="12" s="1"/>
  <c r="AD80" i="12"/>
  <c r="AJ80" i="12" s="1"/>
  <c r="AD82" i="12"/>
  <c r="AJ82" i="12" s="1"/>
  <c r="AD66" i="12"/>
  <c r="AD76" i="12"/>
  <c r="AJ76" i="12" s="1"/>
  <c r="AD79" i="12"/>
  <c r="AJ79" i="12" s="1"/>
  <c r="AC69" i="12"/>
  <c r="AS80" i="10"/>
  <c r="AD65" i="12"/>
  <c r="AD78" i="12"/>
  <c r="AJ78" i="12" s="1"/>
  <c r="AC82" i="12"/>
  <c r="AI82" i="12" s="1"/>
  <c r="AC74" i="12"/>
  <c r="AI74" i="12" s="1"/>
  <c r="BG80" i="10"/>
  <c r="BG79" i="10"/>
  <c r="AC83" i="12"/>
  <c r="AI83" i="12" s="1"/>
  <c r="AC66" i="12"/>
  <c r="AD81" i="12"/>
  <c r="AJ81" i="12" s="1"/>
  <c r="AD71" i="12"/>
  <c r="AJ71" i="12" s="1"/>
  <c r="AD73" i="12"/>
  <c r="AJ73" i="12" s="1"/>
  <c r="AD69" i="12"/>
  <c r="AZ80" i="10"/>
  <c r="AZ66" i="10"/>
  <c r="AZ74" i="10"/>
  <c r="BG65" i="10"/>
  <c r="AS77" i="10"/>
  <c r="AC76" i="12"/>
  <c r="AI76" i="12" s="1"/>
  <c r="BG66" i="10"/>
  <c r="AS69" i="10"/>
  <c r="BG74" i="10"/>
  <c r="AC71" i="12"/>
  <c r="AI71" i="12" s="1"/>
  <c r="AZ77" i="10"/>
  <c r="AS73" i="10"/>
  <c r="AS85" i="10"/>
  <c r="AS64" i="10"/>
  <c r="AZ86" i="10"/>
  <c r="AZ69" i="10"/>
  <c r="AZ75" i="10"/>
  <c r="AZ73" i="10"/>
  <c r="AC70" i="12"/>
  <c r="AI70" i="12" s="1"/>
  <c r="AZ85" i="10"/>
  <c r="AZ64" i="10"/>
  <c r="BG86" i="10"/>
  <c r="BG69" i="10"/>
  <c r="BG75" i="10"/>
  <c r="AS65" i="10"/>
  <c r="BG77" i="10"/>
  <c r="BG73" i="10"/>
  <c r="AZ70" i="10"/>
  <c r="BG85" i="10"/>
  <c r="BG64" i="10"/>
  <c r="AS81" i="10"/>
  <c r="AS82" i="10"/>
  <c r="AZ65" i="10"/>
  <c r="BG70" i="10"/>
  <c r="AZ71" i="10"/>
  <c r="AS86" i="10"/>
  <c r="BG81" i="10"/>
  <c r="AS72" i="10"/>
  <c r="AZ82" i="10"/>
  <c r="BG76" i="10"/>
  <c r="AC80" i="12"/>
  <c r="AI80" i="12" s="1"/>
  <c r="BG78" i="10"/>
  <c r="AS71" i="10"/>
  <c r="AZ81" i="10"/>
  <c r="BG72" i="10"/>
  <c r="AS75" i="10"/>
  <c r="BG82" i="10"/>
  <c r="AS76" i="10"/>
  <c r="AZ78" i="10"/>
  <c r="AZ68" i="10"/>
  <c r="AS83" i="10"/>
  <c r="AC77" i="12"/>
  <c r="BG71" i="10"/>
  <c r="AS79" i="10"/>
  <c r="AS67" i="10"/>
  <c r="AZ72" i="10"/>
  <c r="AZ83" i="10"/>
  <c r="AC85" i="12"/>
  <c r="AI85" i="12" s="1"/>
  <c r="AS70" i="10"/>
  <c r="AZ79" i="10"/>
  <c r="AC68" i="12"/>
  <c r="AZ67" i="10"/>
  <c r="AZ76" i="10"/>
  <c r="BG67" i="10"/>
  <c r="BG68" i="10"/>
  <c r="AC79" i="12"/>
  <c r="AI79" i="12" s="1"/>
  <c r="AC67" i="12"/>
  <c r="AS66" i="10"/>
  <c r="AS74" i="10"/>
  <c r="E70" i="8"/>
  <c r="D71" i="8"/>
  <c r="BM71" i="10" l="1"/>
  <c r="BK67" i="10"/>
  <c r="X70" i="10"/>
  <c r="Q54" i="10"/>
  <c r="X67" i="10"/>
  <c r="Q63" i="10"/>
  <c r="Q62" i="10"/>
  <c r="BL65" i="10"/>
  <c r="X69" i="10"/>
  <c r="Q56" i="10"/>
  <c r="BJ67" i="10"/>
  <c r="BK65" i="10"/>
  <c r="BR65" i="10" s="1"/>
  <c r="BY65" i="10" s="1"/>
  <c r="BM65" i="10"/>
  <c r="Q69" i="10"/>
  <c r="BL71" i="10"/>
  <c r="BN71" i="10" s="1"/>
  <c r="BM67" i="10"/>
  <c r="BT67" i="10" s="1"/>
  <c r="CA67" i="10" s="1"/>
  <c r="BM68" i="10"/>
  <c r="Q59" i="10"/>
  <c r="Q61" i="10"/>
  <c r="BJ69" i="10"/>
  <c r="Q58" i="10"/>
  <c r="BM69" i="10"/>
  <c r="X68" i="10"/>
  <c r="Q70" i="10"/>
  <c r="Q65" i="10"/>
  <c r="Q57" i="10"/>
  <c r="X71" i="10"/>
  <c r="Q68" i="10"/>
  <c r="BI65" i="10"/>
  <c r="BP65" i="10" s="1"/>
  <c r="BW65" i="10" s="1"/>
  <c r="Z68" i="10"/>
  <c r="AG68" i="10" s="1"/>
  <c r="AL68" i="10" s="1"/>
  <c r="BL66" i="10"/>
  <c r="BS66" i="10" s="1"/>
  <c r="BJ70" i="10"/>
  <c r="BN70" i="10" s="1"/>
  <c r="X65" i="10"/>
  <c r="BM66" i="10"/>
  <c r="AH160" i="10"/>
  <c r="BM64" i="10"/>
  <c r="Z67" i="10"/>
  <c r="AG67" i="10" s="1"/>
  <c r="AL67" i="10" s="1"/>
  <c r="Z70" i="10"/>
  <c r="AG70" i="10" s="1"/>
  <c r="AL70" i="10" s="1"/>
  <c r="BI68" i="10"/>
  <c r="AH157" i="10"/>
  <c r="AJ159" i="10"/>
  <c r="Q71" i="10"/>
  <c r="Q55" i="10"/>
  <c r="Z66" i="10"/>
  <c r="AG66" i="10" s="1"/>
  <c r="AL66" i="10" s="1"/>
  <c r="AJ158" i="10"/>
  <c r="BJ64" i="10"/>
  <c r="BI66" i="10"/>
  <c r="AJ157" i="10"/>
  <c r="Q53" i="10"/>
  <c r="AK157" i="10"/>
  <c r="BI67" i="10"/>
  <c r="AJ160" i="10"/>
  <c r="AI157" i="10"/>
  <c r="AK160" i="10"/>
  <c r="Q60" i="10"/>
  <c r="AK158" i="10"/>
  <c r="Q67" i="10"/>
  <c r="AG124" i="10"/>
  <c r="AL124" i="10" s="1"/>
  <c r="AE124" i="10"/>
  <c r="BP124" i="10"/>
  <c r="BU124" i="10" s="1"/>
  <c r="AE157" i="10"/>
  <c r="BP157" i="10"/>
  <c r="BU157" i="10" s="1"/>
  <c r="AG123" i="10"/>
  <c r="AL123" i="10" s="1"/>
  <c r="AE123" i="10"/>
  <c r="BP123" i="10"/>
  <c r="BU123" i="10" s="1"/>
  <c r="AG153" i="10"/>
  <c r="AL153" i="10" s="1"/>
  <c r="AE153" i="10"/>
  <c r="BP153" i="10"/>
  <c r="BU153" i="10" s="1"/>
  <c r="AG130" i="10"/>
  <c r="AL130" i="10" s="1"/>
  <c r="AE130" i="10"/>
  <c r="BP130" i="10"/>
  <c r="BU130" i="10" s="1"/>
  <c r="AG145" i="10"/>
  <c r="AL145" i="10" s="1"/>
  <c r="AE145" i="10"/>
  <c r="BP145" i="10"/>
  <c r="BU145" i="10" s="1"/>
  <c r="AG125" i="10"/>
  <c r="AL125" i="10" s="1"/>
  <c r="AE125" i="10"/>
  <c r="BP125" i="10"/>
  <c r="BU125" i="10" s="1"/>
  <c r="AG131" i="10"/>
  <c r="AL131" i="10" s="1"/>
  <c r="AE131" i="10"/>
  <c r="BP131" i="10"/>
  <c r="BU131" i="10" s="1"/>
  <c r="AG158" i="10"/>
  <c r="AE158" i="10"/>
  <c r="BP158" i="10"/>
  <c r="BU158" i="10" s="1"/>
  <c r="AG101" i="10"/>
  <c r="AL101" i="10" s="1"/>
  <c r="AE101" i="10"/>
  <c r="BP101" i="10"/>
  <c r="BU101" i="10" s="1"/>
  <c r="AG98" i="10"/>
  <c r="AL98" i="10" s="1"/>
  <c r="AE98" i="10"/>
  <c r="BP98" i="10"/>
  <c r="BU98" i="10" s="1"/>
  <c r="AH156" i="10"/>
  <c r="AK159" i="10"/>
  <c r="AG108" i="10"/>
  <c r="AL108" i="10" s="1"/>
  <c r="AE108" i="10"/>
  <c r="BP108" i="10"/>
  <c r="BU108" i="10" s="1"/>
  <c r="AG111" i="10"/>
  <c r="AL111" i="10" s="1"/>
  <c r="AE111" i="10"/>
  <c r="BP111" i="10"/>
  <c r="BU111" i="10" s="1"/>
  <c r="AG118" i="10"/>
  <c r="AL118" i="10" s="1"/>
  <c r="AE118" i="10"/>
  <c r="BP118" i="10"/>
  <c r="BU118" i="10" s="1"/>
  <c r="AG149" i="10"/>
  <c r="AL149" i="10" s="1"/>
  <c r="AE149" i="10"/>
  <c r="BP149" i="10"/>
  <c r="BU149" i="10" s="1"/>
  <c r="AG127" i="10"/>
  <c r="AL127" i="10" s="1"/>
  <c r="AE127" i="10"/>
  <c r="BP127" i="10"/>
  <c r="BU127" i="10" s="1"/>
  <c r="AG87" i="10"/>
  <c r="AL87" i="10" s="1"/>
  <c r="AE87" i="10"/>
  <c r="BP87" i="10"/>
  <c r="AG100" i="10"/>
  <c r="AL100" i="10" s="1"/>
  <c r="AE100" i="10"/>
  <c r="BP100" i="10"/>
  <c r="BU100" i="10" s="1"/>
  <c r="AG132" i="10"/>
  <c r="AL132" i="10" s="1"/>
  <c r="AE132" i="10"/>
  <c r="BP132" i="10"/>
  <c r="BU132" i="10" s="1"/>
  <c r="AG151" i="10"/>
  <c r="AL151" i="10" s="1"/>
  <c r="AE151" i="10"/>
  <c r="BP151" i="10"/>
  <c r="BU151" i="10" s="1"/>
  <c r="AG129" i="10"/>
  <c r="AL129" i="10" s="1"/>
  <c r="AE129" i="10"/>
  <c r="BP129" i="10"/>
  <c r="BU129" i="10" s="1"/>
  <c r="AG120" i="10"/>
  <c r="AL120" i="10" s="1"/>
  <c r="AE120" i="10"/>
  <c r="BP120" i="10"/>
  <c r="BU120" i="10" s="1"/>
  <c r="AG97" i="10"/>
  <c r="AL97" i="10" s="1"/>
  <c r="AE97" i="10"/>
  <c r="BP97" i="10"/>
  <c r="BU97" i="10" s="1"/>
  <c r="AG93" i="10"/>
  <c r="AL93" i="10" s="1"/>
  <c r="AE93" i="10"/>
  <c r="BP93" i="10"/>
  <c r="BU93" i="10" s="1"/>
  <c r="BP156" i="10"/>
  <c r="BU156" i="10" s="1"/>
  <c r="AE156" i="10"/>
  <c r="AG144" i="10"/>
  <c r="AL144" i="10" s="1"/>
  <c r="AE144" i="10"/>
  <c r="BP144" i="10"/>
  <c r="BU144" i="10" s="1"/>
  <c r="AG134" i="10"/>
  <c r="AL134" i="10" s="1"/>
  <c r="AE134" i="10"/>
  <c r="BP134" i="10"/>
  <c r="BU134" i="10" s="1"/>
  <c r="AG107" i="10"/>
  <c r="AL107" i="10" s="1"/>
  <c r="AE107" i="10"/>
  <c r="BP107" i="10"/>
  <c r="BU107" i="10" s="1"/>
  <c r="AG103" i="10"/>
  <c r="AL103" i="10" s="1"/>
  <c r="AE103" i="10"/>
  <c r="BP103" i="10"/>
  <c r="BU103" i="10" s="1"/>
  <c r="AG116" i="10"/>
  <c r="AL116" i="10" s="1"/>
  <c r="AE116" i="10"/>
  <c r="BP116" i="10"/>
  <c r="BU116" i="10" s="1"/>
  <c r="AG113" i="10"/>
  <c r="AL113" i="10" s="1"/>
  <c r="AE113" i="10"/>
  <c r="BP113" i="10"/>
  <c r="BU113" i="10" s="1"/>
  <c r="AG117" i="10"/>
  <c r="AL117" i="10" s="1"/>
  <c r="AE117" i="10"/>
  <c r="BP117" i="10"/>
  <c r="BU117" i="10" s="1"/>
  <c r="AH158" i="10"/>
  <c r="AG91" i="10"/>
  <c r="AL91" i="10" s="1"/>
  <c r="AE91" i="10"/>
  <c r="BP91" i="10"/>
  <c r="BU91" i="10" s="1"/>
  <c r="AG102" i="10"/>
  <c r="AL102" i="10" s="1"/>
  <c r="AE102" i="10"/>
  <c r="BP102" i="10"/>
  <c r="BU102" i="10" s="1"/>
  <c r="AG112" i="10"/>
  <c r="AL112" i="10" s="1"/>
  <c r="AE112" i="10"/>
  <c r="BP112" i="10"/>
  <c r="BU112" i="10" s="1"/>
  <c r="AG96" i="10"/>
  <c r="AL96" i="10" s="1"/>
  <c r="AE96" i="10"/>
  <c r="BP96" i="10"/>
  <c r="BU96" i="10" s="1"/>
  <c r="AG90" i="10"/>
  <c r="AL90" i="10" s="1"/>
  <c r="AE90" i="10"/>
  <c r="BP90" i="10"/>
  <c r="BU90" i="10" s="1"/>
  <c r="AG159" i="10"/>
  <c r="AE159" i="10"/>
  <c r="BP159" i="10"/>
  <c r="BU159" i="10" s="1"/>
  <c r="AG143" i="10"/>
  <c r="AL143" i="10" s="1"/>
  <c r="AE143" i="10"/>
  <c r="BP143" i="10"/>
  <c r="BU143" i="10" s="1"/>
  <c r="AG141" i="10"/>
  <c r="AL141" i="10" s="1"/>
  <c r="AE141" i="10"/>
  <c r="BP141" i="10"/>
  <c r="BU141" i="10" s="1"/>
  <c r="AG155" i="10"/>
  <c r="AL155" i="10" s="1"/>
  <c r="AE155" i="10"/>
  <c r="BP155" i="10"/>
  <c r="BU155" i="10" s="1"/>
  <c r="AG139" i="10"/>
  <c r="AL139" i="10" s="1"/>
  <c r="AE139" i="10"/>
  <c r="BP139" i="10"/>
  <c r="BU139" i="10" s="1"/>
  <c r="AG122" i="10"/>
  <c r="AL122" i="10" s="1"/>
  <c r="AE122" i="10"/>
  <c r="BP122" i="10"/>
  <c r="BU122" i="10" s="1"/>
  <c r="AE160" i="10"/>
  <c r="BP160" i="10"/>
  <c r="BU160" i="10" s="1"/>
  <c r="AH109" i="10"/>
  <c r="AL109" i="10" s="1"/>
  <c r="BQ109" i="10"/>
  <c r="BU109" i="10" s="1"/>
  <c r="AJ156" i="10"/>
  <c r="AG138" i="10"/>
  <c r="AL138" i="10" s="1"/>
  <c r="AE138" i="10"/>
  <c r="BP138" i="10"/>
  <c r="BU138" i="10" s="1"/>
  <c r="Q66" i="10"/>
  <c r="AG140" i="10"/>
  <c r="AL140" i="10" s="1"/>
  <c r="AE140" i="10"/>
  <c r="BP140" i="10"/>
  <c r="BU140" i="10" s="1"/>
  <c r="AG152" i="10"/>
  <c r="AL152" i="10" s="1"/>
  <c r="AE152" i="10"/>
  <c r="BP152" i="10"/>
  <c r="BU152" i="10" s="1"/>
  <c r="AG115" i="10"/>
  <c r="AL115" i="10" s="1"/>
  <c r="AE115" i="10"/>
  <c r="BP115" i="10"/>
  <c r="BU115" i="10" s="1"/>
  <c r="AG119" i="10"/>
  <c r="AL119" i="10" s="1"/>
  <c r="AE119" i="10"/>
  <c r="BP119" i="10"/>
  <c r="BU119" i="10" s="1"/>
  <c r="AG142" i="10"/>
  <c r="AL142" i="10" s="1"/>
  <c r="AE142" i="10"/>
  <c r="BP142" i="10"/>
  <c r="BU142" i="10" s="1"/>
  <c r="AG106" i="10"/>
  <c r="AL106" i="10" s="1"/>
  <c r="AE106" i="10"/>
  <c r="BP106" i="10"/>
  <c r="BU106" i="10" s="1"/>
  <c r="AG128" i="10"/>
  <c r="AL128" i="10" s="1"/>
  <c r="AE128" i="10"/>
  <c r="BP128" i="10"/>
  <c r="BU128" i="10" s="1"/>
  <c r="AG150" i="10"/>
  <c r="AL150" i="10" s="1"/>
  <c r="AE150" i="10"/>
  <c r="BP150" i="10"/>
  <c r="BU150" i="10" s="1"/>
  <c r="AG135" i="10"/>
  <c r="AL135" i="10" s="1"/>
  <c r="AE135" i="10"/>
  <c r="BP135" i="10"/>
  <c r="BU135" i="10" s="1"/>
  <c r="AG114" i="10"/>
  <c r="AL114" i="10" s="1"/>
  <c r="AE114" i="10"/>
  <c r="BP114" i="10"/>
  <c r="BU114" i="10" s="1"/>
  <c r="AG146" i="10"/>
  <c r="AL146" i="10" s="1"/>
  <c r="AE146" i="10"/>
  <c r="BP146" i="10"/>
  <c r="BU146" i="10" s="1"/>
  <c r="AG148" i="10"/>
  <c r="AL148" i="10" s="1"/>
  <c r="AE148" i="10"/>
  <c r="BP148" i="10"/>
  <c r="BU148" i="10" s="1"/>
  <c r="AG110" i="10"/>
  <c r="AL110" i="10" s="1"/>
  <c r="AE110" i="10"/>
  <c r="BP110" i="10"/>
  <c r="BU110" i="10" s="1"/>
  <c r="AG105" i="10"/>
  <c r="AL105" i="10" s="1"/>
  <c r="AE105" i="10"/>
  <c r="BP105" i="10"/>
  <c r="BU105" i="10" s="1"/>
  <c r="AG104" i="10"/>
  <c r="AL104" i="10" s="1"/>
  <c r="AE104" i="10"/>
  <c r="BP104" i="10"/>
  <c r="BU104" i="10" s="1"/>
  <c r="AI159" i="10"/>
  <c r="AG94" i="10"/>
  <c r="AL94" i="10" s="1"/>
  <c r="AE94" i="10"/>
  <c r="BP94" i="10"/>
  <c r="BU94" i="10" s="1"/>
  <c r="AG99" i="10"/>
  <c r="AL99" i="10" s="1"/>
  <c r="AE99" i="10"/>
  <c r="BP99" i="10"/>
  <c r="BU99" i="10" s="1"/>
  <c r="AH159" i="10"/>
  <c r="AG137" i="10"/>
  <c r="AL137" i="10" s="1"/>
  <c r="AE137" i="10"/>
  <c r="BP137" i="10"/>
  <c r="BU137" i="10" s="1"/>
  <c r="AG121" i="10"/>
  <c r="AL121" i="10" s="1"/>
  <c r="AE121" i="10"/>
  <c r="BP121" i="10"/>
  <c r="BU121" i="10" s="1"/>
  <c r="AK89" i="10"/>
  <c r="AL89" i="10" s="1"/>
  <c r="BT89" i="10"/>
  <c r="AG95" i="10"/>
  <c r="AL95" i="10" s="1"/>
  <c r="AE95" i="10"/>
  <c r="BP95" i="10"/>
  <c r="BU95" i="10" s="1"/>
  <c r="AG88" i="10"/>
  <c r="AL88" i="10" s="1"/>
  <c r="AE88" i="10"/>
  <c r="BP88" i="10"/>
  <c r="AI158" i="10"/>
  <c r="AG136" i="10"/>
  <c r="AL136" i="10" s="1"/>
  <c r="AE136" i="10"/>
  <c r="BP136" i="10"/>
  <c r="BU136" i="10" s="1"/>
  <c r="AG126" i="10"/>
  <c r="AL126" i="10" s="1"/>
  <c r="AE126" i="10"/>
  <c r="BP126" i="10"/>
  <c r="BU126" i="10" s="1"/>
  <c r="AG154" i="10"/>
  <c r="AL154" i="10" s="1"/>
  <c r="AE154" i="10"/>
  <c r="BP154" i="10"/>
  <c r="BU154" i="10" s="1"/>
  <c r="AI160" i="10"/>
  <c r="AG92" i="10"/>
  <c r="AL92" i="10" s="1"/>
  <c r="AE92" i="10"/>
  <c r="BP92" i="10"/>
  <c r="BU92" i="10" s="1"/>
  <c r="AG133" i="10"/>
  <c r="AL133" i="10" s="1"/>
  <c r="AE133" i="10"/>
  <c r="BP133" i="10"/>
  <c r="BU133" i="10" s="1"/>
  <c r="AG147" i="10"/>
  <c r="AL147" i="10" s="1"/>
  <c r="AE147" i="10"/>
  <c r="BP147" i="10"/>
  <c r="BU147" i="10" s="1"/>
  <c r="Q64" i="10"/>
  <c r="X64" i="10"/>
  <c r="C127" i="16"/>
  <c r="C285" i="16" s="1"/>
  <c r="D70" i="13"/>
  <c r="C70" i="13"/>
  <c r="AE64" i="10"/>
  <c r="AL85" i="10"/>
  <c r="AL72" i="10"/>
  <c r="AL71" i="10"/>
  <c r="AL75" i="10"/>
  <c r="AL69" i="10"/>
  <c r="AL74" i="10"/>
  <c r="AL73" i="10"/>
  <c r="AL65" i="10"/>
  <c r="AL78" i="10"/>
  <c r="AL83" i="10"/>
  <c r="AL77" i="10"/>
  <c r="AL80" i="10"/>
  <c r="AL81" i="10"/>
  <c r="AL76" i="10"/>
  <c r="AL79" i="10"/>
  <c r="AL86" i="10"/>
  <c r="AL84" i="10"/>
  <c r="AL82" i="10"/>
  <c r="AG64" i="10"/>
  <c r="AL64" i="10" s="1"/>
  <c r="AE65" i="10"/>
  <c r="AJ68" i="12"/>
  <c r="D69" i="13"/>
  <c r="AI68" i="12"/>
  <c r="C69" i="13"/>
  <c r="C57" i="16"/>
  <c r="C286" i="16" s="1"/>
  <c r="F57" i="16"/>
  <c r="F286" i="16" s="1"/>
  <c r="D57" i="16"/>
  <c r="D286" i="16" s="1"/>
  <c r="D287" i="16" s="1"/>
  <c r="E57" i="16"/>
  <c r="E286" i="16" s="1"/>
  <c r="E287" i="16" s="1"/>
  <c r="AJ67" i="12"/>
  <c r="AI67" i="12"/>
  <c r="AJ69" i="12"/>
  <c r="AI69" i="12"/>
  <c r="AI66" i="12"/>
  <c r="AJ65" i="12"/>
  <c r="AI65" i="12"/>
  <c r="AJ66" i="12"/>
  <c r="AI77" i="12"/>
  <c r="AJ77" i="12"/>
  <c r="BR72" i="10"/>
  <c r="BY72" i="10" s="1"/>
  <c r="BP84" i="10"/>
  <c r="BW84" i="10" s="1"/>
  <c r="BS84" i="10"/>
  <c r="BZ84" i="10" s="1"/>
  <c r="BR86" i="10"/>
  <c r="BY86" i="10" s="1"/>
  <c r="BT80" i="10"/>
  <c r="CA80" i="10" s="1"/>
  <c r="BP75" i="10"/>
  <c r="BW75" i="10" s="1"/>
  <c r="BQ64" i="10"/>
  <c r="BX64" i="10" s="1"/>
  <c r="BT73" i="10"/>
  <c r="CA73" i="10" s="1"/>
  <c r="BS85" i="10"/>
  <c r="BZ85" i="10" s="1"/>
  <c r="BQ72" i="10"/>
  <c r="BX72" i="10" s="1"/>
  <c r="BQ86" i="10"/>
  <c r="BX86" i="10" s="1"/>
  <c r="BR73" i="10"/>
  <c r="BY73" i="10" s="1"/>
  <c r="BP83" i="10"/>
  <c r="BW83" i="10" s="1"/>
  <c r="BP73" i="10"/>
  <c r="BW73" i="10" s="1"/>
  <c r="AE78" i="10"/>
  <c r="BR69" i="10"/>
  <c r="BS70" i="10"/>
  <c r="BZ70" i="10" s="1"/>
  <c r="BR78" i="10"/>
  <c r="BY78" i="10" s="1"/>
  <c r="BQ82" i="10"/>
  <c r="BX82" i="10" s="1"/>
  <c r="BQ78" i="10"/>
  <c r="BX78" i="10" s="1"/>
  <c r="AE77" i="10"/>
  <c r="BP64" i="10"/>
  <c r="BW64" i="10" s="1"/>
  <c r="BR79" i="10"/>
  <c r="BY79" i="10" s="1"/>
  <c r="BS73" i="10"/>
  <c r="BZ73" i="10" s="1"/>
  <c r="BR77" i="10"/>
  <c r="BT79" i="10"/>
  <c r="CA79" i="10" s="1"/>
  <c r="BP86" i="10"/>
  <c r="BW86" i="10" s="1"/>
  <c r="BQ77" i="10"/>
  <c r="BR74" i="10"/>
  <c r="BY74" i="10" s="1"/>
  <c r="BQ68" i="10"/>
  <c r="AE76" i="10"/>
  <c r="AE80" i="10"/>
  <c r="BQ75" i="10"/>
  <c r="BX75" i="10" s="1"/>
  <c r="BS65" i="10"/>
  <c r="BZ65" i="10" s="1"/>
  <c r="BP76" i="10"/>
  <c r="BW76" i="10" s="1"/>
  <c r="BN73" i="10"/>
  <c r="BQ76" i="10"/>
  <c r="BX76" i="10" s="1"/>
  <c r="BS77" i="10"/>
  <c r="AE84" i="10"/>
  <c r="AE74" i="10"/>
  <c r="AE73" i="10"/>
  <c r="AE86" i="10"/>
  <c r="AE69" i="10"/>
  <c r="BP77" i="10"/>
  <c r="BS68" i="10"/>
  <c r="BT76" i="10"/>
  <c r="CA76" i="10" s="1"/>
  <c r="AE83" i="10"/>
  <c r="AE82" i="10"/>
  <c r="AE72" i="10"/>
  <c r="AE75" i="10"/>
  <c r="BR84" i="10"/>
  <c r="BY84" i="10" s="1"/>
  <c r="BT81" i="10"/>
  <c r="CA81" i="10" s="1"/>
  <c r="AE71" i="10"/>
  <c r="BP69" i="10"/>
  <c r="BR70" i="10"/>
  <c r="BY70" i="10" s="1"/>
  <c r="BR80" i="10"/>
  <c r="BY80" i="10" s="1"/>
  <c r="BQ67" i="10"/>
  <c r="BX67" i="10" s="1"/>
  <c r="BR68" i="10"/>
  <c r="BQ84" i="10"/>
  <c r="BX84" i="10" s="1"/>
  <c r="BS86" i="10"/>
  <c r="BZ86" i="10" s="1"/>
  <c r="BT75" i="10"/>
  <c r="CA75" i="10" s="1"/>
  <c r="BS79" i="10"/>
  <c r="BZ79" i="10" s="1"/>
  <c r="BN65" i="10"/>
  <c r="BS74" i="10"/>
  <c r="BZ74" i="10" s="1"/>
  <c r="BS75" i="10"/>
  <c r="BZ75" i="10" s="1"/>
  <c r="BS76" i="10"/>
  <c r="BZ76" i="10" s="1"/>
  <c r="BR83" i="10"/>
  <c r="BY83" i="10" s="1"/>
  <c r="BT84" i="10"/>
  <c r="CA84" i="10" s="1"/>
  <c r="BP81" i="10"/>
  <c r="BW81" i="10" s="1"/>
  <c r="BR82" i="10"/>
  <c r="BY82" i="10" s="1"/>
  <c r="BT78" i="10"/>
  <c r="CA78" i="10" s="1"/>
  <c r="BQ80" i="10"/>
  <c r="BX80" i="10" s="1"/>
  <c r="BP71" i="10"/>
  <c r="BT71" i="10"/>
  <c r="BR66" i="10"/>
  <c r="BS72" i="10"/>
  <c r="BZ72" i="10" s="1"/>
  <c r="BN74" i="10"/>
  <c r="BR75" i="10"/>
  <c r="BY75" i="10" s="1"/>
  <c r="BT77" i="10"/>
  <c r="BQ74" i="10"/>
  <c r="BX74" i="10" s="1"/>
  <c r="BP78" i="10"/>
  <c r="BW78" i="10" s="1"/>
  <c r="BT65" i="10"/>
  <c r="CA65" i="10" s="1"/>
  <c r="BQ71" i="10"/>
  <c r="BT70" i="10"/>
  <c r="CA70" i="10" s="1"/>
  <c r="BQ73" i="10"/>
  <c r="BT83" i="10"/>
  <c r="CA83" i="10" s="1"/>
  <c r="BR81" i="10"/>
  <c r="BY81" i="10" s="1"/>
  <c r="BQ85" i="10"/>
  <c r="BX85" i="10" s="1"/>
  <c r="BP80" i="10"/>
  <c r="BW80" i="10" s="1"/>
  <c r="BN86" i="10"/>
  <c r="BR67" i="10"/>
  <c r="BY67" i="10" s="1"/>
  <c r="BT85" i="10"/>
  <c r="CA85" i="10" s="1"/>
  <c r="BQ79" i="10"/>
  <c r="BX79" i="10" s="1"/>
  <c r="BP79" i="10"/>
  <c r="BW79" i="10" s="1"/>
  <c r="BS82" i="10"/>
  <c r="BZ82" i="10" s="1"/>
  <c r="BS83" i="10"/>
  <c r="BZ83" i="10" s="1"/>
  <c r="BP85" i="10"/>
  <c r="BW85" i="10" s="1"/>
  <c r="BN84" i="10"/>
  <c r="BR64" i="10"/>
  <c r="BY64" i="10" s="1"/>
  <c r="BT68" i="10"/>
  <c r="BS78" i="10"/>
  <c r="BZ78" i="10" s="1"/>
  <c r="BR76" i="10"/>
  <c r="BY76" i="10" s="1"/>
  <c r="BS64" i="10"/>
  <c r="BZ64" i="10" s="1"/>
  <c r="BQ83" i="10"/>
  <c r="BX83" i="10" s="1"/>
  <c r="AE81" i="10"/>
  <c r="AE79" i="10"/>
  <c r="BP74" i="10"/>
  <c r="BW74" i="10" s="1"/>
  <c r="AE85" i="10"/>
  <c r="BN75" i="10"/>
  <c r="BT64" i="10"/>
  <c r="CA64" i="10" s="1"/>
  <c r="BS80" i="10"/>
  <c r="BZ80" i="10" s="1"/>
  <c r="BT82" i="10"/>
  <c r="CA82" i="10" s="1"/>
  <c r="BQ65" i="10"/>
  <c r="BX65" i="10" s="1"/>
  <c r="BS67" i="10"/>
  <c r="BZ67" i="10" s="1"/>
  <c r="BT74" i="10"/>
  <c r="CA74" i="10" s="1"/>
  <c r="BR71" i="10"/>
  <c r="BT72" i="10"/>
  <c r="CA72" i="10" s="1"/>
  <c r="BN72" i="10"/>
  <c r="BN83" i="10"/>
  <c r="BS81" i="10"/>
  <c r="BZ81" i="10" s="1"/>
  <c r="BR85" i="10"/>
  <c r="BY85" i="10" s="1"/>
  <c r="BN77" i="10"/>
  <c r="BN82" i="10"/>
  <c r="BS69" i="10"/>
  <c r="BN79" i="10"/>
  <c r="BN81" i="10"/>
  <c r="BN85" i="10"/>
  <c r="BP82" i="10"/>
  <c r="BW82" i="10" s="1"/>
  <c r="BQ81" i="10"/>
  <c r="BX81" i="10" s="1"/>
  <c r="BP72" i="10"/>
  <c r="BW72" i="10" s="1"/>
  <c r="BQ69" i="10"/>
  <c r="BQ66" i="10"/>
  <c r="BN76" i="10"/>
  <c r="BT86" i="10"/>
  <c r="CA86" i="10" s="1"/>
  <c r="BN78" i="10"/>
  <c r="BN80" i="10"/>
  <c r="N40" i="17"/>
  <c r="O40" i="17" s="1"/>
  <c r="N52" i="17"/>
  <c r="O52" i="17" s="1"/>
  <c r="N64" i="17"/>
  <c r="O64" i="17" s="1"/>
  <c r="N33" i="17"/>
  <c r="O33" i="17" s="1"/>
  <c r="N45" i="17"/>
  <c r="O45" i="17" s="1"/>
  <c r="N57" i="17"/>
  <c r="O57" i="17" s="1"/>
  <c r="N69" i="17"/>
  <c r="O69" i="17" s="1"/>
  <c r="N81" i="17"/>
  <c r="O81" i="17" s="1"/>
  <c r="N43" i="17"/>
  <c r="O43" i="17" s="1"/>
  <c r="N55" i="17"/>
  <c r="O55" i="17" s="1"/>
  <c r="N67" i="17"/>
  <c r="O67" i="17" s="1"/>
  <c r="N79" i="17"/>
  <c r="O79" i="17" s="1"/>
  <c r="N91" i="17"/>
  <c r="O91" i="17" s="1"/>
  <c r="N103" i="17"/>
  <c r="O103" i="17" s="1"/>
  <c r="N115" i="17"/>
  <c r="O115" i="17" s="1"/>
  <c r="N127" i="17"/>
  <c r="O127" i="17" s="1"/>
  <c r="N41" i="17"/>
  <c r="O41" i="17" s="1"/>
  <c r="N53" i="17"/>
  <c r="O53" i="17" s="1"/>
  <c r="N65" i="17"/>
  <c r="O65" i="17" s="1"/>
  <c r="N39" i="17"/>
  <c r="O39" i="17" s="1"/>
  <c r="N51" i="17"/>
  <c r="O51" i="17" s="1"/>
  <c r="N63" i="17"/>
  <c r="O63" i="17" s="1"/>
  <c r="N75" i="17"/>
  <c r="O75" i="17" s="1"/>
  <c r="N87" i="17"/>
  <c r="O87" i="17" s="1"/>
  <c r="N99" i="17"/>
  <c r="O99" i="17" s="1"/>
  <c r="N111" i="17"/>
  <c r="O111" i="17" s="1"/>
  <c r="N123" i="17"/>
  <c r="O123" i="17" s="1"/>
  <c r="N135" i="17"/>
  <c r="O135" i="17" s="1"/>
  <c r="N147" i="17"/>
  <c r="O147" i="17" s="1"/>
  <c r="N44" i="17"/>
  <c r="O44" i="17" s="1"/>
  <c r="N56" i="17"/>
  <c r="O56" i="17" s="1"/>
  <c r="N68" i="17"/>
  <c r="O68" i="17" s="1"/>
  <c r="N80" i="17"/>
  <c r="O80" i="17" s="1"/>
  <c r="N92" i="17"/>
  <c r="O92" i="17" s="1"/>
  <c r="N104" i="17"/>
  <c r="O104" i="17" s="1"/>
  <c r="N42" i="17"/>
  <c r="O42" i="17" s="1"/>
  <c r="N54" i="17"/>
  <c r="O54" i="17" s="1"/>
  <c r="N66" i="17"/>
  <c r="O66" i="17" s="1"/>
  <c r="N78" i="17"/>
  <c r="O78" i="17" s="1"/>
  <c r="N90" i="17"/>
  <c r="O90" i="17" s="1"/>
  <c r="N102" i="17"/>
  <c r="O102" i="17" s="1"/>
  <c r="N114" i="17"/>
  <c r="O114" i="17" s="1"/>
  <c r="N126" i="17"/>
  <c r="O126" i="17" s="1"/>
  <c r="N50" i="17"/>
  <c r="O50" i="17" s="1"/>
  <c r="N98" i="17"/>
  <c r="O98" i="17" s="1"/>
  <c r="N109" i="17"/>
  <c r="O109" i="17" s="1"/>
  <c r="N116" i="17"/>
  <c r="O116" i="17" s="1"/>
  <c r="N132" i="17"/>
  <c r="O132" i="17" s="1"/>
  <c r="N146" i="17"/>
  <c r="O146" i="17" s="1"/>
  <c r="N151" i="17"/>
  <c r="O151" i="17" s="1"/>
  <c r="N46" i="17"/>
  <c r="O46" i="17" s="1"/>
  <c r="N73" i="17"/>
  <c r="O73" i="17" s="1"/>
  <c r="N62" i="17"/>
  <c r="O62" i="17" s="1"/>
  <c r="N72" i="17"/>
  <c r="O72" i="17" s="1"/>
  <c r="N76" i="17"/>
  <c r="O76" i="17" s="1"/>
  <c r="N84" i="17"/>
  <c r="O84" i="17" s="1"/>
  <c r="N95" i="17"/>
  <c r="O95" i="17" s="1"/>
  <c r="N129" i="17"/>
  <c r="O129" i="17" s="1"/>
  <c r="N141" i="17"/>
  <c r="O141" i="17" s="1"/>
  <c r="N156" i="17"/>
  <c r="O156" i="17" s="1"/>
  <c r="N29" i="17"/>
  <c r="N117" i="17"/>
  <c r="O117" i="17" s="1"/>
  <c r="N88" i="17"/>
  <c r="O88" i="17" s="1"/>
  <c r="N113" i="17"/>
  <c r="O113" i="17" s="1"/>
  <c r="N149" i="17"/>
  <c r="O149" i="17" s="1"/>
  <c r="N77" i="17"/>
  <c r="O77" i="17" s="1"/>
  <c r="N85" i="17"/>
  <c r="O85" i="17" s="1"/>
  <c r="N110" i="17"/>
  <c r="O110" i="17" s="1"/>
  <c r="N133" i="17"/>
  <c r="O133" i="17" s="1"/>
  <c r="N34" i="17"/>
  <c r="O34" i="17" s="1"/>
  <c r="N106" i="17"/>
  <c r="O106" i="17" s="1"/>
  <c r="N120" i="17"/>
  <c r="O120" i="17" s="1"/>
  <c r="N136" i="17"/>
  <c r="O136" i="17" s="1"/>
  <c r="N144" i="17"/>
  <c r="O144" i="17" s="1"/>
  <c r="N154" i="17"/>
  <c r="O154" i="17" s="1"/>
  <c r="N139" i="17"/>
  <c r="O139" i="17" s="1"/>
  <c r="N159" i="17"/>
  <c r="O159" i="17" s="1"/>
  <c r="N35" i="17"/>
  <c r="O35" i="17" s="1"/>
  <c r="N58" i="17"/>
  <c r="O58" i="17" s="1"/>
  <c r="N96" i="17"/>
  <c r="O96" i="17" s="1"/>
  <c r="N107" i="17"/>
  <c r="O107" i="17" s="1"/>
  <c r="N130" i="17"/>
  <c r="O130" i="17" s="1"/>
  <c r="N152" i="17"/>
  <c r="O152" i="17" s="1"/>
  <c r="N47" i="17"/>
  <c r="O47" i="17" s="1"/>
  <c r="N89" i="17"/>
  <c r="O89" i="17" s="1"/>
  <c r="N100" i="17"/>
  <c r="O100" i="17" s="1"/>
  <c r="N124" i="17"/>
  <c r="O124" i="17" s="1"/>
  <c r="N142" i="17"/>
  <c r="O142" i="17" s="1"/>
  <c r="N157" i="17"/>
  <c r="O157" i="17" s="1"/>
  <c r="N158" i="17"/>
  <c r="O158" i="17" s="1"/>
  <c r="N36" i="17"/>
  <c r="O36" i="17" s="1"/>
  <c r="N59" i="17"/>
  <c r="O59" i="17" s="1"/>
  <c r="N74" i="17"/>
  <c r="O74" i="17" s="1"/>
  <c r="N82" i="17"/>
  <c r="O82" i="17" s="1"/>
  <c r="N93" i="17"/>
  <c r="O93" i="17" s="1"/>
  <c r="N121" i="17"/>
  <c r="O121" i="17" s="1"/>
  <c r="N137" i="17"/>
  <c r="O137" i="17" s="1"/>
  <c r="N145" i="17"/>
  <c r="O145" i="17" s="1"/>
  <c r="N150" i="17"/>
  <c r="O150" i="17" s="1"/>
  <c r="N38" i="17"/>
  <c r="O38" i="17" s="1"/>
  <c r="N94" i="17"/>
  <c r="O94" i="17" s="1"/>
  <c r="N105" i="17"/>
  <c r="O105" i="17" s="1"/>
  <c r="N119" i="17"/>
  <c r="O119" i="17" s="1"/>
  <c r="N48" i="17"/>
  <c r="O48" i="17" s="1"/>
  <c r="N70" i="17"/>
  <c r="O70" i="17" s="1"/>
  <c r="N86" i="17"/>
  <c r="O86" i="17" s="1"/>
  <c r="N97" i="17"/>
  <c r="O97" i="17" s="1"/>
  <c r="N118" i="17"/>
  <c r="O118" i="17" s="1"/>
  <c r="N131" i="17"/>
  <c r="O131" i="17" s="1"/>
  <c r="N134" i="17"/>
  <c r="O134" i="17" s="1"/>
  <c r="N140" i="17"/>
  <c r="O140" i="17" s="1"/>
  <c r="N155" i="17"/>
  <c r="O155" i="17" s="1"/>
  <c r="N37" i="17"/>
  <c r="O37" i="17" s="1"/>
  <c r="N60" i="17"/>
  <c r="O60" i="17" s="1"/>
  <c r="N83" i="17"/>
  <c r="O83" i="17" s="1"/>
  <c r="N108" i="17"/>
  <c r="O108" i="17" s="1"/>
  <c r="N128" i="17"/>
  <c r="O128" i="17" s="1"/>
  <c r="N148" i="17"/>
  <c r="O148" i="17" s="1"/>
  <c r="N160" i="17"/>
  <c r="O160" i="17" s="1"/>
  <c r="N138" i="17"/>
  <c r="O138" i="17" s="1"/>
  <c r="N49" i="17"/>
  <c r="O49" i="17" s="1"/>
  <c r="N71" i="17"/>
  <c r="O71" i="17" s="1"/>
  <c r="N101" i="17"/>
  <c r="O101" i="17" s="1"/>
  <c r="N112" i="17"/>
  <c r="O112" i="17" s="1"/>
  <c r="N125" i="17"/>
  <c r="O125" i="17" s="1"/>
  <c r="N143" i="17"/>
  <c r="O143" i="17" s="1"/>
  <c r="N153" i="17"/>
  <c r="O153" i="17" s="1"/>
  <c r="N61" i="17"/>
  <c r="O61" i="17" s="1"/>
  <c r="N122" i="17"/>
  <c r="O122" i="17" s="1"/>
  <c r="N11" i="17"/>
  <c r="N30" i="17"/>
  <c r="O30" i="17" s="1"/>
  <c r="N18" i="17"/>
  <c r="N24" i="17"/>
  <c r="O24" i="17" s="1"/>
  <c r="N28" i="17"/>
  <c r="N32" i="17"/>
  <c r="N14" i="17"/>
  <c r="N27" i="17"/>
  <c r="N22" i="17"/>
  <c r="N26" i="17"/>
  <c r="N19" i="17"/>
  <c r="O19" i="17" s="1"/>
  <c r="N17" i="17"/>
  <c r="O17" i="17" s="1"/>
  <c r="N31" i="17"/>
  <c r="N20" i="17"/>
  <c r="O20" i="17" s="1"/>
  <c r="N15" i="17"/>
  <c r="O15" i="17" s="1"/>
  <c r="N16" i="17"/>
  <c r="O16" i="17" s="1"/>
  <c r="N23" i="17"/>
  <c r="N21" i="17"/>
  <c r="N13" i="17"/>
  <c r="N12" i="17"/>
  <c r="O12" i="17" s="1"/>
  <c r="N25" i="17"/>
  <c r="X161" i="12"/>
  <c r="R161" i="12"/>
  <c r="U161" i="12"/>
  <c r="AZ62" i="10"/>
  <c r="Q161" i="12"/>
  <c r="W161" i="12"/>
  <c r="T161" i="12"/>
  <c r="AS12" i="10"/>
  <c r="AS29" i="10"/>
  <c r="AZ12" i="10"/>
  <c r="BG11" i="10"/>
  <c r="AZ30" i="10"/>
  <c r="AS59" i="10"/>
  <c r="AS38" i="10"/>
  <c r="AZ59" i="10"/>
  <c r="AZ46" i="10"/>
  <c r="AS16" i="10"/>
  <c r="AZ24" i="10"/>
  <c r="AZ48" i="10"/>
  <c r="BG26" i="10"/>
  <c r="AS42" i="10"/>
  <c r="BE161" i="10"/>
  <c r="AS40" i="10"/>
  <c r="BG55" i="10"/>
  <c r="BG50" i="10"/>
  <c r="BG40" i="10"/>
  <c r="AS58" i="10"/>
  <c r="AZ36" i="10"/>
  <c r="BG39" i="10"/>
  <c r="AZ29" i="10"/>
  <c r="AZ40" i="10"/>
  <c r="AS35" i="10"/>
  <c r="AZ61" i="10"/>
  <c r="AS34" i="10"/>
  <c r="AZ55" i="10"/>
  <c r="BG30" i="10"/>
  <c r="AZ41" i="10"/>
  <c r="AZ33" i="10"/>
  <c r="AS36" i="10"/>
  <c r="BG12" i="10"/>
  <c r="AZ39" i="10"/>
  <c r="AS26" i="10"/>
  <c r="AS24" i="10"/>
  <c r="AZ47" i="10"/>
  <c r="AS48" i="10"/>
  <c r="BG16" i="10"/>
  <c r="BF161" i="10"/>
  <c r="BG23" i="10"/>
  <c r="BG35" i="10"/>
  <c r="AZ15" i="10"/>
  <c r="AS43" i="10"/>
  <c r="AS28" i="10"/>
  <c r="AS56" i="10"/>
  <c r="AS54" i="10"/>
  <c r="BG58" i="10"/>
  <c r="BG41" i="10"/>
  <c r="BG36" i="10"/>
  <c r="BG24" i="10"/>
  <c r="BG48" i="10"/>
  <c r="AZ16" i="10"/>
  <c r="AS23" i="10"/>
  <c r="AY161" i="10"/>
  <c r="BG21" i="10"/>
  <c r="AZ32" i="10"/>
  <c r="AZ35" i="10"/>
  <c r="AS15" i="10"/>
  <c r="AS61" i="10"/>
  <c r="AZ34" i="10"/>
  <c r="BG60" i="10"/>
  <c r="BG33" i="10"/>
  <c r="AS39" i="10"/>
  <c r="AZ26" i="10"/>
  <c r="AP161" i="10"/>
  <c r="AZ31" i="10"/>
  <c r="BG13" i="10"/>
  <c r="AS18" i="10"/>
  <c r="AS57" i="10"/>
  <c r="BG29" i="10"/>
  <c r="BG32" i="10"/>
  <c r="AZ43" i="10"/>
  <c r="BG61" i="10"/>
  <c r="BG28" i="10"/>
  <c r="BG54" i="10"/>
  <c r="AZ60" i="10"/>
  <c r="AS25" i="10"/>
  <c r="AS22" i="10"/>
  <c r="AS51" i="10"/>
  <c r="AS41" i="10"/>
  <c r="AR161" i="10"/>
  <c r="BG42" i="10"/>
  <c r="AW161" i="10"/>
  <c r="AZ57" i="10"/>
  <c r="AS52" i="10"/>
  <c r="AZ38" i="10"/>
  <c r="AZ37" i="10"/>
  <c r="BG15" i="10"/>
  <c r="AZ28" i="10"/>
  <c r="AZ56" i="10"/>
  <c r="AS60" i="10"/>
  <c r="AZ17" i="10"/>
  <c r="BG25" i="10"/>
  <c r="AZ44" i="10"/>
  <c r="AZ23" i="10"/>
  <c r="AZ53" i="10"/>
  <c r="AS45" i="10"/>
  <c r="BG47" i="10"/>
  <c r="AS32" i="10"/>
  <c r="BD161" i="10"/>
  <c r="AS31" i="10"/>
  <c r="AS13" i="10"/>
  <c r="BG18" i="10"/>
  <c r="BG52" i="10"/>
  <c r="BG62" i="10"/>
  <c r="BG27" i="10"/>
  <c r="BG43" i="10"/>
  <c r="BG34" i="10"/>
  <c r="BG56" i="10"/>
  <c r="AZ54" i="10"/>
  <c r="AS17" i="10"/>
  <c r="AZ25" i="10"/>
  <c r="AS20" i="10"/>
  <c r="AZ51" i="10"/>
  <c r="AS19" i="10"/>
  <c r="AZ49" i="10"/>
  <c r="AZ21" i="10"/>
  <c r="BG59" i="10"/>
  <c r="AZ13" i="10"/>
  <c r="AZ18" i="10"/>
  <c r="AS62" i="10"/>
  <c r="BG38" i="10"/>
  <c r="AS46" i="10"/>
  <c r="AS37" i="10"/>
  <c r="AZ27" i="10"/>
  <c r="AZ14" i="10"/>
  <c r="BG17" i="10"/>
  <c r="AZ22" i="10"/>
  <c r="AS44" i="10"/>
  <c r="BG51" i="10"/>
  <c r="AZ45" i="10"/>
  <c r="AS49" i="10"/>
  <c r="BG22" i="10"/>
  <c r="AZ20" i="10"/>
  <c r="AS53" i="10"/>
  <c r="AZ19" i="10"/>
  <c r="BG49" i="10"/>
  <c r="AS47" i="10"/>
  <c r="AX161" i="10"/>
  <c r="AZ52" i="10"/>
  <c r="AZ11" i="10"/>
  <c r="AV161" i="10"/>
  <c r="AS27" i="10"/>
  <c r="AS11" i="10"/>
  <c r="BG14" i="10"/>
  <c r="AZ50" i="10"/>
  <c r="AS55" i="10"/>
  <c r="AZ58" i="10"/>
  <c r="BG44" i="10"/>
  <c r="BG20" i="10"/>
  <c r="BG53" i="10"/>
  <c r="BG19" i="10"/>
  <c r="BG45" i="10"/>
  <c r="AO161" i="10"/>
  <c r="BG57" i="10"/>
  <c r="BG37" i="10"/>
  <c r="AQ161" i="10"/>
  <c r="BG31" i="10"/>
  <c r="BC161" i="10"/>
  <c r="AS21" i="10"/>
  <c r="AZ42" i="10"/>
  <c r="BG46" i="10"/>
  <c r="AS14" i="10"/>
  <c r="AS50" i="10"/>
  <c r="AS30" i="10"/>
  <c r="AS33" i="10"/>
  <c r="BG63" i="10"/>
  <c r="BB161" i="10"/>
  <c r="AS63" i="10"/>
  <c r="AN161" i="10"/>
  <c r="AU161" i="10"/>
  <c r="AZ63" i="10"/>
  <c r="F70" i="8"/>
  <c r="E71" i="8"/>
  <c r="BP66" i="10" l="1"/>
  <c r="BQ70" i="10"/>
  <c r="BX70" i="10" s="1"/>
  <c r="BS71" i="10"/>
  <c r="BN66" i="10"/>
  <c r="AE68" i="10"/>
  <c r="BN67" i="10"/>
  <c r="BN68" i="10"/>
  <c r="BN69" i="10"/>
  <c r="BP67" i="10"/>
  <c r="BW67" i="10" s="1"/>
  <c r="CB67" i="10" s="1"/>
  <c r="AE66" i="10"/>
  <c r="BT66" i="10"/>
  <c r="CA66" i="10" s="1"/>
  <c r="AL156" i="10"/>
  <c r="BT69" i="10"/>
  <c r="CA69" i="10" s="1"/>
  <c r="AE67" i="10"/>
  <c r="BP68" i="10"/>
  <c r="BW68" i="10" s="1"/>
  <c r="BP70" i="10"/>
  <c r="BW70" i="10" s="1"/>
  <c r="CB70" i="10" s="1"/>
  <c r="BN64" i="10"/>
  <c r="AE70" i="10"/>
  <c r="AL157" i="10"/>
  <c r="AL159" i="10"/>
  <c r="AL160" i="10"/>
  <c r="BW88" i="10"/>
  <c r="CB88" i="10" s="1"/>
  <c r="BU88" i="10"/>
  <c r="BW87" i="10"/>
  <c r="BU87" i="10"/>
  <c r="BX87" i="10" s="1"/>
  <c r="CA89" i="10"/>
  <c r="CB89" i="10" s="1"/>
  <c r="BU89" i="10"/>
  <c r="AL158" i="10"/>
  <c r="C287" i="16"/>
  <c r="BZ66" i="10"/>
  <c r="BY66" i="10"/>
  <c r="BZ69" i="10"/>
  <c r="H70" i="13"/>
  <c r="I70" i="13"/>
  <c r="BZ68" i="10"/>
  <c r="H69" i="13"/>
  <c r="BW66" i="10"/>
  <c r="BX69" i="10"/>
  <c r="F70" i="13"/>
  <c r="CA68" i="10"/>
  <c r="I69" i="13"/>
  <c r="E69" i="13"/>
  <c r="BY69" i="10"/>
  <c r="G70" i="13"/>
  <c r="BW69" i="10"/>
  <c r="E70" i="13"/>
  <c r="BY68" i="10"/>
  <c r="G69" i="13"/>
  <c r="BX68" i="10"/>
  <c r="F69" i="13"/>
  <c r="BX66" i="10"/>
  <c r="BX71" i="10"/>
  <c r="BY71" i="10"/>
  <c r="BZ71" i="10"/>
  <c r="CA71" i="10"/>
  <c r="BW71" i="10"/>
  <c r="CB83" i="10"/>
  <c r="CB75" i="10"/>
  <c r="CB74" i="10"/>
  <c r="CB76" i="10"/>
  <c r="CB82" i="10"/>
  <c r="CB64" i="10"/>
  <c r="CB85" i="10"/>
  <c r="CB84" i="10"/>
  <c r="CB65" i="10"/>
  <c r="CB78" i="10"/>
  <c r="CB80" i="10"/>
  <c r="CB81" i="10"/>
  <c r="CB86" i="10"/>
  <c r="BU65" i="10"/>
  <c r="BY77" i="10"/>
  <c r="BU73" i="10"/>
  <c r="BX73" i="10"/>
  <c r="CB73" i="10" s="1"/>
  <c r="CA77" i="10"/>
  <c r="BW77" i="10"/>
  <c r="BZ77" i="10"/>
  <c r="CB79" i="10"/>
  <c r="CB72" i="10"/>
  <c r="BX77" i="10"/>
  <c r="BU69" i="10"/>
  <c r="BU82" i="10"/>
  <c r="BU83" i="10"/>
  <c r="BU72" i="10"/>
  <c r="BU84" i="10"/>
  <c r="BU77" i="10"/>
  <c r="BU75" i="10"/>
  <c r="BU80" i="10"/>
  <c r="BU81" i="10"/>
  <c r="BU86" i="10"/>
  <c r="BU74" i="10"/>
  <c r="BU85" i="10"/>
  <c r="BU78" i="10"/>
  <c r="BU66" i="10"/>
  <c r="BU79" i="10"/>
  <c r="BU76" i="10"/>
  <c r="BU71" i="10"/>
  <c r="BU64" i="10"/>
  <c r="G17" i="16"/>
  <c r="G39" i="16"/>
  <c r="O14" i="17"/>
  <c r="G18" i="16"/>
  <c r="G33" i="16"/>
  <c r="O18" i="17"/>
  <c r="G26" i="16"/>
  <c r="O31" i="17"/>
  <c r="G15" i="16"/>
  <c r="N161" i="17"/>
  <c r="G32" i="16"/>
  <c r="O11" i="17"/>
  <c r="G20" i="16"/>
  <c r="O22" i="17"/>
  <c r="G23" i="16"/>
  <c r="O26" i="17"/>
  <c r="G34" i="16"/>
  <c r="H34" i="16" s="1"/>
  <c r="O27" i="17"/>
  <c r="G22" i="16"/>
  <c r="O25" i="17"/>
  <c r="G19" i="16"/>
  <c r="O21" i="17"/>
  <c r="G27" i="16"/>
  <c r="O32" i="17"/>
  <c r="G21" i="16"/>
  <c r="O23" i="17"/>
  <c r="G24" i="16"/>
  <c r="G53" i="16" s="1"/>
  <c r="G38" i="16"/>
  <c r="O28" i="17"/>
  <c r="G16" i="16"/>
  <c r="O13" i="17"/>
  <c r="G25" i="16"/>
  <c r="G37" i="16"/>
  <c r="H37" i="16" s="1"/>
  <c r="O29" i="17"/>
  <c r="F28" i="16"/>
  <c r="F40" i="16"/>
  <c r="E28" i="16"/>
  <c r="D28" i="16"/>
  <c r="BG161" i="10"/>
  <c r="BG6" i="10" s="1"/>
  <c r="AS161" i="10"/>
  <c r="AS6" i="10" s="1"/>
  <c r="AZ161" i="10"/>
  <c r="AZ6" i="10" s="1"/>
  <c r="G70" i="8"/>
  <c r="F71" i="8"/>
  <c r="BU67" i="10" l="1"/>
  <c r="BU70" i="10"/>
  <c r="BU68" i="10"/>
  <c r="CB87" i="10"/>
  <c r="CB66" i="10"/>
  <c r="CB68" i="10"/>
  <c r="CB69" i="10"/>
  <c r="H21" i="16"/>
  <c r="G50" i="16"/>
  <c r="H18" i="16"/>
  <c r="G47" i="16"/>
  <c r="H27" i="16"/>
  <c r="G56" i="16"/>
  <c r="H22" i="16"/>
  <c r="G51" i="16"/>
  <c r="H15" i="16"/>
  <c r="G44" i="16"/>
  <c r="H17" i="16"/>
  <c r="G46" i="16"/>
  <c r="H25" i="16"/>
  <c r="G54" i="16"/>
  <c r="H26" i="16"/>
  <c r="G55" i="16"/>
  <c r="H20" i="16"/>
  <c r="G49" i="16"/>
  <c r="H19" i="16"/>
  <c r="G48" i="16"/>
  <c r="H16" i="16"/>
  <c r="G45" i="16"/>
  <c r="H23" i="16"/>
  <c r="G52" i="16"/>
  <c r="H53" i="16"/>
  <c r="D300" i="16" s="1"/>
  <c r="CB71" i="10"/>
  <c r="CB77" i="10"/>
  <c r="O161" i="17"/>
  <c r="O6" i="17" s="1"/>
  <c r="G28" i="16"/>
  <c r="H33" i="16"/>
  <c r="H39" i="16"/>
  <c r="H32" i="16"/>
  <c r="C40" i="16"/>
  <c r="H24" i="16"/>
  <c r="C28" i="16"/>
  <c r="H38" i="16"/>
  <c r="G40" i="16"/>
  <c r="D40" i="16"/>
  <c r="E40" i="16"/>
  <c r="H70" i="8"/>
  <c r="H71" i="8" s="1"/>
  <c r="G71" i="8"/>
  <c r="H52" i="16" l="1"/>
  <c r="D299" i="16" s="1"/>
  <c r="H56" i="16"/>
  <c r="D303" i="16" s="1"/>
  <c r="H51" i="16"/>
  <c r="D298" i="16" s="1"/>
  <c r="H48" i="16"/>
  <c r="D295" i="16" s="1"/>
  <c r="H50" i="16"/>
  <c r="D297" i="16" s="1"/>
  <c r="H55" i="16"/>
  <c r="D302" i="16" s="1"/>
  <c r="H54" i="16"/>
  <c r="D301" i="16" s="1"/>
  <c r="H46" i="16"/>
  <c r="D293" i="16" s="1"/>
  <c r="G57" i="16"/>
  <c r="G286" i="16" s="1"/>
  <c r="H286" i="16" s="1"/>
  <c r="H44" i="16"/>
  <c r="D291" i="16" s="1"/>
  <c r="H45" i="16"/>
  <c r="D292" i="16" s="1"/>
  <c r="H47" i="16"/>
  <c r="D294" i="16" s="1"/>
  <c r="H28" i="16"/>
  <c r="K28" i="16" s="1"/>
  <c r="H49" i="16"/>
  <c r="D296" i="16" s="1"/>
  <c r="H40" i="16"/>
  <c r="K40" i="16" s="1"/>
  <c r="D304" i="16" l="1"/>
  <c r="D312" i="16" s="1"/>
  <c r="H57" i="16"/>
  <c r="K161" i="2"/>
  <c r="L161" i="2"/>
  <c r="J161" i="2"/>
  <c r="L6" i="2" l="1"/>
  <c r="K20" i="4" s="1"/>
  <c r="D22" i="4"/>
  <c r="F22" i="4"/>
  <c r="E22" i="4"/>
  <c r="Y21" i="6" l="1"/>
  <c r="Y11" i="6"/>
  <c r="Y42" i="6"/>
  <c r="Y19" i="6"/>
  <c r="Y12" i="6"/>
  <c r="Y50" i="6"/>
  <c r="Y43" i="6"/>
  <c r="Y49" i="6"/>
  <c r="Y38" i="6"/>
  <c r="Y27" i="6"/>
  <c r="CD61" i="10"/>
  <c r="CF61" i="10"/>
  <c r="CE61" i="10"/>
  <c r="CG61" i="10"/>
  <c r="CH61" i="10"/>
  <c r="Y34" i="6"/>
  <c r="Y30" i="6"/>
  <c r="Y14" i="6"/>
  <c r="Y45" i="6"/>
  <c r="Y41" i="6"/>
  <c r="Y39" i="6"/>
  <c r="S49" i="6"/>
  <c r="F23" i="10"/>
  <c r="F27" i="10"/>
  <c r="E42" i="10"/>
  <c r="Y26" i="6"/>
  <c r="E46" i="10"/>
  <c r="E12" i="10"/>
  <c r="F31" i="10"/>
  <c r="F40" i="10"/>
  <c r="C38" i="10"/>
  <c r="F42" i="10"/>
  <c r="C39" i="10"/>
  <c r="E20" i="10"/>
  <c r="C11" i="10"/>
  <c r="C11" i="12"/>
  <c r="F41" i="10"/>
  <c r="Y29" i="6"/>
  <c r="F17" i="10"/>
  <c r="E43" i="10"/>
  <c r="C50" i="10"/>
  <c r="Y51" i="6"/>
  <c r="F20" i="10"/>
  <c r="C33" i="10"/>
  <c r="D32" i="10"/>
  <c r="D36" i="10"/>
  <c r="D40" i="10"/>
  <c r="S40" i="6"/>
  <c r="S23" i="6"/>
  <c r="C48" i="10"/>
  <c r="S35" i="6"/>
  <c r="C45" i="10"/>
  <c r="F22" i="10"/>
  <c r="S21" i="6"/>
  <c r="D39" i="10"/>
  <c r="F44" i="10"/>
  <c r="F19" i="10"/>
  <c r="F39" i="10"/>
  <c r="E26" i="10"/>
  <c r="C20" i="10"/>
  <c r="F26" i="10"/>
  <c r="C25" i="10"/>
  <c r="O161" i="6"/>
  <c r="D46" i="10"/>
  <c r="F45" i="10"/>
  <c r="E19" i="10"/>
  <c r="C23" i="10"/>
  <c r="F43" i="10"/>
  <c r="D50" i="10"/>
  <c r="C41" i="10"/>
  <c r="Y17" i="6"/>
  <c r="D34" i="10"/>
  <c r="C49" i="10"/>
  <c r="S20" i="6"/>
  <c r="E28" i="10"/>
  <c r="C42" i="10"/>
  <c r="Y31" i="6"/>
  <c r="S43" i="6"/>
  <c r="S31" i="6"/>
  <c r="D19" i="10"/>
  <c r="C17" i="10"/>
  <c r="C16" i="10"/>
  <c r="C51" i="10"/>
  <c r="Y25" i="6"/>
  <c r="Y35" i="6"/>
  <c r="C44" i="10"/>
  <c r="S17" i="6"/>
  <c r="E52" i="10"/>
  <c r="E49" i="10"/>
  <c r="E41" i="10"/>
  <c r="D47" i="10"/>
  <c r="C30" i="10"/>
  <c r="S26" i="6"/>
  <c r="F36" i="10"/>
  <c r="E48" i="10"/>
  <c r="D44" i="10"/>
  <c r="C21" i="10"/>
  <c r="D37" i="10"/>
  <c r="D21" i="10"/>
  <c r="E37" i="10"/>
  <c r="F21" i="10"/>
  <c r="Y33" i="6"/>
  <c r="C13" i="10"/>
  <c r="E27" i="10"/>
  <c r="D29" i="10"/>
  <c r="C37" i="10"/>
  <c r="F16" i="10"/>
  <c r="F28" i="10"/>
  <c r="D23" i="10"/>
  <c r="C15" i="10"/>
  <c r="E40" i="10"/>
  <c r="D12" i="10"/>
  <c r="S18" i="6"/>
  <c r="C40" i="10"/>
  <c r="E22" i="10"/>
  <c r="F37" i="10"/>
  <c r="S50" i="6"/>
  <c r="C19" i="10"/>
  <c r="F32" i="10"/>
  <c r="C14" i="10"/>
  <c r="S54" i="6"/>
  <c r="E50" i="10"/>
  <c r="E35" i="10"/>
  <c r="D26" i="10"/>
  <c r="Y52" i="6"/>
  <c r="C35" i="10"/>
  <c r="D27" i="10"/>
  <c r="D25" i="10"/>
  <c r="S42" i="6"/>
  <c r="D48" i="10"/>
  <c r="E45" i="10"/>
  <c r="F49" i="10"/>
  <c r="C12" i="10"/>
  <c r="F12" i="10"/>
  <c r="D41" i="10"/>
  <c r="C47" i="10"/>
  <c r="E38" i="10"/>
  <c r="C43" i="10"/>
  <c r="E25" i="10"/>
  <c r="C26" i="10"/>
  <c r="D16" i="10"/>
  <c r="E14" i="10"/>
  <c r="F18" i="10"/>
  <c r="E24" i="10"/>
  <c r="Y16" i="6"/>
  <c r="E13" i="10"/>
  <c r="S28" i="6"/>
  <c r="S46" i="6"/>
  <c r="Y46" i="6"/>
  <c r="Y23" i="6"/>
  <c r="E21" i="10"/>
  <c r="F25" i="10"/>
  <c r="S41" i="6"/>
  <c r="E23" i="10"/>
  <c r="F38" i="10"/>
  <c r="S44" i="6"/>
  <c r="F35" i="10"/>
  <c r="S48" i="6"/>
  <c r="S13" i="6"/>
  <c r="Y40" i="6"/>
  <c r="Y20" i="6"/>
  <c r="C24" i="10"/>
  <c r="S51" i="6"/>
  <c r="F24" i="10"/>
  <c r="S14" i="6"/>
  <c r="D13" i="10"/>
  <c r="Y28" i="6"/>
  <c r="F50" i="10"/>
  <c r="S30" i="6"/>
  <c r="D45" i="10"/>
  <c r="S24" i="6"/>
  <c r="D20" i="10"/>
  <c r="E16" i="10"/>
  <c r="D28" i="10"/>
  <c r="Y48" i="6"/>
  <c r="Y32" i="6"/>
  <c r="S36" i="6"/>
  <c r="Y13" i="6"/>
  <c r="E18" i="10"/>
  <c r="C46" i="10"/>
  <c r="E44" i="10"/>
  <c r="C52" i="10"/>
  <c r="S15" i="6"/>
  <c r="C34" i="10"/>
  <c r="E31" i="10"/>
  <c r="E15" i="10"/>
  <c r="S22" i="6"/>
  <c r="F52" i="10"/>
  <c r="F13" i="10"/>
  <c r="F46" i="10"/>
  <c r="F11" i="10"/>
  <c r="F11" i="12"/>
  <c r="S38" i="6"/>
  <c r="C18" i="10"/>
  <c r="E30" i="10"/>
  <c r="Y15" i="6"/>
  <c r="Y36" i="6"/>
  <c r="E51" i="10"/>
  <c r="D11" i="12"/>
  <c r="D11" i="10"/>
  <c r="F29" i="10"/>
  <c r="D35" i="10"/>
  <c r="S45" i="6"/>
  <c r="F33" i="10"/>
  <c r="E47" i="10"/>
  <c r="S25" i="6"/>
  <c r="D31" i="10"/>
  <c r="F14" i="10"/>
  <c r="C36" i="10"/>
  <c r="E33" i="10"/>
  <c r="D52" i="10"/>
  <c r="F30" i="10"/>
  <c r="D17" i="10"/>
  <c r="S33" i="6"/>
  <c r="S47" i="6"/>
  <c r="Y22" i="6"/>
  <c r="S52" i="6"/>
  <c r="S11" i="6"/>
  <c r="N161" i="6"/>
  <c r="C27" i="10"/>
  <c r="S16" i="6"/>
  <c r="S39" i="6"/>
  <c r="Y54" i="6"/>
  <c r="F34" i="10"/>
  <c r="Y24" i="6"/>
  <c r="D14" i="10"/>
  <c r="E17" i="10"/>
  <c r="C31" i="10"/>
  <c r="E39" i="10"/>
  <c r="D30" i="10"/>
  <c r="S34" i="6"/>
  <c r="S29" i="6"/>
  <c r="E11" i="12"/>
  <c r="E11" i="10"/>
  <c r="D43" i="10"/>
  <c r="D33" i="10"/>
  <c r="C29" i="10"/>
  <c r="D38" i="10"/>
  <c r="Y44" i="6"/>
  <c r="Y18" i="6"/>
  <c r="S12" i="6"/>
  <c r="S32" i="6"/>
  <c r="D49" i="10"/>
  <c r="C32" i="10"/>
  <c r="E34" i="10"/>
  <c r="F15" i="10"/>
  <c r="S37" i="6"/>
  <c r="F47" i="10"/>
  <c r="F51" i="10"/>
  <c r="D15" i="10"/>
  <c r="D42" i="10"/>
  <c r="E36" i="10"/>
  <c r="C28" i="10"/>
  <c r="C22" i="10"/>
  <c r="H37" i="10"/>
  <c r="O37" i="10" s="1"/>
  <c r="V37" i="10" s="1"/>
  <c r="K37" i="12"/>
  <c r="K47" i="12"/>
  <c r="H47" i="10"/>
  <c r="M47" i="10" s="1"/>
  <c r="T47" i="10" s="1"/>
  <c r="H22" i="10"/>
  <c r="N22" i="10" s="1"/>
  <c r="U22" i="10" s="1"/>
  <c r="K22" i="12"/>
  <c r="K19" i="12"/>
  <c r="H19" i="10"/>
  <c r="M19" i="10" s="1"/>
  <c r="T19" i="10" s="1"/>
  <c r="K23" i="12"/>
  <c r="H23" i="10"/>
  <c r="O23" i="10" s="1"/>
  <c r="V23" i="10" s="1"/>
  <c r="U57" i="10"/>
  <c r="K45" i="12"/>
  <c r="H45" i="10"/>
  <c r="P45" i="10" s="1"/>
  <c r="W45" i="10" s="1"/>
  <c r="V54" i="10"/>
  <c r="D22" i="10"/>
  <c r="K32" i="12"/>
  <c r="H32" i="10"/>
  <c r="N32" i="10" s="1"/>
  <c r="U32" i="10" s="1"/>
  <c r="K44" i="12"/>
  <c r="H44" i="10"/>
  <c r="L44" i="10" s="1"/>
  <c r="S44" i="10" s="1"/>
  <c r="T56" i="10"/>
  <c r="W55" i="10"/>
  <c r="T53" i="10"/>
  <c r="V62" i="10"/>
  <c r="D24" i="10"/>
  <c r="E29" i="10"/>
  <c r="K31" i="12"/>
  <c r="H31" i="10"/>
  <c r="N31" i="10" s="1"/>
  <c r="U31" i="10" s="1"/>
  <c r="K43" i="12"/>
  <c r="H43" i="10"/>
  <c r="M43" i="10" s="1"/>
  <c r="T43" i="10" s="1"/>
  <c r="H17" i="10"/>
  <c r="O17" i="10" s="1"/>
  <c r="V17" i="10" s="1"/>
  <c r="H50" i="10"/>
  <c r="N50" i="10" s="1"/>
  <c r="U50" i="10" s="1"/>
  <c r="D51" i="10"/>
  <c r="K30" i="12"/>
  <c r="H30" i="10"/>
  <c r="M30" i="10" s="1"/>
  <c r="T30" i="10" s="1"/>
  <c r="T63" i="10"/>
  <c r="H38" i="10"/>
  <c r="L38" i="10" s="1"/>
  <c r="S38" i="10" s="1"/>
  <c r="K38" i="12"/>
  <c r="H34" i="10"/>
  <c r="N34" i="10" s="1"/>
  <c r="U34" i="10" s="1"/>
  <c r="K34" i="12"/>
  <c r="Y37" i="6"/>
  <c r="W60" i="10"/>
  <c r="H18" i="10"/>
  <c r="O18" i="10" s="1"/>
  <c r="V18" i="10" s="1"/>
  <c r="H29" i="10"/>
  <c r="N29" i="10" s="1"/>
  <c r="U29" i="10" s="1"/>
  <c r="K29" i="12"/>
  <c r="H51" i="10"/>
  <c r="M51" i="10" s="1"/>
  <c r="T51" i="10" s="1"/>
  <c r="H26" i="10"/>
  <c r="L26" i="10" s="1"/>
  <c r="S26" i="10" s="1"/>
  <c r="K26" i="12"/>
  <c r="S27" i="6"/>
  <c r="F48" i="10"/>
  <c r="K48" i="12"/>
  <c r="H48" i="10"/>
  <c r="O48" i="10" s="1"/>
  <c r="V48" i="10" s="1"/>
  <c r="H25" i="10"/>
  <c r="O25" i="10" s="1"/>
  <c r="V25" i="10" s="1"/>
  <c r="K25" i="12"/>
  <c r="K35" i="12"/>
  <c r="H35" i="10"/>
  <c r="O35" i="10" s="1"/>
  <c r="V35" i="10" s="1"/>
  <c r="H11" i="10"/>
  <c r="M11" i="10" s="1"/>
  <c r="T11" i="10" s="1"/>
  <c r="H11" i="12"/>
  <c r="K39" i="12"/>
  <c r="H39" i="10"/>
  <c r="P39" i="10" s="1"/>
  <c r="W39" i="10" s="1"/>
  <c r="H14" i="10"/>
  <c r="N14" i="10" s="1"/>
  <c r="U14" i="10" s="1"/>
  <c r="S19" i="6"/>
  <c r="K36" i="12"/>
  <c r="H36" i="10"/>
  <c r="M36" i="10" s="1"/>
  <c r="T36" i="10" s="1"/>
  <c r="T61" i="10"/>
  <c r="K33" i="12"/>
  <c r="H33" i="10"/>
  <c r="P33" i="10" s="1"/>
  <c r="W33" i="10" s="1"/>
  <c r="H52" i="10"/>
  <c r="O52" i="10" s="1"/>
  <c r="V52" i="10" s="1"/>
  <c r="H27" i="10"/>
  <c r="N27" i="10" s="1"/>
  <c r="U27" i="10" s="1"/>
  <c r="K27" i="12"/>
  <c r="E32" i="10"/>
  <c r="K21" i="12"/>
  <c r="H21" i="10"/>
  <c r="O21" i="10" s="1"/>
  <c r="V21" i="10" s="1"/>
  <c r="K24" i="12"/>
  <c r="H24" i="10"/>
  <c r="N24" i="10" s="1"/>
  <c r="U24" i="10" s="1"/>
  <c r="H13" i="10"/>
  <c r="M13" i="10" s="1"/>
  <c r="T13" i="10" s="1"/>
  <c r="K20" i="12"/>
  <c r="H20" i="10"/>
  <c r="O20" i="10" s="1"/>
  <c r="V20" i="10" s="1"/>
  <c r="H49" i="10"/>
  <c r="L49" i="10" s="1"/>
  <c r="S49" i="10" s="1"/>
  <c r="K49" i="12"/>
  <c r="H40" i="10"/>
  <c r="N40" i="10" s="1"/>
  <c r="U40" i="10" s="1"/>
  <c r="K40" i="12"/>
  <c r="H15" i="10"/>
  <c r="O15" i="10" s="1"/>
  <c r="V15" i="10" s="1"/>
  <c r="D18" i="10"/>
  <c r="H12" i="10"/>
  <c r="O12" i="10" s="1"/>
  <c r="V12" i="10" s="1"/>
  <c r="V58" i="10"/>
  <c r="K28" i="12"/>
  <c r="H28" i="10"/>
  <c r="M28" i="10" s="1"/>
  <c r="T28" i="10" s="1"/>
  <c r="Y47" i="6"/>
  <c r="H41" i="10"/>
  <c r="P41" i="10" s="1"/>
  <c r="W41" i="10" s="1"/>
  <c r="K41" i="12"/>
  <c r="H46" i="10"/>
  <c r="N46" i="10" s="1"/>
  <c r="U46" i="10" s="1"/>
  <c r="K46" i="12"/>
  <c r="H42" i="10"/>
  <c r="P42" i="10" s="1"/>
  <c r="W42" i="10" s="1"/>
  <c r="K42" i="12"/>
  <c r="H16" i="10"/>
  <c r="M16" i="10" s="1"/>
  <c r="T16" i="10" s="1"/>
  <c r="T59" i="10"/>
  <c r="P161" i="6"/>
  <c r="B133" i="16" l="1" a="1"/>
  <c r="C76" i="13"/>
  <c r="D80" i="13"/>
  <c r="D77" i="13"/>
  <c r="C77" i="13"/>
  <c r="D76" i="13"/>
  <c r="C30" i="13"/>
  <c r="C31" i="13"/>
  <c r="AA61" i="10"/>
  <c r="AH61" i="10" s="1"/>
  <c r="AA51" i="10"/>
  <c r="AH51" i="10" s="1"/>
  <c r="AD45" i="10"/>
  <c r="AK45" i="10" s="1"/>
  <c r="AC21" i="10"/>
  <c r="AJ21" i="10" s="1"/>
  <c r="AA36" i="10"/>
  <c r="AH36" i="10" s="1"/>
  <c r="AC35" i="10"/>
  <c r="AJ35" i="10" s="1"/>
  <c r="AB31" i="10"/>
  <c r="AI31" i="10" s="1"/>
  <c r="AA56" i="10"/>
  <c r="AH56" i="10" s="1"/>
  <c r="AB22" i="10"/>
  <c r="AI22" i="10" s="1"/>
  <c r="AC15" i="10"/>
  <c r="AJ15" i="10" s="1"/>
  <c r="AA63" i="10"/>
  <c r="AH63" i="10" s="1"/>
  <c r="AB57" i="10"/>
  <c r="AI57" i="10" s="1"/>
  <c r="AA28" i="10"/>
  <c r="AH28" i="10" s="1"/>
  <c r="AB29" i="10"/>
  <c r="AI29" i="10" s="1"/>
  <c r="AA30" i="10"/>
  <c r="AH30" i="10" s="1"/>
  <c r="AA47" i="10"/>
  <c r="AH47" i="10" s="1"/>
  <c r="AA59" i="10"/>
  <c r="AH59" i="10" s="1"/>
  <c r="AB40" i="10"/>
  <c r="AI40" i="10" s="1"/>
  <c r="AC25" i="10"/>
  <c r="AJ25" i="10" s="1"/>
  <c r="AC48" i="10"/>
  <c r="AJ48" i="10" s="1"/>
  <c r="AC18" i="10"/>
  <c r="AJ18" i="10" s="1"/>
  <c r="AB32" i="10"/>
  <c r="AI32" i="10" s="1"/>
  <c r="AC23" i="10"/>
  <c r="AJ23" i="10" s="1"/>
  <c r="AB27" i="10"/>
  <c r="AI27" i="10" s="1"/>
  <c r="AD60" i="10"/>
  <c r="AK60" i="10" s="1"/>
  <c r="AC37" i="10"/>
  <c r="AJ37" i="10" s="1"/>
  <c r="AC58" i="10"/>
  <c r="AJ58" i="10" s="1"/>
  <c r="AC20" i="10"/>
  <c r="AJ20" i="10" s="1"/>
  <c r="AB14" i="10"/>
  <c r="AI14" i="10" s="1"/>
  <c r="AB46" i="10"/>
  <c r="AI46" i="10" s="1"/>
  <c r="AD39" i="10"/>
  <c r="AK39" i="10" s="1"/>
  <c r="AB50" i="10"/>
  <c r="AI50" i="10" s="1"/>
  <c r="AC62" i="10"/>
  <c r="AJ62" i="10" s="1"/>
  <c r="AA19" i="10"/>
  <c r="AH19" i="10" s="1"/>
  <c r="AD41" i="10"/>
  <c r="AK41" i="10" s="1"/>
  <c r="AD42" i="10"/>
  <c r="AK42" i="10" s="1"/>
  <c r="AA13" i="10"/>
  <c r="AH13" i="10" s="1"/>
  <c r="AD33" i="10"/>
  <c r="AK33" i="10" s="1"/>
  <c r="AA16" i="10"/>
  <c r="AH16" i="10" s="1"/>
  <c r="AC52" i="10"/>
  <c r="AJ52" i="10" s="1"/>
  <c r="AB34" i="10"/>
  <c r="AI34" i="10" s="1"/>
  <c r="AC17" i="10"/>
  <c r="AJ17" i="10" s="1"/>
  <c r="AA53" i="10"/>
  <c r="AH53" i="10" s="1"/>
  <c r="AC12" i="10"/>
  <c r="AJ12" i="10" s="1"/>
  <c r="AB24" i="10"/>
  <c r="AI24" i="10" s="1"/>
  <c r="AA43" i="10"/>
  <c r="AH43" i="10" s="1"/>
  <c r="AD55" i="10"/>
  <c r="AK55" i="10" s="1"/>
  <c r="AC54" i="10"/>
  <c r="AJ54" i="10" s="1"/>
  <c r="Z38" i="10"/>
  <c r="AG38" i="10" s="1"/>
  <c r="Z44" i="10"/>
  <c r="AG44" i="10" s="1"/>
  <c r="Z49" i="10"/>
  <c r="AG49" i="10" s="1"/>
  <c r="AA11" i="10"/>
  <c r="AH11" i="10" s="1"/>
  <c r="Z26" i="10"/>
  <c r="AG26" i="10" s="1"/>
  <c r="D31" i="13"/>
  <c r="D34" i="13"/>
  <c r="D30" i="13"/>
  <c r="D15" i="13"/>
  <c r="C13" i="13"/>
  <c r="D13" i="13"/>
  <c r="C15" i="13"/>
  <c r="C25" i="13"/>
  <c r="D25" i="13"/>
  <c r="D22" i="13"/>
  <c r="C22" i="13"/>
  <c r="I126" i="13"/>
  <c r="H101" i="13"/>
  <c r="E101" i="13"/>
  <c r="G97" i="13"/>
  <c r="F97" i="13"/>
  <c r="H96" i="13"/>
  <c r="I101" i="13"/>
  <c r="H126" i="13"/>
  <c r="G101" i="13"/>
  <c r="I121" i="13"/>
  <c r="F96" i="13"/>
  <c r="G126" i="13"/>
  <c r="F101" i="13"/>
  <c r="E97" i="13"/>
  <c r="F121" i="13"/>
  <c r="F126" i="13"/>
  <c r="I96" i="13"/>
  <c r="E126" i="13"/>
  <c r="I97" i="13"/>
  <c r="G122" i="13"/>
  <c r="H121" i="13"/>
  <c r="E96" i="13"/>
  <c r="I122" i="13"/>
  <c r="H97" i="13"/>
  <c r="E122" i="13"/>
  <c r="G121" i="13"/>
  <c r="H122" i="13"/>
  <c r="F122" i="13"/>
  <c r="G96" i="13"/>
  <c r="E121" i="13"/>
  <c r="G15" i="13"/>
  <c r="F15" i="13"/>
  <c r="E15" i="13"/>
  <c r="G13" i="13"/>
  <c r="E13" i="13"/>
  <c r="H15" i="13"/>
  <c r="I13" i="13"/>
  <c r="F13" i="13"/>
  <c r="H13" i="13"/>
  <c r="I15" i="13"/>
  <c r="R14" i="1" a="1"/>
  <c r="R14" i="1" s="1"/>
  <c r="L63" i="12"/>
  <c r="K63" i="12"/>
  <c r="L54" i="12"/>
  <c r="K54" i="12"/>
  <c r="L62" i="12"/>
  <c r="K62" i="12"/>
  <c r="L51" i="12"/>
  <c r="K51" i="12"/>
  <c r="K53" i="12"/>
  <c r="L53" i="12"/>
  <c r="K50" i="12"/>
  <c r="L50" i="12"/>
  <c r="K57" i="12"/>
  <c r="L57" i="12"/>
  <c r="L52" i="12"/>
  <c r="K52" i="12"/>
  <c r="K55" i="12"/>
  <c r="L55" i="12"/>
  <c r="K56" i="12"/>
  <c r="L56" i="12"/>
  <c r="K61" i="12"/>
  <c r="L61" i="12"/>
  <c r="K60" i="12"/>
  <c r="L60" i="12"/>
  <c r="L59" i="12"/>
  <c r="K59" i="12"/>
  <c r="L58" i="12"/>
  <c r="K58" i="12"/>
  <c r="K16" i="12"/>
  <c r="L16" i="12"/>
  <c r="L24" i="12"/>
  <c r="L22" i="12"/>
  <c r="L30" i="12"/>
  <c r="L37" i="12"/>
  <c r="L12" i="12"/>
  <c r="K12" i="12"/>
  <c r="L26" i="12"/>
  <c r="L47" i="12"/>
  <c r="K15" i="12"/>
  <c r="L15" i="12"/>
  <c r="L27" i="12"/>
  <c r="L39" i="12"/>
  <c r="L45" i="12"/>
  <c r="L11" i="12"/>
  <c r="K11" i="12"/>
  <c r="K18" i="12"/>
  <c r="L18" i="12"/>
  <c r="L21" i="12"/>
  <c r="K14" i="12"/>
  <c r="L14" i="12"/>
  <c r="L46" i="12"/>
  <c r="L29" i="12"/>
  <c r="L41" i="12"/>
  <c r="L40" i="12"/>
  <c r="L49" i="12"/>
  <c r="K17" i="12"/>
  <c r="L17" i="12"/>
  <c r="L33" i="12"/>
  <c r="L44" i="12"/>
  <c r="L35" i="12"/>
  <c r="L23" i="12"/>
  <c r="L25" i="12"/>
  <c r="L28" i="12"/>
  <c r="L20" i="12"/>
  <c r="L43" i="12"/>
  <c r="L34" i="12"/>
  <c r="L19" i="12"/>
  <c r="K13" i="12"/>
  <c r="L13" i="12"/>
  <c r="L36" i="12"/>
  <c r="L48" i="12"/>
  <c r="L31" i="12"/>
  <c r="L32" i="12"/>
  <c r="L42" i="12"/>
  <c r="L38" i="12"/>
  <c r="B170" i="16" a="1"/>
  <c r="C21" i="7"/>
  <c r="D21" i="7"/>
  <c r="C15" i="7"/>
  <c r="E21" i="7"/>
  <c r="D15" i="7"/>
  <c r="F21" i="7"/>
  <c r="E15" i="7"/>
  <c r="G21" i="7"/>
  <c r="F15" i="7"/>
  <c r="C22" i="7"/>
  <c r="G15" i="7"/>
  <c r="D22" i="7"/>
  <c r="C16" i="7"/>
  <c r="E22" i="7"/>
  <c r="D16" i="7"/>
  <c r="F22" i="7"/>
  <c r="E16" i="7"/>
  <c r="G22" i="7"/>
  <c r="F16" i="7"/>
  <c r="G16" i="7"/>
  <c r="P25" i="10"/>
  <c r="W25" i="10" s="1"/>
  <c r="M15" i="10"/>
  <c r="T15" i="10" s="1"/>
  <c r="U63" i="10"/>
  <c r="L29" i="10"/>
  <c r="S29" i="10" s="1"/>
  <c r="M44" i="10"/>
  <c r="T44" i="10" s="1"/>
  <c r="S62" i="10"/>
  <c r="BJ61" i="10"/>
  <c r="W63" i="10"/>
  <c r="W58" i="10"/>
  <c r="L27" i="10"/>
  <c r="S27" i="10" s="1"/>
  <c r="S63" i="10"/>
  <c r="V63" i="10"/>
  <c r="L37" i="10"/>
  <c r="S37" i="10" s="1"/>
  <c r="L19" i="10"/>
  <c r="S19" i="10" s="1"/>
  <c r="S61" i="10"/>
  <c r="M41" i="10"/>
  <c r="T41" i="10" s="1"/>
  <c r="L12" i="10"/>
  <c r="S12" i="10" s="1"/>
  <c r="N48" i="10"/>
  <c r="O27" i="10"/>
  <c r="P48" i="10"/>
  <c r="U55" i="10"/>
  <c r="P29" i="10"/>
  <c r="W29" i="10" s="1"/>
  <c r="W59" i="10"/>
  <c r="U58" i="10"/>
  <c r="O41" i="10"/>
  <c r="V41" i="10" s="1"/>
  <c r="O29" i="10"/>
  <c r="V29" i="10" s="1"/>
  <c r="P37" i="10"/>
  <c r="W37" i="10" s="1"/>
  <c r="L52" i="10"/>
  <c r="S52" i="10" s="1"/>
  <c r="O31" i="10"/>
  <c r="V31" i="10" s="1"/>
  <c r="N12" i="10"/>
  <c r="U12" i="10" s="1"/>
  <c r="L39" i="10"/>
  <c r="S39" i="10" s="1"/>
  <c r="N39" i="10"/>
  <c r="U39" i="10" s="1"/>
  <c r="O16" i="10"/>
  <c r="U59" i="10"/>
  <c r="N19" i="10"/>
  <c r="U19" i="10" s="1"/>
  <c r="M12" i="10"/>
  <c r="T12" i="10" s="1"/>
  <c r="O32" i="10"/>
  <c r="M24" i="10"/>
  <c r="L32" i="10"/>
  <c r="S32" i="10" s="1"/>
  <c r="M29" i="10"/>
  <c r="L16" i="10"/>
  <c r="S16" i="10" s="1"/>
  <c r="O40" i="10"/>
  <c r="V40" i="10" s="1"/>
  <c r="S54" i="10"/>
  <c r="BL20" i="10"/>
  <c r="BK31" i="10"/>
  <c r="BJ19" i="10"/>
  <c r="BI49" i="10"/>
  <c r="BL37" i="10"/>
  <c r="BM55" i="10"/>
  <c r="BK27" i="10"/>
  <c r="BJ56" i="10"/>
  <c r="BL54" i="10"/>
  <c r="BM42" i="10"/>
  <c r="BJ13" i="10"/>
  <c r="BL35" i="10"/>
  <c r="BM45" i="10"/>
  <c r="BL52" i="10"/>
  <c r="BK34" i="10"/>
  <c r="BI44" i="10"/>
  <c r="BJ28" i="10"/>
  <c r="BI26" i="10"/>
  <c r="BK57" i="10"/>
  <c r="BJ51" i="10"/>
  <c r="BI38" i="10"/>
  <c r="BK32" i="10"/>
  <c r="BJ16" i="10"/>
  <c r="BM33" i="10"/>
  <c r="BL21" i="10"/>
  <c r="BK14" i="10"/>
  <c r="BL25" i="10"/>
  <c r="BK50" i="10"/>
  <c r="BK24" i="10"/>
  <c r="BL15" i="10"/>
  <c r="BM39" i="10"/>
  <c r="BL48" i="10"/>
  <c r="BK22" i="10"/>
  <c r="BK29" i="10"/>
  <c r="BL62" i="10"/>
  <c r="BL23" i="10"/>
  <c r="BM60" i="10"/>
  <c r="BJ36" i="10"/>
  <c r="BJ30" i="10"/>
  <c r="BJ59" i="10"/>
  <c r="BL58" i="10"/>
  <c r="BK40" i="10"/>
  <c r="BL17" i="10"/>
  <c r="BK46" i="10"/>
  <c r="BM41" i="10"/>
  <c r="BL12" i="10"/>
  <c r="BJ11" i="10"/>
  <c r="BL18" i="10"/>
  <c r="BJ43" i="10"/>
  <c r="BJ53" i="10"/>
  <c r="BJ47" i="10"/>
  <c r="W57" i="10"/>
  <c r="O42" i="10"/>
  <c r="V42" i="10" s="1"/>
  <c r="O11" i="10"/>
  <c r="V11" i="10" s="1"/>
  <c r="P28" i="10"/>
  <c r="W28" i="10" s="1"/>
  <c r="M39" i="10"/>
  <c r="T39" i="10" s="1"/>
  <c r="S59" i="10"/>
  <c r="M20" i="10"/>
  <c r="T20" i="10" s="1"/>
  <c r="L23" i="10"/>
  <c r="S23" i="10" s="1"/>
  <c r="T58" i="10"/>
  <c r="N17" i="10"/>
  <c r="U17" i="10" s="1"/>
  <c r="N47" i="10"/>
  <c r="U47" i="10" s="1"/>
  <c r="V53" i="10"/>
  <c r="L24" i="10"/>
  <c r="S24" i="10" s="1"/>
  <c r="O33" i="10"/>
  <c r="V33" i="10" s="1"/>
  <c r="O39" i="10"/>
  <c r="V39" i="10" s="1"/>
  <c r="P31" i="10"/>
  <c r="W31" i="10" s="1"/>
  <c r="N36" i="10"/>
  <c r="U36" i="10" s="1"/>
  <c r="P44" i="10"/>
  <c r="W44" i="10" s="1"/>
  <c r="M49" i="10"/>
  <c r="T49" i="10" s="1"/>
  <c r="O34" i="10"/>
  <c r="V34" i="10" s="1"/>
  <c r="T57" i="10"/>
  <c r="P47" i="10"/>
  <c r="W47" i="10" s="1"/>
  <c r="O46" i="10"/>
  <c r="V46" i="10" s="1"/>
  <c r="M25" i="10"/>
  <c r="T25" i="10" s="1"/>
  <c r="M38" i="10"/>
  <c r="T38" i="10" s="1"/>
  <c r="L25" i="10"/>
  <c r="S25" i="10" s="1"/>
  <c r="L22" i="10"/>
  <c r="S22" i="10" s="1"/>
  <c r="L15" i="10"/>
  <c r="S15" i="10" s="1"/>
  <c r="M22" i="10"/>
  <c r="T22" i="10" s="1"/>
  <c r="L51" i="10"/>
  <c r="S51" i="10" s="1"/>
  <c r="P43" i="10"/>
  <c r="W43" i="10" s="1"/>
  <c r="N43" i="10"/>
  <c r="U43" i="10" s="1"/>
  <c r="V57" i="10"/>
  <c r="O45" i="10"/>
  <c r="V45" i="10" s="1"/>
  <c r="M40" i="10"/>
  <c r="T40" i="10" s="1"/>
  <c r="N23" i="10"/>
  <c r="U23" i="10" s="1"/>
  <c r="M48" i="10"/>
  <c r="T48" i="10" s="1"/>
  <c r="P34" i="10"/>
  <c r="W34" i="10" s="1"/>
  <c r="V60" i="10"/>
  <c r="U54" i="10"/>
  <c r="N42" i="10"/>
  <c r="U42" i="10" s="1"/>
  <c r="P14" i="10"/>
  <c r="W14" i="10" s="1"/>
  <c r="L48" i="10"/>
  <c r="S48" i="10" s="1"/>
  <c r="O44" i="10"/>
  <c r="V44" i="10" s="1"/>
  <c r="T54" i="10"/>
  <c r="U53" i="10"/>
  <c r="M23" i="10"/>
  <c r="T23" i="10" s="1"/>
  <c r="N26" i="10"/>
  <c r="U26" i="10" s="1"/>
  <c r="N11" i="10"/>
  <c r="U11" i="10" s="1"/>
  <c r="L20" i="10"/>
  <c r="S20" i="10" s="1"/>
  <c r="N35" i="10"/>
  <c r="U35" i="10" s="1"/>
  <c r="P19" i="10"/>
  <c r="W19" i="10" s="1"/>
  <c r="M52" i="10"/>
  <c r="T52" i="10" s="1"/>
  <c r="V56" i="10"/>
  <c r="O26" i="10"/>
  <c r="V26" i="10" s="1"/>
  <c r="P17" i="10"/>
  <c r="W17" i="10" s="1"/>
  <c r="S60" i="10"/>
  <c r="L47" i="10"/>
  <c r="S47" i="10" s="1"/>
  <c r="P51" i="10"/>
  <c r="W51" i="10" s="1"/>
  <c r="P30" i="10"/>
  <c r="W30" i="10" s="1"/>
  <c r="P49" i="10"/>
  <c r="W49" i="10" s="1"/>
  <c r="M42" i="10"/>
  <c r="T42" i="10" s="1"/>
  <c r="N18" i="10"/>
  <c r="U18" i="10" s="1"/>
  <c r="L41" i="10"/>
  <c r="S41" i="10" s="1"/>
  <c r="N28" i="10"/>
  <c r="U28" i="10" s="1"/>
  <c r="N52" i="10"/>
  <c r="U52" i="10" s="1"/>
  <c r="O14" i="10"/>
  <c r="V14" i="10" s="1"/>
  <c r="U56" i="10"/>
  <c r="O36" i="10"/>
  <c r="V36" i="10" s="1"/>
  <c r="L17" i="10"/>
  <c r="S17" i="10" s="1"/>
  <c r="M35" i="10"/>
  <c r="T35" i="10" s="1"/>
  <c r="O24" i="10"/>
  <c r="V24" i="10" s="1"/>
  <c r="M27" i="10"/>
  <c r="T27" i="10" s="1"/>
  <c r="L35" i="10"/>
  <c r="S35" i="10" s="1"/>
  <c r="L40" i="10"/>
  <c r="S40" i="10" s="1"/>
  <c r="O38" i="10"/>
  <c r="V38" i="10" s="1"/>
  <c r="CI61" i="10"/>
  <c r="P35" i="10"/>
  <c r="W35" i="10" s="1"/>
  <c r="M17" i="10"/>
  <c r="T17" i="10" s="1"/>
  <c r="L46" i="10"/>
  <c r="S46" i="10" s="1"/>
  <c r="P18" i="10"/>
  <c r="W18" i="10" s="1"/>
  <c r="N33" i="10"/>
  <c r="U33" i="10" s="1"/>
  <c r="O30" i="10"/>
  <c r="V30" i="10" s="1"/>
  <c r="P46" i="10"/>
  <c r="W46" i="10" s="1"/>
  <c r="S58" i="10"/>
  <c r="M45" i="10"/>
  <c r="T45" i="10" s="1"/>
  <c r="L31" i="10"/>
  <c r="S31" i="10" s="1"/>
  <c r="P36" i="10"/>
  <c r="W36" i="10" s="1"/>
  <c r="V55" i="10"/>
  <c r="N44" i="10"/>
  <c r="U44" i="10" s="1"/>
  <c r="U62" i="10"/>
  <c r="T62" i="10"/>
  <c r="O49" i="10"/>
  <c r="V49" i="10" s="1"/>
  <c r="O13" i="10"/>
  <c r="V13" i="10" s="1"/>
  <c r="P20" i="10"/>
  <c r="W20" i="10" s="1"/>
  <c r="P13" i="10"/>
  <c r="W13" i="10" s="1"/>
  <c r="P27" i="10"/>
  <c r="W27" i="10" s="1"/>
  <c r="M34" i="10"/>
  <c r="T34" i="10" s="1"/>
  <c r="G41" i="7"/>
  <c r="D54" i="7"/>
  <c r="C53" i="7"/>
  <c r="E41" i="7"/>
  <c r="C41" i="7"/>
  <c r="E54" i="7"/>
  <c r="C54" i="7"/>
  <c r="D41" i="7"/>
  <c r="D53" i="7"/>
  <c r="F41" i="7"/>
  <c r="F54" i="7"/>
  <c r="G42" i="7"/>
  <c r="C42" i="7"/>
  <c r="G54" i="7"/>
  <c r="D42" i="7"/>
  <c r="E53" i="7"/>
  <c r="F42" i="7"/>
  <c r="F53" i="7"/>
  <c r="E42" i="7"/>
  <c r="G53" i="7"/>
  <c r="O51" i="10"/>
  <c r="V51" i="10" s="1"/>
  <c r="N20" i="10"/>
  <c r="U20" i="10" s="1"/>
  <c r="L33" i="10"/>
  <c r="S33" i="10" s="1"/>
  <c r="W56" i="10"/>
  <c r="N41" i="10"/>
  <c r="U41" i="10" s="1"/>
  <c r="P21" i="10"/>
  <c r="W21" i="10" s="1"/>
  <c r="P22" i="10"/>
  <c r="W22" i="10" s="1"/>
  <c r="P15" i="10"/>
  <c r="W15" i="10" s="1"/>
  <c r="N25" i="10"/>
  <c r="U25" i="10" s="1"/>
  <c r="L13" i="10"/>
  <c r="S13" i="10" s="1"/>
  <c r="N51" i="10"/>
  <c r="U51" i="10" s="1"/>
  <c r="L42" i="10"/>
  <c r="S42" i="10" s="1"/>
  <c r="N49" i="10"/>
  <c r="U49" i="10" s="1"/>
  <c r="O50" i="10"/>
  <c r="V50" i="10" s="1"/>
  <c r="L50" i="10"/>
  <c r="S50" i="10" s="1"/>
  <c r="O22" i="10"/>
  <c r="V22" i="10" s="1"/>
  <c r="O47" i="10"/>
  <c r="V47" i="10" s="1"/>
  <c r="N45" i="10"/>
  <c r="U45" i="10" s="1"/>
  <c r="M46" i="10"/>
  <c r="T46" i="10" s="1"/>
  <c r="N38" i="10"/>
  <c r="U38" i="10" s="1"/>
  <c r="G42" i="4"/>
  <c r="H42" i="4"/>
  <c r="H15" i="4"/>
  <c r="G16" i="4"/>
  <c r="H16" i="4"/>
  <c r="G15" i="4"/>
  <c r="H41" i="4"/>
  <c r="G41" i="4"/>
  <c r="L34" i="10"/>
  <c r="S34" i="10" s="1"/>
  <c r="V59" i="10"/>
  <c r="S57" i="10"/>
  <c r="T60" i="10"/>
  <c r="M21" i="10"/>
  <c r="T21" i="10" s="1"/>
  <c r="U60" i="10"/>
  <c r="M14" i="10"/>
  <c r="T14" i="10" s="1"/>
  <c r="P32" i="10"/>
  <c r="W32" i="10" s="1"/>
  <c r="L28" i="10"/>
  <c r="S28" i="10" s="1"/>
  <c r="S53" i="10"/>
  <c r="L18" i="10"/>
  <c r="S18" i="10" s="1"/>
  <c r="P50" i="10"/>
  <c r="W50" i="10" s="1"/>
  <c r="M37" i="10"/>
  <c r="T37" i="10" s="1"/>
  <c r="L43" i="10"/>
  <c r="S43" i="10" s="1"/>
  <c r="M32" i="10"/>
  <c r="T32" i="10" s="1"/>
  <c r="N37" i="10"/>
  <c r="U37" i="10" s="1"/>
  <c r="O43" i="10"/>
  <c r="V43" i="10" s="1"/>
  <c r="P52" i="10"/>
  <c r="W52" i="10" s="1"/>
  <c r="S56" i="10"/>
  <c r="L45" i="10"/>
  <c r="S45" i="10" s="1"/>
  <c r="P16" i="10"/>
  <c r="W16" i="10" s="1"/>
  <c r="P11" i="10"/>
  <c r="W11" i="10" s="1"/>
  <c r="N16" i="10"/>
  <c r="U16" i="10" s="1"/>
  <c r="M33" i="10"/>
  <c r="T33" i="10" s="1"/>
  <c r="O19" i="10"/>
  <c r="V19" i="10" s="1"/>
  <c r="P38" i="10"/>
  <c r="W38" i="10" s="1"/>
  <c r="P24" i="10"/>
  <c r="W24" i="10" s="1"/>
  <c r="N30" i="10"/>
  <c r="U30" i="10" s="1"/>
  <c r="S55" i="10"/>
  <c r="L21" i="10"/>
  <c r="S21" i="10" s="1"/>
  <c r="P12" i="10"/>
  <c r="W12" i="10" s="1"/>
  <c r="M31" i="10"/>
  <c r="T31" i="10" s="1"/>
  <c r="N21" i="10"/>
  <c r="U21" i="10" s="1"/>
  <c r="T55" i="10"/>
  <c r="N15" i="10"/>
  <c r="U15" i="10" s="1"/>
  <c r="N13" i="10"/>
  <c r="U13" i="10" s="1"/>
  <c r="L36" i="10"/>
  <c r="S36" i="10" s="1"/>
  <c r="L30" i="10"/>
  <c r="S30" i="10" s="1"/>
  <c r="L14" i="10"/>
  <c r="S14" i="10" s="1"/>
  <c r="P23" i="10"/>
  <c r="W23" i="10" s="1"/>
  <c r="U61" i="10"/>
  <c r="BJ63" i="10"/>
  <c r="O28" i="10"/>
  <c r="V28" i="10" s="1"/>
  <c r="L11" i="10"/>
  <c r="S11" i="10" s="1"/>
  <c r="M26" i="10"/>
  <c r="T26" i="10" s="1"/>
  <c r="M50" i="10"/>
  <c r="T50" i="10" s="1"/>
  <c r="P40" i="10"/>
  <c r="W40" i="10" s="1"/>
  <c r="M18" i="10"/>
  <c r="T18" i="10" s="1"/>
  <c r="P26" i="10"/>
  <c r="W26" i="10" s="1"/>
  <c r="W53" i="10"/>
  <c r="W54" i="10"/>
  <c r="R161" i="6"/>
  <c r="W61" i="10"/>
  <c r="O54" i="12" l="1"/>
  <c r="D75" i="13" s="1"/>
  <c r="B133" i="16"/>
  <c r="E259" i="16" s="1" a="1"/>
  <c r="E259" i="16" s="1"/>
  <c r="BQ61" i="10"/>
  <c r="BX61" i="10" s="1"/>
  <c r="G87" i="16"/>
  <c r="G121" i="16" s="1"/>
  <c r="G88" i="16"/>
  <c r="G122" i="16" s="1"/>
  <c r="AB60" i="10"/>
  <c r="AI60" i="10" s="1"/>
  <c r="Z14" i="10"/>
  <c r="AG14" i="10" s="1"/>
  <c r="AB16" i="10"/>
  <c r="AI16" i="10" s="1"/>
  <c r="AD27" i="10"/>
  <c r="AK27" i="10" s="1"/>
  <c r="AA27" i="10"/>
  <c r="AH27" i="10" s="1"/>
  <c r="AD49" i="10"/>
  <c r="AK49" i="10" s="1"/>
  <c r="AA48" i="10"/>
  <c r="AH48" i="10" s="1"/>
  <c r="AA38" i="10"/>
  <c r="AH38" i="10" s="1"/>
  <c r="AD57" i="10"/>
  <c r="AK57" i="10" s="1"/>
  <c r="AB19" i="10"/>
  <c r="AI19" i="10" s="1"/>
  <c r="AD59" i="10"/>
  <c r="AK59" i="10" s="1"/>
  <c r="AD61" i="10"/>
  <c r="AK61" i="10" s="1"/>
  <c r="AD40" i="10"/>
  <c r="AK40" i="10" s="1"/>
  <c r="Z18" i="10"/>
  <c r="AG18" i="10" s="1"/>
  <c r="AA55" i="10"/>
  <c r="AH55" i="10" s="1"/>
  <c r="AC50" i="10"/>
  <c r="AJ50" i="10" s="1"/>
  <c r="AB20" i="10"/>
  <c r="AI20" i="10" s="1"/>
  <c r="AD13" i="10"/>
  <c r="AK13" i="10" s="1"/>
  <c r="AD46" i="10"/>
  <c r="AK46" i="10" s="1"/>
  <c r="AC24" i="10"/>
  <c r="AJ24" i="10" s="1"/>
  <c r="AD30" i="10"/>
  <c r="AK30" i="10" s="1"/>
  <c r="AB26" i="10"/>
  <c r="AI26" i="10" s="1"/>
  <c r="AB23" i="10"/>
  <c r="AI23" i="10" s="1"/>
  <c r="AA25" i="10"/>
  <c r="AH25" i="10" s="1"/>
  <c r="AC53" i="10"/>
  <c r="AJ53" i="10" s="1"/>
  <c r="AB59" i="10"/>
  <c r="AI59" i="10" s="1"/>
  <c r="AD29" i="10"/>
  <c r="AK29" i="10" s="1"/>
  <c r="AB61" i="10"/>
  <c r="AI61" i="10" s="1"/>
  <c r="AB15" i="10"/>
  <c r="AI15" i="10" s="1"/>
  <c r="AA50" i="10"/>
  <c r="AH50" i="10" s="1"/>
  <c r="AA26" i="10"/>
  <c r="AH26" i="10" s="1"/>
  <c r="AB21" i="10"/>
  <c r="AI21" i="10" s="1"/>
  <c r="AB49" i="10"/>
  <c r="AI49" i="10" s="1"/>
  <c r="AC51" i="10"/>
  <c r="AJ51" i="10" s="1"/>
  <c r="AC30" i="10"/>
  <c r="AJ30" i="10" s="1"/>
  <c r="AA35" i="10"/>
  <c r="AH35" i="10" s="1"/>
  <c r="AD51" i="10"/>
  <c r="AK51" i="10" s="1"/>
  <c r="AA23" i="10"/>
  <c r="AH23" i="10" s="1"/>
  <c r="AA40" i="10"/>
  <c r="AH40" i="10" s="1"/>
  <c r="AC46" i="10"/>
  <c r="AJ46" i="10" s="1"/>
  <c r="AB47" i="10"/>
  <c r="AI47" i="10" s="1"/>
  <c r="AB55" i="10"/>
  <c r="AI55" i="10" s="1"/>
  <c r="AD58" i="10"/>
  <c r="AK58" i="10" s="1"/>
  <c r="AD32" i="10"/>
  <c r="AK32" i="10" s="1"/>
  <c r="AC13" i="10"/>
  <c r="AJ13" i="10" s="1"/>
  <c r="AB33" i="10"/>
  <c r="AI33" i="10" s="1"/>
  <c r="AB53" i="10"/>
  <c r="AI53" i="10" s="1"/>
  <c r="AC45" i="10"/>
  <c r="AJ45" i="10" s="1"/>
  <c r="AD47" i="10"/>
  <c r="AK47" i="10" s="1"/>
  <c r="AB17" i="10"/>
  <c r="AI17" i="10" s="1"/>
  <c r="AB39" i="10"/>
  <c r="AI39" i="10" s="1"/>
  <c r="AD63" i="10"/>
  <c r="AK63" i="10" s="1"/>
  <c r="AA14" i="10"/>
  <c r="AH14" i="10" s="1"/>
  <c r="AB51" i="10"/>
  <c r="AI51" i="10" s="1"/>
  <c r="AC49" i="10"/>
  <c r="AJ49" i="10" s="1"/>
  <c r="AC36" i="10"/>
  <c r="AJ36" i="10" s="1"/>
  <c r="AA54" i="10"/>
  <c r="AH54" i="10" s="1"/>
  <c r="AC57" i="10"/>
  <c r="AJ57" i="10" s="1"/>
  <c r="AA57" i="10"/>
  <c r="AH57" i="10" s="1"/>
  <c r="AA58" i="10"/>
  <c r="AH58" i="10" s="1"/>
  <c r="AA62" i="10"/>
  <c r="AH62" i="10" s="1"/>
  <c r="AB56" i="10"/>
  <c r="AI56" i="10" s="1"/>
  <c r="AD17" i="10"/>
  <c r="AK17" i="10" s="1"/>
  <c r="AC44" i="10"/>
  <c r="AJ44" i="10" s="1"/>
  <c r="AB43" i="10"/>
  <c r="AI43" i="10" s="1"/>
  <c r="AC34" i="10"/>
  <c r="AJ34" i="10" s="1"/>
  <c r="AC40" i="10"/>
  <c r="AJ40" i="10" s="1"/>
  <c r="AB12" i="10"/>
  <c r="AI12" i="10" s="1"/>
  <c r="AA21" i="10"/>
  <c r="AH21" i="10" s="1"/>
  <c r="AB25" i="10"/>
  <c r="AI25" i="10" s="1"/>
  <c r="AB62" i="10"/>
  <c r="AI62" i="10" s="1"/>
  <c r="AA17" i="10"/>
  <c r="AH17" i="10" s="1"/>
  <c r="AC14" i="10"/>
  <c r="AJ14" i="10" s="1"/>
  <c r="AC26" i="10"/>
  <c r="AJ26" i="10" s="1"/>
  <c r="AD43" i="10"/>
  <c r="AK43" i="10" s="1"/>
  <c r="AA49" i="10"/>
  <c r="AH49" i="10" s="1"/>
  <c r="AA20" i="10"/>
  <c r="AH20" i="10" s="1"/>
  <c r="Z16" i="10"/>
  <c r="AG16" i="10" s="1"/>
  <c r="AC31" i="10"/>
  <c r="AJ31" i="10" s="1"/>
  <c r="Z12" i="10"/>
  <c r="AG12" i="10" s="1"/>
  <c r="AA44" i="10"/>
  <c r="AH44" i="10" s="1"/>
  <c r="AB30" i="10"/>
  <c r="AI30" i="10" s="1"/>
  <c r="AB37" i="10"/>
  <c r="AI37" i="10" s="1"/>
  <c r="AA60" i="10"/>
  <c r="AH60" i="10" s="1"/>
  <c r="AB38" i="10"/>
  <c r="AI38" i="10" s="1"/>
  <c r="AD15" i="10"/>
  <c r="AK15" i="10" s="1"/>
  <c r="AB44" i="10"/>
  <c r="AI44" i="10" s="1"/>
  <c r="AD35" i="10"/>
  <c r="AK35" i="10" s="1"/>
  <c r="AB52" i="10"/>
  <c r="AI52" i="10" s="1"/>
  <c r="AC56" i="10"/>
  <c r="AJ56" i="10" s="1"/>
  <c r="AD44" i="10"/>
  <c r="AK44" i="10" s="1"/>
  <c r="AA41" i="10"/>
  <c r="AH41" i="10" s="1"/>
  <c r="AA31" i="10"/>
  <c r="AH31" i="10" s="1"/>
  <c r="AD54" i="10"/>
  <c r="AK54" i="10" s="1"/>
  <c r="AD24" i="10"/>
  <c r="AK24" i="10" s="1"/>
  <c r="AA32" i="10"/>
  <c r="AH32" i="10" s="1"/>
  <c r="AA46" i="10"/>
  <c r="AH46" i="10" s="1"/>
  <c r="AC55" i="10"/>
  <c r="AJ55" i="10" s="1"/>
  <c r="AB28" i="10"/>
  <c r="AI28" i="10" s="1"/>
  <c r="AA52" i="10"/>
  <c r="AH52" i="10" s="1"/>
  <c r="AB42" i="10"/>
  <c r="AI42" i="10" s="1"/>
  <c r="AA22" i="10"/>
  <c r="AH22" i="10" s="1"/>
  <c r="AB36" i="10"/>
  <c r="AI36" i="10" s="1"/>
  <c r="AA39" i="10"/>
  <c r="AH39" i="10" s="1"/>
  <c r="AD37" i="10"/>
  <c r="AK37" i="10" s="1"/>
  <c r="AB63" i="10"/>
  <c r="AI63" i="10" s="1"/>
  <c r="AD23" i="10"/>
  <c r="AK23" i="10" s="1"/>
  <c r="AC59" i="10"/>
  <c r="AJ59" i="10" s="1"/>
  <c r="AB45" i="10"/>
  <c r="AI45" i="10" s="1"/>
  <c r="AD21" i="10"/>
  <c r="AK21" i="10" s="1"/>
  <c r="AD36" i="10"/>
  <c r="AK36" i="10" s="1"/>
  <c r="AC38" i="10"/>
  <c r="AJ38" i="10" s="1"/>
  <c r="AD19" i="10"/>
  <c r="AK19" i="10" s="1"/>
  <c r="AB54" i="10"/>
  <c r="AI54" i="10" s="1"/>
  <c r="AD31" i="10"/>
  <c r="AK31" i="10" s="1"/>
  <c r="AD28" i="10"/>
  <c r="AK28" i="10" s="1"/>
  <c r="AC29" i="10"/>
  <c r="AJ29" i="10" s="1"/>
  <c r="AA15" i="10"/>
  <c r="AH15" i="10" s="1"/>
  <c r="AD52" i="10"/>
  <c r="AK52" i="10" s="1"/>
  <c r="AD53" i="10"/>
  <c r="AK53" i="10" s="1"/>
  <c r="AD26" i="10"/>
  <c r="AK26" i="10" s="1"/>
  <c r="AC19" i="10"/>
  <c r="AJ19" i="10" s="1"/>
  <c r="AC47" i="10"/>
  <c r="AJ47" i="10" s="1"/>
  <c r="AB18" i="10"/>
  <c r="AI18" i="10" s="1"/>
  <c r="AB35" i="10"/>
  <c r="AI35" i="10" s="1"/>
  <c r="AC60" i="10"/>
  <c r="AJ60" i="10" s="1"/>
  <c r="Z22" i="10"/>
  <c r="AG22" i="10" s="1"/>
  <c r="AC39" i="10"/>
  <c r="AJ39" i="10" s="1"/>
  <c r="AC41" i="10"/>
  <c r="AJ41" i="10" s="1"/>
  <c r="AD25" i="10"/>
  <c r="AK25" i="10" s="1"/>
  <c r="AC28" i="10"/>
  <c r="AJ28" i="10" s="1"/>
  <c r="AC43" i="10"/>
  <c r="AJ43" i="10" s="1"/>
  <c r="AD38" i="10"/>
  <c r="AK38" i="10" s="1"/>
  <c r="AA37" i="10"/>
  <c r="AH37" i="10" s="1"/>
  <c r="AB41" i="10"/>
  <c r="AI41" i="10" s="1"/>
  <c r="AA18" i="10"/>
  <c r="AH18" i="10" s="1"/>
  <c r="AB13" i="10"/>
  <c r="AI13" i="10" s="1"/>
  <c r="AA33" i="10"/>
  <c r="AH33" i="10" s="1"/>
  <c r="AD50" i="10"/>
  <c r="AK50" i="10" s="1"/>
  <c r="AC22" i="10"/>
  <c r="AJ22" i="10" s="1"/>
  <c r="AD56" i="10"/>
  <c r="AK56" i="10" s="1"/>
  <c r="AA34" i="10"/>
  <c r="AH34" i="10" s="1"/>
  <c r="AA45" i="10"/>
  <c r="AH45" i="10" s="1"/>
  <c r="AA42" i="10"/>
  <c r="AH42" i="10" s="1"/>
  <c r="Z20" i="10"/>
  <c r="AG20" i="10" s="1"/>
  <c r="AD34" i="10"/>
  <c r="AK34" i="10" s="1"/>
  <c r="AC33" i="10"/>
  <c r="AJ33" i="10" s="1"/>
  <c r="AC42" i="10"/>
  <c r="AJ42" i="10" s="1"/>
  <c r="AA12" i="10"/>
  <c r="AH12" i="10" s="1"/>
  <c r="AB58" i="10"/>
  <c r="AI58" i="10" s="1"/>
  <c r="AC63" i="10"/>
  <c r="AJ63" i="10" s="1"/>
  <c r="AD16" i="10"/>
  <c r="AK16" i="10" s="1"/>
  <c r="X28" i="10"/>
  <c r="Z28" i="10"/>
  <c r="AG28" i="10" s="1"/>
  <c r="X20" i="10"/>
  <c r="AD20" i="10"/>
  <c r="AK20" i="10" s="1"/>
  <c r="BL16" i="10"/>
  <c r="V16" i="10"/>
  <c r="Z53" i="10"/>
  <c r="AG53" i="10" s="1"/>
  <c r="X53" i="10"/>
  <c r="Z11" i="10"/>
  <c r="AG11" i="10" s="1"/>
  <c r="X11" i="10"/>
  <c r="S161" i="10"/>
  <c r="Z45" i="10"/>
  <c r="AG45" i="10" s="1"/>
  <c r="X45" i="10"/>
  <c r="X42" i="10"/>
  <c r="Z42" i="10"/>
  <c r="AG42" i="10" s="1"/>
  <c r="Z17" i="10"/>
  <c r="AG17" i="10" s="1"/>
  <c r="X17" i="10"/>
  <c r="X47" i="10"/>
  <c r="Z47" i="10"/>
  <c r="AG47" i="10" s="1"/>
  <c r="BM48" i="10"/>
  <c r="W48" i="10"/>
  <c r="X12" i="10"/>
  <c r="AD12" i="10"/>
  <c r="AK12" i="10" s="1"/>
  <c r="X18" i="10"/>
  <c r="AD18" i="10"/>
  <c r="AK18" i="10" s="1"/>
  <c r="X60" i="10"/>
  <c r="Z60" i="10"/>
  <c r="AG60" i="10" s="1"/>
  <c r="X54" i="10"/>
  <c r="Z54" i="10"/>
  <c r="AG54" i="10" s="1"/>
  <c r="Z39" i="10"/>
  <c r="AG39" i="10" s="1"/>
  <c r="X39" i="10"/>
  <c r="BL27" i="10"/>
  <c r="V27" i="10"/>
  <c r="X26" i="10"/>
  <c r="AD11" i="10"/>
  <c r="AK11" i="10" s="1"/>
  <c r="Z27" i="10"/>
  <c r="AG27" i="10" s="1"/>
  <c r="X56" i="10"/>
  <c r="Z56" i="10"/>
  <c r="AG56" i="10" s="1"/>
  <c r="Z21" i="10"/>
  <c r="AG21" i="10" s="1"/>
  <c r="X21" i="10"/>
  <c r="Z13" i="10"/>
  <c r="AG13" i="10" s="1"/>
  <c r="X13" i="10"/>
  <c r="X46" i="10"/>
  <c r="Z46" i="10"/>
  <c r="AG46" i="10" s="1"/>
  <c r="X23" i="10"/>
  <c r="Z23" i="10"/>
  <c r="AG23" i="10" s="1"/>
  <c r="BK48" i="10"/>
  <c r="U48" i="10"/>
  <c r="U161" i="10" s="1"/>
  <c r="Z62" i="10"/>
  <c r="AG62" i="10" s="1"/>
  <c r="X55" i="10"/>
  <c r="Z55" i="10"/>
  <c r="AG55" i="10" s="1"/>
  <c r="Z48" i="10"/>
  <c r="AG48" i="10" s="1"/>
  <c r="Z51" i="10"/>
  <c r="AG51" i="10" s="1"/>
  <c r="X51" i="10"/>
  <c r="BJ29" i="10"/>
  <c r="T29" i="10"/>
  <c r="Z29" i="10"/>
  <c r="AG29" i="10" s="1"/>
  <c r="X59" i="10"/>
  <c r="Z59" i="10"/>
  <c r="AG59" i="10" s="1"/>
  <c r="X52" i="10"/>
  <c r="Z52" i="10"/>
  <c r="AG52" i="10" s="1"/>
  <c r="Z57" i="10"/>
  <c r="AG57" i="10" s="1"/>
  <c r="X57" i="10"/>
  <c r="X22" i="10"/>
  <c r="AD22" i="10"/>
  <c r="AK22" i="10" s="1"/>
  <c r="Z32" i="10"/>
  <c r="AG32" i="10" s="1"/>
  <c r="Z61" i="10"/>
  <c r="AG61" i="10" s="1"/>
  <c r="X49" i="10"/>
  <c r="X30" i="10"/>
  <c r="Z30" i="10"/>
  <c r="AG30" i="10" s="1"/>
  <c r="X43" i="10"/>
  <c r="Z43" i="10"/>
  <c r="AG43" i="10" s="1"/>
  <c r="Z41" i="10"/>
  <c r="AG41" i="10" s="1"/>
  <c r="X41" i="10"/>
  <c r="X15" i="10"/>
  <c r="Z15" i="10"/>
  <c r="AG15" i="10" s="1"/>
  <c r="BJ24" i="10"/>
  <c r="T24" i="10"/>
  <c r="X19" i="10"/>
  <c r="Z19" i="10"/>
  <c r="AG19" i="10" s="1"/>
  <c r="X36" i="10"/>
  <c r="Z36" i="10"/>
  <c r="AG36" i="10" s="1"/>
  <c r="X34" i="10"/>
  <c r="Z34" i="10"/>
  <c r="AG34" i="10" s="1"/>
  <c r="X31" i="10"/>
  <c r="Z31" i="10"/>
  <c r="AG31" i="10" s="1"/>
  <c r="X40" i="10"/>
  <c r="Z40" i="10"/>
  <c r="AG40" i="10" s="1"/>
  <c r="AC11" i="10"/>
  <c r="AJ11" i="10" s="1"/>
  <c r="BL32" i="10"/>
  <c r="V32" i="10"/>
  <c r="Z37" i="10"/>
  <c r="AG37" i="10" s="1"/>
  <c r="X37" i="10"/>
  <c r="X44" i="10"/>
  <c r="Z35" i="10"/>
  <c r="AG35" i="10" s="1"/>
  <c r="X35" i="10"/>
  <c r="X25" i="10"/>
  <c r="Z25" i="10"/>
  <c r="AG25" i="10" s="1"/>
  <c r="X14" i="10"/>
  <c r="AD14" i="10"/>
  <c r="AK14" i="10" s="1"/>
  <c r="X50" i="10"/>
  <c r="Z50" i="10"/>
  <c r="AG50" i="10" s="1"/>
  <c r="Z33" i="10"/>
  <c r="AG33" i="10" s="1"/>
  <c r="X33" i="10"/>
  <c r="X58" i="10"/>
  <c r="Z58" i="10"/>
  <c r="AG58" i="10" s="1"/>
  <c r="AB11" i="10"/>
  <c r="AI11" i="10" s="1"/>
  <c r="Z24" i="10"/>
  <c r="AG24" i="10" s="1"/>
  <c r="Z63" i="10"/>
  <c r="AG63" i="10" s="1"/>
  <c r="X63" i="10"/>
  <c r="X38" i="10"/>
  <c r="D20" i="13"/>
  <c r="C20" i="13"/>
  <c r="D24" i="13"/>
  <c r="C24" i="13"/>
  <c r="I66" i="4"/>
  <c r="F20" i="13"/>
  <c r="I20" i="13"/>
  <c r="H24" i="13"/>
  <c r="E20" i="13"/>
  <c r="G20" i="13"/>
  <c r="E24" i="13"/>
  <c r="F24" i="13"/>
  <c r="G24" i="13"/>
  <c r="I24" i="13"/>
  <c r="H20" i="13"/>
  <c r="I64" i="4"/>
  <c r="I69" i="4"/>
  <c r="I67" i="4"/>
  <c r="I65" i="4"/>
  <c r="I68" i="4"/>
  <c r="E147" i="16"/>
  <c r="C148" i="16"/>
  <c r="G148" i="16"/>
  <c r="E149" i="16"/>
  <c r="F149" i="16"/>
  <c r="G149" i="16"/>
  <c r="D148" i="16"/>
  <c r="C149" i="16"/>
  <c r="D147" i="16"/>
  <c r="E148" i="16"/>
  <c r="F148" i="16"/>
  <c r="D149" i="16"/>
  <c r="C147" i="16"/>
  <c r="F147" i="16"/>
  <c r="G147" i="16"/>
  <c r="BL63" i="10"/>
  <c r="BK55" i="10"/>
  <c r="BI61" i="10"/>
  <c r="BM63" i="10"/>
  <c r="B170" i="16"/>
  <c r="H16" i="7"/>
  <c r="H15" i="7"/>
  <c r="H21" i="7"/>
  <c r="H22" i="7"/>
  <c r="G202" i="16"/>
  <c r="D202" i="16"/>
  <c r="F203" i="16"/>
  <c r="C202" i="16"/>
  <c r="D203" i="16"/>
  <c r="F202" i="16"/>
  <c r="C203" i="16"/>
  <c r="E202" i="16"/>
  <c r="G203" i="16"/>
  <c r="E203" i="16"/>
  <c r="BJ15" i="10"/>
  <c r="BL40" i="10"/>
  <c r="BK12" i="10"/>
  <c r="BM58" i="10"/>
  <c r="BI54" i="10"/>
  <c r="BM25" i="10"/>
  <c r="BI62" i="10"/>
  <c r="BJ41" i="10"/>
  <c r="BI29" i="10"/>
  <c r="BI39" i="10"/>
  <c r="BM37" i="10"/>
  <c r="BJ44" i="10"/>
  <c r="BI27" i="10"/>
  <c r="BM29" i="10"/>
  <c r="I41" i="4"/>
  <c r="I42" i="4"/>
  <c r="BI63" i="10"/>
  <c r="BL41" i="10"/>
  <c r="BI37" i="10"/>
  <c r="BQ47" i="10"/>
  <c r="BS54" i="10"/>
  <c r="F141" i="19" s="1" a="1"/>
  <c r="F141" i="19" s="1"/>
  <c r="BQ51" i="10"/>
  <c r="Q26" i="10"/>
  <c r="BL29" i="10"/>
  <c r="BK63" i="10"/>
  <c r="BR40" i="10"/>
  <c r="BT33" i="10"/>
  <c r="G125" i="19" s="1" a="1"/>
  <c r="G125" i="19" s="1"/>
  <c r="G102" i="19" s="1"/>
  <c r="BP26" i="10"/>
  <c r="BI19" i="10"/>
  <c r="BQ59" i="10"/>
  <c r="BX59" i="10" s="1"/>
  <c r="BR32" i="10"/>
  <c r="BS20" i="10"/>
  <c r="BK19" i="10"/>
  <c r="BR29" i="10"/>
  <c r="BK59" i="10"/>
  <c r="BR22" i="10"/>
  <c r="BR46" i="10"/>
  <c r="BP38" i="10"/>
  <c r="BI32" i="10"/>
  <c r="BR14" i="10"/>
  <c r="BS17" i="10"/>
  <c r="BS52" i="10"/>
  <c r="BI12" i="10"/>
  <c r="BR57" i="10"/>
  <c r="BM59" i="10"/>
  <c r="BS15" i="10"/>
  <c r="BT55" i="10"/>
  <c r="BQ30" i="10"/>
  <c r="D113" i="19" s="1" a="1"/>
  <c r="D113" i="19" s="1"/>
  <c r="D99" i="19" s="1"/>
  <c r="BR50" i="10"/>
  <c r="E137" i="19" s="1" a="1"/>
  <c r="E137" i="19" s="1"/>
  <c r="BP44" i="10"/>
  <c r="BT45" i="10"/>
  <c r="BR27" i="10"/>
  <c r="Q27" i="10"/>
  <c r="BQ36" i="10"/>
  <c r="BK39" i="10"/>
  <c r="BT42" i="10"/>
  <c r="CA42" i="10" s="1"/>
  <c r="BS37" i="10"/>
  <c r="Q29" i="10"/>
  <c r="BQ11" i="10"/>
  <c r="BS23" i="10"/>
  <c r="BJ12" i="10"/>
  <c r="BK58" i="10"/>
  <c r="BS12" i="10"/>
  <c r="BS62" i="10"/>
  <c r="BR34" i="10"/>
  <c r="BQ43" i="10"/>
  <c r="BX43" i="10" s="1"/>
  <c r="BQ19" i="10"/>
  <c r="Q44" i="10"/>
  <c r="BI16" i="10"/>
  <c r="BL31" i="10"/>
  <c r="BQ16" i="10"/>
  <c r="BQ56" i="10"/>
  <c r="BR31" i="10"/>
  <c r="BI52" i="10"/>
  <c r="BS25" i="10"/>
  <c r="H68" i="13" s="1"/>
  <c r="BS48" i="10"/>
  <c r="F188" i="16" s="1"/>
  <c r="BQ28" i="10"/>
  <c r="Q39" i="10"/>
  <c r="BT60" i="10"/>
  <c r="BT39" i="10"/>
  <c r="CA39" i="10" s="1"/>
  <c r="BQ13" i="10"/>
  <c r="Q32" i="10"/>
  <c r="BS58" i="10"/>
  <c r="Q49" i="10"/>
  <c r="BT41" i="10"/>
  <c r="CA41" i="10" s="1"/>
  <c r="BQ53" i="10"/>
  <c r="BS35" i="10"/>
  <c r="F129" i="19" s="1" a="1"/>
  <c r="F129" i="19" s="1"/>
  <c r="F103" i="19" s="1"/>
  <c r="BR24" i="10"/>
  <c r="BS18" i="10"/>
  <c r="BS21" i="10"/>
  <c r="Q52" i="10"/>
  <c r="BL19" i="10"/>
  <c r="BM20" i="10"/>
  <c r="BK62" i="10"/>
  <c r="BK52" i="10"/>
  <c r="BM19" i="10"/>
  <c r="BK54" i="10"/>
  <c r="N43" i="12"/>
  <c r="Z43" i="12"/>
  <c r="Q15" i="10"/>
  <c r="BI15" i="10"/>
  <c r="Z53" i="12"/>
  <c r="N53" i="12"/>
  <c r="BL33" i="10"/>
  <c r="Z27" i="12"/>
  <c r="N27" i="12"/>
  <c r="BM54" i="10"/>
  <c r="BM52" i="10"/>
  <c r="BK51" i="10"/>
  <c r="BI46" i="10"/>
  <c r="Q46" i="10"/>
  <c r="BM53" i="10"/>
  <c r="BL28" i="10"/>
  <c r="BM23" i="10"/>
  <c r="N41" i="12"/>
  <c r="Z41" i="12"/>
  <c r="BJ33" i="10"/>
  <c r="O51" i="12"/>
  <c r="AA51" i="12"/>
  <c r="BJ37" i="10"/>
  <c r="Q34" i="10"/>
  <c r="BI34" i="10"/>
  <c r="N61" i="12"/>
  <c r="Z61" i="12"/>
  <c r="BI13" i="10"/>
  <c r="Q13" i="10"/>
  <c r="BL13" i="10"/>
  <c r="N28" i="12"/>
  <c r="Z28" i="12"/>
  <c r="BK28" i="10"/>
  <c r="BI60" i="10"/>
  <c r="BK35" i="10"/>
  <c r="Q22" i="10"/>
  <c r="BI22" i="10"/>
  <c r="O60" i="12"/>
  <c r="AA60" i="12"/>
  <c r="BI24" i="10"/>
  <c r="Q24" i="10"/>
  <c r="O22" i="12"/>
  <c r="AA22" i="12"/>
  <c r="O20" i="12"/>
  <c r="AA20" i="12"/>
  <c r="Q37" i="10"/>
  <c r="BI11" i="10"/>
  <c r="Q11" i="10"/>
  <c r="L161" i="10"/>
  <c r="BL59" i="10"/>
  <c r="BM26" i="10"/>
  <c r="AA45" i="12"/>
  <c r="O45" i="12"/>
  <c r="BI14" i="10"/>
  <c r="Q14" i="10"/>
  <c r="O50" i="12"/>
  <c r="AA50" i="12"/>
  <c r="O59" i="12"/>
  <c r="AA59" i="12"/>
  <c r="BK16" i="10"/>
  <c r="N51" i="12"/>
  <c r="Z51" i="12"/>
  <c r="BM50" i="10"/>
  <c r="O61" i="12"/>
  <c r="AA61" i="12"/>
  <c r="BK25" i="10"/>
  <c r="BL49" i="10"/>
  <c r="BK44" i="10"/>
  <c r="BL38" i="10"/>
  <c r="Q41" i="10"/>
  <c r="BI41" i="10"/>
  <c r="BM17" i="10"/>
  <c r="Q20" i="10"/>
  <c r="BI20" i="10"/>
  <c r="BM34" i="10"/>
  <c r="Q25" i="10"/>
  <c r="BI25" i="10"/>
  <c r="N60" i="12"/>
  <c r="Z60" i="12"/>
  <c r="BL53" i="10"/>
  <c r="Z22" i="12"/>
  <c r="N22" i="12"/>
  <c r="N20" i="12"/>
  <c r="Z20" i="12"/>
  <c r="O57" i="12"/>
  <c r="AA57" i="12"/>
  <c r="O41" i="12"/>
  <c r="AA41" i="12"/>
  <c r="N38" i="12"/>
  <c r="Z38" i="12"/>
  <c r="O28" i="12"/>
  <c r="AA28" i="12"/>
  <c r="BJ18" i="10"/>
  <c r="N45" i="12"/>
  <c r="Z45" i="12"/>
  <c r="Q30" i="10"/>
  <c r="BI30" i="10"/>
  <c r="N50" i="12"/>
  <c r="Z50" i="12"/>
  <c r="N59" i="12"/>
  <c r="Z59" i="12"/>
  <c r="BM11" i="10"/>
  <c r="O21" i="12"/>
  <c r="AA21" i="12"/>
  <c r="BI18" i="10"/>
  <c r="Q18" i="10"/>
  <c r="BK38" i="10"/>
  <c r="BM15" i="10"/>
  <c r="O25" i="12"/>
  <c r="AA25" i="12"/>
  <c r="BL55" i="10"/>
  <c r="O55" i="12"/>
  <c r="AA55" i="12"/>
  <c r="BI40" i="10"/>
  <c r="Q40" i="10"/>
  <c r="BK18" i="10"/>
  <c r="BL26" i="10"/>
  <c r="BK11" i="10"/>
  <c r="BJ48" i="10"/>
  <c r="BJ38" i="10"/>
  <c r="O46" i="12"/>
  <c r="AA46" i="12"/>
  <c r="BK47" i="10"/>
  <c r="BL11" i="10"/>
  <c r="N57" i="12"/>
  <c r="Z57" i="12"/>
  <c r="N18" i="12"/>
  <c r="Z18" i="12"/>
  <c r="BI43" i="10"/>
  <c r="Q43" i="10"/>
  <c r="BQ63" i="10"/>
  <c r="BI36" i="10"/>
  <c r="Q36" i="10"/>
  <c r="Z63" i="12"/>
  <c r="N63" i="12"/>
  <c r="BM16" i="10"/>
  <c r="Z21" i="12"/>
  <c r="N21" i="12"/>
  <c r="BI53" i="10"/>
  <c r="BJ46" i="10"/>
  <c r="BM22" i="10"/>
  <c r="H42" i="7"/>
  <c r="H53" i="7"/>
  <c r="N25" i="12"/>
  <c r="Z25" i="12"/>
  <c r="BM36" i="10"/>
  <c r="N55" i="12"/>
  <c r="Z55" i="12"/>
  <c r="BI35" i="10"/>
  <c r="Q35" i="10"/>
  <c r="BJ42" i="10"/>
  <c r="O23" i="12"/>
  <c r="AA23" i="12"/>
  <c r="BK26" i="10"/>
  <c r="BK23" i="10"/>
  <c r="BJ25" i="10"/>
  <c r="Z46" i="12"/>
  <c r="N46" i="12"/>
  <c r="BL42" i="10"/>
  <c r="O62" i="12"/>
  <c r="AA62" i="12"/>
  <c r="BK13" i="10"/>
  <c r="O63" i="12"/>
  <c r="AA63" i="12"/>
  <c r="BJ31" i="10"/>
  <c r="Q45" i="10"/>
  <c r="BI45" i="10"/>
  <c r="AA40" i="12"/>
  <c r="O40" i="12"/>
  <c r="BI28" i="10"/>
  <c r="Q28" i="10"/>
  <c r="F87" i="16"/>
  <c r="I15" i="4"/>
  <c r="O37" i="12"/>
  <c r="AA37" i="12"/>
  <c r="BK45" i="10"/>
  <c r="BM21" i="10"/>
  <c r="AA14" i="12"/>
  <c r="O14" i="12"/>
  <c r="Q31" i="10"/>
  <c r="BI31" i="10"/>
  <c r="O31" i="12"/>
  <c r="AA31" i="12"/>
  <c r="BJ27" i="10"/>
  <c r="BM49" i="10"/>
  <c r="N23" i="12"/>
  <c r="Z23" i="12"/>
  <c r="BJ23" i="10"/>
  <c r="BJ40" i="10"/>
  <c r="BL46" i="10"/>
  <c r="BJ57" i="10"/>
  <c r="BK17" i="10"/>
  <c r="BJ58" i="10"/>
  <c r="BM57" i="10"/>
  <c r="N62" i="12"/>
  <c r="Z62" i="12"/>
  <c r="O42" i="12"/>
  <c r="AA42" i="12"/>
  <c r="N37" i="12"/>
  <c r="Z37" i="12"/>
  <c r="BL47" i="10"/>
  <c r="BK41" i="10"/>
  <c r="H54" i="7"/>
  <c r="Z14" i="12"/>
  <c r="N14" i="12"/>
  <c r="BJ45" i="10"/>
  <c r="N31" i="12"/>
  <c r="Z31" i="12"/>
  <c r="BL24" i="10"/>
  <c r="BM30" i="10"/>
  <c r="AA34" i="12"/>
  <c r="O34" i="12"/>
  <c r="BK53" i="10"/>
  <c r="BL45" i="10"/>
  <c r="BL34" i="10"/>
  <c r="BI23" i="10"/>
  <c r="Q23" i="10"/>
  <c r="AA17" i="12"/>
  <c r="O17" i="12"/>
  <c r="N42" i="12"/>
  <c r="Z42" i="12"/>
  <c r="Q38" i="10"/>
  <c r="BM12" i="10"/>
  <c r="N12" i="12"/>
  <c r="Z12" i="12"/>
  <c r="N11" i="12"/>
  <c r="Z11" i="12"/>
  <c r="BJ55" i="10"/>
  <c r="Z29" i="12"/>
  <c r="N29" i="12"/>
  <c r="Q21" i="10"/>
  <c r="BI21" i="10"/>
  <c r="AA58" i="12"/>
  <c r="O58" i="12"/>
  <c r="BJ14" i="10"/>
  <c r="F88" i="16"/>
  <c r="I16" i="4"/>
  <c r="AA54" i="12"/>
  <c r="BL22" i="10"/>
  <c r="BM56" i="10"/>
  <c r="BJ34" i="10"/>
  <c r="O33" i="12"/>
  <c r="AA33" i="12"/>
  <c r="BI58" i="10"/>
  <c r="BJ35" i="10"/>
  <c r="BM51" i="10"/>
  <c r="N34" i="12"/>
  <c r="Z34" i="12"/>
  <c r="BJ54" i="10"/>
  <c r="O52" i="12"/>
  <c r="AA52" i="12"/>
  <c r="BL57" i="10"/>
  <c r="Q12" i="10"/>
  <c r="BJ49" i="10"/>
  <c r="BJ20" i="10"/>
  <c r="N17" i="12"/>
  <c r="Z17" i="12"/>
  <c r="M161" i="10"/>
  <c r="O11" i="12"/>
  <c r="AA11" i="12"/>
  <c r="Z40" i="12"/>
  <c r="N40" i="12"/>
  <c r="BM40" i="10"/>
  <c r="O16" i="12"/>
  <c r="AA16" i="12"/>
  <c r="O36" i="12"/>
  <c r="AA36" i="12"/>
  <c r="BK21" i="10"/>
  <c r="AA48" i="12"/>
  <c r="O48" i="12"/>
  <c r="BI55" i="10"/>
  <c r="N58" i="12"/>
  <c r="Z58" i="12"/>
  <c r="BK60" i="10"/>
  <c r="N54" i="12"/>
  <c r="C75" i="13" s="1"/>
  <c r="Z54" i="12"/>
  <c r="Q50" i="10"/>
  <c r="BI50" i="10"/>
  <c r="Q33" i="10"/>
  <c r="BI33" i="10"/>
  <c r="H41" i="7"/>
  <c r="BM27" i="10"/>
  <c r="N33" i="12"/>
  <c r="Z33" i="12"/>
  <c r="BM46" i="10"/>
  <c r="O26" i="12"/>
  <c r="AA26" i="12"/>
  <c r="BI17" i="10"/>
  <c r="Q17" i="10"/>
  <c r="BI47" i="10"/>
  <c r="Q47" i="10"/>
  <c r="BL56" i="10"/>
  <c r="BL44" i="10"/>
  <c r="N52" i="12"/>
  <c r="Z52" i="12"/>
  <c r="BK43" i="10"/>
  <c r="BM44" i="10"/>
  <c r="BI59" i="10"/>
  <c r="O30" i="12"/>
  <c r="AA30" i="12"/>
  <c r="AA12" i="12"/>
  <c r="O12" i="12"/>
  <c r="BI56" i="10"/>
  <c r="BK61" i="10"/>
  <c r="O32" i="12"/>
  <c r="AA32" i="12"/>
  <c r="Z16" i="12"/>
  <c r="N16" i="12"/>
  <c r="Z36" i="12"/>
  <c r="N36" i="12"/>
  <c r="O44" i="12"/>
  <c r="AA44" i="12"/>
  <c r="N48" i="12"/>
  <c r="Z48" i="12"/>
  <c r="BK30" i="10"/>
  <c r="BL43" i="10"/>
  <c r="BJ21" i="10"/>
  <c r="AA56" i="12"/>
  <c r="O56" i="12"/>
  <c r="BL50" i="10"/>
  <c r="BK20" i="10"/>
  <c r="BM13" i="10"/>
  <c r="BJ62" i="10"/>
  <c r="BL30" i="10"/>
  <c r="Z26" i="12"/>
  <c r="N26" i="12"/>
  <c r="BL36" i="10"/>
  <c r="O35" i="12"/>
  <c r="AA35" i="12"/>
  <c r="Q48" i="10"/>
  <c r="BI48" i="10"/>
  <c r="AA13" i="12"/>
  <c r="O13" i="12"/>
  <c r="BM43" i="10"/>
  <c r="BK36" i="10"/>
  <c r="BJ39" i="10"/>
  <c r="N30" i="12"/>
  <c r="Z30" i="12"/>
  <c r="BK15" i="10"/>
  <c r="N161" i="10"/>
  <c r="N32" i="12"/>
  <c r="Z32" i="12"/>
  <c r="BJ50" i="10"/>
  <c r="O49" i="12"/>
  <c r="AA49" i="12"/>
  <c r="Z44" i="12"/>
  <c r="N44" i="12"/>
  <c r="O39" i="12"/>
  <c r="AA39" i="12"/>
  <c r="BM24" i="10"/>
  <c r="O19" i="12"/>
  <c r="AA19" i="12"/>
  <c r="BK37" i="10"/>
  <c r="BJ60" i="10"/>
  <c r="Z56" i="12"/>
  <c r="N56" i="12"/>
  <c r="BK49" i="10"/>
  <c r="BL51" i="10"/>
  <c r="O47" i="12"/>
  <c r="AA47" i="12"/>
  <c r="O15" i="12"/>
  <c r="AA15" i="12"/>
  <c r="BK33" i="10"/>
  <c r="BJ17" i="10"/>
  <c r="O24" i="12"/>
  <c r="AA24" i="12"/>
  <c r="BK56" i="10"/>
  <c r="Q16" i="10"/>
  <c r="N35" i="12"/>
  <c r="Z35" i="12"/>
  <c r="BM14" i="10"/>
  <c r="BL60" i="10"/>
  <c r="N13" i="12"/>
  <c r="Z13" i="12"/>
  <c r="BI51" i="10"/>
  <c r="Q51" i="10"/>
  <c r="BM47" i="10"/>
  <c r="BM31" i="10"/>
  <c r="Q19" i="10"/>
  <c r="BM28" i="10"/>
  <c r="BP49" i="10"/>
  <c r="O29" i="12"/>
  <c r="AA29" i="12"/>
  <c r="BM32" i="10"/>
  <c r="O18" i="12"/>
  <c r="AA18" i="12"/>
  <c r="BJ26" i="10"/>
  <c r="N49" i="12"/>
  <c r="Z49" i="12"/>
  <c r="N39" i="12"/>
  <c r="Z39" i="12"/>
  <c r="BM38" i="10"/>
  <c r="Z19" i="12"/>
  <c r="N19" i="12"/>
  <c r="BJ32" i="10"/>
  <c r="BI57" i="10"/>
  <c r="O38" i="12"/>
  <c r="AA38" i="12"/>
  <c r="Q42" i="10"/>
  <c r="BI42" i="10"/>
  <c r="N47" i="12"/>
  <c r="Z47" i="12"/>
  <c r="N15" i="12"/>
  <c r="Z15" i="12"/>
  <c r="BM18" i="10"/>
  <c r="BM35" i="10"/>
  <c r="N24" i="12"/>
  <c r="Z24" i="12"/>
  <c r="BL14" i="10"/>
  <c r="BJ52" i="10"/>
  <c r="BK42" i="10"/>
  <c r="O43" i="12"/>
  <c r="AA43" i="12"/>
  <c r="BJ22" i="10"/>
  <c r="O53" i="12"/>
  <c r="AA53" i="12"/>
  <c r="BL39" i="10"/>
  <c r="O27" i="12"/>
  <c r="AA27" i="12"/>
  <c r="S161" i="6"/>
  <c r="S6" i="6" s="1"/>
  <c r="Q161" i="6"/>
  <c r="V61" i="10"/>
  <c r="BM61" i="10"/>
  <c r="E262" i="16" l="1" a="1"/>
  <c r="E262" i="16" s="1"/>
  <c r="D143" i="16"/>
  <c r="D140" i="19" a="1"/>
  <c r="D140" i="19" s="1"/>
  <c r="F142" i="16"/>
  <c r="F139" i="19" a="1"/>
  <c r="F139" i="19" s="1"/>
  <c r="D141" i="16"/>
  <c r="D138" i="19" a="1"/>
  <c r="D138" i="19" s="1"/>
  <c r="E277" i="16" a="1"/>
  <c r="E277" i="16" s="1"/>
  <c r="E279" i="16" a="1"/>
  <c r="E279" i="16" s="1"/>
  <c r="E276" i="16" a="1"/>
  <c r="E276" i="16" s="1"/>
  <c r="E278" i="16" a="1"/>
  <c r="E278" i="16" s="1"/>
  <c r="E281" i="16" a="1"/>
  <c r="E281" i="16" s="1"/>
  <c r="E280" i="16" a="1"/>
  <c r="E280" i="16" s="1"/>
  <c r="E258" i="16" a="1"/>
  <c r="E258" i="16" s="1"/>
  <c r="E257" i="16" a="1"/>
  <c r="E257" i="16" s="1"/>
  <c r="E261" i="16" a="1"/>
  <c r="E261" i="16" s="1"/>
  <c r="E260" i="16" a="1"/>
  <c r="E260" i="16" s="1"/>
  <c r="BP32" i="10"/>
  <c r="C121" i="19" s="1" a="1"/>
  <c r="C121" i="19" s="1"/>
  <c r="BR61" i="10"/>
  <c r="BY61" i="10" s="1"/>
  <c r="D146" i="16"/>
  <c r="BR59" i="10"/>
  <c r="BT29" i="10"/>
  <c r="CA29" i="10" s="1"/>
  <c r="BP37" i="10"/>
  <c r="C71" i="19" s="1" a="1"/>
  <c r="C71" i="19" s="1"/>
  <c r="BR12" i="10"/>
  <c r="E13" i="19" s="1" a="1"/>
  <c r="E13" i="19" s="1"/>
  <c r="BP39" i="10"/>
  <c r="BW39" i="10" s="1"/>
  <c r="BR39" i="10"/>
  <c r="BY39" i="10" s="1"/>
  <c r="BP54" i="10"/>
  <c r="C141" i="19" s="1" a="1"/>
  <c r="C141" i="19" s="1"/>
  <c r="BQ44" i="10"/>
  <c r="D44" i="19" s="1" a="1"/>
  <c r="D44" i="19" s="1"/>
  <c r="BP19" i="10"/>
  <c r="BW19" i="10" s="1"/>
  <c r="F75" i="13"/>
  <c r="BQ41" i="10"/>
  <c r="BX41" i="10" s="1"/>
  <c r="I75" i="13"/>
  <c r="G75" i="13"/>
  <c r="H88" i="16"/>
  <c r="F122" i="16"/>
  <c r="H122" i="16" s="1"/>
  <c r="H87" i="16"/>
  <c r="F121" i="16"/>
  <c r="H121" i="16" s="1"/>
  <c r="BR58" i="10"/>
  <c r="BS40" i="10"/>
  <c r="BZ40" i="10" s="1"/>
  <c r="BT58" i="10"/>
  <c r="BT37" i="10"/>
  <c r="CA37" i="10" s="1"/>
  <c r="H75" i="13"/>
  <c r="E75" i="13"/>
  <c r="G84" i="13"/>
  <c r="BQ12" i="10"/>
  <c r="BX12" i="10" s="1"/>
  <c r="BT59" i="10"/>
  <c r="BP29" i="10"/>
  <c r="E54" i="13" s="1"/>
  <c r="AE60" i="10"/>
  <c r="AL58" i="10"/>
  <c r="AE58" i="10"/>
  <c r="AL17" i="10"/>
  <c r="G52" i="13"/>
  <c r="H43" i="13"/>
  <c r="E51" i="13"/>
  <c r="E57" i="13"/>
  <c r="E61" i="13"/>
  <c r="F67" i="13"/>
  <c r="F44" i="13"/>
  <c r="H45" i="13"/>
  <c r="H48" i="13"/>
  <c r="G59" i="13"/>
  <c r="BR63" i="10"/>
  <c r="BY63" i="10" s="1"/>
  <c r="F42" i="13"/>
  <c r="G47" i="13"/>
  <c r="H41" i="13"/>
  <c r="F39" i="13"/>
  <c r="F85" i="13"/>
  <c r="AE55" i="10"/>
  <c r="AE56" i="10"/>
  <c r="BP12" i="10"/>
  <c r="E38" i="13" s="1"/>
  <c r="BP62" i="10"/>
  <c r="BW62" i="10" s="1"/>
  <c r="CD62" i="10" s="1"/>
  <c r="BT25" i="10"/>
  <c r="BP63" i="10"/>
  <c r="BW63" i="10" s="1"/>
  <c r="BP52" i="10"/>
  <c r="BS31" i="10"/>
  <c r="BZ31" i="10" s="1"/>
  <c r="AL21" i="10"/>
  <c r="AE59" i="10"/>
  <c r="AE12" i="10"/>
  <c r="AE54" i="10"/>
  <c r="BP16" i="10"/>
  <c r="BQ15" i="10"/>
  <c r="BR19" i="10"/>
  <c r="E24" i="19" s="1" a="1"/>
  <c r="E24" i="19" s="1"/>
  <c r="BP27" i="10"/>
  <c r="BW27" i="10" s="1"/>
  <c r="AL51" i="10"/>
  <c r="AL15" i="10"/>
  <c r="BS41" i="10"/>
  <c r="BZ41" i="10" s="1"/>
  <c r="AE57" i="10"/>
  <c r="AL55" i="10"/>
  <c r="AL60" i="10"/>
  <c r="AL63" i="10"/>
  <c r="AL57" i="10"/>
  <c r="AL52" i="10"/>
  <c r="AL26" i="10"/>
  <c r="AL13" i="10"/>
  <c r="AL40" i="10"/>
  <c r="AL42" i="10"/>
  <c r="AL25" i="10"/>
  <c r="AL31" i="10"/>
  <c r="AL56" i="10"/>
  <c r="AL28" i="10"/>
  <c r="AL41" i="10"/>
  <c r="AL12" i="10"/>
  <c r="AL35" i="10"/>
  <c r="AL36" i="10"/>
  <c r="AL54" i="10"/>
  <c r="AL20" i="10"/>
  <c r="AL38" i="10"/>
  <c r="AL44" i="10"/>
  <c r="AL18" i="10"/>
  <c r="AL59" i="10"/>
  <c r="AL30" i="10"/>
  <c r="AL23" i="10"/>
  <c r="E29" i="13"/>
  <c r="AL11" i="10"/>
  <c r="AG161" i="10"/>
  <c r="AL37" i="10"/>
  <c r="AL19" i="10"/>
  <c r="AL46" i="10"/>
  <c r="AL53" i="10"/>
  <c r="AL49" i="10"/>
  <c r="AL14" i="10"/>
  <c r="AL33" i="10"/>
  <c r="AL47" i="10"/>
  <c r="AL50" i="10"/>
  <c r="AL39" i="10"/>
  <c r="AL22" i="10"/>
  <c r="AL34" i="10"/>
  <c r="AC61" i="10"/>
  <c r="AJ61" i="10" s="1"/>
  <c r="AL61" i="10" s="1"/>
  <c r="AL45" i="10"/>
  <c r="AC27" i="10"/>
  <c r="BS27" i="10" s="1"/>
  <c r="BZ27" i="10" s="1"/>
  <c r="AD48" i="10"/>
  <c r="BT48" i="10" s="1"/>
  <c r="AA29" i="10"/>
  <c r="BQ29" i="10" s="1"/>
  <c r="D179" i="16" s="1"/>
  <c r="AL43" i="10"/>
  <c r="AC32" i="10"/>
  <c r="BS32" i="10" s="1"/>
  <c r="BZ32" i="10" s="1"/>
  <c r="AA24" i="10"/>
  <c r="BQ24" i="10" s="1"/>
  <c r="D174" i="16" s="1"/>
  <c r="AC16" i="10"/>
  <c r="BS16" i="10" s="1"/>
  <c r="AB48" i="10"/>
  <c r="BR48" i="10" s="1"/>
  <c r="X29" i="10"/>
  <c r="X48" i="10"/>
  <c r="X24" i="10"/>
  <c r="T161" i="10"/>
  <c r="X61" i="10"/>
  <c r="V161" i="10"/>
  <c r="X27" i="10"/>
  <c r="W62" i="10"/>
  <c r="W161" i="10" s="1"/>
  <c r="X32" i="10"/>
  <c r="X16" i="10"/>
  <c r="H50" i="13"/>
  <c r="F13" i="19" a="1"/>
  <c r="F13" i="19" s="1"/>
  <c r="H38" i="13"/>
  <c r="G45" i="19" a="1"/>
  <c r="G45" i="19" s="1"/>
  <c r="I58" i="13"/>
  <c r="E22" i="19" a="1"/>
  <c r="E22" i="19" s="1"/>
  <c r="G40" i="13"/>
  <c r="BY29" i="10"/>
  <c r="G54" i="13"/>
  <c r="BY57" i="10"/>
  <c r="F38" i="19" a="1"/>
  <c r="F38" i="19" s="1"/>
  <c r="H46" i="13"/>
  <c r="D182" i="16"/>
  <c r="F56" i="13"/>
  <c r="D67" i="19" a="1"/>
  <c r="D67" i="19" s="1"/>
  <c r="F53" i="13"/>
  <c r="BY34" i="10"/>
  <c r="G55" i="13"/>
  <c r="F30" i="19" a="1"/>
  <c r="F30" i="19" s="1"/>
  <c r="H60" i="13"/>
  <c r="D14" i="13"/>
  <c r="C14" i="13"/>
  <c r="D12" i="13"/>
  <c r="D33" i="13" s="1"/>
  <c r="C12" i="13"/>
  <c r="C33" i="13" s="1"/>
  <c r="E140" i="16"/>
  <c r="D109" i="19" a="1"/>
  <c r="D109" i="19" s="1"/>
  <c r="D98" i="19" s="1"/>
  <c r="G14" i="13"/>
  <c r="E14" i="13"/>
  <c r="I14" i="13"/>
  <c r="I79" i="13" s="1"/>
  <c r="F14" i="13"/>
  <c r="H14" i="13"/>
  <c r="E12" i="13"/>
  <c r="E33" i="13" s="1"/>
  <c r="F12" i="13"/>
  <c r="G12" i="13"/>
  <c r="BY46" i="10"/>
  <c r="E133" i="19" a="1"/>
  <c r="E133" i="19" s="1"/>
  <c r="E104" i="19" s="1"/>
  <c r="BY32" i="10"/>
  <c r="E121" i="19" a="1"/>
  <c r="E121" i="19" s="1"/>
  <c r="E101" i="19" s="1"/>
  <c r="BY31" i="10"/>
  <c r="E117" i="19" a="1"/>
  <c r="E117" i="19" s="1"/>
  <c r="E100" i="19" s="1"/>
  <c r="BY27" i="10"/>
  <c r="E57" i="19" a="1"/>
  <c r="E57" i="19" s="1"/>
  <c r="BY24" i="10"/>
  <c r="E56" i="19" a="1"/>
  <c r="E56" i="19" s="1"/>
  <c r="C176" i="16"/>
  <c r="C62" i="19" a="1"/>
  <c r="C62" i="19" s="1"/>
  <c r="F175" i="16"/>
  <c r="F34" i="19" a="1"/>
  <c r="F34" i="19" s="1"/>
  <c r="BY22" i="10"/>
  <c r="E39" i="19" a="1"/>
  <c r="E39" i="19" s="1"/>
  <c r="BW44" i="10"/>
  <c r="C44" i="19" a="1"/>
  <c r="C44" i="19" s="1"/>
  <c r="BX19" i="10"/>
  <c r="D24" i="19" a="1"/>
  <c r="D24" i="19" s="1"/>
  <c r="BZ20" i="10"/>
  <c r="F25" i="19" a="1"/>
  <c r="F25" i="19" s="1"/>
  <c r="BZ23" i="10"/>
  <c r="F26" i="19" a="1"/>
  <c r="F26" i="19" s="1"/>
  <c r="BX16" i="10"/>
  <c r="D23" i="19" a="1"/>
  <c r="D23" i="19" s="1"/>
  <c r="BX13" i="10"/>
  <c r="D14" i="19" a="1"/>
  <c r="D14" i="19" s="1"/>
  <c r="BZ15" i="10"/>
  <c r="F15" i="19" a="1"/>
  <c r="F15" i="19" s="1"/>
  <c r="BZ18" i="10"/>
  <c r="F17" i="19" a="1"/>
  <c r="F17" i="19" s="1"/>
  <c r="BZ17" i="10"/>
  <c r="F16" i="19" a="1"/>
  <c r="F16" i="19" s="1"/>
  <c r="E179" i="16"/>
  <c r="D178" i="16"/>
  <c r="D139" i="16"/>
  <c r="E177" i="16"/>
  <c r="E174" i="16"/>
  <c r="E181" i="16"/>
  <c r="H148" i="16"/>
  <c r="H147" i="16"/>
  <c r="H149" i="16"/>
  <c r="BP61" i="10"/>
  <c r="BW61" i="10" s="1"/>
  <c r="BS63" i="10"/>
  <c r="H66" i="13" s="1"/>
  <c r="BT63" i="10"/>
  <c r="BR55" i="10"/>
  <c r="BY55" i="10" s="1"/>
  <c r="AE63" i="10"/>
  <c r="D170" i="16"/>
  <c r="CA33" i="10"/>
  <c r="BZ35" i="10"/>
  <c r="BY50" i="10"/>
  <c r="BX51" i="10"/>
  <c r="F124" i="13" s="1"/>
  <c r="BZ54" i="10"/>
  <c r="BZ52" i="10"/>
  <c r="H202" i="16"/>
  <c r="H203" i="16"/>
  <c r="BW26" i="10"/>
  <c r="P161" i="10"/>
  <c r="CA60" i="10"/>
  <c r="BZ37" i="10"/>
  <c r="BX30" i="10"/>
  <c r="BX53" i="10"/>
  <c r="BX28" i="10"/>
  <c r="CA55" i="10"/>
  <c r="BZ48" i="10"/>
  <c r="BZ25" i="10"/>
  <c r="BZ58" i="10"/>
  <c r="BX56" i="10"/>
  <c r="BY14" i="10"/>
  <c r="BZ21" i="10"/>
  <c r="BX47" i="10"/>
  <c r="BN29" i="10"/>
  <c r="CA45" i="10"/>
  <c r="BW38" i="10"/>
  <c r="BY40" i="10"/>
  <c r="BX36" i="10"/>
  <c r="BZ12" i="10"/>
  <c r="BX11" i="10"/>
  <c r="AE19" i="10"/>
  <c r="BS29" i="10"/>
  <c r="BN63" i="10"/>
  <c r="BN37" i="10"/>
  <c r="BP15" i="10"/>
  <c r="AD52" i="12"/>
  <c r="BQ17" i="10"/>
  <c r="AC54" i="12"/>
  <c r="BN54" i="10"/>
  <c r="AD27" i="12"/>
  <c r="AD32" i="12"/>
  <c r="AJ32" i="12" s="1"/>
  <c r="AD16" i="12"/>
  <c r="BT13" i="10"/>
  <c r="AD53" i="12"/>
  <c r="AC48" i="12"/>
  <c r="AD62" i="12"/>
  <c r="AC41" i="12"/>
  <c r="AI41" i="12" s="1"/>
  <c r="AC28" i="12"/>
  <c r="BP42" i="10"/>
  <c r="C76" i="19" s="1" a="1"/>
  <c r="C76" i="19" s="1"/>
  <c r="AD49" i="12"/>
  <c r="AC29" i="12"/>
  <c r="AC53" i="12"/>
  <c r="BS51" i="10"/>
  <c r="BQ42" i="10"/>
  <c r="BS45" i="10"/>
  <c r="AC59" i="12"/>
  <c r="AI59" i="12" s="1"/>
  <c r="AC24" i="12"/>
  <c r="AC51" i="12"/>
  <c r="AD42" i="12"/>
  <c r="AJ42" i="12" s="1"/>
  <c r="AD21" i="12"/>
  <c r="AD17" i="12"/>
  <c r="AD34" i="12"/>
  <c r="AC14" i="12"/>
  <c r="AD11" i="12"/>
  <c r="AD60" i="12"/>
  <c r="AJ60" i="12" s="1"/>
  <c r="AC47" i="12"/>
  <c r="AI47" i="12" s="1"/>
  <c r="AD13" i="12"/>
  <c r="BN44" i="10"/>
  <c r="AD46" i="12"/>
  <c r="AC44" i="12"/>
  <c r="BQ34" i="10"/>
  <c r="BP25" i="10"/>
  <c r="E68" i="13" s="1"/>
  <c r="AD45" i="12"/>
  <c r="AC33" i="12"/>
  <c r="AI33" i="12" s="1"/>
  <c r="AD31" i="12"/>
  <c r="AJ31" i="12" s="1"/>
  <c r="AD33" i="12"/>
  <c r="AJ33" i="12" s="1"/>
  <c r="BQ40" i="10"/>
  <c r="AC20" i="12"/>
  <c r="AD59" i="12"/>
  <c r="AJ59" i="12" s="1"/>
  <c r="AC11" i="12"/>
  <c r="AC55" i="12"/>
  <c r="AI55" i="12" s="1"/>
  <c r="BR18" i="10"/>
  <c r="AC43" i="12"/>
  <c r="AI43" i="12" s="1"/>
  <c r="AC58" i="12"/>
  <c r="AC12" i="12"/>
  <c r="BS24" i="10"/>
  <c r="AD40" i="12"/>
  <c r="AJ40" i="12" s="1"/>
  <c r="AD61" i="12"/>
  <c r="AJ61" i="12" s="1"/>
  <c r="BP33" i="10"/>
  <c r="C125" i="19" s="1" a="1"/>
  <c r="C125" i="19" s="1"/>
  <c r="AC25" i="12"/>
  <c r="C68" i="13" s="1"/>
  <c r="BR36" i="10"/>
  <c r="AD44" i="12"/>
  <c r="BS57" i="10"/>
  <c r="AD54" i="12"/>
  <c r="AC46" i="12"/>
  <c r="AD51" i="12"/>
  <c r="AD22" i="12"/>
  <c r="BP60" i="10"/>
  <c r="AC38" i="12"/>
  <c r="AI38" i="12" s="1"/>
  <c r="AC61" i="12"/>
  <c r="AI61" i="12" s="1"/>
  <c r="AC30" i="12"/>
  <c r="AI30" i="12" s="1"/>
  <c r="BQ21" i="10"/>
  <c r="BN59" i="10"/>
  <c r="AC37" i="12"/>
  <c r="AI37" i="12" s="1"/>
  <c r="AD55" i="12"/>
  <c r="AJ55" i="12" s="1"/>
  <c r="AD19" i="12"/>
  <c r="AD36" i="12"/>
  <c r="AC57" i="12"/>
  <c r="AD41" i="12"/>
  <c r="AJ41" i="12" s="1"/>
  <c r="BP14" i="10"/>
  <c r="AC22" i="12"/>
  <c r="BS47" i="10"/>
  <c r="AC42" i="12"/>
  <c r="AI42" i="12" s="1"/>
  <c r="AC49" i="12"/>
  <c r="AD24" i="12"/>
  <c r="BP59" i="10"/>
  <c r="AC50" i="12"/>
  <c r="C84" i="13" s="1"/>
  <c r="AD35" i="12"/>
  <c r="AJ35" i="12" s="1"/>
  <c r="BT44" i="10"/>
  <c r="AC17" i="12"/>
  <c r="BQ14" i="10"/>
  <c r="AD37" i="12"/>
  <c r="AJ37" i="12" s="1"/>
  <c r="BP36" i="10"/>
  <c r="BR11" i="10"/>
  <c r="AD30" i="12"/>
  <c r="AJ30" i="12" s="1"/>
  <c r="BT46" i="10"/>
  <c r="AD23" i="12"/>
  <c r="AD18" i="12"/>
  <c r="BS36" i="10"/>
  <c r="BN12" i="10"/>
  <c r="AD25" i="12"/>
  <c r="D68" i="13" s="1"/>
  <c r="BS28" i="10"/>
  <c r="BR54" i="10"/>
  <c r="E141" i="19" s="1" a="1"/>
  <c r="E141" i="19" s="1"/>
  <c r="AC56" i="12"/>
  <c r="AI56" i="12" s="1"/>
  <c r="AC19" i="12"/>
  <c r="AC26" i="12"/>
  <c r="AE44" i="10"/>
  <c r="BN16" i="10"/>
  <c r="AD15" i="12"/>
  <c r="AD56" i="12"/>
  <c r="AJ56" i="12" s="1"/>
  <c r="BR20" i="10"/>
  <c r="BR53" i="10"/>
  <c r="BT21" i="10"/>
  <c r="BR26" i="10"/>
  <c r="BS56" i="10"/>
  <c r="H63" i="13" s="1"/>
  <c r="BR33" i="10"/>
  <c r="E125" i="19" s="1" a="1"/>
  <c r="E125" i="19" s="1"/>
  <c r="E102" i="19" s="1"/>
  <c r="BQ27" i="10"/>
  <c r="BT17" i="10"/>
  <c r="BR17" i="10"/>
  <c r="BT31" i="10"/>
  <c r="G117" i="19" s="1" a="1"/>
  <c r="G117" i="19" s="1"/>
  <c r="G100" i="19" s="1"/>
  <c r="BP56" i="10"/>
  <c r="BT30" i="10"/>
  <c r="G113" i="19" s="1" a="1"/>
  <c r="G113" i="19" s="1"/>
  <c r="G99" i="19" s="1"/>
  <c r="BP18" i="10"/>
  <c r="BT20" i="10"/>
  <c r="BN38" i="10"/>
  <c r="BN55" i="10"/>
  <c r="AE23" i="10"/>
  <c r="BS11" i="10"/>
  <c r="BZ62" i="10"/>
  <c r="CG62" i="10" s="1"/>
  <c r="BS14" i="10"/>
  <c r="H86" i="13" s="1"/>
  <c r="BQ35" i="10"/>
  <c r="D129" i="19" s="1" a="1"/>
  <c r="D129" i="19" s="1"/>
  <c r="D103" i="19" s="1"/>
  <c r="BS22" i="10"/>
  <c r="BP31" i="10"/>
  <c r="C117" i="19" s="1" a="1"/>
  <c r="C117" i="19" s="1"/>
  <c r="BR47" i="10"/>
  <c r="BN52" i="10"/>
  <c r="BS39" i="10"/>
  <c r="BZ39" i="10" s="1"/>
  <c r="AE52" i="10"/>
  <c r="BQ62" i="10"/>
  <c r="BQ58" i="10"/>
  <c r="BP53" i="10"/>
  <c r="BS13" i="10"/>
  <c r="BN19" i="10"/>
  <c r="BQ50" i="10"/>
  <c r="D137" i="19" s="1" a="1"/>
  <c r="D137" i="19" s="1"/>
  <c r="BS42" i="10"/>
  <c r="BT16" i="10"/>
  <c r="BS49" i="10"/>
  <c r="BT26" i="10"/>
  <c r="BT53" i="10"/>
  <c r="BT19" i="10"/>
  <c r="BR42" i="10"/>
  <c r="BT35" i="10"/>
  <c r="G129" i="19" s="1" a="1"/>
  <c r="G129" i="19" s="1"/>
  <c r="G103" i="19" s="1"/>
  <c r="BT14" i="10"/>
  <c r="BR49" i="10"/>
  <c r="BS34" i="10"/>
  <c r="BR38" i="10"/>
  <c r="BS53" i="10"/>
  <c r="F140" i="19" s="1" a="1"/>
  <c r="F140" i="19" s="1"/>
  <c r="BS33" i="10"/>
  <c r="F125" i="19" s="1" a="1"/>
  <c r="F125" i="19" s="1"/>
  <c r="F102" i="19" s="1"/>
  <c r="BQ49" i="10"/>
  <c r="BT18" i="10"/>
  <c r="AE38" i="10"/>
  <c r="BS44" i="10"/>
  <c r="BP50" i="10"/>
  <c r="C137" i="19" s="1" a="1"/>
  <c r="C137" i="19" s="1"/>
  <c r="BR41" i="10"/>
  <c r="BY41" i="10" s="1"/>
  <c r="BT57" i="10"/>
  <c r="BQ31" i="10"/>
  <c r="D117" i="19" s="1" a="1"/>
  <c r="D117" i="19" s="1"/>
  <c r="D100" i="19" s="1"/>
  <c r="BQ25" i="10"/>
  <c r="F68" i="13" s="1"/>
  <c r="BT22" i="10"/>
  <c r="BS59" i="10"/>
  <c r="F145" i="16" s="1"/>
  <c r="BP46" i="10"/>
  <c r="BR15" i="10"/>
  <c r="BT43" i="10"/>
  <c r="BP17" i="10"/>
  <c r="BR23" i="10"/>
  <c r="BS55" i="10"/>
  <c r="H62" i="13" s="1"/>
  <c r="BT50" i="10"/>
  <c r="G137" i="19" s="1" a="1"/>
  <c r="G137" i="19" s="1"/>
  <c r="BR51" i="10"/>
  <c r="BR56" i="10"/>
  <c r="BP30" i="10"/>
  <c r="C113" i="19" s="1" a="1"/>
  <c r="C113" i="19" s="1"/>
  <c r="BN26" i="10"/>
  <c r="BN51" i="10"/>
  <c r="BQ22" i="10"/>
  <c r="BP48" i="10"/>
  <c r="C188" i="16" s="1"/>
  <c r="BT36" i="10"/>
  <c r="BS38" i="10"/>
  <c r="BT61" i="10"/>
  <c r="CA61" i="10" s="1"/>
  <c r="BN32" i="10"/>
  <c r="BT28" i="10"/>
  <c r="BR37" i="10"/>
  <c r="AE39" i="10"/>
  <c r="BN48" i="10"/>
  <c r="BT40" i="10"/>
  <c r="BS46" i="10"/>
  <c r="BS19" i="10"/>
  <c r="AE45" i="10"/>
  <c r="AD43" i="12"/>
  <c r="AJ43" i="12" s="1"/>
  <c r="BN57" i="10"/>
  <c r="AD47" i="12"/>
  <c r="AJ47" i="12" s="1"/>
  <c r="BQ60" i="10"/>
  <c r="D136" i="16" s="1"/>
  <c r="BS43" i="10"/>
  <c r="AC16" i="12"/>
  <c r="BR43" i="10"/>
  <c r="BN58" i="10"/>
  <c r="AC62" i="12"/>
  <c r="BR45" i="10"/>
  <c r="BS26" i="10"/>
  <c r="BQ37" i="10"/>
  <c r="BQ26" i="10"/>
  <c r="BP51" i="10"/>
  <c r="AC52" i="12"/>
  <c r="AC60" i="12"/>
  <c r="AI60" i="12" s="1"/>
  <c r="BR25" i="10"/>
  <c r="G68" i="13" s="1"/>
  <c r="AD50" i="12"/>
  <c r="BR35" i="10"/>
  <c r="E129" i="19" s="1" a="1"/>
  <c r="E129" i="19" s="1"/>
  <c r="E103" i="19" s="1"/>
  <c r="BT54" i="10"/>
  <c r="G141" i="19" s="1" a="1"/>
  <c r="G141" i="19" s="1"/>
  <c r="AC27" i="12"/>
  <c r="BS30" i="10"/>
  <c r="F113" i="19" s="1" a="1"/>
  <c r="F113" i="19" s="1"/>
  <c r="F99" i="19" s="1"/>
  <c r="BQ32" i="10"/>
  <c r="D121" i="19" s="1" a="1"/>
  <c r="D121" i="19" s="1"/>
  <c r="D101" i="19" s="1"/>
  <c r="BR30" i="10"/>
  <c r="E113" i="19" s="1" a="1"/>
  <c r="E113" i="19" s="1"/>
  <c r="E99" i="19" s="1"/>
  <c r="BQ54" i="10"/>
  <c r="F88" i="13" s="1"/>
  <c r="BQ55" i="10"/>
  <c r="BQ23" i="10"/>
  <c r="BP43" i="10"/>
  <c r="BP41" i="10"/>
  <c r="BW41" i="10" s="1"/>
  <c r="AD29" i="12"/>
  <c r="AC13" i="12"/>
  <c r="BQ39" i="10"/>
  <c r="BX39" i="10" s="1"/>
  <c r="AD26" i="12"/>
  <c r="BQ20" i="10"/>
  <c r="BN31" i="10"/>
  <c r="AC21" i="12"/>
  <c r="AD57" i="12"/>
  <c r="BP13" i="10"/>
  <c r="BN49" i="10"/>
  <c r="BQ52" i="10"/>
  <c r="BN42" i="10"/>
  <c r="BT32" i="10"/>
  <c r="G121" i="19" s="1" a="1"/>
  <c r="G121" i="19" s="1"/>
  <c r="G101" i="19" s="1"/>
  <c r="BS60" i="10"/>
  <c r="BN39" i="10"/>
  <c r="BS50" i="10"/>
  <c r="AD48" i="12"/>
  <c r="AC40" i="12"/>
  <c r="AI40" i="12" s="1"/>
  <c r="AC34" i="12"/>
  <c r="AC31" i="12"/>
  <c r="AI31" i="12" s="1"/>
  <c r="AC23" i="12"/>
  <c r="AD63" i="12"/>
  <c r="AC18" i="12"/>
  <c r="BQ38" i="10"/>
  <c r="BT11" i="10"/>
  <c r="AC45" i="12"/>
  <c r="BR28" i="10"/>
  <c r="BQ33" i="10"/>
  <c r="D125" i="19" s="1" a="1"/>
  <c r="D125" i="19" s="1"/>
  <c r="D102" i="19" s="1"/>
  <c r="BT51" i="10"/>
  <c r="AD58" i="12"/>
  <c r="BP23" i="10"/>
  <c r="BQ45" i="10"/>
  <c r="BT49" i="10"/>
  <c r="AD14" i="12"/>
  <c r="BR13" i="10"/>
  <c r="BQ48" i="10"/>
  <c r="D188" i="16" s="1"/>
  <c r="BT15" i="10"/>
  <c r="AC63" i="12"/>
  <c r="AE40" i="10"/>
  <c r="BQ18" i="10"/>
  <c r="BT34" i="10"/>
  <c r="BT24" i="10"/>
  <c r="AC32" i="12"/>
  <c r="AI32" i="12" s="1"/>
  <c r="BR21" i="10"/>
  <c r="BT56" i="10"/>
  <c r="AE21" i="10"/>
  <c r="BN23" i="10"/>
  <c r="BQ57" i="10"/>
  <c r="AD28" i="12"/>
  <c r="BP20" i="10"/>
  <c r="BR44" i="10"/>
  <c r="BP22" i="10"/>
  <c r="BR52" i="10"/>
  <c r="AC35" i="12"/>
  <c r="AI35" i="12" s="1"/>
  <c r="BT27" i="10"/>
  <c r="BN21" i="10"/>
  <c r="AE49" i="10"/>
  <c r="AD38" i="12"/>
  <c r="AJ38" i="12" s="1"/>
  <c r="AC39" i="12"/>
  <c r="AC15" i="12"/>
  <c r="BT47" i="10"/>
  <c r="AD39" i="12"/>
  <c r="AC36" i="12"/>
  <c r="AD12" i="12"/>
  <c r="BP47" i="10"/>
  <c r="BN27" i="10"/>
  <c r="BR60" i="10"/>
  <c r="BT12" i="10"/>
  <c r="BQ46" i="10"/>
  <c r="BR16" i="10"/>
  <c r="AD20" i="12"/>
  <c r="BT23" i="10"/>
  <c r="BT52" i="10"/>
  <c r="BK161" i="10"/>
  <c r="AE28" i="10"/>
  <c r="AE35" i="10"/>
  <c r="BN11" i="10"/>
  <c r="BI161" i="10"/>
  <c r="BN24" i="10"/>
  <c r="BN34" i="10"/>
  <c r="BN33" i="10"/>
  <c r="BP58" i="10"/>
  <c r="AE11" i="10"/>
  <c r="Z161" i="10"/>
  <c r="AE34" i="10"/>
  <c r="BT38" i="10"/>
  <c r="AE33" i="10"/>
  <c r="BN43" i="10"/>
  <c r="BN46" i="10"/>
  <c r="AE37" i="10"/>
  <c r="BN15" i="10"/>
  <c r="AE43" i="10"/>
  <c r="BP40" i="10"/>
  <c r="AE18" i="10"/>
  <c r="BN20" i="10"/>
  <c r="BN60" i="10"/>
  <c r="AE46" i="10"/>
  <c r="AE15" i="10"/>
  <c r="BP57" i="10"/>
  <c r="BP21" i="10"/>
  <c r="AE31" i="10"/>
  <c r="BP45" i="10"/>
  <c r="AE20" i="10"/>
  <c r="BN47" i="10"/>
  <c r="BN50" i="10"/>
  <c r="BP55" i="10"/>
  <c r="E62" i="13" s="1"/>
  <c r="BN45" i="10"/>
  <c r="BN40" i="10"/>
  <c r="BN18" i="10"/>
  <c r="AE47" i="10"/>
  <c r="BN22" i="10"/>
  <c r="BN13" i="10"/>
  <c r="AE51" i="10"/>
  <c r="AE50" i="10"/>
  <c r="BN53" i="10"/>
  <c r="AE26" i="10"/>
  <c r="BN30" i="10"/>
  <c r="AE13" i="10"/>
  <c r="BR62" i="10"/>
  <c r="AE53" i="10"/>
  <c r="AE36" i="10"/>
  <c r="AE25" i="10"/>
  <c r="AE22" i="10"/>
  <c r="AE42" i="10"/>
  <c r="BN56" i="10"/>
  <c r="BN17" i="10"/>
  <c r="BP28" i="10"/>
  <c r="BP35" i="10"/>
  <c r="C129" i="19" s="1" a="1"/>
  <c r="C129" i="19" s="1"/>
  <c r="AE30" i="10"/>
  <c r="BN25" i="10"/>
  <c r="AE17" i="10"/>
  <c r="BN36" i="10"/>
  <c r="BN41" i="10"/>
  <c r="BN14" i="10"/>
  <c r="BP11" i="10"/>
  <c r="BP24" i="10"/>
  <c r="BW49" i="10"/>
  <c r="BJ161" i="10"/>
  <c r="BN28" i="10"/>
  <c r="BN35" i="10"/>
  <c r="BX63" i="10"/>
  <c r="AE41" i="10"/>
  <c r="AE14" i="10"/>
  <c r="BP34" i="10"/>
  <c r="O161" i="10"/>
  <c r="BL61" i="10"/>
  <c r="H12" i="13" s="1"/>
  <c r="BM62" i="10"/>
  <c r="BN62" i="10" s="1"/>
  <c r="G88" i="13" l="1"/>
  <c r="C88" i="13"/>
  <c r="BY12" i="10"/>
  <c r="D88" i="13"/>
  <c r="G142" i="16"/>
  <c r="G139" i="19" a="1"/>
  <c r="G139" i="19" s="1"/>
  <c r="E141" i="16"/>
  <c r="E138" i="19" a="1"/>
  <c r="E138" i="19" s="1"/>
  <c r="C143" i="16"/>
  <c r="C140" i="19" a="1"/>
  <c r="C140" i="19" s="1"/>
  <c r="BW32" i="10"/>
  <c r="D142" i="16"/>
  <c r="D139" i="19" a="1"/>
  <c r="D139" i="19" s="1"/>
  <c r="G143" i="16"/>
  <c r="G140" i="19" a="1"/>
  <c r="G140" i="19" s="1"/>
  <c r="E143" i="16"/>
  <c r="E140" i="19" a="1"/>
  <c r="E140" i="19" s="1"/>
  <c r="C142" i="16"/>
  <c r="C139" i="19" a="1"/>
  <c r="C139" i="19" s="1"/>
  <c r="D144" i="16"/>
  <c r="D141" i="19" a="1"/>
  <c r="D141" i="19" s="1"/>
  <c r="H141" i="19" s="1"/>
  <c r="E142" i="16"/>
  <c r="E139" i="19" a="1"/>
  <c r="E139" i="19" s="1"/>
  <c r="G141" i="16"/>
  <c r="G138" i="19" a="1"/>
  <c r="G138" i="19" s="1"/>
  <c r="F141" i="16"/>
  <c r="F138" i="19" a="1"/>
  <c r="F138" i="19" s="1"/>
  <c r="C141" i="16"/>
  <c r="C138" i="19" a="1"/>
  <c r="C138" i="19" s="1"/>
  <c r="H84" i="13"/>
  <c r="F137" i="19" a="1"/>
  <c r="F137" i="19" s="1"/>
  <c r="BW54" i="10"/>
  <c r="F144" i="16"/>
  <c r="F143" i="16"/>
  <c r="C144" i="16"/>
  <c r="BW37" i="10"/>
  <c r="G65" i="13"/>
  <c r="BX44" i="10"/>
  <c r="BY58" i="10"/>
  <c r="E144" i="16"/>
  <c r="C179" i="16"/>
  <c r="I54" i="13"/>
  <c r="G144" i="16"/>
  <c r="G179" i="16"/>
  <c r="E221" i="16"/>
  <c r="AB161" i="10"/>
  <c r="F57" i="13"/>
  <c r="I50" i="13"/>
  <c r="I68" i="13"/>
  <c r="BY48" i="10"/>
  <c r="E188" i="16"/>
  <c r="G30" i="19" a="1"/>
  <c r="G30" i="19" s="1"/>
  <c r="G188" i="16"/>
  <c r="BZ59" i="10"/>
  <c r="F146" i="16"/>
  <c r="CA59" i="10"/>
  <c r="G146" i="16"/>
  <c r="BY59" i="10"/>
  <c r="E146" i="16"/>
  <c r="BW59" i="10"/>
  <c r="C146" i="16"/>
  <c r="G145" i="16"/>
  <c r="G64" i="13"/>
  <c r="H65" i="13"/>
  <c r="F17" i="7"/>
  <c r="C17" i="7"/>
  <c r="BW29" i="10"/>
  <c r="G38" i="13"/>
  <c r="C177" i="16"/>
  <c r="CA58" i="10"/>
  <c r="I65" i="13"/>
  <c r="G221" i="16"/>
  <c r="AE48" i="10"/>
  <c r="F177" i="16"/>
  <c r="C57" i="19" a="1"/>
  <c r="C57" i="19" s="1"/>
  <c r="E85" i="13"/>
  <c r="E145" i="16"/>
  <c r="C24" i="19" a="1"/>
  <c r="C24" i="19" s="1"/>
  <c r="BY19" i="10"/>
  <c r="BW12" i="10"/>
  <c r="AE27" i="10"/>
  <c r="F57" i="19" a="1"/>
  <c r="F57" i="19" s="1"/>
  <c r="F74" i="19" a="1"/>
  <c r="F74" i="19" s="1"/>
  <c r="CA48" i="10"/>
  <c r="C13" i="19" a="1"/>
  <c r="C13" i="19" s="1"/>
  <c r="F38" i="13"/>
  <c r="D13" i="19" a="1"/>
  <c r="D13" i="19" s="1"/>
  <c r="E44" i="13"/>
  <c r="F117" i="19" a="1"/>
  <c r="F117" i="19" s="1"/>
  <c r="F100" i="19" s="1"/>
  <c r="C87" i="13"/>
  <c r="I60" i="13"/>
  <c r="D87" i="13"/>
  <c r="BW52" i="10"/>
  <c r="G34" i="19" a="1"/>
  <c r="G34" i="19" s="1"/>
  <c r="F54" i="13"/>
  <c r="G175" i="16"/>
  <c r="D86" i="13"/>
  <c r="E86" i="13"/>
  <c r="F86" i="13"/>
  <c r="CA25" i="10"/>
  <c r="D85" i="13"/>
  <c r="C85" i="13"/>
  <c r="H79" i="13"/>
  <c r="I86" i="13"/>
  <c r="C86" i="13"/>
  <c r="F79" i="13"/>
  <c r="E79" i="13"/>
  <c r="H87" i="13"/>
  <c r="I84" i="13"/>
  <c r="G79" i="13"/>
  <c r="F84" i="13"/>
  <c r="G86" i="13"/>
  <c r="C79" i="13"/>
  <c r="E84" i="13"/>
  <c r="D79" i="13"/>
  <c r="AE29" i="10"/>
  <c r="D137" i="16"/>
  <c r="BX29" i="10"/>
  <c r="F41" i="13"/>
  <c r="F87" i="13"/>
  <c r="F55" i="13"/>
  <c r="E41" i="13"/>
  <c r="E87" i="13"/>
  <c r="F59" i="13"/>
  <c r="G48" i="13"/>
  <c r="I44" i="13"/>
  <c r="G51" i="13"/>
  <c r="BW16" i="10"/>
  <c r="E88" i="13"/>
  <c r="E48" i="13"/>
  <c r="H51" i="13"/>
  <c r="I51" i="13"/>
  <c r="I45" i="13"/>
  <c r="D66" i="13"/>
  <c r="E43" i="13"/>
  <c r="I55" i="13"/>
  <c r="F45" i="13"/>
  <c r="H44" i="13"/>
  <c r="F47" i="13"/>
  <c r="G41" i="13"/>
  <c r="G87" i="13"/>
  <c r="F61" i="13"/>
  <c r="H61" i="13"/>
  <c r="G45" i="13"/>
  <c r="H64" i="13"/>
  <c r="E30" i="19" a="1"/>
  <c r="E30" i="19" s="1"/>
  <c r="G67" i="13"/>
  <c r="E64" i="13"/>
  <c r="E55" i="13"/>
  <c r="D38" i="13"/>
  <c r="D84" i="13"/>
  <c r="E47" i="13"/>
  <c r="F63" i="13"/>
  <c r="C66" i="13"/>
  <c r="H59" i="13"/>
  <c r="E59" i="13"/>
  <c r="I42" i="13"/>
  <c r="I88" i="13"/>
  <c r="H54" i="13"/>
  <c r="H42" i="13"/>
  <c r="H88" i="13"/>
  <c r="G46" i="13"/>
  <c r="I62" i="13"/>
  <c r="I39" i="13"/>
  <c r="I85" i="13"/>
  <c r="BX24" i="10"/>
  <c r="F62" i="13"/>
  <c r="C56" i="13"/>
  <c r="C67" i="13"/>
  <c r="I47" i="13"/>
  <c r="H47" i="13"/>
  <c r="I59" i="13"/>
  <c r="I41" i="13"/>
  <c r="I87" i="13"/>
  <c r="H55" i="13"/>
  <c r="G43" i="13"/>
  <c r="D15" i="19" a="1"/>
  <c r="D15" i="19" s="1"/>
  <c r="E67" i="13"/>
  <c r="G62" i="13"/>
  <c r="I48" i="13"/>
  <c r="F64" i="13"/>
  <c r="G61" i="13"/>
  <c r="H39" i="13"/>
  <c r="H85" i="13"/>
  <c r="I43" i="13"/>
  <c r="BX15" i="10"/>
  <c r="F51" i="13"/>
  <c r="I64" i="13"/>
  <c r="E52" i="13"/>
  <c r="E66" i="13"/>
  <c r="F43" i="13"/>
  <c r="G39" i="13"/>
  <c r="G85" i="13"/>
  <c r="D67" i="13"/>
  <c r="F48" i="13"/>
  <c r="H52" i="13"/>
  <c r="G44" i="13"/>
  <c r="C23" i="19" a="1"/>
  <c r="C23" i="19" s="1"/>
  <c r="E42" i="13"/>
  <c r="G60" i="13"/>
  <c r="AE61" i="10"/>
  <c r="AE24" i="10"/>
  <c r="AE16" i="10"/>
  <c r="AE32" i="10"/>
  <c r="F23" i="19" a="1"/>
  <c r="F23" i="19" s="1"/>
  <c r="F49" i="13"/>
  <c r="D56" i="19" a="1"/>
  <c r="D56" i="19" s="1"/>
  <c r="AA161" i="10"/>
  <c r="F121" i="19" a="1"/>
  <c r="F121" i="19" s="1"/>
  <c r="F101" i="19" s="1"/>
  <c r="E63" i="13"/>
  <c r="AH29" i="10"/>
  <c r="AK48" i="10"/>
  <c r="AJ27" i="10"/>
  <c r="AL27" i="10" s="1"/>
  <c r="AI48" i="10"/>
  <c r="AJ16" i="10"/>
  <c r="AH24" i="10"/>
  <c r="AJ32" i="10"/>
  <c r="AL32" i="10" s="1"/>
  <c r="BZ16" i="10"/>
  <c r="F33" i="13"/>
  <c r="H33" i="13"/>
  <c r="G33" i="13"/>
  <c r="AD62" i="10"/>
  <c r="AE62" i="10" s="1"/>
  <c r="X62" i="10"/>
  <c r="X161" i="10" s="1"/>
  <c r="X6" i="10" s="1"/>
  <c r="I63" i="13"/>
  <c r="F44" i="19" a="1"/>
  <c r="F44" i="19" s="1"/>
  <c r="H57" i="13"/>
  <c r="G44" i="19" a="1"/>
  <c r="G44" i="19" s="1"/>
  <c r="G46" i="19" s="1"/>
  <c r="I57" i="13"/>
  <c r="C30" i="19" a="1"/>
  <c r="C30" i="19" s="1"/>
  <c r="E60" i="13"/>
  <c r="AJ19" i="12"/>
  <c r="D44" i="13"/>
  <c r="AJ54" i="12"/>
  <c r="D62" i="13"/>
  <c r="G63" i="13"/>
  <c r="AI44" i="12"/>
  <c r="C57" i="13"/>
  <c r="G13" i="19" a="1"/>
  <c r="G13" i="19" s="1"/>
  <c r="I38" i="13"/>
  <c r="G56" i="19" a="1"/>
  <c r="G56" i="19" s="1"/>
  <c r="I49" i="13"/>
  <c r="AI34" i="12"/>
  <c r="C55" i="13"/>
  <c r="AJ48" i="12"/>
  <c r="D60" i="13"/>
  <c r="E45" i="19" a="1"/>
  <c r="E45" i="19" s="1"/>
  <c r="G58" i="13"/>
  <c r="F182" i="16"/>
  <c r="H56" i="13"/>
  <c r="AJ46" i="12"/>
  <c r="D59" i="13"/>
  <c r="AI24" i="12"/>
  <c r="C49" i="13"/>
  <c r="AI48" i="12"/>
  <c r="C60" i="13"/>
  <c r="AJ45" i="12"/>
  <c r="D58" i="13"/>
  <c r="F67" i="19" a="1"/>
  <c r="F67" i="19" s="1"/>
  <c r="H53" i="13"/>
  <c r="AI17" i="12"/>
  <c r="C43" i="13"/>
  <c r="AI57" i="12"/>
  <c r="C64" i="13"/>
  <c r="AI28" i="12"/>
  <c r="C53" i="13"/>
  <c r="AJ58" i="12"/>
  <c r="D65" i="13"/>
  <c r="C67" i="19" a="1"/>
  <c r="C67" i="19" s="1"/>
  <c r="E53" i="13"/>
  <c r="E44" i="19" a="1"/>
  <c r="E44" i="19" s="1"/>
  <c r="G57" i="13"/>
  <c r="AI27" i="12"/>
  <c r="C52" i="13"/>
  <c r="AJ18" i="12"/>
  <c r="D63" i="13"/>
  <c r="AJ44" i="12"/>
  <c r="D57" i="13"/>
  <c r="C25" i="19" a="1"/>
  <c r="C25" i="19" s="1"/>
  <c r="E45" i="13"/>
  <c r="AI45" i="12"/>
  <c r="C58" i="13"/>
  <c r="AJ15" i="12"/>
  <c r="D41" i="13"/>
  <c r="AJ23" i="12"/>
  <c r="D48" i="13"/>
  <c r="AJ24" i="12"/>
  <c r="D49" i="13"/>
  <c r="E182" i="16"/>
  <c r="G56" i="13"/>
  <c r="AJ13" i="12"/>
  <c r="D39" i="13"/>
  <c r="F45" i="19" a="1"/>
  <c r="F45" i="19" s="1"/>
  <c r="H58" i="13"/>
  <c r="AJ17" i="12"/>
  <c r="D43" i="13"/>
  <c r="G57" i="19" a="1"/>
  <c r="G57" i="19" s="1"/>
  <c r="I52" i="13"/>
  <c r="AJ57" i="12"/>
  <c r="D64" i="13"/>
  <c r="E50" i="13"/>
  <c r="AJ36" i="12"/>
  <c r="D56" i="13"/>
  <c r="AJ28" i="12"/>
  <c r="D53" i="13"/>
  <c r="AI13" i="12"/>
  <c r="C39" i="13"/>
  <c r="AI49" i="12"/>
  <c r="C61" i="13"/>
  <c r="D38" i="19" a="1"/>
  <c r="D38" i="19" s="1"/>
  <c r="F46" i="13"/>
  <c r="AI25" i="12"/>
  <c r="C50" i="13"/>
  <c r="AI20" i="12"/>
  <c r="C45" i="13"/>
  <c r="AJ16" i="12"/>
  <c r="D42" i="13"/>
  <c r="C14" i="19" a="1"/>
  <c r="C14" i="19" s="1"/>
  <c r="E39" i="13"/>
  <c r="D30" i="19" a="1"/>
  <c r="D30" i="19" s="1"/>
  <c r="F60" i="13"/>
  <c r="AJ29" i="12"/>
  <c r="H39" i="4" s="1"/>
  <c r="D54" i="13"/>
  <c r="D21" i="13"/>
  <c r="D78" i="13" s="1"/>
  <c r="AI16" i="12"/>
  <c r="C42" i="13"/>
  <c r="F50" i="13"/>
  <c r="CA63" i="10"/>
  <c r="I67" i="13"/>
  <c r="AI12" i="12"/>
  <c r="C38" i="13"/>
  <c r="E17" i="7"/>
  <c r="G66" i="13"/>
  <c r="G182" i="16"/>
  <c r="I56" i="13"/>
  <c r="G38" i="19" a="1"/>
  <c r="G38" i="19" s="1"/>
  <c r="I46" i="13"/>
  <c r="AJ25" i="12"/>
  <c r="D50" i="13"/>
  <c r="AI46" i="12"/>
  <c r="C59" i="13"/>
  <c r="E67" i="19" a="1"/>
  <c r="E67" i="19" s="1"/>
  <c r="G53" i="13"/>
  <c r="AJ26" i="12"/>
  <c r="D51" i="13"/>
  <c r="AI15" i="12"/>
  <c r="C41" i="13"/>
  <c r="C145" i="16"/>
  <c r="E65" i="13"/>
  <c r="AJ20" i="12"/>
  <c r="D45" i="13"/>
  <c r="AI18" i="12"/>
  <c r="C63" i="13"/>
  <c r="G50" i="13"/>
  <c r="F22" i="19" a="1"/>
  <c r="F22" i="19" s="1"/>
  <c r="H40" i="13"/>
  <c r="AI26" i="12"/>
  <c r="C51" i="13"/>
  <c r="AJ27" i="12"/>
  <c r="D52" i="13"/>
  <c r="D45" i="19" a="1"/>
  <c r="D45" i="19" s="1"/>
  <c r="D46" i="19" s="1"/>
  <c r="F58" i="13"/>
  <c r="D17" i="7"/>
  <c r="F66" i="13"/>
  <c r="D22" i="19" a="1"/>
  <c r="D22" i="19" s="1"/>
  <c r="F40" i="13"/>
  <c r="AJ22" i="12"/>
  <c r="D47" i="13"/>
  <c r="AJ21" i="12"/>
  <c r="D46" i="13"/>
  <c r="AI21" i="12"/>
  <c r="C46" i="13"/>
  <c r="C56" i="19" a="1"/>
  <c r="C56" i="19" s="1"/>
  <c r="E49" i="13"/>
  <c r="C45" i="19" a="1"/>
  <c r="C45" i="19" s="1"/>
  <c r="C46" i="19" s="1"/>
  <c r="E58" i="13"/>
  <c r="G22" i="19" a="1"/>
  <c r="G22" i="19" s="1"/>
  <c r="I40" i="13"/>
  <c r="D57" i="19" a="1"/>
  <c r="D57" i="19" s="1"/>
  <c r="F52" i="13"/>
  <c r="AI19" i="12"/>
  <c r="C44" i="13"/>
  <c r="C182" i="16"/>
  <c r="E56" i="13"/>
  <c r="AI22" i="12"/>
  <c r="C47" i="13"/>
  <c r="AI14" i="12"/>
  <c r="C40" i="13"/>
  <c r="AI29" i="12"/>
  <c r="G39" i="4" s="1"/>
  <c r="C54" i="13"/>
  <c r="AI58" i="12"/>
  <c r="C65" i="13"/>
  <c r="C38" i="19" a="1"/>
  <c r="C38" i="19" s="1"/>
  <c r="E46" i="13"/>
  <c r="E23" i="19" a="1"/>
  <c r="E23" i="19" s="1"/>
  <c r="G42" i="13"/>
  <c r="AJ14" i="12"/>
  <c r="D40" i="13"/>
  <c r="G67" i="19" a="1"/>
  <c r="G67" i="19" s="1"/>
  <c r="I53" i="13"/>
  <c r="G71" i="19" a="1"/>
  <c r="G71" i="19" s="1"/>
  <c r="I61" i="13"/>
  <c r="AI23" i="12"/>
  <c r="C48" i="13"/>
  <c r="D145" i="16"/>
  <c r="F65" i="13"/>
  <c r="C22" i="19" a="1"/>
  <c r="C22" i="19" s="1"/>
  <c r="E40" i="13"/>
  <c r="F56" i="19" a="1"/>
  <c r="F56" i="19" s="1"/>
  <c r="H49" i="13"/>
  <c r="AJ34" i="12"/>
  <c r="D55" i="13"/>
  <c r="AJ49" i="12"/>
  <c r="D61" i="13"/>
  <c r="AI54" i="12"/>
  <c r="C62" i="13"/>
  <c r="BZ63" i="10"/>
  <c r="H67" i="13"/>
  <c r="G49" i="13"/>
  <c r="C21" i="13"/>
  <c r="C78" i="13" s="1"/>
  <c r="D19" i="13"/>
  <c r="D32" i="13" s="1"/>
  <c r="C16" i="13"/>
  <c r="D16" i="13"/>
  <c r="C19" i="13"/>
  <c r="C32" i="13" s="1"/>
  <c r="E19" i="13"/>
  <c r="F140" i="16"/>
  <c r="H21" i="13"/>
  <c r="H78" i="13" s="1"/>
  <c r="G140" i="16"/>
  <c r="I21" i="13"/>
  <c r="I78" i="13" s="1"/>
  <c r="D140" i="16"/>
  <c r="F21" i="13"/>
  <c r="F78" i="13" s="1"/>
  <c r="G19" i="13"/>
  <c r="F19" i="13"/>
  <c r="G21" i="13"/>
  <c r="G78" i="13" s="1"/>
  <c r="C140" i="16"/>
  <c r="E21" i="13"/>
  <c r="E78" i="13" s="1"/>
  <c r="AI53" i="12"/>
  <c r="AF53" i="12"/>
  <c r="AJ52" i="12"/>
  <c r="AG52" i="12"/>
  <c r="AI52" i="12"/>
  <c r="AF52" i="12"/>
  <c r="AJ51" i="12"/>
  <c r="AG51" i="12"/>
  <c r="AI11" i="12"/>
  <c r="AF11" i="12"/>
  <c r="AJ11" i="12"/>
  <c r="AG11" i="12"/>
  <c r="AJ53" i="12"/>
  <c r="AG53" i="12"/>
  <c r="AI51" i="12"/>
  <c r="AF51" i="12"/>
  <c r="AJ50" i="12"/>
  <c r="AG50" i="12"/>
  <c r="AI50" i="12"/>
  <c r="AF50" i="12"/>
  <c r="E58" i="19"/>
  <c r="E50" i="19" s="1"/>
  <c r="H16" i="13"/>
  <c r="F170" i="16"/>
  <c r="F109" i="19" a="1"/>
  <c r="F109" i="19" s="1"/>
  <c r="F98" i="19" s="1"/>
  <c r="C170" i="16"/>
  <c r="C109" i="19" a="1"/>
  <c r="C109" i="19" s="1"/>
  <c r="G16" i="13"/>
  <c r="E170" i="16"/>
  <c r="E109" i="19" a="1"/>
  <c r="E109" i="19" s="1"/>
  <c r="E98" i="19" s="1"/>
  <c r="E105" i="19" s="1"/>
  <c r="F16" i="13"/>
  <c r="G170" i="16"/>
  <c r="G109" i="19" a="1"/>
  <c r="G109" i="19" s="1"/>
  <c r="G98" i="19" s="1"/>
  <c r="E16" i="13"/>
  <c r="I12" i="13"/>
  <c r="H129" i="19"/>
  <c r="C103" i="19"/>
  <c r="H103" i="19" s="1"/>
  <c r="H125" i="19"/>
  <c r="C102" i="19"/>
  <c r="H102" i="19" s="1"/>
  <c r="BW46" i="10"/>
  <c r="C133" i="19" a="1"/>
  <c r="C133" i="19" s="1"/>
  <c r="C101" i="19"/>
  <c r="C100" i="19"/>
  <c r="BX46" i="10"/>
  <c r="D133" i="19" a="1"/>
  <c r="D133" i="19" s="1"/>
  <c r="D104" i="19" s="1"/>
  <c r="D105" i="19" s="1"/>
  <c r="C99" i="19"/>
  <c r="H99" i="19" s="1"/>
  <c r="H113" i="19"/>
  <c r="BZ46" i="10"/>
  <c r="F133" i="19" a="1"/>
  <c r="F133" i="19" s="1"/>
  <c r="F104" i="19" s="1"/>
  <c r="CA46" i="10"/>
  <c r="G133" i="19" a="1"/>
  <c r="G133" i="19" s="1"/>
  <c r="G104" i="19" s="1"/>
  <c r="G176" i="16"/>
  <c r="G62" i="19" a="1"/>
  <c r="G62" i="19" s="1"/>
  <c r="G51" i="19" s="1"/>
  <c r="C51" i="19"/>
  <c r="E176" i="16"/>
  <c r="E62" i="19" a="1"/>
  <c r="E62" i="19" s="1"/>
  <c r="E51" i="19" s="1"/>
  <c r="D176" i="16"/>
  <c r="D62" i="19" a="1"/>
  <c r="D62" i="19" s="1"/>
  <c r="D51" i="19" s="1"/>
  <c r="F176" i="16"/>
  <c r="F62" i="19" a="1"/>
  <c r="F62" i="19" s="1"/>
  <c r="F51" i="19" s="1"/>
  <c r="E175" i="16"/>
  <c r="E34" i="19" a="1"/>
  <c r="E34" i="19" s="1"/>
  <c r="C175" i="16"/>
  <c r="C34" i="19" a="1"/>
  <c r="C34" i="19" s="1"/>
  <c r="D175" i="16"/>
  <c r="D34" i="19" a="1"/>
  <c r="D34" i="19" s="1"/>
  <c r="CA22" i="10"/>
  <c r="G39" i="19" a="1"/>
  <c r="G39" i="19" s="1"/>
  <c r="BW22" i="10"/>
  <c r="C39" i="19" a="1"/>
  <c r="C39" i="19" s="1"/>
  <c r="BX22" i="10"/>
  <c r="D39" i="19" a="1"/>
  <c r="D39" i="19" s="1"/>
  <c r="BZ22" i="10"/>
  <c r="F39" i="19" a="1"/>
  <c r="F39" i="19" s="1"/>
  <c r="F40" i="19" s="1"/>
  <c r="E173" i="16"/>
  <c r="E38" i="19" a="1"/>
  <c r="E38" i="19" s="1"/>
  <c r="E40" i="19" s="1"/>
  <c r="BY23" i="10"/>
  <c r="E26" i="19" a="1"/>
  <c r="E26" i="19" s="1"/>
  <c r="CA20" i="10"/>
  <c r="G25" i="19" a="1"/>
  <c r="G25" i="19" s="1"/>
  <c r="BX23" i="10"/>
  <c r="D26" i="19" a="1"/>
  <c r="D26" i="19" s="1"/>
  <c r="CA23" i="10"/>
  <c r="G26" i="19" a="1"/>
  <c r="G26" i="19" s="1"/>
  <c r="BX20" i="10"/>
  <c r="D25" i="19" a="1"/>
  <c r="D25" i="19" s="1"/>
  <c r="BY20" i="10"/>
  <c r="E25" i="19" a="1"/>
  <c r="E25" i="19" s="1"/>
  <c r="CA19" i="10"/>
  <c r="G24" i="19" a="1"/>
  <c r="G24" i="19" s="1"/>
  <c r="BZ19" i="10"/>
  <c r="F24" i="19" a="1"/>
  <c r="F24" i="19" s="1"/>
  <c r="BW23" i="10"/>
  <c r="C26" i="19" a="1"/>
  <c r="C26" i="19" s="1"/>
  <c r="CA16" i="10"/>
  <c r="G23" i="19" a="1"/>
  <c r="G23" i="19" s="1"/>
  <c r="CA15" i="10"/>
  <c r="G15" i="19" a="1"/>
  <c r="G15" i="19" s="1"/>
  <c r="BY17" i="10"/>
  <c r="E16" i="19" a="1"/>
  <c r="E16" i="19" s="1"/>
  <c r="BX17" i="10"/>
  <c r="D16" i="19" a="1"/>
  <c r="D16" i="19" s="1"/>
  <c r="BW15" i="10"/>
  <c r="C15" i="19" a="1"/>
  <c r="C15" i="19" s="1"/>
  <c r="BY18" i="10"/>
  <c r="E17" i="19" a="1"/>
  <c r="E17" i="19" s="1"/>
  <c r="BY13" i="10"/>
  <c r="E14" i="19" a="1"/>
  <c r="E14" i="19" s="1"/>
  <c r="CA17" i="10"/>
  <c r="G16" i="19" a="1"/>
  <c r="G16" i="19" s="1"/>
  <c r="CA18" i="10"/>
  <c r="G17" i="19" a="1"/>
  <c r="G17" i="19" s="1"/>
  <c r="BZ13" i="10"/>
  <c r="F14" i="19" a="1"/>
  <c r="F14" i="19" s="1"/>
  <c r="F18" i="19" s="1"/>
  <c r="BW17" i="10"/>
  <c r="C16" i="19" a="1"/>
  <c r="C16" i="19" s="1"/>
  <c r="CA13" i="10"/>
  <c r="G14" i="19" a="1"/>
  <c r="G14" i="19" s="1"/>
  <c r="BW18" i="10"/>
  <c r="C17" i="19" a="1"/>
  <c r="C17" i="19" s="1"/>
  <c r="BX18" i="10"/>
  <c r="D17" i="19" a="1"/>
  <c r="D17" i="19" s="1"/>
  <c r="BY15" i="10"/>
  <c r="E15" i="19" a="1"/>
  <c r="E15" i="19" s="1"/>
  <c r="G173" i="16"/>
  <c r="D180" i="16"/>
  <c r="C139" i="16"/>
  <c r="E138" i="16"/>
  <c r="E180" i="16"/>
  <c r="E139" i="16"/>
  <c r="C134" i="16"/>
  <c r="D134" i="16"/>
  <c r="C180" i="16"/>
  <c r="C173" i="16"/>
  <c r="E135" i="16"/>
  <c r="G137" i="16"/>
  <c r="G181" i="16"/>
  <c r="G138" i="16"/>
  <c r="F138" i="16"/>
  <c r="F181" i="16"/>
  <c r="D181" i="16"/>
  <c r="D138" i="16"/>
  <c r="E134" i="16"/>
  <c r="F179" i="16"/>
  <c r="F137" i="16"/>
  <c r="F180" i="16"/>
  <c r="CA27" i="10"/>
  <c r="G177" i="16"/>
  <c r="G180" i="16"/>
  <c r="D173" i="16"/>
  <c r="F174" i="16"/>
  <c r="F135" i="16"/>
  <c r="C137" i="16"/>
  <c r="E136" i="16"/>
  <c r="E178" i="16"/>
  <c r="E137" i="16"/>
  <c r="G174" i="16"/>
  <c r="G139" i="16"/>
  <c r="C181" i="16"/>
  <c r="C138" i="16"/>
  <c r="F139" i="16"/>
  <c r="F178" i="16"/>
  <c r="F136" i="16"/>
  <c r="F173" i="16"/>
  <c r="G136" i="16"/>
  <c r="G178" i="16"/>
  <c r="BX27" i="10"/>
  <c r="D177" i="16"/>
  <c r="D135" i="16"/>
  <c r="C178" i="16"/>
  <c r="C136" i="16"/>
  <c r="C174" i="16"/>
  <c r="C135" i="16"/>
  <c r="BU63" i="10"/>
  <c r="E133" i="16"/>
  <c r="D133" i="16"/>
  <c r="G133" i="16"/>
  <c r="F133" i="16"/>
  <c r="BZ24" i="10"/>
  <c r="BX34" i="10"/>
  <c r="F13" i="7"/>
  <c r="CA24" i="10"/>
  <c r="CA34" i="10"/>
  <c r="BZ34" i="10"/>
  <c r="H17" i="4"/>
  <c r="G17" i="4"/>
  <c r="F84" i="19" a="1"/>
  <c r="F84" i="19" s="1"/>
  <c r="F18" i="7"/>
  <c r="F93" i="19" a="1"/>
  <c r="F93" i="19" s="1"/>
  <c r="CH63" i="10"/>
  <c r="CG63" i="10"/>
  <c r="CD63" i="10"/>
  <c r="E18" i="7"/>
  <c r="E72" i="19" a="1"/>
  <c r="E72" i="19" s="1"/>
  <c r="F76" i="19" a="1"/>
  <c r="F76" i="19" s="1"/>
  <c r="G18" i="7"/>
  <c r="D71" i="19" a="1"/>
  <c r="D71" i="19" s="1"/>
  <c r="C74" i="19" a="1"/>
  <c r="C74" i="19" s="1"/>
  <c r="C191" i="16"/>
  <c r="G186" i="16"/>
  <c r="D193" i="16"/>
  <c r="D187" i="16"/>
  <c r="G185" i="16"/>
  <c r="D184" i="16"/>
  <c r="D194" i="16"/>
  <c r="C184" i="16"/>
  <c r="C193" i="16"/>
  <c r="D192" i="16"/>
  <c r="D185" i="16"/>
  <c r="E184" i="16"/>
  <c r="E190" i="16"/>
  <c r="C185" i="16"/>
  <c r="C194" i="16"/>
  <c r="C190" i="16"/>
  <c r="E185" i="16"/>
  <c r="G184" i="16"/>
  <c r="F185" i="16"/>
  <c r="C192" i="16"/>
  <c r="G183" i="16"/>
  <c r="E191" i="16"/>
  <c r="F184" i="16"/>
  <c r="F191" i="16"/>
  <c r="F192" i="16"/>
  <c r="E194" i="16"/>
  <c r="C171" i="16"/>
  <c r="F172" i="16"/>
  <c r="G171" i="16"/>
  <c r="C183" i="16"/>
  <c r="D189" i="16"/>
  <c r="C189" i="16"/>
  <c r="G192" i="16"/>
  <c r="E192" i="16"/>
  <c r="G191" i="16"/>
  <c r="D191" i="16"/>
  <c r="E172" i="16"/>
  <c r="D190" i="16"/>
  <c r="BY44" i="10"/>
  <c r="E189" i="16"/>
  <c r="G172" i="16"/>
  <c r="D172" i="16"/>
  <c r="BY42" i="10"/>
  <c r="E186" i="16"/>
  <c r="CA44" i="10"/>
  <c r="G189" i="16"/>
  <c r="BX31" i="10"/>
  <c r="CA31" i="10"/>
  <c r="D171" i="16"/>
  <c r="G75" i="19" a="1"/>
  <c r="G75" i="19" s="1"/>
  <c r="G193" i="16"/>
  <c r="BX42" i="10"/>
  <c r="D186" i="16"/>
  <c r="F190" i="16"/>
  <c r="BW31" i="10"/>
  <c r="E220" i="16"/>
  <c r="E8" i="19" s="1" a="1"/>
  <c r="E8" i="19" s="1"/>
  <c r="BW43" i="10"/>
  <c r="C187" i="16"/>
  <c r="D183" i="16"/>
  <c r="BZ44" i="10"/>
  <c r="F189" i="16"/>
  <c r="E183" i="16"/>
  <c r="G190" i="16"/>
  <c r="BZ42" i="10"/>
  <c r="F186" i="16"/>
  <c r="BW42" i="10"/>
  <c r="C186" i="16"/>
  <c r="BZ29" i="10"/>
  <c r="F171" i="16"/>
  <c r="CA32" i="10"/>
  <c r="F183" i="16"/>
  <c r="E75" i="19" a="1"/>
  <c r="E75" i="19" s="1"/>
  <c r="E193" i="16"/>
  <c r="C172" i="16"/>
  <c r="BY43" i="10"/>
  <c r="E187" i="16"/>
  <c r="F75" i="19" a="1"/>
  <c r="F75" i="19" s="1"/>
  <c r="F193" i="16"/>
  <c r="E171" i="16"/>
  <c r="CA43" i="10"/>
  <c r="G187" i="16"/>
  <c r="BZ43" i="10"/>
  <c r="F187" i="16"/>
  <c r="D18" i="7"/>
  <c r="C18" i="7"/>
  <c r="G20" i="7"/>
  <c r="E20" i="7"/>
  <c r="C14" i="7"/>
  <c r="D12" i="7"/>
  <c r="C19" i="7"/>
  <c r="E93" i="19" a="1"/>
  <c r="E93" i="19" s="1"/>
  <c r="E13" i="7"/>
  <c r="E12" i="7"/>
  <c r="D14" i="7"/>
  <c r="F20" i="7"/>
  <c r="E14" i="7"/>
  <c r="F14" i="7"/>
  <c r="C12" i="7"/>
  <c r="C20" i="7"/>
  <c r="G14" i="7"/>
  <c r="D93" i="19" a="1"/>
  <c r="D93" i="19" s="1"/>
  <c r="D13" i="7"/>
  <c r="E19" i="7"/>
  <c r="D19" i="7"/>
  <c r="G93" i="19" a="1"/>
  <c r="G93" i="19" s="1"/>
  <c r="G13" i="7"/>
  <c r="C93" i="19" a="1"/>
  <c r="C93" i="19" s="1"/>
  <c r="C13" i="7"/>
  <c r="D20" i="7"/>
  <c r="D89" i="19" a="1"/>
  <c r="D89" i="19" s="1"/>
  <c r="D83" i="19" a="1"/>
  <c r="D83" i="19" s="1"/>
  <c r="BZ57" i="10"/>
  <c r="BY35" i="10"/>
  <c r="CA35" i="10"/>
  <c r="I119" i="13" s="1"/>
  <c r="BW33" i="10"/>
  <c r="BX57" i="10"/>
  <c r="CA57" i="10"/>
  <c r="BX35" i="10"/>
  <c r="BX33" i="10"/>
  <c r="BY33" i="10"/>
  <c r="BZ33" i="10"/>
  <c r="F221" i="16"/>
  <c r="G18" i="4"/>
  <c r="E84" i="19" a="1"/>
  <c r="E84" i="19" s="1"/>
  <c r="C75" i="19" a="1"/>
  <c r="C75" i="19" s="1"/>
  <c r="D221" i="16"/>
  <c r="E71" i="19" a="1"/>
  <c r="E71" i="19" s="1"/>
  <c r="D73" i="19" a="1"/>
  <c r="D73" i="19" s="1"/>
  <c r="C220" i="16"/>
  <c r="C8" i="19" s="1" a="1"/>
  <c r="C8" i="19" s="1"/>
  <c r="G77" i="19" a="1"/>
  <c r="G77" i="19" s="1"/>
  <c r="F71" i="19" a="1"/>
  <c r="F71" i="19" s="1"/>
  <c r="D75" i="19" a="1"/>
  <c r="D75" i="19" s="1"/>
  <c r="C221" i="16"/>
  <c r="E219" i="16"/>
  <c r="E7" i="19" s="1" a="1"/>
  <c r="E7" i="19" s="1"/>
  <c r="C84" i="19" a="1"/>
  <c r="C84" i="19" s="1"/>
  <c r="D84" i="19" a="1"/>
  <c r="D84" i="19" s="1"/>
  <c r="CA54" i="10"/>
  <c r="G76" i="19" a="1"/>
  <c r="G76" i="19" s="1"/>
  <c r="BY52" i="10"/>
  <c r="E74" i="19" a="1"/>
  <c r="E74" i="19" s="1"/>
  <c r="C83" i="19" a="1"/>
  <c r="C83" i="19" s="1"/>
  <c r="C89" i="19" a="1"/>
  <c r="C89" i="19" s="1"/>
  <c r="C77" i="19" a="1"/>
  <c r="C77" i="19" s="1"/>
  <c r="D77" i="19" a="1"/>
  <c r="D77" i="19" s="1"/>
  <c r="F77" i="19" a="1"/>
  <c r="F77" i="19" s="1"/>
  <c r="E83" i="19" a="1"/>
  <c r="E83" i="19" s="1"/>
  <c r="E89" i="19" a="1"/>
  <c r="E89" i="19" s="1"/>
  <c r="BZ51" i="10"/>
  <c r="H124" i="13" s="1"/>
  <c r="F73" i="19" a="1"/>
  <c r="F73" i="19" s="1"/>
  <c r="BW51" i="10"/>
  <c r="E124" i="13" s="1"/>
  <c r="C73" i="19" a="1"/>
  <c r="C73" i="19" s="1"/>
  <c r="BY54" i="10"/>
  <c r="E76" i="19" a="1"/>
  <c r="E76" i="19" s="1"/>
  <c r="BW50" i="10"/>
  <c r="C72" i="19" a="1"/>
  <c r="C72" i="19" s="1"/>
  <c r="G84" i="19" a="1"/>
  <c r="G84" i="19" s="1"/>
  <c r="BY51" i="10"/>
  <c r="E73" i="19" a="1"/>
  <c r="E73" i="19" s="1"/>
  <c r="BX54" i="10"/>
  <c r="F123" i="13" s="1"/>
  <c r="D76" i="19" a="1"/>
  <c r="D76" i="19" s="1"/>
  <c r="E77" i="19" a="1"/>
  <c r="E77" i="19" s="1"/>
  <c r="CA50" i="10"/>
  <c r="G72" i="19" a="1"/>
  <c r="G72" i="19" s="1"/>
  <c r="BX50" i="10"/>
  <c r="D72" i="19" a="1"/>
  <c r="D72" i="19" s="1"/>
  <c r="F83" i="19" a="1"/>
  <c r="F83" i="19" s="1"/>
  <c r="F89" i="19" a="1"/>
  <c r="F89" i="19" s="1"/>
  <c r="BZ50" i="10"/>
  <c r="F72" i="19" a="1"/>
  <c r="F72" i="19" s="1"/>
  <c r="G83" i="19" a="1"/>
  <c r="G83" i="19" s="1"/>
  <c r="G89" i="19" a="1"/>
  <c r="G89" i="19" s="1"/>
  <c r="CA51" i="10"/>
  <c r="I124" i="13" s="1"/>
  <c r="G73" i="19" a="1"/>
  <c r="G73" i="19" s="1"/>
  <c r="CA52" i="10"/>
  <c r="G74" i="19" a="1"/>
  <c r="G74" i="19" s="1"/>
  <c r="BX52" i="10"/>
  <c r="D74" i="19" a="1"/>
  <c r="D74" i="19" s="1"/>
  <c r="AJ39" i="12"/>
  <c r="AI39" i="12"/>
  <c r="G219" i="16"/>
  <c r="G7" i="19" s="1" a="1"/>
  <c r="G7" i="19" s="1"/>
  <c r="E217" i="16"/>
  <c r="E5" i="19" s="1" a="1"/>
  <c r="E5" i="19" s="1"/>
  <c r="E218" i="16"/>
  <c r="E6" i="19" s="1" a="1"/>
  <c r="E6" i="19" s="1"/>
  <c r="C216" i="16"/>
  <c r="C4" i="19" s="1" a="1"/>
  <c r="C4" i="19" s="1"/>
  <c r="G218" i="16"/>
  <c r="G6" i="19" s="1" a="1"/>
  <c r="G6" i="19" s="1"/>
  <c r="F219" i="16"/>
  <c r="F7" i="19" s="1" a="1"/>
  <c r="F7" i="19" s="1"/>
  <c r="C218" i="16"/>
  <c r="C6" i="19" s="1" a="1"/>
  <c r="C6" i="19" s="1"/>
  <c r="F218" i="16"/>
  <c r="F6" i="19" s="1" a="1"/>
  <c r="F6" i="19" s="1"/>
  <c r="E216" i="16"/>
  <c r="E4" i="19" s="1" a="1"/>
  <c r="E4" i="19" s="1"/>
  <c r="D220" i="16"/>
  <c r="D8" i="19" s="1" a="1"/>
  <c r="D8" i="19" s="1"/>
  <c r="C219" i="16"/>
  <c r="C7" i="19" s="1" a="1"/>
  <c r="C7" i="19" s="1"/>
  <c r="D218" i="16"/>
  <c r="D6" i="19" s="1" a="1"/>
  <c r="D6" i="19" s="1"/>
  <c r="G217" i="16"/>
  <c r="G5" i="19" s="1" a="1"/>
  <c r="G5" i="19" s="1"/>
  <c r="D219" i="16"/>
  <c r="D7" i="19" s="1" a="1"/>
  <c r="D7" i="19" s="1"/>
  <c r="F217" i="16"/>
  <c r="F5" i="19" s="1" a="1"/>
  <c r="F5" i="19" s="1"/>
  <c r="D216" i="16"/>
  <c r="D4" i="19" s="1" a="1"/>
  <c r="D4" i="19" s="1"/>
  <c r="G216" i="16"/>
  <c r="G4" i="19" s="1" a="1"/>
  <c r="G4" i="19" s="1"/>
  <c r="G220" i="16"/>
  <c r="G8" i="19" s="1" a="1"/>
  <c r="G8" i="19" s="1"/>
  <c r="C217" i="16"/>
  <c r="C5" i="19" s="1" a="1"/>
  <c r="C5" i="19" s="1"/>
  <c r="F216" i="16"/>
  <c r="F4" i="19" s="1" a="1"/>
  <c r="F4" i="19" s="1"/>
  <c r="D217" i="16"/>
  <c r="D5" i="19" s="1" a="1"/>
  <c r="D5" i="19" s="1"/>
  <c r="F220" i="16"/>
  <c r="F8" i="19" s="1" a="1"/>
  <c r="F8" i="19" s="1"/>
  <c r="BY60" i="10"/>
  <c r="BX55" i="10"/>
  <c r="CA14" i="10"/>
  <c r="BW53" i="10"/>
  <c r="BX60" i="10"/>
  <c r="BY56" i="10"/>
  <c r="BX58" i="10"/>
  <c r="BZ14" i="10"/>
  <c r="BZ47" i="10"/>
  <c r="BZ55" i="10"/>
  <c r="BY49" i="10"/>
  <c r="BX37" i="10"/>
  <c r="BW14" i="10"/>
  <c r="BY28" i="10"/>
  <c r="BZ30" i="10"/>
  <c r="BW48" i="10"/>
  <c r="CA53" i="10"/>
  <c r="BZ56" i="10"/>
  <c r="BX14" i="10"/>
  <c r="BW60" i="10"/>
  <c r="BY21" i="10"/>
  <c r="CA28" i="10"/>
  <c r="BX21" i="10"/>
  <c r="BZ28" i="10"/>
  <c r="CA47" i="10"/>
  <c r="BX49" i="10"/>
  <c r="BZ49" i="10"/>
  <c r="CA21" i="10"/>
  <c r="BW25" i="10"/>
  <c r="BX48" i="10"/>
  <c r="BZ60" i="10"/>
  <c r="BY53" i="10"/>
  <c r="BZ53" i="10"/>
  <c r="H123" i="13" s="1"/>
  <c r="BY47" i="10"/>
  <c r="CA30" i="10"/>
  <c r="BW47" i="10"/>
  <c r="BY30" i="10"/>
  <c r="BY25" i="10"/>
  <c r="CA56" i="10"/>
  <c r="BY37" i="10"/>
  <c r="BW30" i="10"/>
  <c r="BX25" i="10"/>
  <c r="BW56" i="10"/>
  <c r="CA38" i="10"/>
  <c r="BX40" i="10"/>
  <c r="BZ38" i="10"/>
  <c r="BX38" i="10"/>
  <c r="BY38" i="10"/>
  <c r="BX62" i="10"/>
  <c r="CE62" i="10" s="1"/>
  <c r="BY45" i="10"/>
  <c r="BX45" i="10"/>
  <c r="BZ45" i="10"/>
  <c r="CA40" i="10"/>
  <c r="C133" i="16"/>
  <c r="BU29" i="10"/>
  <c r="CA11" i="10"/>
  <c r="BZ36" i="10"/>
  <c r="CA12" i="10"/>
  <c r="BW36" i="10"/>
  <c r="CA36" i="10"/>
  <c r="BZ11" i="10"/>
  <c r="BZ26" i="10"/>
  <c r="AI62" i="12"/>
  <c r="BX26" i="10"/>
  <c r="BY36" i="10"/>
  <c r="AJ62" i="12"/>
  <c r="CA26" i="10"/>
  <c r="BY26" i="10"/>
  <c r="CB39" i="10"/>
  <c r="BU42" i="10"/>
  <c r="BU26" i="10"/>
  <c r="G13" i="4"/>
  <c r="BU16" i="10"/>
  <c r="H18" i="4"/>
  <c r="AI36" i="12"/>
  <c r="BU39" i="10"/>
  <c r="CB41" i="10"/>
  <c r="H13" i="4"/>
  <c r="AJ63" i="12"/>
  <c r="BU32" i="10"/>
  <c r="BU17" i="10"/>
  <c r="H14" i="4"/>
  <c r="BU47" i="10"/>
  <c r="G92" i="16"/>
  <c r="G126" i="16" s="1"/>
  <c r="BU49" i="10"/>
  <c r="BU36" i="10"/>
  <c r="BU33" i="10"/>
  <c r="CF63" i="10"/>
  <c r="F92" i="16"/>
  <c r="F126" i="16" s="1"/>
  <c r="BU59" i="10"/>
  <c r="BU53" i="10"/>
  <c r="CE63" i="10"/>
  <c r="BU48" i="10"/>
  <c r="AJ12" i="12"/>
  <c r="H46" i="4" s="1"/>
  <c r="G46" i="4"/>
  <c r="BY16" i="10"/>
  <c r="AI63" i="12"/>
  <c r="BU54" i="10"/>
  <c r="BU20" i="10"/>
  <c r="BU13" i="10"/>
  <c r="BU18" i="10"/>
  <c r="BU51" i="10"/>
  <c r="BU27" i="10"/>
  <c r="BU14" i="10"/>
  <c r="BU22" i="10"/>
  <c r="BU44" i="10"/>
  <c r="BU31" i="10"/>
  <c r="BW20" i="10"/>
  <c r="BW13" i="10"/>
  <c r="BU37" i="10"/>
  <c r="BU43" i="10"/>
  <c r="BU46" i="10"/>
  <c r="BU30" i="10"/>
  <c r="CA49" i="10"/>
  <c r="BU56" i="10"/>
  <c r="BX32" i="10"/>
  <c r="BU52" i="10"/>
  <c r="BU19" i="10"/>
  <c r="BU15" i="10"/>
  <c r="BU25" i="10"/>
  <c r="BU41" i="10"/>
  <c r="BU60" i="10"/>
  <c r="BU12" i="10"/>
  <c r="BQ161" i="10"/>
  <c r="BU50" i="10"/>
  <c r="G14" i="4"/>
  <c r="BU23" i="10"/>
  <c r="BW34" i="10"/>
  <c r="BU34" i="10"/>
  <c r="BW24" i="10"/>
  <c r="BU24" i="10"/>
  <c r="BW11" i="10"/>
  <c r="BU11" i="10"/>
  <c r="BP161" i="10"/>
  <c r="BW45" i="10"/>
  <c r="BU45" i="10"/>
  <c r="BW55" i="10"/>
  <c r="BU55" i="10"/>
  <c r="BW40" i="10"/>
  <c r="BU40" i="10"/>
  <c r="BY62" i="10"/>
  <c r="CF62" i="10" s="1"/>
  <c r="BW21" i="10"/>
  <c r="BU21" i="10"/>
  <c r="BW35" i="10"/>
  <c r="BU35" i="10"/>
  <c r="BR161" i="10"/>
  <c r="BW28" i="10"/>
  <c r="BU28" i="10"/>
  <c r="BW57" i="10"/>
  <c r="BU57" i="10"/>
  <c r="BW58" i="10"/>
  <c r="BU58" i="10"/>
  <c r="BU38" i="10"/>
  <c r="Q161" i="10"/>
  <c r="Q6" i="10" s="1"/>
  <c r="BS61" i="10"/>
  <c r="BZ61" i="10" s="1"/>
  <c r="CB61" i="10" s="1"/>
  <c r="BL161" i="10"/>
  <c r="BN61" i="10"/>
  <c r="BN161" i="10" s="1"/>
  <c r="BN6" i="10" s="1"/>
  <c r="AC161" i="10"/>
  <c r="BM161" i="10"/>
  <c r="E123" i="13" l="1"/>
  <c r="H117" i="19"/>
  <c r="H142" i="16"/>
  <c r="F142" i="19"/>
  <c r="C142" i="19"/>
  <c r="C204" i="16"/>
  <c r="D142" i="19"/>
  <c r="G142" i="19"/>
  <c r="H137" i="19"/>
  <c r="H141" i="16"/>
  <c r="H143" i="16"/>
  <c r="H138" i="19"/>
  <c r="H139" i="19"/>
  <c r="H140" i="19"/>
  <c r="E142" i="19"/>
  <c r="E32" i="13"/>
  <c r="H144" i="16"/>
  <c r="H179" i="16"/>
  <c r="F204" i="16"/>
  <c r="E119" i="13"/>
  <c r="CB59" i="10"/>
  <c r="I123" i="13"/>
  <c r="F58" i="19"/>
  <c r="F50" i="19" s="1"/>
  <c r="F52" i="19" s="1"/>
  <c r="H188" i="16"/>
  <c r="BY11" i="10"/>
  <c r="G118" i="13" s="1"/>
  <c r="H100" i="19"/>
  <c r="G123" i="13"/>
  <c r="H146" i="16"/>
  <c r="F43" i="7"/>
  <c r="C43" i="7"/>
  <c r="CB12" i="10"/>
  <c r="C58" i="19"/>
  <c r="C50" i="19" s="1"/>
  <c r="C52" i="19" s="1"/>
  <c r="H13" i="19"/>
  <c r="G86" i="16"/>
  <c r="G120" i="16" s="1"/>
  <c r="F90" i="16"/>
  <c r="F124" i="16" s="1"/>
  <c r="F86" i="16"/>
  <c r="F120" i="16" s="1"/>
  <c r="G85" i="16"/>
  <c r="G119" i="16" s="1"/>
  <c r="F85" i="16"/>
  <c r="F119" i="16" s="1"/>
  <c r="G89" i="16"/>
  <c r="G123" i="16" s="1"/>
  <c r="G90" i="16"/>
  <c r="G124" i="16" s="1"/>
  <c r="E204" i="16"/>
  <c r="D204" i="16"/>
  <c r="H126" i="16"/>
  <c r="G58" i="19"/>
  <c r="G50" i="19" s="1"/>
  <c r="G52" i="19" s="1"/>
  <c r="D58" i="19"/>
  <c r="D50" i="19" s="1"/>
  <c r="D52" i="19" s="1"/>
  <c r="C23" i="13"/>
  <c r="C26" i="13" s="1"/>
  <c r="F23" i="13"/>
  <c r="F26" i="13" s="1"/>
  <c r="D23" i="13"/>
  <c r="F119" i="13"/>
  <c r="CB63" i="10"/>
  <c r="E23" i="13"/>
  <c r="G23" i="13"/>
  <c r="G26" i="13" s="1"/>
  <c r="H23" i="13"/>
  <c r="G81" i="13"/>
  <c r="G89" i="13" s="1"/>
  <c r="G90" i="13" s="1"/>
  <c r="H145" i="16"/>
  <c r="H23" i="19"/>
  <c r="D40" i="19"/>
  <c r="F46" i="19"/>
  <c r="AL29" i="10"/>
  <c r="C35" i="13"/>
  <c r="C71" i="13" s="1"/>
  <c r="H101" i="19"/>
  <c r="H121" i="19"/>
  <c r="H40" i="4"/>
  <c r="H44" i="19"/>
  <c r="AE161" i="10"/>
  <c r="AE6" i="10" s="1"/>
  <c r="E46" i="19"/>
  <c r="AD161" i="10"/>
  <c r="BT62" i="10"/>
  <c r="H30" i="19"/>
  <c r="G40" i="4"/>
  <c r="AL24" i="10"/>
  <c r="F29" i="13"/>
  <c r="AH161" i="10"/>
  <c r="AK62" i="10"/>
  <c r="H29" i="13"/>
  <c r="AJ161" i="10"/>
  <c r="AL16" i="10"/>
  <c r="AL48" i="10"/>
  <c r="AI161" i="10"/>
  <c r="G29" i="13"/>
  <c r="I33" i="13"/>
  <c r="H22" i="19"/>
  <c r="H56" i="19"/>
  <c r="H67" i="19"/>
  <c r="H45" i="19"/>
  <c r="C40" i="19"/>
  <c r="H182" i="16"/>
  <c r="G40" i="19"/>
  <c r="H57" i="19"/>
  <c r="C27" i="19"/>
  <c r="F27" i="19"/>
  <c r="H140" i="16"/>
  <c r="CB46" i="10"/>
  <c r="I70" i="4"/>
  <c r="H19" i="13"/>
  <c r="E52" i="19"/>
  <c r="AG161" i="12"/>
  <c r="AF161" i="12"/>
  <c r="F118" i="13"/>
  <c r="F125" i="13"/>
  <c r="H176" i="16"/>
  <c r="H118" i="13"/>
  <c r="CB29" i="10"/>
  <c r="H119" i="13"/>
  <c r="G120" i="13"/>
  <c r="E39" i="7"/>
  <c r="G119" i="13"/>
  <c r="E118" i="13"/>
  <c r="E125" i="13"/>
  <c r="H120" i="13"/>
  <c r="G125" i="13"/>
  <c r="I120" i="13"/>
  <c r="H125" i="13"/>
  <c r="E120" i="13"/>
  <c r="E44" i="7"/>
  <c r="G124" i="13"/>
  <c r="I125" i="13"/>
  <c r="F120" i="13"/>
  <c r="G105" i="19"/>
  <c r="C98" i="19"/>
  <c r="H109" i="19"/>
  <c r="F105" i="19"/>
  <c r="I16" i="13"/>
  <c r="H133" i="19"/>
  <c r="C104" i="19"/>
  <c r="H104" i="19" s="1"/>
  <c r="CB22" i="10"/>
  <c r="CB23" i="10"/>
  <c r="H175" i="16"/>
  <c r="H62" i="19"/>
  <c r="H51" i="19"/>
  <c r="E27" i="19"/>
  <c r="D27" i="19"/>
  <c r="H24" i="19"/>
  <c r="H25" i="19"/>
  <c r="G27" i="19"/>
  <c r="H26" i="19"/>
  <c r="H34" i="19"/>
  <c r="H38" i="19"/>
  <c r="CB17" i="10"/>
  <c r="CB20" i="10"/>
  <c r="H39" i="19"/>
  <c r="CB15" i="10"/>
  <c r="CB19" i="10"/>
  <c r="CB18" i="10"/>
  <c r="CB13" i="10"/>
  <c r="E18" i="19"/>
  <c r="H5" i="19"/>
  <c r="H15" i="19"/>
  <c r="G18" i="19"/>
  <c r="D18" i="19"/>
  <c r="H14" i="19"/>
  <c r="H17" i="19"/>
  <c r="H16" i="19"/>
  <c r="C18" i="19"/>
  <c r="G9" i="19"/>
  <c r="F9" i="19"/>
  <c r="H8" i="19"/>
  <c r="D9" i="19"/>
  <c r="H4" i="19"/>
  <c r="C9" i="19"/>
  <c r="E9" i="19"/>
  <c r="H7" i="19"/>
  <c r="H6" i="19"/>
  <c r="E200" i="16"/>
  <c r="E205" i="16"/>
  <c r="C205" i="16"/>
  <c r="D205" i="16"/>
  <c r="G205" i="16"/>
  <c r="F85" i="19"/>
  <c r="H177" i="16"/>
  <c r="H173" i="16"/>
  <c r="H180" i="16"/>
  <c r="H139" i="16"/>
  <c r="CB24" i="10"/>
  <c r="CB27" i="10"/>
  <c r="H138" i="16"/>
  <c r="CB34" i="10"/>
  <c r="H181" i="16"/>
  <c r="H174" i="16"/>
  <c r="H178" i="16"/>
  <c r="H136" i="16"/>
  <c r="F194" i="16"/>
  <c r="H137" i="16"/>
  <c r="F134" i="16"/>
  <c r="I17" i="4"/>
  <c r="D43" i="7"/>
  <c r="G17" i="7"/>
  <c r="E43" i="7"/>
  <c r="F89" i="16"/>
  <c r="H44" i="4"/>
  <c r="H43" i="4"/>
  <c r="G44" i="4"/>
  <c r="G43" i="4"/>
  <c r="F44" i="7"/>
  <c r="F19" i="7"/>
  <c r="G19" i="7"/>
  <c r="G44" i="7"/>
  <c r="C44" i="7"/>
  <c r="F39" i="7"/>
  <c r="D44" i="7"/>
  <c r="H185" i="16"/>
  <c r="H184" i="16"/>
  <c r="H186" i="16"/>
  <c r="CB42" i="10"/>
  <c r="CB31" i="10"/>
  <c r="H192" i="16"/>
  <c r="CB44" i="10"/>
  <c r="D85" i="19"/>
  <c r="H191" i="16"/>
  <c r="CB43" i="10"/>
  <c r="H183" i="16"/>
  <c r="G39" i="7"/>
  <c r="H18" i="7"/>
  <c r="H171" i="16"/>
  <c r="F46" i="7"/>
  <c r="E23" i="7"/>
  <c r="H190" i="16"/>
  <c r="H172" i="16"/>
  <c r="H193" i="16"/>
  <c r="H189" i="16"/>
  <c r="CB32" i="10"/>
  <c r="H187" i="16"/>
  <c r="C150" i="16"/>
  <c r="E150" i="16"/>
  <c r="D150" i="16"/>
  <c r="H13" i="7"/>
  <c r="E85" i="19"/>
  <c r="H93" i="19"/>
  <c r="C23" i="7"/>
  <c r="CB33" i="10"/>
  <c r="H14" i="7"/>
  <c r="H20" i="7"/>
  <c r="F12" i="7"/>
  <c r="D39" i="7"/>
  <c r="CB35" i="10"/>
  <c r="D23" i="7"/>
  <c r="H84" i="19"/>
  <c r="H89" i="19"/>
  <c r="C85" i="19"/>
  <c r="H83" i="19"/>
  <c r="CB57" i="10"/>
  <c r="H75" i="19"/>
  <c r="F205" i="16"/>
  <c r="CB54" i="10"/>
  <c r="H71" i="19"/>
  <c r="H221" i="16"/>
  <c r="CB52" i="10"/>
  <c r="D46" i="7"/>
  <c r="E46" i="7"/>
  <c r="CB50" i="10"/>
  <c r="H77" i="19"/>
  <c r="CB51" i="10"/>
  <c r="G85" i="19"/>
  <c r="H73" i="19"/>
  <c r="H74" i="19"/>
  <c r="H76" i="19"/>
  <c r="H72" i="19"/>
  <c r="C78" i="19"/>
  <c r="E201" i="16"/>
  <c r="D200" i="16"/>
  <c r="D206" i="16"/>
  <c r="E207" i="16"/>
  <c r="F207" i="16"/>
  <c r="G200" i="16"/>
  <c r="C201" i="16"/>
  <c r="D207" i="16"/>
  <c r="C207" i="16"/>
  <c r="F201" i="16"/>
  <c r="E199" i="16"/>
  <c r="E206" i="16"/>
  <c r="C199" i="16"/>
  <c r="D199" i="16"/>
  <c r="D201" i="16"/>
  <c r="C206" i="16"/>
  <c r="G207" i="16"/>
  <c r="G201" i="16"/>
  <c r="C200" i="16"/>
  <c r="F200" i="16"/>
  <c r="H220" i="16"/>
  <c r="E222" i="16"/>
  <c r="H218" i="16"/>
  <c r="H219" i="16"/>
  <c r="F222" i="16"/>
  <c r="H217" i="16"/>
  <c r="G222" i="16"/>
  <c r="C222" i="16"/>
  <c r="D222" i="16"/>
  <c r="H216" i="16"/>
  <c r="G40" i="7"/>
  <c r="E40" i="7"/>
  <c r="CB60" i="10"/>
  <c r="CB53" i="10"/>
  <c r="CB47" i="10"/>
  <c r="CB56" i="10"/>
  <c r="CB30" i="10"/>
  <c r="CB58" i="10"/>
  <c r="D40" i="7"/>
  <c r="CB25" i="10"/>
  <c r="CB21" i="10"/>
  <c r="F40" i="7"/>
  <c r="CB55" i="10"/>
  <c r="CB14" i="10"/>
  <c r="CB37" i="10"/>
  <c r="CB48" i="10"/>
  <c r="CB28" i="10"/>
  <c r="D195" i="16"/>
  <c r="C195" i="16"/>
  <c r="H170" i="16"/>
  <c r="E195" i="16"/>
  <c r="D45" i="7"/>
  <c r="F38" i="7"/>
  <c r="CB38" i="10"/>
  <c r="CB26" i="10"/>
  <c r="CB36" i="10"/>
  <c r="H92" i="16"/>
  <c r="I39" i="4"/>
  <c r="I46" i="4"/>
  <c r="I18" i="4"/>
  <c r="CB16" i="10"/>
  <c r="I13" i="4"/>
  <c r="I14" i="4"/>
  <c r="E45" i="7"/>
  <c r="CI63" i="10"/>
  <c r="BX161" i="10"/>
  <c r="D38" i="7"/>
  <c r="CB49" i="10"/>
  <c r="C45" i="7"/>
  <c r="BS161" i="10"/>
  <c r="C46" i="7"/>
  <c r="J42" i="10"/>
  <c r="J44" i="10"/>
  <c r="J34" i="10"/>
  <c r="J46" i="10"/>
  <c r="J25" i="10"/>
  <c r="J31" i="10"/>
  <c r="J20" i="10"/>
  <c r="BW161" i="10"/>
  <c r="C38" i="7"/>
  <c r="J33" i="10"/>
  <c r="J27" i="10"/>
  <c r="J51" i="10"/>
  <c r="J12" i="10"/>
  <c r="J40" i="10"/>
  <c r="J22" i="10"/>
  <c r="J17" i="10"/>
  <c r="J39" i="10"/>
  <c r="J49" i="10"/>
  <c r="J36" i="10"/>
  <c r="J16" i="10"/>
  <c r="J15" i="10"/>
  <c r="J11" i="10"/>
  <c r="J29" i="10"/>
  <c r="J35" i="10"/>
  <c r="J21" i="10"/>
  <c r="J14" i="10"/>
  <c r="J28" i="10"/>
  <c r="J26" i="10"/>
  <c r="J47" i="10"/>
  <c r="J13" i="10"/>
  <c r="CB40" i="10"/>
  <c r="C39" i="7"/>
  <c r="J38" i="10"/>
  <c r="J50" i="10"/>
  <c r="J23" i="10"/>
  <c r="J18" i="10"/>
  <c r="J45" i="10"/>
  <c r="CB45" i="10"/>
  <c r="C40" i="7"/>
  <c r="J30" i="10"/>
  <c r="J48" i="10"/>
  <c r="J19" i="10"/>
  <c r="J41" i="10"/>
  <c r="J24" i="10"/>
  <c r="J37" i="10"/>
  <c r="J43" i="10"/>
  <c r="J52" i="10"/>
  <c r="J32" i="10"/>
  <c r="BU61" i="10"/>
  <c r="BZ161" i="10"/>
  <c r="F45" i="7"/>
  <c r="H142" i="19" l="1"/>
  <c r="BY161" i="10"/>
  <c r="E38" i="7"/>
  <c r="E47" i="7" s="1"/>
  <c r="CB11" i="10"/>
  <c r="D208" i="16"/>
  <c r="C208" i="16"/>
  <c r="E208" i="16"/>
  <c r="H90" i="16"/>
  <c r="H85" i="16"/>
  <c r="BU62" i="10"/>
  <c r="G134" i="16"/>
  <c r="H134" i="16" s="1"/>
  <c r="H120" i="16"/>
  <c r="H119" i="16"/>
  <c r="H86" i="16"/>
  <c r="H124" i="16"/>
  <c r="H71" i="4"/>
  <c r="H50" i="19"/>
  <c r="H52" i="19" s="1"/>
  <c r="H46" i="19"/>
  <c r="H89" i="16"/>
  <c r="F123" i="16"/>
  <c r="H123" i="16" s="1"/>
  <c r="G12" i="7"/>
  <c r="I23" i="13"/>
  <c r="D26" i="13"/>
  <c r="D35" i="13" s="1"/>
  <c r="D71" i="13" s="1"/>
  <c r="D72" i="13" s="1"/>
  <c r="H81" i="13"/>
  <c r="H89" i="13" s="1"/>
  <c r="H90" i="13" s="1"/>
  <c r="C81" i="13"/>
  <c r="I81" i="13"/>
  <c r="G194" i="16"/>
  <c r="G195" i="16" s="1"/>
  <c r="CA62" i="10"/>
  <c r="I118" i="13" s="1"/>
  <c r="I127" i="13" s="1"/>
  <c r="I40" i="4"/>
  <c r="G135" i="16"/>
  <c r="H135" i="16" s="1"/>
  <c r="BT161" i="10"/>
  <c r="I19" i="13"/>
  <c r="C72" i="13"/>
  <c r="G32" i="13"/>
  <c r="E81" i="13"/>
  <c r="F32" i="13"/>
  <c r="D81" i="13"/>
  <c r="D89" i="13" s="1"/>
  <c r="D90" i="13" s="1"/>
  <c r="F81" i="13"/>
  <c r="F89" i="13" s="1"/>
  <c r="F90" i="13" s="1"/>
  <c r="I66" i="13"/>
  <c r="H32" i="13"/>
  <c r="AL62" i="10"/>
  <c r="AL161" i="10" s="1"/>
  <c r="AL6" i="10" s="1"/>
  <c r="I29" i="13"/>
  <c r="AK161" i="10"/>
  <c r="H58" i="19"/>
  <c r="E26" i="13"/>
  <c r="E35" i="13" s="1"/>
  <c r="E71" i="13" s="1"/>
  <c r="H26" i="13"/>
  <c r="AG6" i="12"/>
  <c r="F127" i="13"/>
  <c r="E127" i="13"/>
  <c r="G127" i="13"/>
  <c r="G71" i="4"/>
  <c r="I63" i="4"/>
  <c r="J16" i="13"/>
  <c r="K16" i="13" s="1"/>
  <c r="H127" i="13"/>
  <c r="C105" i="19"/>
  <c r="H98" i="19"/>
  <c r="H105" i="19" s="1"/>
  <c r="H27" i="19"/>
  <c r="H40" i="19"/>
  <c r="H18" i="19"/>
  <c r="H9" i="19"/>
  <c r="H205" i="16"/>
  <c r="G204" i="16"/>
  <c r="H204" i="16" s="1"/>
  <c r="H17" i="7"/>
  <c r="CH62" i="10"/>
  <c r="G43" i="7"/>
  <c r="H43" i="7" s="1"/>
  <c r="I44" i="4"/>
  <c r="I43" i="4"/>
  <c r="H44" i="7"/>
  <c r="H19" i="7"/>
  <c r="H39" i="7"/>
  <c r="H133" i="16"/>
  <c r="F150" i="16"/>
  <c r="H85" i="19"/>
  <c r="F199" i="16"/>
  <c r="F23" i="7"/>
  <c r="G46" i="7"/>
  <c r="H46" i="7" s="1"/>
  <c r="H78" i="19"/>
  <c r="H201" i="16"/>
  <c r="H207" i="16"/>
  <c r="H200" i="16"/>
  <c r="G206" i="16"/>
  <c r="F206" i="16"/>
  <c r="H222" i="16"/>
  <c r="H40" i="7"/>
  <c r="F47" i="7"/>
  <c r="D47" i="7"/>
  <c r="F195" i="16"/>
  <c r="CD13" i="10"/>
  <c r="CE13" i="10"/>
  <c r="CF13" i="10"/>
  <c r="CG13" i="10"/>
  <c r="CH13" i="10"/>
  <c r="CE21" i="10"/>
  <c r="CF21" i="10"/>
  <c r="CG21" i="10"/>
  <c r="CH21" i="10"/>
  <c r="CD21" i="10"/>
  <c r="CD15" i="10"/>
  <c r="CE15" i="10"/>
  <c r="CF15" i="10"/>
  <c r="CH15" i="10"/>
  <c r="CG15" i="10"/>
  <c r="CG31" i="10"/>
  <c r="CH31" i="10"/>
  <c r="CD31" i="10"/>
  <c r="CE31" i="10"/>
  <c r="CF31" i="10"/>
  <c r="CD47" i="10"/>
  <c r="CH47" i="10"/>
  <c r="CE47" i="10"/>
  <c r="CF47" i="10"/>
  <c r="CG47" i="10"/>
  <c r="CD25" i="10"/>
  <c r="CE25" i="10"/>
  <c r="CF25" i="10"/>
  <c r="CG25" i="10"/>
  <c r="CH25" i="10"/>
  <c r="CF45" i="10"/>
  <c r="CG45" i="10"/>
  <c r="CE45" i="10"/>
  <c r="CH45" i="10"/>
  <c r="CD45" i="10"/>
  <c r="CE17" i="10"/>
  <c r="CD17" i="10"/>
  <c r="CF17" i="10"/>
  <c r="CG17" i="10"/>
  <c r="CH17" i="10"/>
  <c r="CD27" i="10"/>
  <c r="CE27" i="10"/>
  <c r="CF27" i="10"/>
  <c r="CG27" i="10"/>
  <c r="CH27" i="10"/>
  <c r="CH14" i="10"/>
  <c r="CE14" i="10"/>
  <c r="CF14" i="10"/>
  <c r="CG14" i="10"/>
  <c r="CD14" i="10"/>
  <c r="CD20" i="10"/>
  <c r="CE20" i="10"/>
  <c r="CF20" i="10"/>
  <c r="CG20" i="10"/>
  <c r="CH20" i="10"/>
  <c r="CH18" i="10"/>
  <c r="CD18" i="10"/>
  <c r="CE18" i="10"/>
  <c r="CF18" i="10"/>
  <c r="CG18" i="10"/>
  <c r="CG55" i="10"/>
  <c r="CH55" i="10"/>
  <c r="CD55" i="10"/>
  <c r="CF55" i="10"/>
  <c r="CE55" i="10"/>
  <c r="CH26" i="10"/>
  <c r="CE26" i="10"/>
  <c r="CF26" i="10"/>
  <c r="CG26" i="10"/>
  <c r="CD26" i="10"/>
  <c r="CF48" i="10"/>
  <c r="CE48" i="10"/>
  <c r="CG48" i="10"/>
  <c r="CH48" i="10"/>
  <c r="CD48" i="10"/>
  <c r="CH50" i="10"/>
  <c r="CD50" i="10"/>
  <c r="CE50" i="10"/>
  <c r="CF50" i="10"/>
  <c r="CG50" i="10"/>
  <c r="CH16" i="10"/>
  <c r="CF16" i="10"/>
  <c r="CG16" i="10"/>
  <c r="CD16" i="10"/>
  <c r="CE16" i="10"/>
  <c r="CD22" i="10"/>
  <c r="CF22" i="10"/>
  <c r="CE22" i="10"/>
  <c r="CG22" i="10"/>
  <c r="CH22" i="10"/>
  <c r="CE33" i="10"/>
  <c r="CF33" i="10"/>
  <c r="CG33" i="10"/>
  <c r="CD33" i="10"/>
  <c r="CH33" i="10"/>
  <c r="CE39" i="10"/>
  <c r="CD39" i="10"/>
  <c r="CF39" i="10"/>
  <c r="CG39" i="10"/>
  <c r="CH39" i="10"/>
  <c r="CE41" i="10"/>
  <c r="CF41" i="10"/>
  <c r="CG41" i="10"/>
  <c r="CH41" i="10"/>
  <c r="CD41" i="10"/>
  <c r="CE51" i="10"/>
  <c r="F99" i="13" s="1"/>
  <c r="CD51" i="10"/>
  <c r="E99" i="13" s="1"/>
  <c r="CF51" i="10"/>
  <c r="G99" i="13" s="1"/>
  <c r="CG51" i="10"/>
  <c r="H99" i="13" s="1"/>
  <c r="CH51" i="10"/>
  <c r="I99" i="13" s="1"/>
  <c r="CG19" i="10"/>
  <c r="CH19" i="10"/>
  <c r="CE19" i="10"/>
  <c r="CD19" i="10"/>
  <c r="CF19" i="10"/>
  <c r="CG43" i="10"/>
  <c r="CH43" i="10"/>
  <c r="CE43" i="10"/>
  <c r="CF43" i="10"/>
  <c r="CD43" i="10"/>
  <c r="CD35" i="10"/>
  <c r="CG35" i="10"/>
  <c r="CH35" i="10"/>
  <c r="CE35" i="10"/>
  <c r="CF35" i="10"/>
  <c r="CD46" i="10"/>
  <c r="CE46" i="10"/>
  <c r="CF46" i="10"/>
  <c r="CG46" i="10"/>
  <c r="CH46" i="10"/>
  <c r="CD37" i="10"/>
  <c r="CE37" i="10"/>
  <c r="CF37" i="10"/>
  <c r="CG37" i="10"/>
  <c r="CH37" i="10"/>
  <c r="CH28" i="10"/>
  <c r="CF28" i="10"/>
  <c r="CG28" i="10"/>
  <c r="CD28" i="10"/>
  <c r="CE28" i="10"/>
  <c r="CD56" i="10"/>
  <c r="CE56" i="10"/>
  <c r="CF56" i="10"/>
  <c r="CG56" i="10"/>
  <c r="CH56" i="10"/>
  <c r="CD34" i="10"/>
  <c r="CE34" i="10"/>
  <c r="CF34" i="10"/>
  <c r="CG34" i="10"/>
  <c r="CH34" i="10"/>
  <c r="CE53" i="10"/>
  <c r="CF53" i="10"/>
  <c r="CG53" i="10"/>
  <c r="CD53" i="10"/>
  <c r="CH53" i="10"/>
  <c r="CF11" i="10"/>
  <c r="CD11" i="10"/>
  <c r="CG11" i="10"/>
  <c r="CH11" i="10"/>
  <c r="CE11" i="10"/>
  <c r="CE42" i="10"/>
  <c r="CH42" i="10"/>
  <c r="CD42" i="10"/>
  <c r="CF42" i="10"/>
  <c r="CG42" i="10"/>
  <c r="CD32" i="10"/>
  <c r="CE32" i="10"/>
  <c r="CF32" i="10"/>
  <c r="CG32" i="10"/>
  <c r="CH32" i="10"/>
  <c r="CH54" i="10"/>
  <c r="CE54" i="10"/>
  <c r="CD54" i="10"/>
  <c r="CF54" i="10"/>
  <c r="CG54" i="10"/>
  <c r="CH52" i="10"/>
  <c r="CF52" i="10"/>
  <c r="CG52" i="10"/>
  <c r="CD52" i="10"/>
  <c r="CE52" i="10"/>
  <c r="CD23" i="10"/>
  <c r="CG23" i="10"/>
  <c r="CH23" i="10"/>
  <c r="CE23" i="10"/>
  <c r="CF23" i="10"/>
  <c r="CD30" i="10"/>
  <c r="CE30" i="10"/>
  <c r="CF30" i="10"/>
  <c r="CG30" i="10"/>
  <c r="CH30" i="10"/>
  <c r="CH38" i="10"/>
  <c r="CG38" i="10"/>
  <c r="CD38" i="10"/>
  <c r="CF38" i="10"/>
  <c r="CE38" i="10"/>
  <c r="CF36" i="10"/>
  <c r="CE36" i="10"/>
  <c r="CG36" i="10"/>
  <c r="CH36" i="10"/>
  <c r="CD36" i="10"/>
  <c r="CH40" i="10"/>
  <c r="CF40" i="10"/>
  <c r="CG40" i="10"/>
  <c r="CD40" i="10"/>
  <c r="CE40" i="10"/>
  <c r="CF24" i="10"/>
  <c r="CG24" i="10"/>
  <c r="CH24" i="10"/>
  <c r="CD24" i="10"/>
  <c r="CE24" i="10"/>
  <c r="CE29" i="10"/>
  <c r="CF29" i="10"/>
  <c r="CG29" i="10"/>
  <c r="CH29" i="10"/>
  <c r="CD29" i="10"/>
  <c r="CD44" i="10"/>
  <c r="CE44" i="10"/>
  <c r="CF44" i="10"/>
  <c r="CG44" i="10"/>
  <c r="CH44" i="10"/>
  <c r="CD49" i="10"/>
  <c r="CE49" i="10"/>
  <c r="CF49" i="10"/>
  <c r="CG49" i="10"/>
  <c r="CH49" i="10"/>
  <c r="CF12" i="10"/>
  <c r="CH12" i="10"/>
  <c r="CG12" i="10"/>
  <c r="CD12" i="10"/>
  <c r="CE12" i="10"/>
  <c r="C47" i="7"/>
  <c r="G45" i="7"/>
  <c r="BU161" i="10" l="1"/>
  <c r="BU6" i="10" s="1"/>
  <c r="I32" i="13"/>
  <c r="C89" i="13"/>
  <c r="C90" i="13" s="1"/>
  <c r="F208" i="16"/>
  <c r="H12" i="7"/>
  <c r="H23" i="7" s="1"/>
  <c r="H164" i="16"/>
  <c r="B164" i="16" s="1" a="1"/>
  <c r="B164" i="16" s="1"/>
  <c r="H165" i="16"/>
  <c r="B165" i="16" s="1" a="1"/>
  <c r="B165" i="16" s="1"/>
  <c r="I98" i="13"/>
  <c r="G55" i="7"/>
  <c r="E98" i="13"/>
  <c r="C55" i="7"/>
  <c r="H98" i="13"/>
  <c r="F55" i="7"/>
  <c r="G98" i="13"/>
  <c r="E55" i="7"/>
  <c r="F98" i="13"/>
  <c r="D55" i="7"/>
  <c r="I71" i="4"/>
  <c r="CA161" i="10"/>
  <c r="CB62" i="10"/>
  <c r="G23" i="7"/>
  <c r="G199" i="16"/>
  <c r="G208" i="16" s="1"/>
  <c r="G38" i="7"/>
  <c r="H38" i="7" s="1"/>
  <c r="G150" i="16"/>
  <c r="I26" i="13"/>
  <c r="J26" i="13" s="1"/>
  <c r="H194" i="16"/>
  <c r="G35" i="13"/>
  <c r="G71" i="13" s="1"/>
  <c r="G72" i="13" s="1"/>
  <c r="H35" i="13"/>
  <c r="H71" i="13" s="1"/>
  <c r="I89" i="13"/>
  <c r="I90" i="13" s="1"/>
  <c r="E72" i="13"/>
  <c r="E89" i="13"/>
  <c r="E90" i="13" s="1"/>
  <c r="J81" i="13"/>
  <c r="K81" i="13" s="1"/>
  <c r="F35" i="13"/>
  <c r="F71" i="13" s="1"/>
  <c r="H94" i="13"/>
  <c r="E94" i="13"/>
  <c r="I95" i="13"/>
  <c r="H95" i="13"/>
  <c r="G95" i="13"/>
  <c r="I94" i="13"/>
  <c r="F95" i="13"/>
  <c r="G94" i="13"/>
  <c r="E95" i="13"/>
  <c r="F94" i="13"/>
  <c r="CI62" i="10"/>
  <c r="H155" i="16"/>
  <c r="H156" i="16"/>
  <c r="H157" i="16"/>
  <c r="H158" i="16"/>
  <c r="H159" i="16"/>
  <c r="B159" i="16" s="1" a="1"/>
  <c r="B159" i="16" s="1"/>
  <c r="H160" i="16"/>
  <c r="H161" i="16"/>
  <c r="B161" i="16" s="1" a="1"/>
  <c r="B161" i="16" s="1"/>
  <c r="H162" i="16"/>
  <c r="B162" i="16" s="1" a="1"/>
  <c r="B162" i="16" s="1"/>
  <c r="H163" i="16"/>
  <c r="B163" i="16" s="1" a="1"/>
  <c r="B163" i="16" s="1"/>
  <c r="H154" i="16"/>
  <c r="H150" i="16"/>
  <c r="U5" i="18" s="1"/>
  <c r="H206" i="16"/>
  <c r="U14" i="18"/>
  <c r="V14" i="18" s="1" a="1"/>
  <c r="V14" i="18" s="1"/>
  <c r="R22" i="18" s="1"/>
  <c r="U13" i="18"/>
  <c r="V13" i="18" s="1" a="1"/>
  <c r="V13" i="18" s="1"/>
  <c r="R27" i="18" s="1"/>
  <c r="U12" i="18"/>
  <c r="V12" i="18" s="1" a="1"/>
  <c r="V12" i="18" s="1"/>
  <c r="R26" i="18" s="1"/>
  <c r="U11" i="18"/>
  <c r="V11" i="18" s="1" a="1"/>
  <c r="V11" i="18" s="1"/>
  <c r="R24" i="18" s="1"/>
  <c r="U10" i="18"/>
  <c r="V10" i="18" s="1" a="1"/>
  <c r="V10" i="18" s="1"/>
  <c r="R23" i="18" s="1"/>
  <c r="S23" i="18" s="1"/>
  <c r="U9" i="18"/>
  <c r="V9" i="18" s="1" a="1"/>
  <c r="V9" i="18" s="1"/>
  <c r="R20" i="18" s="1"/>
  <c r="S20" i="18" s="1"/>
  <c r="U8" i="18"/>
  <c r="V8" i="18" s="1" a="1"/>
  <c r="V8" i="18" s="1"/>
  <c r="R21" i="18" s="1"/>
  <c r="F51" i="7"/>
  <c r="G51" i="7"/>
  <c r="CD58" i="10"/>
  <c r="CE58" i="10"/>
  <c r="CF58" i="10"/>
  <c r="CG58" i="10"/>
  <c r="CH58" i="10"/>
  <c r="CH57" i="10"/>
  <c r="CE57" i="10"/>
  <c r="CF57" i="10"/>
  <c r="CG57" i="10"/>
  <c r="CD57" i="10"/>
  <c r="CD59" i="10"/>
  <c r="CH59" i="10"/>
  <c r="CE59" i="10"/>
  <c r="CF59" i="10"/>
  <c r="CG59" i="10"/>
  <c r="CF60" i="10"/>
  <c r="CH60" i="10"/>
  <c r="CG60" i="10"/>
  <c r="CD60" i="10"/>
  <c r="CE60" i="10"/>
  <c r="CI42" i="10"/>
  <c r="CI55" i="10"/>
  <c r="D52" i="7"/>
  <c r="D51" i="7"/>
  <c r="CI49" i="10"/>
  <c r="CI24" i="10"/>
  <c r="CI41" i="10"/>
  <c r="CI20" i="10"/>
  <c r="CI13" i="10"/>
  <c r="CI56" i="10"/>
  <c r="G58" i="7"/>
  <c r="CI38" i="10"/>
  <c r="CI26" i="10"/>
  <c r="CI39" i="10"/>
  <c r="CI21" i="10"/>
  <c r="F58" i="7"/>
  <c r="CI30" i="10"/>
  <c r="CI43" i="10"/>
  <c r="CI52" i="10"/>
  <c r="E58" i="7"/>
  <c r="CI29" i="10"/>
  <c r="CI33" i="10"/>
  <c r="CI51" i="10"/>
  <c r="D58" i="7"/>
  <c r="CI44" i="10"/>
  <c r="CI17" i="10"/>
  <c r="CI23" i="10"/>
  <c r="CI18" i="10"/>
  <c r="CI12" i="10"/>
  <c r="C58" i="7"/>
  <c r="CI11" i="10"/>
  <c r="E51" i="7"/>
  <c r="CI34" i="10"/>
  <c r="CI22" i="10"/>
  <c r="CI28" i="10"/>
  <c r="CI16" i="10"/>
  <c r="CI19" i="10"/>
  <c r="CI31" i="10"/>
  <c r="CI47" i="10"/>
  <c r="CI45" i="10"/>
  <c r="C52" i="7"/>
  <c r="CI40" i="10"/>
  <c r="C51" i="7"/>
  <c r="CI15" i="10"/>
  <c r="G52" i="7"/>
  <c r="F52" i="7"/>
  <c r="CI27" i="10"/>
  <c r="E52" i="7"/>
  <c r="CI37" i="10"/>
  <c r="CI50" i="10"/>
  <c r="CI25" i="10"/>
  <c r="CI14" i="10"/>
  <c r="CI53" i="10"/>
  <c r="CI46" i="10"/>
  <c r="CI48" i="10"/>
  <c r="CI35" i="10"/>
  <c r="CI54" i="10"/>
  <c r="CI32" i="10"/>
  <c r="CI36" i="10"/>
  <c r="H45" i="7"/>
  <c r="K187" i="16" l="1"/>
  <c r="L187" i="16" s="1" a="1"/>
  <c r="L187" i="16" s="1"/>
  <c r="K189" i="16"/>
  <c r="L189" i="16" s="1" a="1"/>
  <c r="L189" i="16" s="1"/>
  <c r="K188" i="16"/>
  <c r="L188" i="16" s="1" a="1"/>
  <c r="L188" i="16" s="1"/>
  <c r="B155" i="16" a="1"/>
  <c r="B155" i="16" s="1"/>
  <c r="H100" i="13"/>
  <c r="I100" i="13"/>
  <c r="G100" i="13"/>
  <c r="B157" i="16" a="1"/>
  <c r="B157" i="16" s="1"/>
  <c r="G165" i="16"/>
  <c r="C165" i="16"/>
  <c r="D165" i="16"/>
  <c r="E165" i="16"/>
  <c r="F165" i="16"/>
  <c r="G164" i="16"/>
  <c r="F164" i="16"/>
  <c r="C164" i="16"/>
  <c r="D164" i="16"/>
  <c r="E164" i="16"/>
  <c r="H55" i="7"/>
  <c r="F100" i="13"/>
  <c r="E100" i="13"/>
  <c r="B160" i="16" a="1"/>
  <c r="B160" i="16" s="1"/>
  <c r="B158" i="16" a="1"/>
  <c r="B158" i="16" s="1"/>
  <c r="B156" i="16" a="1"/>
  <c r="B156" i="16" s="1"/>
  <c r="D156" i="16" s="1"/>
  <c r="CB161" i="10"/>
  <c r="CB6" i="10" s="1"/>
  <c r="F228" i="16"/>
  <c r="B228" i="16" s="1" a="1"/>
  <c r="B228" i="16" s="1"/>
  <c r="F230" i="16"/>
  <c r="B230" i="16" s="1" a="1"/>
  <c r="B230" i="16" s="1"/>
  <c r="F227" i="16"/>
  <c r="B227" i="16" s="1" a="1"/>
  <c r="B227" i="16" s="1"/>
  <c r="F229" i="16"/>
  <c r="B229" i="16" s="1" a="1"/>
  <c r="B229" i="16" s="1"/>
  <c r="F231" i="16"/>
  <c r="B231" i="16" s="1" a="1"/>
  <c r="B231" i="16" s="1"/>
  <c r="F232" i="16"/>
  <c r="B232" i="16" s="1" a="1"/>
  <c r="B232" i="16" s="1"/>
  <c r="C227" i="16"/>
  <c r="F233" i="16"/>
  <c r="B233" i="16" s="1" a="1"/>
  <c r="B233" i="16" s="1"/>
  <c r="F237" i="16"/>
  <c r="B237" i="16" s="1" a="1"/>
  <c r="B237" i="16" s="1"/>
  <c r="F234" i="16"/>
  <c r="B234" i="16" s="1" a="1"/>
  <c r="B234" i="16" s="1"/>
  <c r="F235" i="16"/>
  <c r="B235" i="16" s="1" a="1"/>
  <c r="B235" i="16" s="1"/>
  <c r="F236" i="16"/>
  <c r="B236" i="16" s="1" a="1"/>
  <c r="B236" i="16" s="1"/>
  <c r="F238" i="16"/>
  <c r="B238" i="16" s="1" a="1"/>
  <c r="B238" i="16" s="1"/>
  <c r="F239" i="16"/>
  <c r="B239" i="16" s="1" a="1"/>
  <c r="B239" i="16" s="1"/>
  <c r="F240" i="16"/>
  <c r="B240" i="16" s="1" a="1"/>
  <c r="B240" i="16" s="1"/>
  <c r="F226" i="16"/>
  <c r="B226" i="16" s="1" a="1"/>
  <c r="B226" i="16" s="1"/>
  <c r="C236" i="16"/>
  <c r="C234" i="16"/>
  <c r="C238" i="16"/>
  <c r="C232" i="16"/>
  <c r="C239" i="16"/>
  <c r="C226" i="16"/>
  <c r="C228" i="16"/>
  <c r="C235" i="16"/>
  <c r="C240" i="16"/>
  <c r="C230" i="16"/>
  <c r="H199" i="16"/>
  <c r="H208" i="16" s="1"/>
  <c r="C237" i="16"/>
  <c r="C233" i="16"/>
  <c r="C229" i="16"/>
  <c r="K170" i="16"/>
  <c r="L170" i="16" s="1" a="1"/>
  <c r="L170" i="16" s="1"/>
  <c r="C231" i="16"/>
  <c r="H195" i="16"/>
  <c r="B154" i="16" a="1"/>
  <c r="B154" i="16" s="1"/>
  <c r="G47" i="7"/>
  <c r="K174" i="16"/>
  <c r="L174" i="16" s="1" a="1"/>
  <c r="L174" i="16" s="1"/>
  <c r="K172" i="16"/>
  <c r="L172" i="16" s="1" a="1"/>
  <c r="L172" i="16" s="1"/>
  <c r="K180" i="16"/>
  <c r="L180" i="16" s="1" a="1"/>
  <c r="L180" i="16" s="1"/>
  <c r="H47" i="7"/>
  <c r="K171" i="16"/>
  <c r="L171" i="16" s="1" a="1"/>
  <c r="L171" i="16" s="1"/>
  <c r="K186" i="16"/>
  <c r="L186" i="16" s="1" a="1"/>
  <c r="L186" i="16" s="1"/>
  <c r="K183" i="16"/>
  <c r="L183" i="16" s="1" a="1"/>
  <c r="L183" i="16" s="1"/>
  <c r="K184" i="16"/>
  <c r="L184" i="16" s="1" a="1"/>
  <c r="L184" i="16" s="1"/>
  <c r="J90" i="13"/>
  <c r="H72" i="13"/>
  <c r="K177" i="16"/>
  <c r="L177" i="16" s="1" a="1"/>
  <c r="L177" i="16" s="1"/>
  <c r="K190" i="16"/>
  <c r="L190" i="16" s="1" a="1"/>
  <c r="L190" i="16" s="1"/>
  <c r="K192" i="16"/>
  <c r="L192" i="16" s="1" a="1"/>
  <c r="L192" i="16" s="1"/>
  <c r="K191" i="16"/>
  <c r="L191" i="16" s="1" a="1"/>
  <c r="L191" i="16" s="1"/>
  <c r="K178" i="16"/>
  <c r="L178" i="16" s="1" a="1"/>
  <c r="L178" i="16" s="1"/>
  <c r="K175" i="16"/>
  <c r="L175" i="16" s="1" a="1"/>
  <c r="L175" i="16" s="1"/>
  <c r="K193" i="16"/>
  <c r="L193" i="16" s="1" a="1"/>
  <c r="L193" i="16" s="1"/>
  <c r="K194" i="16"/>
  <c r="L194" i="16" s="1" a="1"/>
  <c r="L194" i="16" s="1"/>
  <c r="K181" i="16"/>
  <c r="L181" i="16" s="1" a="1"/>
  <c r="L181" i="16" s="1"/>
  <c r="K173" i="16"/>
  <c r="L173" i="16" s="1" a="1"/>
  <c r="L173" i="16" s="1"/>
  <c r="K182" i="16"/>
  <c r="L182" i="16" s="1" a="1"/>
  <c r="L182" i="16" s="1"/>
  <c r="K185" i="16"/>
  <c r="L185" i="16" s="1" a="1"/>
  <c r="L185" i="16" s="1"/>
  <c r="K176" i="16"/>
  <c r="L176" i="16" s="1" a="1"/>
  <c r="L176" i="16" s="1"/>
  <c r="K179" i="16"/>
  <c r="L179" i="16" s="1" a="1"/>
  <c r="L179" i="16" s="1"/>
  <c r="F72" i="13"/>
  <c r="I35" i="13"/>
  <c r="I93" i="13"/>
  <c r="F93" i="13"/>
  <c r="E93" i="13"/>
  <c r="H93" i="13"/>
  <c r="G93" i="13"/>
  <c r="K26" i="13"/>
  <c r="E163" i="16"/>
  <c r="G163" i="16"/>
  <c r="F163" i="16"/>
  <c r="D163" i="16"/>
  <c r="C163" i="16"/>
  <c r="D162" i="16"/>
  <c r="G162" i="16"/>
  <c r="F162" i="16"/>
  <c r="C162" i="16"/>
  <c r="E162" i="16"/>
  <c r="E161" i="16"/>
  <c r="F161" i="16"/>
  <c r="G161" i="16"/>
  <c r="D161" i="16"/>
  <c r="C161" i="16"/>
  <c r="E159" i="16"/>
  <c r="D159" i="16"/>
  <c r="C159" i="16"/>
  <c r="G159" i="16"/>
  <c r="F159" i="16"/>
  <c r="C155" i="16"/>
  <c r="E155" i="16"/>
  <c r="D155" i="16"/>
  <c r="F155" i="16"/>
  <c r="G155" i="16"/>
  <c r="K222" i="16"/>
  <c r="K23" i="7"/>
  <c r="K150" i="16"/>
  <c r="C57" i="7"/>
  <c r="C56" i="7"/>
  <c r="F57" i="7"/>
  <c r="F56" i="7"/>
  <c r="E57" i="7"/>
  <c r="E56" i="7"/>
  <c r="D57" i="7"/>
  <c r="D56" i="7"/>
  <c r="G57" i="7"/>
  <c r="G56" i="7"/>
  <c r="H166" i="16"/>
  <c r="Y21" i="18" a="1"/>
  <c r="Y21" i="18" s="1"/>
  <c r="AC21" i="18" a="1"/>
  <c r="AC21" i="18" s="1"/>
  <c r="AC33" i="18" s="1"/>
  <c r="AB21" i="18" a="1"/>
  <c r="AB21" i="18" s="1"/>
  <c r="AB33" i="18" s="1"/>
  <c r="AA21" i="18" a="1"/>
  <c r="AA21" i="18" s="1"/>
  <c r="AA33" i="18" s="1"/>
  <c r="Z21" i="18" a="1"/>
  <c r="Z21" i="18" s="1"/>
  <c r="Z33" i="18" s="1"/>
  <c r="AC20" i="18" a="1"/>
  <c r="AC20" i="18" s="1"/>
  <c r="AC35" i="18" s="1"/>
  <c r="AB20" i="18" a="1"/>
  <c r="AB20" i="18" s="1"/>
  <c r="AB35" i="18" s="1"/>
  <c r="AA20" i="18" a="1"/>
  <c r="AA20" i="18" s="1"/>
  <c r="AA35" i="18" s="1"/>
  <c r="Y20" i="18" a="1"/>
  <c r="Y20" i="18" s="1"/>
  <c r="Z20" i="18" a="1"/>
  <c r="Z20" i="18" s="1"/>
  <c r="Z35" i="18" s="1"/>
  <c r="AA23" i="18" a="1"/>
  <c r="AA23" i="18" s="1"/>
  <c r="AA34" i="18" s="1"/>
  <c r="Z23" i="18" a="1"/>
  <c r="Z23" i="18" s="1"/>
  <c r="Z34" i="18" s="1"/>
  <c r="AC23" i="18" a="1"/>
  <c r="AC23" i="18" s="1"/>
  <c r="AC34" i="18" s="1"/>
  <c r="AB23" i="18" a="1"/>
  <c r="AB23" i="18" s="1"/>
  <c r="AB34" i="18" s="1"/>
  <c r="Y23" i="18" a="1"/>
  <c r="Y23" i="18" s="1"/>
  <c r="AB24" i="18" a="1"/>
  <c r="AB24" i="18" s="1"/>
  <c r="AA24" i="18" a="1"/>
  <c r="AA24" i="18" s="1"/>
  <c r="Z24" i="18" a="1"/>
  <c r="Z24" i="18" s="1"/>
  <c r="Y24" i="18" a="1"/>
  <c r="Y24" i="18" s="1"/>
  <c r="AC24" i="18" a="1"/>
  <c r="AC24" i="18" s="1"/>
  <c r="AC26" i="18" a="1"/>
  <c r="AC26" i="18" s="1"/>
  <c r="AB26" i="18" a="1"/>
  <c r="AB26" i="18" s="1"/>
  <c r="AA26" i="18" a="1"/>
  <c r="AA26" i="18" s="1"/>
  <c r="Y26" i="18" a="1"/>
  <c r="Y26" i="18" s="1"/>
  <c r="Z26" i="18" a="1"/>
  <c r="Z26" i="18" s="1"/>
  <c r="S26" i="18"/>
  <c r="AC27" i="18" a="1"/>
  <c r="AC27" i="18" s="1"/>
  <c r="AC36" i="18" s="1"/>
  <c r="Y27" i="18" a="1"/>
  <c r="Y27" i="18" s="1"/>
  <c r="AB27" i="18" a="1"/>
  <c r="AB27" i="18" s="1"/>
  <c r="AB36" i="18" s="1"/>
  <c r="AA27" i="18" a="1"/>
  <c r="AA27" i="18" s="1"/>
  <c r="AA36" i="18" s="1"/>
  <c r="Z27" i="18" a="1"/>
  <c r="Z27" i="18" s="1"/>
  <c r="Z36" i="18" s="1"/>
  <c r="S27" i="18"/>
  <c r="U17" i="18"/>
  <c r="Z22" i="18" a="1"/>
  <c r="Z22" i="18" s="1"/>
  <c r="Y22" i="18" a="1"/>
  <c r="Y22" i="18" s="1"/>
  <c r="AA22" i="18" a="1"/>
  <c r="AA22" i="18" s="1"/>
  <c r="AC22" i="18" a="1"/>
  <c r="AC22" i="18" s="1"/>
  <c r="AB22" i="18" a="1"/>
  <c r="AB22" i="18" s="1"/>
  <c r="D50" i="7"/>
  <c r="C50" i="7"/>
  <c r="CH161" i="10"/>
  <c r="F50" i="7"/>
  <c r="H51" i="7"/>
  <c r="E50" i="7"/>
  <c r="CD161" i="10"/>
  <c r="CF161" i="10"/>
  <c r="CE161" i="10"/>
  <c r="G50" i="7"/>
  <c r="H58" i="7"/>
  <c r="CI57" i="10"/>
  <c r="H52" i="7"/>
  <c r="CI60" i="10"/>
  <c r="CG161" i="10"/>
  <c r="CI58" i="10"/>
  <c r="CI59" i="10"/>
  <c r="I102" i="13" l="1"/>
  <c r="K195" i="16"/>
  <c r="H196" i="16"/>
  <c r="K166" i="16"/>
  <c r="H167" i="16"/>
  <c r="F157" i="16"/>
  <c r="G157" i="16"/>
  <c r="C156" i="16"/>
  <c r="C157" i="16"/>
  <c r="F156" i="16"/>
  <c r="E157" i="16"/>
  <c r="G158" i="16"/>
  <c r="E158" i="16"/>
  <c r="D157" i="16"/>
  <c r="H102" i="13"/>
  <c r="E102" i="13"/>
  <c r="D158" i="16"/>
  <c r="G102" i="13"/>
  <c r="F102" i="13"/>
  <c r="C158" i="16"/>
  <c r="F158" i="16"/>
  <c r="K47" i="7"/>
  <c r="G156" i="16"/>
  <c r="E156" i="16"/>
  <c r="F160" i="16"/>
  <c r="G160" i="16"/>
  <c r="D160" i="16"/>
  <c r="E160" i="16"/>
  <c r="C160" i="16"/>
  <c r="K208" i="16"/>
  <c r="I196" i="16"/>
  <c r="I71" i="13"/>
  <c r="J35" i="13"/>
  <c r="K35" i="13" s="1"/>
  <c r="H57" i="7"/>
  <c r="H56" i="7"/>
  <c r="G154" i="16"/>
  <c r="C154" i="16"/>
  <c r="F154" i="16"/>
  <c r="D154" i="16"/>
  <c r="E154" i="16"/>
  <c r="AE26" i="18"/>
  <c r="AE20" i="18"/>
  <c r="Y35" i="18"/>
  <c r="AE22" i="18"/>
  <c r="AE24" i="18"/>
  <c r="Y36" i="18"/>
  <c r="AE27" i="18"/>
  <c r="AE23" i="18"/>
  <c r="Y34" i="18"/>
  <c r="AE21" i="18"/>
  <c r="Y33" i="18"/>
  <c r="Z25" i="18"/>
  <c r="Z28" i="18" s="1"/>
  <c r="Z38" i="18" s="1"/>
  <c r="Z37" i="18" s="1"/>
  <c r="Y25" i="18"/>
  <c r="AA25" i="18"/>
  <c r="AA28" i="18" s="1"/>
  <c r="AA38" i="18" s="1"/>
  <c r="AA37" i="18" s="1"/>
  <c r="AB25" i="18"/>
  <c r="AB28" i="18" s="1"/>
  <c r="AB38" i="18" s="1"/>
  <c r="AB37" i="18" s="1"/>
  <c r="AC25" i="18"/>
  <c r="AC28" i="18" s="1"/>
  <c r="AC38" i="18" s="1"/>
  <c r="AC37" i="18" s="1"/>
  <c r="D59" i="7"/>
  <c r="C59" i="7"/>
  <c r="E59" i="7"/>
  <c r="F59" i="7"/>
  <c r="G59" i="7"/>
  <c r="CI161" i="10"/>
  <c r="CI6" i="10" s="1"/>
  <c r="H50" i="7"/>
  <c r="F166" i="16" l="1"/>
  <c r="H59" i="7"/>
  <c r="K59" i="7" s="1"/>
  <c r="K2" i="7" s="1"/>
  <c r="E166" i="16"/>
  <c r="D166" i="16"/>
  <c r="G166" i="16"/>
  <c r="C166" i="16"/>
  <c r="Y28" i="18"/>
  <c r="AE25" i="18"/>
  <c r="C167" i="16" l="1"/>
  <c r="C196" i="16"/>
  <c r="G167" i="16"/>
  <c r="G196" i="16"/>
  <c r="D167" i="16"/>
  <c r="D196" i="16"/>
  <c r="E167" i="16"/>
  <c r="E196" i="16"/>
  <c r="F167" i="16"/>
  <c r="F196" i="16"/>
  <c r="AE28" i="18"/>
  <c r="Y38" i="18"/>
  <c r="Y37" i="18" s="1"/>
  <c r="R2" i="1" l="1" a="1"/>
  <c r="R2" i="1" s="1"/>
  <c r="L2" i="1" s="1" a="1"/>
  <c r="B70" i="16" l="1"/>
  <c r="L2" i="1"/>
  <c r="B63" i="16" s="1"/>
  <c r="B73" i="16"/>
  <c r="B107" i="16" s="1"/>
  <c r="B79" i="16"/>
  <c r="B74" i="16"/>
  <c r="B108" i="16" s="1"/>
  <c r="B75" i="16"/>
  <c r="B109" i="16" s="1"/>
  <c r="B78" i="16"/>
  <c r="B112" i="16" s="1"/>
  <c r="B64" i="16"/>
  <c r="B98" i="16" s="1"/>
  <c r="B65" i="16"/>
  <c r="B67" i="16"/>
  <c r="B101" i="16" s="1"/>
  <c r="B71" i="16"/>
  <c r="B66" i="16"/>
  <c r="B69" i="16"/>
  <c r="B77" i="16"/>
  <c r="B111" i="16" s="1"/>
  <c r="B68" i="16"/>
  <c r="B102" i="16" s="1"/>
  <c r="B72" i="16"/>
  <c r="B76" i="16"/>
  <c r="B110" i="16" s="1"/>
  <c r="L161" i="6"/>
  <c r="I79" i="16" l="1"/>
  <c r="G307" i="16" s="1"/>
  <c r="B113" i="16"/>
  <c r="I66" i="16"/>
  <c r="G294" i="16" s="1"/>
  <c r="B100" i="16"/>
  <c r="I72" i="16"/>
  <c r="G300" i="16" s="1"/>
  <c r="B106" i="16"/>
  <c r="E69" i="16"/>
  <c r="E103" i="16" s="1"/>
  <c r="B103" i="16"/>
  <c r="E65" i="16"/>
  <c r="E99" i="16" s="1"/>
  <c r="B99" i="16"/>
  <c r="I71" i="16"/>
  <c r="G299" i="16" s="1"/>
  <c r="B105" i="16"/>
  <c r="D70" i="16"/>
  <c r="D104" i="16" s="1"/>
  <c r="B104" i="16"/>
  <c r="F63" i="16"/>
  <c r="F97" i="16" s="1"/>
  <c r="E63" i="16"/>
  <c r="E97" i="16" s="1"/>
  <c r="D63" i="16"/>
  <c r="D97" i="16" s="1"/>
  <c r="B97" i="16"/>
  <c r="E70" i="16"/>
  <c r="E104" i="16" s="1"/>
  <c r="C70" i="16"/>
  <c r="C104" i="16" s="1"/>
  <c r="C63" i="16"/>
  <c r="C97" i="16" s="1"/>
  <c r="I76" i="16"/>
  <c r="G304" i="16" s="1"/>
  <c r="G63" i="16"/>
  <c r="G97" i="16" s="1"/>
  <c r="I63" i="16"/>
  <c r="G291" i="16" s="1"/>
  <c r="I69" i="16"/>
  <c r="G297" i="16" s="1"/>
  <c r="C67" i="16"/>
  <c r="C101" i="16" s="1"/>
  <c r="E67" i="16"/>
  <c r="E101" i="16" s="1"/>
  <c r="C64" i="16"/>
  <c r="C98" i="16" s="1"/>
  <c r="I65" i="16"/>
  <c r="G293" i="16" s="1"/>
  <c r="C69" i="16"/>
  <c r="C103" i="16" s="1"/>
  <c r="D66" i="16"/>
  <c r="D100" i="16" s="1"/>
  <c r="C66" i="16"/>
  <c r="C100" i="16" s="1"/>
  <c r="F68" i="16"/>
  <c r="F102" i="16" s="1"/>
  <c r="G68" i="16"/>
  <c r="G102" i="16" s="1"/>
  <c r="F69" i="16"/>
  <c r="F103" i="16" s="1"/>
  <c r="G69" i="16"/>
  <c r="G103" i="16" s="1"/>
  <c r="G66" i="16"/>
  <c r="G100" i="16" s="1"/>
  <c r="F66" i="16"/>
  <c r="F100" i="16" s="1"/>
  <c r="F71" i="16"/>
  <c r="F105" i="16" s="1"/>
  <c r="G71" i="16"/>
  <c r="G105" i="16" s="1"/>
  <c r="G67" i="16"/>
  <c r="G101" i="16" s="1"/>
  <c r="F67" i="16"/>
  <c r="F101" i="16" s="1"/>
  <c r="D77" i="16"/>
  <c r="D111" i="16" s="1"/>
  <c r="E77" i="16"/>
  <c r="E111" i="16" s="1"/>
  <c r="C77" i="16"/>
  <c r="C111" i="16" s="1"/>
  <c r="G77" i="16"/>
  <c r="G111" i="16" s="1"/>
  <c r="F77" i="16"/>
  <c r="F111" i="16" s="1"/>
  <c r="G64" i="16"/>
  <c r="G98" i="16" s="1"/>
  <c r="F64" i="16"/>
  <c r="F98" i="16" s="1"/>
  <c r="I64" i="16"/>
  <c r="G292" i="16" s="1"/>
  <c r="F78" i="16"/>
  <c r="F112" i="16" s="1"/>
  <c r="E78" i="16"/>
  <c r="E112" i="16" s="1"/>
  <c r="G78" i="16"/>
  <c r="G112" i="16" s="1"/>
  <c r="C78" i="16"/>
  <c r="C112" i="16" s="1"/>
  <c r="D78" i="16"/>
  <c r="D112" i="16" s="1"/>
  <c r="D75" i="16"/>
  <c r="D109" i="16" s="1"/>
  <c r="E75" i="16"/>
  <c r="E109" i="16" s="1"/>
  <c r="C75" i="16"/>
  <c r="C109" i="16" s="1"/>
  <c r="G75" i="16"/>
  <c r="G109" i="16" s="1"/>
  <c r="F75" i="16"/>
  <c r="F109" i="16" s="1"/>
  <c r="I75" i="16"/>
  <c r="G303" i="16" s="1"/>
  <c r="I68" i="16"/>
  <c r="G296" i="16" s="1"/>
  <c r="D68" i="16"/>
  <c r="D102" i="16" s="1"/>
  <c r="D71" i="16"/>
  <c r="D105" i="16" s="1"/>
  <c r="C68" i="16"/>
  <c r="C102" i="16" s="1"/>
  <c r="C71" i="16"/>
  <c r="C105" i="16" s="1"/>
  <c r="D74" i="16"/>
  <c r="D108" i="16" s="1"/>
  <c r="C74" i="16"/>
  <c r="C108" i="16" s="1"/>
  <c r="E74" i="16"/>
  <c r="E108" i="16" s="1"/>
  <c r="F74" i="16"/>
  <c r="F108" i="16" s="1"/>
  <c r="G74" i="16"/>
  <c r="G108" i="16" s="1"/>
  <c r="I74" i="16"/>
  <c r="G302" i="16" s="1"/>
  <c r="F79" i="16"/>
  <c r="F113" i="16" s="1"/>
  <c r="G79" i="16"/>
  <c r="G113" i="16" s="1"/>
  <c r="D79" i="16"/>
  <c r="D113" i="16" s="1"/>
  <c r="E79" i="16"/>
  <c r="E113" i="16" s="1"/>
  <c r="C79" i="16"/>
  <c r="C113" i="16" s="1"/>
  <c r="F72" i="16"/>
  <c r="F106" i="16" s="1"/>
  <c r="G72" i="16"/>
  <c r="G106" i="16" s="1"/>
  <c r="D72" i="16"/>
  <c r="D106" i="16" s="1"/>
  <c r="D73" i="16"/>
  <c r="D107" i="16" s="1"/>
  <c r="C73" i="16"/>
  <c r="C107" i="16" s="1"/>
  <c r="E73" i="16"/>
  <c r="E107" i="16" s="1"/>
  <c r="G73" i="16"/>
  <c r="G107" i="16" s="1"/>
  <c r="F73" i="16"/>
  <c r="F107" i="16" s="1"/>
  <c r="I77" i="16"/>
  <c r="G305" i="16" s="1"/>
  <c r="E66" i="16"/>
  <c r="E100" i="16" s="1"/>
  <c r="F65" i="16"/>
  <c r="F99" i="16" s="1"/>
  <c r="G65" i="16"/>
  <c r="G99" i="16" s="1"/>
  <c r="E71" i="16"/>
  <c r="E105" i="16" s="1"/>
  <c r="D67" i="16"/>
  <c r="D101" i="16" s="1"/>
  <c r="E68" i="16"/>
  <c r="E102" i="16" s="1"/>
  <c r="I67" i="16"/>
  <c r="G295" i="16" s="1"/>
  <c r="D65" i="16"/>
  <c r="D99" i="16" s="1"/>
  <c r="E64" i="16"/>
  <c r="E98" i="16" s="1"/>
  <c r="C72" i="16"/>
  <c r="C106" i="16" s="1"/>
  <c r="I78" i="16"/>
  <c r="G306" i="16" s="1"/>
  <c r="C65" i="16"/>
  <c r="C99" i="16" s="1"/>
  <c r="D64" i="16"/>
  <c r="D98" i="16" s="1"/>
  <c r="D69" i="16"/>
  <c r="D103" i="16" s="1"/>
  <c r="E72" i="16"/>
  <c r="E106" i="16" s="1"/>
  <c r="E76" i="16"/>
  <c r="E110" i="16" s="1"/>
  <c r="D76" i="16"/>
  <c r="D110" i="16" s="1"/>
  <c r="C76" i="16"/>
  <c r="C110" i="16" s="1"/>
  <c r="G76" i="16"/>
  <c r="F76" i="16"/>
  <c r="F70" i="16"/>
  <c r="F104" i="16" s="1"/>
  <c r="G70" i="16"/>
  <c r="G104" i="16" s="1"/>
  <c r="I70" i="16"/>
  <c r="G298" i="16" s="1"/>
  <c r="L84" i="12"/>
  <c r="M161" i="6"/>
  <c r="Z84" i="12"/>
  <c r="Z161" i="12" s="1"/>
  <c r="N84" i="12"/>
  <c r="N161" i="12" s="1"/>
  <c r="K161" i="12"/>
  <c r="C293" i="16" l="1"/>
  <c r="E293" i="16" s="1"/>
  <c r="C295" i="16"/>
  <c r="E295" i="16" s="1"/>
  <c r="C294" i="16"/>
  <c r="E294" i="16" s="1"/>
  <c r="B266" i="16" a="1"/>
  <c r="B266" i="16" s="1"/>
  <c r="B275" i="16" a="1"/>
  <c r="B275" i="16" s="1"/>
  <c r="B274" i="16" a="1"/>
  <c r="B274" i="16" s="1"/>
  <c r="B281" i="16" a="1"/>
  <c r="B281" i="16" s="1"/>
  <c r="B267" i="16" a="1"/>
  <c r="B267" i="16" s="1"/>
  <c r="B280" i="16" a="1"/>
  <c r="B280" i="16" s="1"/>
  <c r="B272" i="16" a="1"/>
  <c r="B272" i="16" s="1"/>
  <c r="B279" i="16" a="1"/>
  <c r="B279" i="16" s="1"/>
  <c r="B268" i="16" a="1"/>
  <c r="B268" i="16" s="1"/>
  <c r="B270" i="16" a="1"/>
  <c r="B270" i="16" s="1"/>
  <c r="B273" i="16" a="1"/>
  <c r="B273" i="16" s="1"/>
  <c r="B277" i="16" a="1"/>
  <c r="B277" i="16" s="1"/>
  <c r="B276" i="16" a="1"/>
  <c r="B276" i="16" s="1"/>
  <c r="B271" i="16" a="1"/>
  <c r="B271" i="16" s="1"/>
  <c r="B278" i="16" a="1"/>
  <c r="B278" i="16" s="1"/>
  <c r="B269" i="16" a="1"/>
  <c r="B269" i="16" s="1"/>
  <c r="B260" i="16" a="1"/>
  <c r="B260" i="16" s="1"/>
  <c r="B262" i="16" a="1"/>
  <c r="B262" i="16" s="1"/>
  <c r="B259" i="16" a="1"/>
  <c r="B259" i="16" s="1"/>
  <c r="B261" i="16" a="1"/>
  <c r="B261" i="16" s="1"/>
  <c r="B255" i="16" a="1"/>
  <c r="B255" i="16" s="1"/>
  <c r="B254" i="16" a="1"/>
  <c r="B254" i="16" s="1"/>
  <c r="B252" i="16" a="1"/>
  <c r="B252" i="16" s="1"/>
  <c r="B248" i="16" a="1"/>
  <c r="B248" i="16" s="1"/>
  <c r="B256" i="16" a="1"/>
  <c r="B256" i="16" s="1"/>
  <c r="B258" i="16" a="1"/>
  <c r="B258" i="16" s="1"/>
  <c r="B257" i="16" a="1"/>
  <c r="B257" i="16" s="1"/>
  <c r="B249" i="16" a="1"/>
  <c r="B249" i="16" s="1"/>
  <c r="B251" i="16" a="1"/>
  <c r="B251" i="16" s="1"/>
  <c r="B250" i="16" a="1"/>
  <c r="B250" i="16" s="1"/>
  <c r="B247" i="16" a="1"/>
  <c r="B247" i="16" s="1"/>
  <c r="B253" i="16" a="1"/>
  <c r="B253" i="16" s="1"/>
  <c r="H100" i="16"/>
  <c r="C296" i="16" s="1"/>
  <c r="H109" i="16"/>
  <c r="H105" i="16"/>
  <c r="E114" i="16"/>
  <c r="H107" i="16"/>
  <c r="H99" i="16"/>
  <c r="D114" i="16"/>
  <c r="H113" i="16"/>
  <c r="C114" i="16"/>
  <c r="H108" i="16"/>
  <c r="H102" i="16"/>
  <c r="H103" i="16"/>
  <c r="C298" i="16" s="1"/>
  <c r="H111" i="16"/>
  <c r="H98" i="16"/>
  <c r="H212" i="16" s="1"/>
  <c r="H101" i="16"/>
  <c r="G110" i="16"/>
  <c r="G114" i="16" s="1"/>
  <c r="H106" i="16"/>
  <c r="F110" i="16"/>
  <c r="H112" i="16"/>
  <c r="H104" i="16"/>
  <c r="C297" i="16" s="1"/>
  <c r="H63" i="16"/>
  <c r="H67" i="16"/>
  <c r="H66" i="16"/>
  <c r="H72" i="16"/>
  <c r="H75" i="16"/>
  <c r="H77" i="16"/>
  <c r="H79" i="16"/>
  <c r="H69" i="16"/>
  <c r="C80" i="16"/>
  <c r="D80" i="16"/>
  <c r="E80" i="16"/>
  <c r="H65" i="16"/>
  <c r="H68" i="16"/>
  <c r="H73" i="16"/>
  <c r="H74" i="16"/>
  <c r="H78" i="16"/>
  <c r="H64" i="16"/>
  <c r="H70" i="16"/>
  <c r="H76" i="16"/>
  <c r="H97" i="16"/>
  <c r="C299" i="16" s="1"/>
  <c r="E299" i="16" s="1"/>
  <c r="M6" i="6"/>
  <c r="AC84" i="12"/>
  <c r="O84" i="12"/>
  <c r="O161" i="12" s="1"/>
  <c r="O6" i="12" s="1"/>
  <c r="AA84" i="12"/>
  <c r="AA161" i="12" s="1"/>
  <c r="AA6" i="12" s="1"/>
  <c r="L161" i="12"/>
  <c r="L6" i="12" s="1"/>
  <c r="C292" i="16" l="1"/>
  <c r="D258" i="16" a="1"/>
  <c r="D258" i="16" s="1"/>
  <c r="F258" i="16" s="1"/>
  <c r="B305" i="16" a="1"/>
  <c r="B305" i="16" s="1"/>
  <c r="C305" i="16" s="1"/>
  <c r="D262" i="16" a="1"/>
  <c r="D262" i="16" s="1"/>
  <c r="F262" i="16" s="1"/>
  <c r="D261" i="16" a="1"/>
  <c r="D261" i="16" s="1"/>
  <c r="F261" i="16" s="1"/>
  <c r="D279" i="16" a="1"/>
  <c r="D279" i="16" s="1"/>
  <c r="F279" i="16" s="1"/>
  <c r="C300" i="16"/>
  <c r="D278" i="16" a="1"/>
  <c r="D278" i="16" s="1"/>
  <c r="F278" i="16" s="1"/>
  <c r="D257" i="16" a="1"/>
  <c r="D257" i="16" s="1"/>
  <c r="F257" i="16" s="1"/>
  <c r="D281" i="16" a="1"/>
  <c r="D281" i="16" s="1"/>
  <c r="F281" i="16" s="1"/>
  <c r="D276" i="16" a="1"/>
  <c r="D276" i="16" s="1"/>
  <c r="F276" i="16" s="1"/>
  <c r="C303" i="16"/>
  <c r="E303" i="16" s="1"/>
  <c r="D259" i="16" a="1"/>
  <c r="D259" i="16" s="1"/>
  <c r="F259" i="16" s="1"/>
  <c r="D277" i="16" a="1"/>
  <c r="D277" i="16" s="1"/>
  <c r="F277" i="16" s="1"/>
  <c r="D280" i="16" a="1"/>
  <c r="D280" i="16" s="1"/>
  <c r="F280" i="16" s="1"/>
  <c r="D260" i="16" a="1"/>
  <c r="D260" i="16" s="1"/>
  <c r="F260" i="16" s="1"/>
  <c r="C301" i="16"/>
  <c r="E301" i="16" s="1"/>
  <c r="E296" i="16"/>
  <c r="E297" i="16"/>
  <c r="E298" i="16"/>
  <c r="E292" i="16"/>
  <c r="C291" i="16"/>
  <c r="E291" i="16" s="1"/>
  <c r="C302" i="16"/>
  <c r="E302" i="16" s="1"/>
  <c r="E300" i="16"/>
  <c r="C266" i="16" a="1"/>
  <c r="C247" i="16" a="1"/>
  <c r="H110" i="16"/>
  <c r="F114" i="16"/>
  <c r="H211" i="16"/>
  <c r="G12" i="4"/>
  <c r="AD84" i="12"/>
  <c r="AI84" i="12"/>
  <c r="G38" i="4" s="1"/>
  <c r="G19" i="4"/>
  <c r="AC161" i="12"/>
  <c r="C306" i="16" l="1"/>
  <c r="E306" i="16" s="1"/>
  <c r="C310" i="16"/>
  <c r="E310" i="16" s="1"/>
  <c r="C311" i="16"/>
  <c r="E311" i="16" s="1"/>
  <c r="C309" i="16"/>
  <c r="E309" i="16" s="1"/>
  <c r="C307" i="16"/>
  <c r="E307" i="16" s="1"/>
  <c r="E275" i="16" a="1"/>
  <c r="E275" i="16" s="1"/>
  <c r="D275" i="16" a="1"/>
  <c r="D275" i="16" s="1"/>
  <c r="E256" i="16" a="1"/>
  <c r="E256" i="16" s="1"/>
  <c r="D256" i="16" a="1"/>
  <c r="D256" i="16" s="1"/>
  <c r="E304" i="16"/>
  <c r="C304" i="16"/>
  <c r="E305" i="16"/>
  <c r="H114" i="16"/>
  <c r="C308" i="16"/>
  <c r="E308" i="16" s="1"/>
  <c r="C266" i="16"/>
  <c r="D266" i="16" s="1" a="1"/>
  <c r="D266" i="16" s="1"/>
  <c r="E269" i="16" a="1"/>
  <c r="E269" i="16" s="1"/>
  <c r="E274" i="16" a="1"/>
  <c r="E274" i="16" s="1"/>
  <c r="E271" i="16" a="1"/>
  <c r="E271" i="16" s="1"/>
  <c r="E268" i="16" a="1"/>
  <c r="E268" i="16" s="1"/>
  <c r="E273" i="16" a="1"/>
  <c r="E273" i="16" s="1"/>
  <c r="E270" i="16" a="1"/>
  <c r="E270" i="16" s="1"/>
  <c r="E272" i="16" a="1"/>
  <c r="E272" i="16" s="1"/>
  <c r="E267" i="16" a="1"/>
  <c r="E267" i="16" s="1"/>
  <c r="D272" i="16" a="1"/>
  <c r="D272" i="16" s="1"/>
  <c r="D269" i="16" a="1"/>
  <c r="D269" i="16" s="1"/>
  <c r="D270" i="16" a="1"/>
  <c r="D270" i="16" s="1"/>
  <c r="D274" i="16" a="1"/>
  <c r="D274" i="16" s="1"/>
  <c r="D271" i="16" a="1"/>
  <c r="D271" i="16" s="1"/>
  <c r="D268" i="16" a="1"/>
  <c r="D268" i="16" s="1"/>
  <c r="D273" i="16" a="1"/>
  <c r="D273" i="16" s="1"/>
  <c r="D267" i="16" a="1"/>
  <c r="D267" i="16" s="1"/>
  <c r="C247" i="16"/>
  <c r="E255" i="16" a="1"/>
  <c r="E255" i="16" s="1"/>
  <c r="D254" i="16" a="1"/>
  <c r="D254" i="16" s="1"/>
  <c r="E248" i="16" a="1"/>
  <c r="E248" i="16" s="1"/>
  <c r="D255" i="16" a="1"/>
  <c r="D255" i="16" s="1"/>
  <c r="E249" i="16" a="1"/>
  <c r="E249" i="16" s="1"/>
  <c r="D248" i="16" a="1"/>
  <c r="D248" i="16" s="1"/>
  <c r="E250" i="16" a="1"/>
  <c r="E250" i="16" s="1"/>
  <c r="D249" i="16" a="1"/>
  <c r="D249" i="16" s="1"/>
  <c r="E251" i="16" a="1"/>
  <c r="E251" i="16" s="1"/>
  <c r="D250" i="16" a="1"/>
  <c r="D250" i="16" s="1"/>
  <c r="E252" i="16" a="1"/>
  <c r="E252" i="16" s="1"/>
  <c r="D251" i="16" a="1"/>
  <c r="D251" i="16" s="1"/>
  <c r="E254" i="16" a="1"/>
  <c r="E254" i="16" s="1"/>
  <c r="E253" i="16" a="1"/>
  <c r="E253" i="16" s="1"/>
  <c r="D252" i="16" a="1"/>
  <c r="D252" i="16" s="1"/>
  <c r="D253" i="16" a="1"/>
  <c r="D253" i="16" s="1"/>
  <c r="F80" i="16"/>
  <c r="AJ84" i="12"/>
  <c r="H38" i="4" s="1"/>
  <c r="H12" i="4"/>
  <c r="F84" i="16"/>
  <c r="F118" i="16" s="1"/>
  <c r="H19" i="4"/>
  <c r="AD161" i="12"/>
  <c r="AD6" i="12" s="1"/>
  <c r="F91" i="16"/>
  <c r="F125" i="16" s="1"/>
  <c r="G21" i="4"/>
  <c r="H71" i="16"/>
  <c r="G45" i="4"/>
  <c r="AI161" i="12"/>
  <c r="F275" i="16" l="1"/>
  <c r="F256" i="16"/>
  <c r="E266" i="16" a="1"/>
  <c r="E266" i="16" s="1"/>
  <c r="F266" i="16" s="1"/>
  <c r="F269" i="16"/>
  <c r="F270" i="16"/>
  <c r="E312" i="16"/>
  <c r="C312" i="16"/>
  <c r="F268" i="16"/>
  <c r="F271" i="16"/>
  <c r="F273" i="16"/>
  <c r="F274" i="16"/>
  <c r="F272" i="16"/>
  <c r="F267" i="16"/>
  <c r="F253" i="16"/>
  <c r="F254" i="16"/>
  <c r="F252" i="16"/>
  <c r="F249" i="16"/>
  <c r="F251" i="16"/>
  <c r="F250" i="16"/>
  <c r="F248" i="16"/>
  <c r="F255" i="16"/>
  <c r="E247" i="16" a="1"/>
  <c r="E247" i="16" s="1"/>
  <c r="D247" i="16" a="1"/>
  <c r="D247" i="16" s="1"/>
  <c r="I19" i="4"/>
  <c r="G84" i="16"/>
  <c r="G118" i="16" s="1"/>
  <c r="H118" i="16" s="1"/>
  <c r="I38" i="4"/>
  <c r="F127" i="16"/>
  <c r="F285" i="16" s="1"/>
  <c r="G80" i="16"/>
  <c r="H45" i="4"/>
  <c r="AJ161" i="12"/>
  <c r="AJ6" i="12" s="1"/>
  <c r="I12" i="4"/>
  <c r="G91" i="16"/>
  <c r="H21" i="4"/>
  <c r="H22" i="4" s="1"/>
  <c r="G47" i="4"/>
  <c r="G22" i="4"/>
  <c r="F93" i="16"/>
  <c r="F287" i="16" l="1"/>
  <c r="F247" i="16"/>
  <c r="H84" i="16"/>
  <c r="I45" i="4"/>
  <c r="G93" i="16"/>
  <c r="K114" i="16" s="1"/>
  <c r="G125" i="16"/>
  <c r="H80" i="16"/>
  <c r="K21" i="4"/>
  <c r="H47" i="4"/>
  <c r="K47" i="4" s="1"/>
  <c r="I21" i="4"/>
  <c r="H91" i="16"/>
  <c r="G48" i="4"/>
  <c r="H93" i="16" l="1"/>
  <c r="K93" i="16" s="1"/>
  <c r="H125" i="16"/>
  <c r="H127" i="16" s="1"/>
  <c r="K127" i="16" s="1"/>
  <c r="G127" i="16"/>
  <c r="G285" i="16" s="1"/>
  <c r="I47" i="4"/>
  <c r="K2" i="4" s="1"/>
  <c r="H48" i="4"/>
  <c r="K80" i="16"/>
  <c r="S8" i="18"/>
  <c r="T8" i="18" s="1" a="1"/>
  <c r="T8" i="18" s="1"/>
  <c r="Q20" i="18" s="1"/>
  <c r="S9" i="18"/>
  <c r="T9" i="18" s="1" a="1"/>
  <c r="T9" i="18" s="1"/>
  <c r="Q21" i="18" s="1"/>
  <c r="S10" i="18"/>
  <c r="T10" i="18" s="1" a="1"/>
  <c r="T10" i="18" s="1"/>
  <c r="Q22" i="18" s="1"/>
  <c r="S11" i="18"/>
  <c r="T11" i="18" s="1" a="1"/>
  <c r="T11" i="18" s="1"/>
  <c r="Q23" i="18" s="1"/>
  <c r="S12" i="18"/>
  <c r="T12" i="18" s="1" a="1"/>
  <c r="T12" i="18" s="1"/>
  <c r="Q24" i="18" s="1"/>
  <c r="G287" i="16" l="1"/>
  <c r="H285" i="16"/>
  <c r="I32" i="4"/>
  <c r="I31" i="4"/>
  <c r="K2" i="16"/>
  <c r="U24" i="18" a="1"/>
  <c r="U24" i="18" s="1"/>
  <c r="W24" i="18" a="1"/>
  <c r="W24" i="18" s="1"/>
  <c r="T24" i="18" a="1"/>
  <c r="T24" i="18" s="1"/>
  <c r="X24" i="18" a="1"/>
  <c r="X24" i="18" s="1"/>
  <c r="V24" i="18" a="1"/>
  <c r="V24" i="18" s="1"/>
  <c r="V22" i="18" a="1"/>
  <c r="V22" i="18" s="1"/>
  <c r="U22" i="18" a="1"/>
  <c r="U22" i="18" s="1"/>
  <c r="S22" i="18"/>
  <c r="X22" i="18" a="1"/>
  <c r="X22" i="18" s="1"/>
  <c r="W22" i="18" a="1"/>
  <c r="W22" i="18" s="1"/>
  <c r="T22" i="18" a="1"/>
  <c r="T22" i="18" s="1"/>
  <c r="T23" i="18" a="1"/>
  <c r="T23" i="18" s="1"/>
  <c r="X23" i="18" a="1"/>
  <c r="X23" i="18" s="1"/>
  <c r="X34" i="18" s="1"/>
  <c r="W23" i="18" a="1"/>
  <c r="W23" i="18" s="1"/>
  <c r="W34" i="18" s="1"/>
  <c r="U23" i="18" a="1"/>
  <c r="U23" i="18" s="1"/>
  <c r="U34" i="18" s="1"/>
  <c r="V23" i="18" a="1"/>
  <c r="V23" i="18" s="1"/>
  <c r="V34" i="18" s="1"/>
  <c r="W20" i="18" a="1"/>
  <c r="W20" i="18" s="1"/>
  <c r="W35" i="18" s="1"/>
  <c r="V20" i="18" a="1"/>
  <c r="V20" i="18" s="1"/>
  <c r="V35" i="18" s="1"/>
  <c r="X20" i="18" a="1"/>
  <c r="X20" i="18" s="1"/>
  <c r="X35" i="18" s="1"/>
  <c r="U20" i="18" a="1"/>
  <c r="U20" i="18" s="1"/>
  <c r="U35" i="18" s="1"/>
  <c r="T20" i="18" a="1"/>
  <c r="T20" i="18" s="1"/>
  <c r="X21" i="18" a="1"/>
  <c r="X21" i="18" s="1"/>
  <c r="X33" i="18" s="1"/>
  <c r="S21" i="18"/>
  <c r="W21" i="18" a="1"/>
  <c r="W21" i="18" s="1"/>
  <c r="W33" i="18" s="1"/>
  <c r="V21" i="18" a="1"/>
  <c r="V21" i="18" s="1"/>
  <c r="V33" i="18" s="1"/>
  <c r="U21" i="18" a="1"/>
  <c r="U21" i="18" s="1"/>
  <c r="U33" i="18" s="1"/>
  <c r="T21" i="18" a="1"/>
  <c r="T21" i="18" s="1"/>
  <c r="H210" i="16"/>
  <c r="S5" i="18"/>
  <c r="S17" i="18" s="1"/>
  <c r="D34" i="4"/>
  <c r="E34" i="4"/>
  <c r="F34" i="4"/>
  <c r="H287" i="16" l="1"/>
  <c r="K285" i="16"/>
  <c r="K287" i="16"/>
  <c r="K312" i="16"/>
  <c r="E60" i="4"/>
  <c r="F60" i="4"/>
  <c r="AD22" i="18"/>
  <c r="T34" i="18"/>
  <c r="AD23" i="18"/>
  <c r="AD24" i="18"/>
  <c r="T33" i="18"/>
  <c r="AD21" i="18"/>
  <c r="T35" i="18"/>
  <c r="AD20" i="18"/>
  <c r="U25" i="18"/>
  <c r="U28" i="18" s="1"/>
  <c r="U38" i="18" s="1"/>
  <c r="U37" i="18" s="1"/>
  <c r="V25" i="18"/>
  <c r="V28" i="18" s="1"/>
  <c r="V38" i="18" s="1"/>
  <c r="V37" i="18" s="1"/>
  <c r="W25" i="18"/>
  <c r="W28" i="18" s="1"/>
  <c r="W38" i="18" s="1"/>
  <c r="W37" i="18" s="1"/>
  <c r="X25" i="18"/>
  <c r="X28" i="18" s="1"/>
  <c r="X38" i="18" s="1"/>
  <c r="X37" i="18" s="1"/>
  <c r="T25" i="18"/>
  <c r="I58" i="4"/>
  <c r="I34" i="4"/>
  <c r="D60" i="4"/>
  <c r="I60" i="4" l="1"/>
  <c r="T28" i="18"/>
  <c r="AD25" i="18"/>
  <c r="W39" i="18"/>
  <c r="X39" i="18"/>
  <c r="V39" i="18"/>
  <c r="U39" i="18"/>
  <c r="T39" i="18"/>
  <c r="T43" i="18" s="1"/>
  <c r="AD28" i="18" l="1"/>
  <c r="T38" i="18"/>
  <c r="X30" i="18"/>
  <c r="T37" i="18" l="1"/>
  <c r="T42" i="18"/>
  <c r="T44" i="18" s="1"/>
  <c r="AD30" i="18"/>
  <c r="AD31" i="18" s="1"/>
  <c r="AF28" i="18"/>
  <c r="I72" i="13" l="1"/>
  <c r="J7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<sst xmlns="http://schemas.openxmlformats.org/spreadsheetml/2006/main" count="2656" uniqueCount="517">
  <si>
    <t>Asset class</t>
  </si>
  <si>
    <t>RIN category</t>
  </si>
  <si>
    <t>Pipelines</t>
  </si>
  <si>
    <t>Replacement</t>
  </si>
  <si>
    <t>Compressors</t>
  </si>
  <si>
    <t>Expansion</t>
  </si>
  <si>
    <t>Non-network</t>
  </si>
  <si>
    <t>Capitalised network overheads</t>
  </si>
  <si>
    <t>Capitalised corporate overheads</t>
  </si>
  <si>
    <t>Other capex</t>
  </si>
  <si>
    <t>Capital contributions included in the above</t>
  </si>
  <si>
    <t>Capex model - Inflation</t>
  </si>
  <si>
    <t>Inflation</t>
  </si>
  <si>
    <t>Quarter</t>
  </si>
  <si>
    <t>Index Numbers All groups CPI  Australia</t>
  </si>
  <si>
    <t>AER inflation forecast</t>
  </si>
  <si>
    <t>Year</t>
  </si>
  <si>
    <t>Expected inflation</t>
  </si>
  <si>
    <t>Inflation rate</t>
  </si>
  <si>
    <t>Capex model - Historic capex</t>
  </si>
  <si>
    <t>As incurred</t>
  </si>
  <si>
    <t>As commissioned</t>
  </si>
  <si>
    <t>Project name</t>
  </si>
  <si>
    <t>Basis</t>
  </si>
  <si>
    <t>Nominal</t>
  </si>
  <si>
    <t>Other</t>
  </si>
  <si>
    <t>TOTAL</t>
  </si>
  <si>
    <t>Capex model - Capex forecast</t>
  </si>
  <si>
    <t>Forecast Capex</t>
  </si>
  <si>
    <t>Components</t>
  </si>
  <si>
    <t>#</t>
  </si>
  <si>
    <t>Commissioned</t>
  </si>
  <si>
    <t>Timing</t>
  </si>
  <si>
    <t>Total AA7</t>
  </si>
  <si>
    <t>Labour</t>
  </si>
  <si>
    <t>Material</t>
  </si>
  <si>
    <t>Total</t>
  </si>
  <si>
    <t>Mid-year</t>
  </si>
  <si>
    <t>Capex model - RFM inputs</t>
  </si>
  <si>
    <t>Actual capital expenditure – As incurred ($m Nominal)</t>
  </si>
  <si>
    <t>Actual asset disposal – As incurred ($m Nominal)</t>
  </si>
  <si>
    <t>Actual capital expenditure – As commissioned ($m Nominal)</t>
  </si>
  <si>
    <t>Actual capital expenditure – As de-commissioned ($m Nominal)</t>
  </si>
  <si>
    <t>Capex model - PTRM inputs</t>
  </si>
  <si>
    <t>Actual asset disposal – As incurred ($m real 2027)</t>
  </si>
  <si>
    <t>Actual capital expenditure – As commissioned ($m real 2027)</t>
  </si>
  <si>
    <t>Actual capital expenditure – As de-commissioned ($m real 2027)</t>
  </si>
  <si>
    <t>Historic capex - RBP and shared corporate</t>
  </si>
  <si>
    <t>Roma to Brisbane Pipeline (RBP) 2027-32 access arrangement</t>
  </si>
  <si>
    <t>2031-32</t>
  </si>
  <si>
    <t>2030-31</t>
  </si>
  <si>
    <t>2029-30</t>
  </si>
  <si>
    <t>2028-29</t>
  </si>
  <si>
    <t>2027-28</t>
  </si>
  <si>
    <t>2024-25</t>
  </si>
  <si>
    <t>2023-24</t>
  </si>
  <si>
    <t>2022-23</t>
  </si>
  <si>
    <t>2021-22</t>
  </si>
  <si>
    <t>DN300 Metro - ILI - MFL + EMAT</t>
  </si>
  <si>
    <t>Station Painting</t>
  </si>
  <si>
    <t>Controlwave Micro RTUs &amp; Flow Computer end of Life replacement</t>
  </si>
  <si>
    <t>Woodroyd - GC &amp; Moisture Analyser</t>
  </si>
  <si>
    <t>Scotia - GC &amp; Moisture Analyser</t>
  </si>
  <si>
    <t>Ellengrove GC Upgrade</t>
  </si>
  <si>
    <t>Brightview GC Upgrade</t>
  </si>
  <si>
    <t>Redbank Plains - Turbine Meter Upgrade</t>
  </si>
  <si>
    <t>Toowoomba - Turbine Meter Upgrade</t>
  </si>
  <si>
    <t>Enhanced Methane Survey</t>
  </si>
  <si>
    <t>Minor Projects</t>
  </si>
  <si>
    <t>Regulators and meters</t>
  </si>
  <si>
    <t xml:space="preserve">Easements </t>
  </si>
  <si>
    <t>Communications</t>
  </si>
  <si>
    <t>Capitalised AA costs</t>
  </si>
  <si>
    <t>Group IT</t>
  </si>
  <si>
    <t>SIB Capex</t>
  </si>
  <si>
    <t>Integrity</t>
  </si>
  <si>
    <t>SIB</t>
  </si>
  <si>
    <t>DN250</t>
  </si>
  <si>
    <t>Environment</t>
  </si>
  <si>
    <t>Tools</t>
  </si>
  <si>
    <t>Site equipment</t>
  </si>
  <si>
    <t>Gas Instruments</t>
  </si>
  <si>
    <t>ILI</t>
  </si>
  <si>
    <t>Validation dig</t>
  </si>
  <si>
    <t>CP</t>
  </si>
  <si>
    <t>Valve replacement</t>
  </si>
  <si>
    <t>ILI upgrade</t>
  </si>
  <si>
    <t>Security</t>
  </si>
  <si>
    <t>AC mitigation</t>
  </si>
  <si>
    <t>Suspension</t>
  </si>
  <si>
    <t>Gowrie Creek</t>
  </si>
  <si>
    <t>Station painting</t>
  </si>
  <si>
    <t>Flow computer &amp; RTU upgrades</t>
  </si>
  <si>
    <t>Earthing upgrades</t>
  </si>
  <si>
    <t>Calibrators</t>
  </si>
  <si>
    <t>Gas specification metering</t>
  </si>
  <si>
    <t>Turbine meter upgrade</t>
  </si>
  <si>
    <t>Safety digs</t>
  </si>
  <si>
    <t>Ellengrove Reliability</t>
  </si>
  <si>
    <t>Mgmt tool</t>
  </si>
  <si>
    <t>Contractor</t>
  </si>
  <si>
    <t>Business cases</t>
  </si>
  <si>
    <t>Minor project</t>
  </si>
  <si>
    <t>Minor project type</t>
  </si>
  <si>
    <t>Immediate deductible</t>
  </si>
  <si>
    <t>Index</t>
  </si>
  <si>
    <t>Factor</t>
  </si>
  <si>
    <t>RBA forecast</t>
  </si>
  <si>
    <t>March</t>
  </si>
  <si>
    <t>September</t>
  </si>
  <si>
    <t>Convert real June 2027 to nominal (Using AER inflation forecast)</t>
  </si>
  <si>
    <t>FY 26</t>
  </si>
  <si>
    <t>FY 27</t>
  </si>
  <si>
    <t>End-year</t>
  </si>
  <si>
    <t>Capex forecast - Inflation escalation ($real June 2027)</t>
  </si>
  <si>
    <t>Capex forecast - Labour escalation ($real June 2027)</t>
  </si>
  <si>
    <t>Labour cost escalation</t>
  </si>
  <si>
    <t>WPI</t>
  </si>
  <si>
    <t>Labour Index</t>
  </si>
  <si>
    <t>2026-27</t>
  </si>
  <si>
    <t>2025-26</t>
  </si>
  <si>
    <t>Capex forecast - Material escalation ($real June 2027)</t>
  </si>
  <si>
    <t>Capex forecast - Contractor escalation ($real June 2027)</t>
  </si>
  <si>
    <t>Capex forecast - Other escalation ($real June 2027)</t>
  </si>
  <si>
    <t>Capex forecast - Capitalised corporate overheads ($real June 2027)</t>
  </si>
  <si>
    <t>Capex forecast - Total ($real June 2027)</t>
  </si>
  <si>
    <t>Capex forecast - Immediately expensed ($real June 2027)</t>
  </si>
  <si>
    <t>Post-tax revenue model inputs</t>
  </si>
  <si>
    <t>Forecast capital expenditure – As incurred ($m real 2027)</t>
  </si>
  <si>
    <t>Forecast capital expenditure – Immediately expensed - As incurred ($m real 2027)</t>
  </si>
  <si>
    <t>Capex forecast - Inflation escalation ($nominal)</t>
  </si>
  <si>
    <t>FY25</t>
  </si>
  <si>
    <t>Convert real (mid-year) to nominal</t>
  </si>
  <si>
    <t>FY 25</t>
  </si>
  <si>
    <t>Capex model - Reset RIN inputs</t>
  </si>
  <si>
    <t>Reset RIN inputs</t>
  </si>
  <si>
    <t>E1.1 - Forecast capital expenditure ($ real June 2027)</t>
  </si>
  <si>
    <t>E1.4 - Capitalised overheads ($ real June 2027)</t>
  </si>
  <si>
    <t>Project no.</t>
  </si>
  <si>
    <t>Immediate deductibles</t>
  </si>
  <si>
    <t>Access Arrangement</t>
  </si>
  <si>
    <t>Driver</t>
  </si>
  <si>
    <t>Program</t>
  </si>
  <si>
    <t>DN250 Validation and repair Dig ILI (MFL)</t>
  </si>
  <si>
    <t>CP Augmentation</t>
  </si>
  <si>
    <t>DN250 - Supply Security Project</t>
  </si>
  <si>
    <t>SCADA Hardware Lifecycle Management</t>
  </si>
  <si>
    <t>DN300 Metro Validation dig ILI</t>
  </si>
  <si>
    <t>DN200 Lytton Lateral - ILI - MFL</t>
  </si>
  <si>
    <t>Gatton - Battery Charger Replacement</t>
  </si>
  <si>
    <t>Kogan - Battery Charger Replacement</t>
  </si>
  <si>
    <t>Oakey - Battery Charger Replacement</t>
  </si>
  <si>
    <t>Peat Lateral Liquid Removal upgrades</t>
  </si>
  <si>
    <t>Underground valves upgrades</t>
  </si>
  <si>
    <t>Dalby CS Comms Relocation</t>
  </si>
  <si>
    <t>DN400 Metro Loop - ILI - MFL</t>
  </si>
  <si>
    <t>Warrego Highway upgrade pipeline protection</t>
  </si>
  <si>
    <t>Oakey &amp; Kogan Decommissioning</t>
  </si>
  <si>
    <t>Gas Measurement Upgrade - including shades - FEED</t>
  </si>
  <si>
    <t>Property leases</t>
  </si>
  <si>
    <t>Motor vehicle leases</t>
  </si>
  <si>
    <t>FY 22</t>
  </si>
  <si>
    <t>As-incurred</t>
  </si>
  <si>
    <t>Historic capex - RBP and shared corporate (AER approved forecast)</t>
  </si>
  <si>
    <t>Capex model - AER approved forecast (2023-27)</t>
  </si>
  <si>
    <t>Capex model - Overview tables and graphs</t>
  </si>
  <si>
    <t>Overview tables and graphs</t>
  </si>
  <si>
    <t>AER approved forecast, by project (2023-27)</t>
  </si>
  <si>
    <t>AER approved forecast, by asset class (2023-27)</t>
  </si>
  <si>
    <t>Pipeline Integrity</t>
  </si>
  <si>
    <t>Battery Charger Replacement</t>
  </si>
  <si>
    <t>Liquids Removal</t>
  </si>
  <si>
    <t>Valve Upgrade</t>
  </si>
  <si>
    <t>Dalby Communication Relocation</t>
  </si>
  <si>
    <t>Pipeline Relocation</t>
  </si>
  <si>
    <t>Property Leases</t>
  </si>
  <si>
    <t>Vehicle Leases</t>
  </si>
  <si>
    <t>2023-27 programs</t>
  </si>
  <si>
    <t>Capex model - AER forecast escalation</t>
  </si>
  <si>
    <t>Capex model - Actual and forecast capex (2023-27) escalation</t>
  </si>
  <si>
    <t>Convert FY22 (March) to nominal</t>
  </si>
  <si>
    <t>Approved forecast capital expenditure – As incurred ($m nominal)</t>
  </si>
  <si>
    <t>Immediately deductible</t>
  </si>
  <si>
    <t>Capex model - Forecast capex escalation (2027-28)</t>
  </si>
  <si>
    <t>Capex forecast - Material escalation ($nominal)</t>
  </si>
  <si>
    <t>Capex forecast - Contractor escalation ($nominal)</t>
  </si>
  <si>
    <t>Capex forecast - Other escalation ($nominal)</t>
  </si>
  <si>
    <t>Capitalised corporate overheads ($nominal)</t>
  </si>
  <si>
    <t>Labour escalation ($nominal )</t>
  </si>
  <si>
    <t>Inflation escalation ($nominal)</t>
  </si>
  <si>
    <t>Total ($nominal)</t>
  </si>
  <si>
    <t>Immediately expensed ($nominal)</t>
  </si>
  <si>
    <t>Historic totals match</t>
  </si>
  <si>
    <t>Forecast totals match</t>
  </si>
  <si>
    <t>Capex forecast - As commissioned ($real June 2027)</t>
  </si>
  <si>
    <t>Commissioning</t>
  </si>
  <si>
    <t>Forecast - As commissioned ($nominal)</t>
  </si>
  <si>
    <t>Uncommissioned</t>
  </si>
  <si>
    <t>Capex</t>
  </si>
  <si>
    <t>Sheet check:</t>
  </si>
  <si>
    <t>Roll forward model inputs (actuals and forecast)</t>
  </si>
  <si>
    <t>Actual expenditure, by asset class (2023-27)</t>
  </si>
  <si>
    <t>Convert to real June 2027 (for PTRM)</t>
  </si>
  <si>
    <t>Forecast capital expenditure – Immediately expensed - As commissioned ($m real 2027)</t>
  </si>
  <si>
    <t>No</t>
  </si>
  <si>
    <t>Buildings</t>
  </si>
  <si>
    <t>Forecast capital expenditure – As incurred ($m real June 2027)</t>
  </si>
  <si>
    <t>Forecast expenditure, by asset class (2023-27)</t>
  </si>
  <si>
    <t>Actual expenditure, by project (2023-27)</t>
  </si>
  <si>
    <t>Actual capital expenditure – As incurred ($m real June 2027)</t>
  </si>
  <si>
    <t>Difference Across Periods</t>
  </si>
  <si>
    <t>Supply Security Projecct</t>
  </si>
  <si>
    <t>Current</t>
  </si>
  <si>
    <t>Forecast</t>
  </si>
  <si>
    <t>Graph Name</t>
  </si>
  <si>
    <t>Stay in Business</t>
  </si>
  <si>
    <t>AER allowance</t>
  </si>
  <si>
    <t>2025-26E</t>
  </si>
  <si>
    <t>2026-27E</t>
  </si>
  <si>
    <t>Gas instruments</t>
  </si>
  <si>
    <t>Pipeline integrity</t>
  </si>
  <si>
    <t>2022-27</t>
  </si>
  <si>
    <t>2027-32</t>
  </si>
  <si>
    <t>Higher than current period spend</t>
  </si>
  <si>
    <t>Diff to allowance</t>
  </si>
  <si>
    <t>Safety Digs</t>
  </si>
  <si>
    <t>Approved Actual capital expenditure – As incurred ($m nominal)</t>
  </si>
  <si>
    <t>Allowance</t>
  </si>
  <si>
    <t>Difference</t>
  </si>
  <si>
    <t>Actual capital expenditure – As stranded ($m real 2027)</t>
  </si>
  <si>
    <t>By Size</t>
  </si>
  <si>
    <t>Size</t>
  </si>
  <si>
    <t>Project</t>
  </si>
  <si>
    <t>Large</t>
  </si>
  <si>
    <t>A4</t>
  </si>
  <si>
    <t>Description</t>
  </si>
  <si>
    <t>FY28</t>
  </si>
  <si>
    <t>FY29</t>
  </si>
  <si>
    <t>FY30</t>
  </si>
  <si>
    <t>FY31</t>
  </si>
  <si>
    <t>FY32</t>
  </si>
  <si>
    <t>FY Total</t>
  </si>
  <si>
    <t>Project in Capex Model</t>
  </si>
  <si>
    <t>A5</t>
  </si>
  <si>
    <t>Table 2–3 Total cost for Site equipment business case ($’000s Real 30 June 2026)</t>
  </si>
  <si>
    <t>Table 3–3: Proposed 2028-2032 costs for Earthing upgrades ($’000s Real 30 June 2026)</t>
  </si>
  <si>
    <t>Table 4–3: Estimated annual cost of Station Painting ($’000s Real 30 June 2026)</t>
  </si>
  <si>
    <t>Forecast in AA</t>
  </si>
  <si>
    <t>Yes</t>
  </si>
  <si>
    <t>DN250 Supply Security Project</t>
  </si>
  <si>
    <t>Forecast Capex for Individual Projects &gt;$2m (2027-32)</t>
  </si>
  <si>
    <t>Minor Program type</t>
  </si>
  <si>
    <t>Pipeline Integrity by Minor Program(2027-32)</t>
  </si>
  <si>
    <t>Forecast expenditure by Minor Program (2027-32)</t>
  </si>
  <si>
    <t>Forecast expenditure by Program size (2027-32)</t>
  </si>
  <si>
    <t>Actual expenditure by Program (2023-27)</t>
  </si>
  <si>
    <t>Table 2–3 Total cost for Integrity business case ($000’s Real 30 June 2026)</t>
  </si>
  <si>
    <t>Category</t>
  </si>
  <si>
    <t>Category Total</t>
  </si>
  <si>
    <t>Table 3–3: Estimated annual cost ILI Program sites ($000’s Real 30 June 2026)</t>
  </si>
  <si>
    <t>A1</t>
  </si>
  <si>
    <t>Table 5–3: Estimated yearly cost of Safety Critical Digs ($’000s Real 30 June 2026)</t>
  </si>
  <si>
    <t>Safety Critical Digs (Complex)</t>
  </si>
  <si>
    <t>Safety Critical Digs (Non-complex)</t>
  </si>
  <si>
    <t>Table 6–3: Annual estimated cost of CP Program ($’000s Real 30 June 2026)</t>
  </si>
  <si>
    <t>Table 7–3: Annual estimated cost of ILI Upgrades ($’000s Real 2026-27)</t>
  </si>
  <si>
    <t>Table 8–3: Annual estimated cost of Enhanced Methane Survey ($’000s Real 30 June 2026)</t>
  </si>
  <si>
    <t>Table 2–3 Total cost for DN250 Supply Security business case ($’000s Real 2026-27)</t>
  </si>
  <si>
    <t>RBP - DN250 Suspension</t>
  </si>
  <si>
    <t>RBP - DN250 AC Mitigation (Oakey to Bellbird Park)</t>
  </si>
  <si>
    <t>Table 3–3: Estimated annual cost DN250 Supply Security Project ($’000s Real 30 June 2026)</t>
  </si>
  <si>
    <t>Table 5–3: Estimated yearly cost AC Mitigation ($’000s Real 2026-27)</t>
  </si>
  <si>
    <t>A2</t>
  </si>
  <si>
    <r>
      <t>Table </t>
    </r>
    <r>
      <rPr>
        <i/>
        <sz val="10"/>
        <color rgb="FF000000"/>
        <rFont val="Arial"/>
        <family val="2"/>
      </rPr>
      <t>4</t>
    </r>
    <r>
      <rPr>
        <i/>
        <sz val="10"/>
        <color rgb="FF3E3E3E"/>
        <rFont val="Arial"/>
        <family val="2"/>
        <scheme val="minor"/>
      </rPr>
      <t>‑</t>
    </r>
    <r>
      <rPr>
        <i/>
        <sz val="10"/>
        <color rgb="FF000000"/>
        <rFont val="Arial"/>
        <family val="2"/>
      </rPr>
      <t>1</t>
    </r>
    <r>
      <rPr>
        <i/>
        <sz val="10"/>
        <color rgb="FF3E3E3E"/>
        <rFont val="Arial"/>
        <family val="2"/>
        <scheme val="minor"/>
      </rPr>
      <t>: Estimated annual Validation Digs ($000’s Real 2026-27) </t>
    </r>
  </si>
  <si>
    <t>Table 3–3: Estimated annual cost Gowrie Creek Flood Protection   ($’000s Real 30 June 2026)</t>
  </si>
  <si>
    <t>A3</t>
  </si>
  <si>
    <t>Table 2–3 Total cost for SIB business case ($’000s Real 30 June 2026)</t>
  </si>
  <si>
    <r>
      <t>FY3</t>
    </r>
    <r>
      <rPr>
        <b/>
        <sz val="10"/>
        <color rgb="FFFFFFFF"/>
        <rFont val="Arial"/>
        <family val="2"/>
        <scheme val="minor"/>
      </rPr>
      <t>1</t>
    </r>
  </si>
  <si>
    <t>Replacement for Crane truck</t>
  </si>
  <si>
    <t>SDV at Condamine</t>
  </si>
  <si>
    <t>Dalby CS control room footings</t>
  </si>
  <si>
    <t>FY Totals</t>
  </si>
  <si>
    <t>Table 3–3: Estimated annual cost to Replace Valves ($’000s Real 30 June 2026)</t>
  </si>
  <si>
    <t>Table 4–3: Estimated annual cost of CP unit upgrades ($’000s Real 30 June 2026)</t>
  </si>
  <si>
    <t>Table 5–3: Estimated yearly cost of DEA &amp; ATS replacement ($’000s Real 2026-27)</t>
  </si>
  <si>
    <t>Generator Upgrades</t>
  </si>
  <si>
    <t>Table 5–3: Annual estimated cost SDV replacement ($’000s Real 2026-27)</t>
  </si>
  <si>
    <t>Table 5–3: Annual estimated cost of obsolete pilot control valves ($’000s Real 2026-27)</t>
  </si>
  <si>
    <t>Table 5–3: Annual estimated cost of satellite data loggers ($’000s Real 2026-27)</t>
  </si>
  <si>
    <t>Table 9–3: Annual estimated cost of Ellengrove Reliability project ($’000s Real 2026-27)</t>
  </si>
  <si>
    <t>Actual capital expenditure – As Commissioned Immediate Expensing ($m Nominal)</t>
  </si>
  <si>
    <t>Asset class (PTRM)</t>
  </si>
  <si>
    <t>Minor Project List with Duplicated</t>
  </si>
  <si>
    <t>Asset Class (RFM)</t>
  </si>
  <si>
    <t>Forecast expenditure by Program (2027-32)</t>
  </si>
  <si>
    <t>Approved forecast capital expenditure – As incurred ($m Real 2026-27)</t>
  </si>
  <si>
    <t>Convert nominal to Real 2027</t>
  </si>
  <si>
    <t>DN250 Peat Lateral - ILI</t>
  </si>
  <si>
    <t>DN250 Peat Lateral - Validation Dig ILI</t>
  </si>
  <si>
    <t>DN300 Metro - Validation dig ILI</t>
  </si>
  <si>
    <t>DN400 - MFL Campaign (3 sections) FY28-30</t>
  </si>
  <si>
    <t>DN400 - Validation Dig ILI (3 sections)</t>
  </si>
  <si>
    <t>DN400 - Validation Dig ILI (5 sections)</t>
  </si>
  <si>
    <t>CP Program</t>
  </si>
  <si>
    <t>CP Interference (DN250) and Registration</t>
  </si>
  <si>
    <t>DN200 Lytton Lateral - Validation Dig ILI</t>
  </si>
  <si>
    <t>DN250 Supply Security - Phase 2a</t>
  </si>
  <si>
    <t>DN300 Pig Receiver Safety Upgrades (SEA Compound)</t>
  </si>
  <si>
    <t>DN250 AC Mitigation (Oakey to Bellbird Park)</t>
  </si>
  <si>
    <t>DN250 Suspension - Phase 3</t>
  </si>
  <si>
    <t>Gowrie Creek flood protection</t>
  </si>
  <si>
    <t xml:space="preserve">Ellengrove Reliability </t>
  </si>
  <si>
    <t>DN300 Metro ILI - EMAT + C-MFL</t>
  </si>
  <si>
    <t>DN400 - MFL Campaign (5 sections) FY26-28</t>
  </si>
  <si>
    <t>DN300 Metro MFL Validation Digs - FY26</t>
  </si>
  <si>
    <t>Main Switchboard Replacement (Condamine &amp; Gatton)</t>
  </si>
  <si>
    <t>DN250 Safety Critical Dig-Ups (Brassall - Bellbird)</t>
  </si>
  <si>
    <t>Ellengrove Reliability - Valve Replacements and Reliability</t>
  </si>
  <si>
    <t>DN300 Metro ILI - A-MFL</t>
  </si>
  <si>
    <t>Major Capitalisable Maintenance FY27</t>
  </si>
  <si>
    <t>Ellengrove - add BPCS loop to achieve TMEL</t>
  </si>
  <si>
    <t>Aggregate of other projects with total expenditure of less than $500,000</t>
  </si>
  <si>
    <t>Direct labour</t>
  </si>
  <si>
    <t>Direct materials</t>
  </si>
  <si>
    <t>Direct contractor</t>
  </si>
  <si>
    <t>Other direct expenditure</t>
  </si>
  <si>
    <t>Overheads</t>
  </si>
  <si>
    <t>E2.1 - Capex - by Driver (Replacement) ($ real June 2027)</t>
  </si>
  <si>
    <t>Capex forecast - Labour component  ($real June 2027)</t>
  </si>
  <si>
    <t>Capex forecast - Total labour component  ($real June 2027)</t>
  </si>
  <si>
    <t xml:space="preserve">E2.2.1 - Capex by project (Replacement) ($ real June 2027) </t>
  </si>
  <si>
    <t>E6.1.1 - Capex - by Driver (Non-network) ($ real June 2027)</t>
  </si>
  <si>
    <t>Corporate</t>
  </si>
  <si>
    <t xml:space="preserve">E6.1.2 - Capex by project (Non-network) ($ real June 2027) </t>
  </si>
  <si>
    <t>Historic Actual Expenditure</t>
  </si>
  <si>
    <t>AER Approved Allowance</t>
  </si>
  <si>
    <t>Forecast Expenditure</t>
  </si>
  <si>
    <t>Comparison</t>
  </si>
  <si>
    <t>Total ($m)</t>
  </si>
  <si>
    <t>Projects</t>
  </si>
  <si>
    <t>Forecast Capex vs Historic Capex for Individual Projects $2m (2027-32)</t>
  </si>
  <si>
    <t>Projects – As incurred ($m real June 2027)</t>
  </si>
  <si>
    <t>AER Allowance vs Historic Capex for Individual Projects $2m (2027-32)</t>
  </si>
  <si>
    <t>AER Allowance vs Historic Capex (2027-32)</t>
  </si>
  <si>
    <t>Actuals</t>
  </si>
  <si>
    <t>Not Included in Forecast</t>
  </si>
  <si>
    <t>Table 9–3: Annual estimated cost of Corporate Capex($’000s Real 2026-27)</t>
  </si>
  <si>
    <t>Easements</t>
  </si>
  <si>
    <t>Building installation</t>
  </si>
  <si>
    <t>In-house software</t>
  </si>
  <si>
    <t>Building Installations</t>
  </si>
  <si>
    <t xml:space="preserve">Compressors </t>
  </si>
  <si>
    <t>RBP19.SIB.12 - SCRAPER MODS</t>
  </si>
  <si>
    <t>RBP18.SIB.18 TWMB STN Heater</t>
  </si>
  <si>
    <t>RBP18.SIB.41 YLBA CMP RELOC</t>
  </si>
  <si>
    <t>RBP18.SIB.16 TWMBA Rnge Strain</t>
  </si>
  <si>
    <t>RBP TIPTON TO DALBY EWA</t>
  </si>
  <si>
    <t>RBP19.SIB01 LYTTON MS FC UPG</t>
  </si>
  <si>
    <t>RBP19.SIB.07 SANDY CREEK METER</t>
  </si>
  <si>
    <t>RBP19.SIB.23 RBP PEAT LATERAL</t>
  </si>
  <si>
    <t>RBP19.SIB17 RBP DN250 EMAT</t>
  </si>
  <si>
    <t>RBP19.SIB.19 Wbilla Reliab UPG</t>
  </si>
  <si>
    <t>RBP19.SIB.28-CP Data Loggers</t>
  </si>
  <si>
    <t>RBP20.SIB.04-Pipeline Vents</t>
  </si>
  <si>
    <t>RBP19.SIB.29-Slab for MOP Upgd</t>
  </si>
  <si>
    <t>RBP20.SIB.08-Peat Lateral MFL</t>
  </si>
  <si>
    <t>RBP19.SIB.15.RBP CP UpgradFY20</t>
  </si>
  <si>
    <t>RBP20.SIB.12 Redbank Reg Stat</t>
  </si>
  <si>
    <t>RBP20.SIB.21-RBP DN400 MFL</t>
  </si>
  <si>
    <t>RBP20.SIB.14-SEA-Gibson Is MFL</t>
  </si>
  <si>
    <t>RBP20.SIB.23.DN250.Security Su</t>
  </si>
  <si>
    <t>RBP20.SIB.15.CP Augmentation</t>
  </si>
  <si>
    <t>RBP20.SIB.01- DN250 ING STG5</t>
  </si>
  <si>
    <t>RBP DN250 Dig Ups Stage 6</t>
  </si>
  <si>
    <t>RBP.SIB.21Feed Dalby Unit2 C50</t>
  </si>
  <si>
    <t>RBP.SIB21.Paringa.Filter.Plat.</t>
  </si>
  <si>
    <t>RBP.21.Paint.Woodroyd Station</t>
  </si>
  <si>
    <t>RBP.SIB.21Painting - Gibson</t>
  </si>
  <si>
    <t>RBP22.SIB.DN300 Metro Emat</t>
  </si>
  <si>
    <t>RBP DN250 Inte Upgrade Stage 7</t>
  </si>
  <si>
    <t>RBP.SIB21.DN400.Oaky to SB MFL</t>
  </si>
  <si>
    <t>RBP Wallumbilla Run 4 Redirect</t>
  </si>
  <si>
    <t>RBP.SIB.22. Painting Station</t>
  </si>
  <si>
    <t>RBP.SIB.22.Paint.Condamine</t>
  </si>
  <si>
    <t>RBP.SIB.22.Condamine.Carport</t>
  </si>
  <si>
    <t>RBPE.22.SIB.Gatton Shed</t>
  </si>
  <si>
    <t>RBP.22 - Main Switchboard</t>
  </si>
  <si>
    <t>RBP - Toowoomba Heater Coding</t>
  </si>
  <si>
    <t>RBP Inte Stage 8 Upgrade</t>
  </si>
  <si>
    <t>RBP23.SIB CP Augmentation</t>
  </si>
  <si>
    <t>SIB23.RBP Metro Vent Mod #2</t>
  </si>
  <si>
    <t>RBP DN250 Supply Security Ph 2</t>
  </si>
  <si>
    <t>RBP.23.SIB.FACILITES</t>
  </si>
  <si>
    <t>RBP.23.SIB.Dalby Skid Steer</t>
  </si>
  <si>
    <t>SIB.RBP.23.DN300 EMAT Dig</t>
  </si>
  <si>
    <t>RBP.23.DN250 Supply Security 2</t>
  </si>
  <si>
    <t>RBP.SIB.23.Capacity Expansion</t>
  </si>
  <si>
    <t>RBP.23.DN300.Validation Digs</t>
  </si>
  <si>
    <t>RBP.DN300.Bulimba.Creek.Strain</t>
  </si>
  <si>
    <t>RBP.FY25.DN300.MFL Digs</t>
  </si>
  <si>
    <t>Gowrie Cr Wash Out Capex</t>
  </si>
  <si>
    <t>RBP.24 CP Augmentation</t>
  </si>
  <si>
    <t>RBP.24 Piping Preston Rd Pit</t>
  </si>
  <si>
    <t>RBP.DN250.Redbank Relocation</t>
  </si>
  <si>
    <t>RBP.24 Station Pipe Painting</t>
  </si>
  <si>
    <t>RBP.24 Dalby Office Upgrade</t>
  </si>
  <si>
    <t>RBP24 Toowoomba Retaining Wall</t>
  </si>
  <si>
    <t>50021 RBP250 Digups FY24</t>
  </si>
  <si>
    <t>RBP Minor Tooling - FY24/25</t>
  </si>
  <si>
    <t>RBP Access Arrangement FY27-FY32</t>
  </si>
  <si>
    <t>RBP Ellengrove SSV Modification</t>
  </si>
  <si>
    <t>RBP-Ops (FY26) DN300 Metro EMAT (2 Sections) FY25-27</t>
  </si>
  <si>
    <t>Access Arangment costs</t>
  </si>
  <si>
    <t xml:space="preserve">RBP projects recorded as part of B014 CWIP records </t>
  </si>
  <si>
    <t>AASB16  Share of Leased Assets - Land &amp; Building</t>
  </si>
  <si>
    <t>AASB16  Share of Leased Assets - Motor Vehicles</t>
  </si>
  <si>
    <t>Alarm Rationalisation</t>
  </si>
  <si>
    <t>Asset Information Initiative</t>
  </si>
  <si>
    <t>Asset Integration program</t>
  </si>
  <si>
    <t xml:space="preserve">Capacity  Trading </t>
  </si>
  <si>
    <t>Capex - Cloud - Digital workspace</t>
  </si>
  <si>
    <t xml:space="preserve">Capex - Cloud - Info Tech </t>
  </si>
  <si>
    <t>Capex - Cloud - IT - HR People Connect</t>
  </si>
  <si>
    <t xml:space="preserve">Cathodic protection </t>
  </si>
  <si>
    <t>Cyber Risk Transformation</t>
  </si>
  <si>
    <t>Cyber/SOCI Program</t>
  </si>
  <si>
    <t>Cybersecurity</t>
  </si>
  <si>
    <t>Data Uplift</t>
  </si>
  <si>
    <t>EAM</t>
  </si>
  <si>
    <t>EAP</t>
  </si>
  <si>
    <t>EC</t>
  </si>
  <si>
    <t>EDI</t>
  </si>
  <si>
    <t>Enterprise security</t>
  </si>
  <si>
    <t>Engineering Framework</t>
  </si>
  <si>
    <t>GIS</t>
  </si>
  <si>
    <t xml:space="preserve">GRC Compliance </t>
  </si>
  <si>
    <t>Grid</t>
  </si>
  <si>
    <t>HSE</t>
  </si>
  <si>
    <t>HSEH</t>
  </si>
  <si>
    <t>IDMT</t>
  </si>
  <si>
    <t xml:space="preserve">Info Tech </t>
  </si>
  <si>
    <t>IOC</t>
  </si>
  <si>
    <t>IT - Biztalk</t>
  </si>
  <si>
    <t>IT - Enterprise Components</t>
  </si>
  <si>
    <t xml:space="preserve">IT - Finance </t>
  </si>
  <si>
    <t xml:space="preserve">IT - Finance - ERP </t>
  </si>
  <si>
    <t>IT - Hardware</t>
  </si>
  <si>
    <t>IT - Historian</t>
  </si>
  <si>
    <t>IT - Maximo</t>
  </si>
  <si>
    <t>IT - Network Refresh &amp; Capacity upgrade</t>
  </si>
  <si>
    <t>IT - Purchase</t>
  </si>
  <si>
    <t>IT - Software</t>
  </si>
  <si>
    <t>IT - X-info</t>
  </si>
  <si>
    <t>IT-Controls</t>
  </si>
  <si>
    <t>Market</t>
  </si>
  <si>
    <t>Mobile phones capex</t>
  </si>
  <si>
    <t>Net zero</t>
  </si>
  <si>
    <t xml:space="preserve">Operational efficiencies </t>
  </si>
  <si>
    <t>Operations - Transmission</t>
  </si>
  <si>
    <t>Cloud - Info Tech</t>
  </si>
  <si>
    <t>Cloud - IT</t>
  </si>
  <si>
    <t>Cloud - IT - EPRS</t>
  </si>
  <si>
    <t xml:space="preserve">Cloud - IT - Finance </t>
  </si>
  <si>
    <t>Cloud - Sharepoint</t>
  </si>
  <si>
    <t>Cloud- HSE</t>
  </si>
  <si>
    <t>Pipeline Integrity Data Management Tool</t>
  </si>
  <si>
    <t>PLC Code Management Tool</t>
  </si>
  <si>
    <t>PPM</t>
  </si>
  <si>
    <t>Premise - Perth Office</t>
  </si>
  <si>
    <t>Premises - 338 Turbot Street, Spring Hill.</t>
  </si>
  <si>
    <t>Premises - Brisbane</t>
  </si>
  <si>
    <t>Premises - Fyshwick</t>
  </si>
  <si>
    <t xml:space="preserve">Premises - Southbank Vic </t>
  </si>
  <si>
    <t>Premises - Spring Hill Office</t>
  </si>
  <si>
    <t>Premises - Sydney Office</t>
  </si>
  <si>
    <t>Premises - WA</t>
  </si>
  <si>
    <t>Privacy and Data</t>
  </si>
  <si>
    <t>Product Build Implementation</t>
  </si>
  <si>
    <t>PSC / HR</t>
  </si>
  <si>
    <t xml:space="preserve">RBI_Assessment APA Pressure equipment </t>
  </si>
  <si>
    <t>Risk and compliance</t>
  </si>
  <si>
    <t>SCADA</t>
  </si>
  <si>
    <t>Server Upgrade</t>
  </si>
  <si>
    <t>ServiceNow Platform</t>
  </si>
  <si>
    <t>Sharepoint</t>
  </si>
  <si>
    <t>Site security</t>
  </si>
  <si>
    <t>Trans Scheduling Tool</t>
  </si>
  <si>
    <t xml:space="preserve">Transformation &amp; Tech </t>
  </si>
  <si>
    <t>Vehicle - Comms Systems</t>
  </si>
  <si>
    <t>Website</t>
  </si>
  <si>
    <t>Share of Corporate Capex - FY24 adjustment for Asset A100 Corporate projects omitted</t>
  </si>
  <si>
    <t>OK</t>
  </si>
  <si>
    <t>Bulimba Creek Strain</t>
  </si>
  <si>
    <t>DN250 Supply Security - Phase 2a Current AA</t>
  </si>
  <si>
    <t>DN400 - MFL Campaign (5 sections) FY2026-28</t>
  </si>
  <si>
    <t>Main Switchboard Replacement</t>
  </si>
  <si>
    <t>SIB capex</t>
  </si>
  <si>
    <t>Net Zero - Valve Upgrades - RBP</t>
  </si>
  <si>
    <t>CP - Upgrade AC Connection (Claus Rd)</t>
  </si>
  <si>
    <t>CP - DN400 AC Mitigation</t>
  </si>
  <si>
    <t>PIG Trap</t>
  </si>
  <si>
    <t>DN300 Metro ILI - MFL Current Period</t>
  </si>
  <si>
    <t>DN200 Lytton Lateral - ILI - MFL (FY27)</t>
  </si>
  <si>
    <t>Ellengrove - add BPCS loop</t>
  </si>
  <si>
    <t>Ellengrove Safety</t>
  </si>
  <si>
    <t>Mech - DN250 Supply Security Project Phase 2</t>
  </si>
  <si>
    <t>CP Upgrade DN300 (Eight Mile Plains)</t>
  </si>
  <si>
    <t>CHECK</t>
  </si>
  <si>
    <t>ERROR: Check source</t>
  </si>
  <si>
    <t>Lytton Valve replacement DN300 &amp; DN200</t>
  </si>
  <si>
    <t>DN300 Pig Receiver Safety Upgrades (SEA Compound)​</t>
  </si>
  <si>
    <t>Woodroy, Arubial &amp; Scotia Actuators</t>
  </si>
  <si>
    <t>Dalby CS Control Room footings</t>
  </si>
  <si>
    <t>Instrument Calibrators</t>
  </si>
  <si>
    <t>Calibration Tools Improvement</t>
  </si>
  <si>
    <t>DN250 Supply Security</t>
  </si>
  <si>
    <t>Actual capital expenditure – As incurred ($m 2027-28)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</si>
</sst>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.0_-;\-* #,##0.0_-;_-* &quot;-&quot;?_-;_-@_-"/>
    <numFmt numFmtId="166" formatCode="_-* #,##0.00_-;\-* #,##0.00_-;_-* &quot;-&quot;?_-;_-@_-"/>
    <numFmt numFmtId="167" formatCode="0.0"/>
    <numFmt numFmtId="168" formatCode="0.0%"/>
    <numFmt numFmtId="169" formatCode="0.000"/>
    <numFmt numFmtId="170" formatCode="_-* #,##0_-;\-* #,##0_-;_-* &quot;-&quot;?_-;_-@_-"/>
    <numFmt numFmtId="171" formatCode="_-* #,##0.0_-;\-* #,##0.0_-;_-* &quot;-&quot;??_-;_-@_-"/>
    <numFmt numFmtId="172" formatCode="_-* #,##0_-;\-* #,##0_-;_-* &quot;-&quot;??_-;_-@_-"/>
  </numFmts>
  <fonts count="5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4"/>
      <color theme="0"/>
      <name val="Arial Narrow"/>
      <family val="2"/>
    </font>
    <font>
      <b/>
      <sz val="11"/>
      <color theme="6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sz val="11"/>
      <name val="Arial Narrow"/>
      <family val="2"/>
    </font>
    <font>
      <i/>
      <sz val="11"/>
      <color theme="1"/>
      <name val="Arial Narrow"/>
      <family val="2"/>
    </font>
    <font>
      <sz val="8"/>
      <color theme="1"/>
      <name val="Arial Narrow"/>
      <family val="2"/>
    </font>
    <font>
      <i/>
      <sz val="8"/>
      <color theme="1"/>
      <name val="Arial Narrow"/>
      <family val="2"/>
    </font>
    <font>
      <sz val="8"/>
      <name val="Arial Narrow"/>
      <family val="2"/>
    </font>
    <font>
      <b/>
      <sz val="11"/>
      <name val="Arial Narrow"/>
      <family val="2"/>
    </font>
    <font>
      <sz val="8"/>
      <name val="Arial"/>
      <family val="2"/>
      <scheme val="minor"/>
    </font>
    <font>
      <sz val="11"/>
      <color rgb="FFFF0000"/>
      <name val="Arial Narrow"/>
      <family val="2"/>
    </font>
    <font>
      <sz val="14"/>
      <color theme="8"/>
      <name val="Arial Narrow"/>
      <family val="2"/>
    </font>
    <font>
      <sz val="14"/>
      <color theme="8"/>
      <name val="Arial Narrow"/>
      <family val="2"/>
    </font>
    <font>
      <b/>
      <sz val="11"/>
      <color theme="1"/>
      <name val="Arial Narrow"/>
      <family val="2"/>
    </font>
    <font>
      <b/>
      <sz val="11"/>
      <name val="Arial Narrow"/>
      <family val="2"/>
    </font>
    <font>
      <sz val="11"/>
      <color rgb="FF3F3F3F"/>
      <name val="Arial Narrow"/>
      <family val="2"/>
    </font>
    <font>
      <u/>
      <sz val="11"/>
      <color theme="10"/>
      <name val="Arial"/>
      <family val="2"/>
      <scheme val="minor"/>
    </font>
    <font>
      <b/>
      <sz val="11"/>
      <color rgb="FFFFFFFF"/>
      <name val="Aptos"/>
      <family val="2"/>
    </font>
    <font>
      <b/>
      <sz val="11"/>
      <color rgb="FFFFFFFF"/>
      <name val="Aptos Narrow"/>
      <family val="2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i/>
      <sz val="10"/>
      <color rgb="FF3E3E3E"/>
      <name val="Arial"/>
      <family val="2"/>
      <scheme val="minor"/>
    </font>
    <font>
      <b/>
      <sz val="11"/>
      <color rgb="FFF2F2F2"/>
      <name val="Aptos Narrow"/>
      <family val="2"/>
    </font>
    <font>
      <b/>
      <sz val="11"/>
      <color rgb="FFF2F2F2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sz val="11"/>
      <color theme="1"/>
      <name val="Aptos Narrow"/>
      <family val="2"/>
    </font>
    <font>
      <b/>
      <sz val="11"/>
      <color rgb="FF006275"/>
      <name val="Aptos Narrow"/>
      <family val="2"/>
    </font>
    <font>
      <b/>
      <sz val="10"/>
      <color rgb="FFFFFFFF"/>
      <name val="Aptos Narrow"/>
      <family val="2"/>
    </font>
    <font>
      <sz val="10"/>
      <color rgb="FF000000"/>
      <name val="Arial"/>
      <family val="2"/>
      <scheme val="minor"/>
    </font>
    <font>
      <sz val="10"/>
      <color rgb="FF000000"/>
      <name val="Aptos Narrow"/>
      <family val="2"/>
    </font>
    <font>
      <sz val="10"/>
      <color theme="1"/>
      <name val="Aptos Narrow"/>
      <family val="2"/>
    </font>
    <font>
      <b/>
      <sz val="10"/>
      <color rgb="FF000000"/>
      <name val="Arial"/>
      <family val="2"/>
      <scheme val="minor"/>
    </font>
    <font>
      <sz val="6"/>
      <color theme="1"/>
      <name val="Arial"/>
      <family val="2"/>
      <scheme val="minor"/>
    </font>
    <font>
      <b/>
      <sz val="10"/>
      <color rgb="FFFFFFFF"/>
      <name val="Aptos"/>
      <family val="2"/>
    </font>
    <font>
      <i/>
      <sz val="10"/>
      <color rgb="FF000000"/>
      <name val="Arial"/>
      <family val="2"/>
    </font>
    <font>
      <sz val="9"/>
      <color rgb="FF000000"/>
      <name val="Arial"/>
      <family val="2"/>
      <scheme val="minor"/>
    </font>
    <font>
      <b/>
      <sz val="9"/>
      <color rgb="FF006275"/>
      <name val="Arial"/>
      <family val="2"/>
      <scheme val="minor"/>
    </font>
    <font>
      <b/>
      <sz val="9"/>
      <color rgb="FFFFFFFF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rgb="FF006275"/>
      <name val="Aptos Narrow"/>
      <family val="2"/>
    </font>
    <font>
      <b/>
      <sz val="11"/>
      <color rgb="FFFA7D00"/>
      <name val="Arial"/>
      <family val="2"/>
      <scheme val="minor"/>
    </font>
    <font>
      <b/>
      <sz val="11"/>
      <color rgb="FF3F3F3F"/>
      <name val="Arial Narrow"/>
      <family val="2"/>
    </font>
  </fonts>
  <fills count="1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006275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" fontId="21" fillId="9" borderId="0" applyNumberFormat="0" applyAlignment="0" applyProtection="0"/>
    <xf numFmtId="0" fontId="22" fillId="0" borderId="0" applyNumberFormat="0" applyFill="0" applyBorder="0" applyAlignment="0" applyProtection="0"/>
    <xf numFmtId="0" fontId="5" fillId="2" borderId="9" applyNumberFormat="0" applyAlignment="0" applyProtection="0"/>
    <xf numFmtId="0" fontId="5" fillId="12" borderId="13" applyNumberFormat="0" applyAlignment="0" applyProtection="0"/>
    <xf numFmtId="0" fontId="49" fillId="13" borderId="14" applyNumberFormat="0" applyAlignment="0" applyProtection="0"/>
  </cellStyleXfs>
  <cellXfs count="23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5" fillId="2" borderId="0" xfId="0" applyFont="1" applyFill="1"/>
    <xf numFmtId="0" fontId="5" fillId="2" borderId="0" xfId="0" applyFont="1" applyFill="1" applyAlignment="1">
      <alignment horizontal="left"/>
    </xf>
    <xf numFmtId="0" fontId="3" fillId="3" borderId="0" xfId="0" applyFont="1" applyFill="1" applyAlignment="1">
      <alignment horizontal="left"/>
    </xf>
    <xf numFmtId="0" fontId="4" fillId="3" borderId="0" xfId="0" applyFont="1" applyFill="1"/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6" fillId="0" borderId="0" xfId="0" applyFont="1"/>
    <xf numFmtId="0" fontId="4" fillId="0" borderId="0" xfId="0" applyFont="1" applyAlignment="1">
      <alignment horizontal="center"/>
    </xf>
    <xf numFmtId="164" fontId="4" fillId="3" borderId="0" xfId="0" applyNumberFormat="1" applyFont="1" applyFill="1"/>
    <xf numFmtId="164" fontId="4" fillId="6" borderId="0" xfId="0" applyNumberFormat="1" applyFont="1" applyFill="1"/>
    <xf numFmtId="0" fontId="3" fillId="4" borderId="0" xfId="0" applyFont="1" applyFill="1"/>
    <xf numFmtId="0" fontId="8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7" fillId="0" borderId="0" xfId="0" applyFont="1"/>
    <xf numFmtId="0" fontId="3" fillId="4" borderId="0" xfId="0" applyFont="1" applyFill="1" applyAlignment="1">
      <alignment horizontal="center"/>
    </xf>
    <xf numFmtId="44" fontId="3" fillId="0" borderId="0" xfId="0" applyNumberFormat="1" applyFont="1"/>
    <xf numFmtId="2" fontId="10" fillId="0" borderId="0" xfId="0" applyNumberFormat="1" applyFont="1" applyAlignment="1">
      <alignment horizontal="center"/>
    </xf>
    <xf numFmtId="165" fontId="3" fillId="4" borderId="0" xfId="0" applyNumberFormat="1" applyFont="1" applyFill="1"/>
    <xf numFmtId="165" fontId="4" fillId="6" borderId="0" xfId="0" applyNumberFormat="1" applyFont="1" applyFill="1"/>
    <xf numFmtId="165" fontId="4" fillId="3" borderId="0" xfId="0" applyNumberFormat="1" applyFont="1" applyFill="1"/>
    <xf numFmtId="166" fontId="3" fillId="4" borderId="0" xfId="0" applyNumberFormat="1" applyFont="1" applyFill="1"/>
    <xf numFmtId="166" fontId="4" fillId="3" borderId="0" xfId="0" applyNumberFormat="1" applyFont="1" applyFill="1"/>
    <xf numFmtId="165" fontId="3" fillId="3" borderId="0" xfId="0" applyNumberFormat="1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0" fontId="13" fillId="0" borderId="0" xfId="0" applyFont="1"/>
    <xf numFmtId="0" fontId="4" fillId="4" borderId="0" xfId="0" applyFont="1" applyFill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164" fontId="10" fillId="0" borderId="0" xfId="0" applyNumberFormat="1" applyFont="1"/>
    <xf numFmtId="41" fontId="10" fillId="0" borderId="0" xfId="0" applyNumberFormat="1" applyFont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3" fillId="4" borderId="1" xfId="0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164" fontId="3" fillId="5" borderId="1" xfId="1" applyNumberFormat="1" applyFont="1" applyFill="1" applyBorder="1"/>
    <xf numFmtId="164" fontId="3" fillId="4" borderId="1" xfId="1" applyNumberFormat="1" applyFont="1" applyFill="1" applyBorder="1"/>
    <xf numFmtId="0" fontId="4" fillId="0" borderId="1" xfId="0" applyFont="1" applyBorder="1"/>
    <xf numFmtId="164" fontId="4" fillId="4" borderId="1" xfId="0" applyNumberFormat="1" applyFont="1" applyFill="1" applyBorder="1" applyAlignment="1">
      <alignment horizontal="center"/>
    </xf>
    <xf numFmtId="0" fontId="3" fillId="0" borderId="1" xfId="0" applyFont="1" applyBorder="1"/>
    <xf numFmtId="0" fontId="9" fillId="4" borderId="2" xfId="0" applyFont="1" applyFill="1" applyBorder="1" applyAlignment="1">
      <alignment horizontal="center"/>
    </xf>
    <xf numFmtId="9" fontId="4" fillId="4" borderId="1" xfId="2" applyFont="1" applyFill="1" applyBorder="1" applyAlignment="1">
      <alignment horizontal="center"/>
    </xf>
    <xf numFmtId="9" fontId="3" fillId="4" borderId="1" xfId="2" applyFont="1" applyFill="1" applyBorder="1" applyAlignment="1">
      <alignment horizontal="center"/>
    </xf>
    <xf numFmtId="0" fontId="7" fillId="3" borderId="0" xfId="0" applyFont="1" applyFill="1" applyAlignment="1">
      <alignment horizontal="left"/>
    </xf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/>
    <xf numFmtId="0" fontId="14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17" fontId="3" fillId="4" borderId="1" xfId="0" applyNumberFormat="1" applyFont="1" applyFill="1" applyBorder="1" applyAlignment="1">
      <alignment horizontal="center"/>
    </xf>
    <xf numFmtId="0" fontId="4" fillId="4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168" fontId="4" fillId="4" borderId="1" xfId="2" applyNumberFormat="1" applyFont="1" applyFill="1" applyBorder="1" applyAlignment="1">
      <alignment horizontal="center"/>
    </xf>
    <xf numFmtId="168" fontId="3" fillId="4" borderId="1" xfId="2" applyNumberFormat="1" applyFont="1" applyFill="1" applyBorder="1" applyAlignment="1">
      <alignment horizontal="center"/>
    </xf>
    <xf numFmtId="167" fontId="3" fillId="4" borderId="3" xfId="0" applyNumberFormat="1" applyFont="1" applyFill="1" applyBorder="1" applyAlignment="1">
      <alignment horizontal="center"/>
    </xf>
    <xf numFmtId="167" fontId="3" fillId="5" borderId="1" xfId="0" applyNumberFormat="1" applyFont="1" applyFill="1" applyBorder="1" applyAlignment="1">
      <alignment horizontal="center"/>
    </xf>
    <xf numFmtId="168" fontId="3" fillId="5" borderId="1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2" fontId="3" fillId="4" borderId="1" xfId="0" applyNumberFormat="1" applyFont="1" applyFill="1" applyBorder="1" applyAlignment="1">
      <alignment horizontal="center"/>
    </xf>
    <xf numFmtId="17" fontId="14" fillId="3" borderId="0" xfId="0" applyNumberFormat="1" applyFont="1" applyFill="1" applyAlignment="1">
      <alignment horizontal="center" vertical="center" wrapText="1"/>
    </xf>
    <xf numFmtId="0" fontId="3" fillId="4" borderId="0" xfId="0" applyFont="1" applyFill="1" applyAlignment="1">
      <alignment horizontal="left"/>
    </xf>
    <xf numFmtId="167" fontId="3" fillId="4" borderId="0" xfId="0" applyNumberFormat="1" applyFont="1" applyFill="1" applyAlignment="1">
      <alignment horizontal="center"/>
    </xf>
    <xf numFmtId="10" fontId="3" fillId="4" borderId="0" xfId="0" applyNumberFormat="1" applyFont="1" applyFill="1" applyAlignment="1">
      <alignment horizontal="center"/>
    </xf>
    <xf numFmtId="169" fontId="3" fillId="4" borderId="0" xfId="0" applyNumberFormat="1" applyFont="1" applyFill="1" applyAlignment="1">
      <alignment horizontal="center"/>
    </xf>
    <xf numFmtId="10" fontId="4" fillId="4" borderId="0" xfId="2" applyNumberFormat="1" applyFont="1" applyFill="1" applyAlignment="1">
      <alignment horizontal="center"/>
    </xf>
    <xf numFmtId="9" fontId="3" fillId="4" borderId="0" xfId="2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9" fontId="3" fillId="4" borderId="0" xfId="2" applyFont="1" applyFill="1" applyAlignment="1">
      <alignment horizontal="left"/>
    </xf>
    <xf numFmtId="168" fontId="3" fillId="4" borderId="0" xfId="2" applyNumberFormat="1" applyFont="1" applyFill="1" applyAlignment="1">
      <alignment horizontal="left"/>
    </xf>
    <xf numFmtId="0" fontId="14" fillId="3" borderId="0" xfId="0" applyFont="1" applyFill="1" applyAlignment="1">
      <alignment horizontal="right" vertical="center" wrapText="1"/>
    </xf>
    <xf numFmtId="164" fontId="7" fillId="3" borderId="0" xfId="1" applyNumberFormat="1" applyFont="1" applyFill="1" applyAlignment="1">
      <alignment horizontal="center" vertical="center" wrapText="1"/>
    </xf>
    <xf numFmtId="164" fontId="8" fillId="3" borderId="0" xfId="1" applyNumberFormat="1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/>
    </xf>
    <xf numFmtId="9" fontId="3" fillId="4" borderId="0" xfId="2" applyFont="1" applyFill="1" applyAlignment="1">
      <alignment horizontal="center"/>
    </xf>
    <xf numFmtId="0" fontId="4" fillId="3" borderId="0" xfId="0" applyFont="1" applyFill="1" applyAlignment="1">
      <alignment horizontal="right"/>
    </xf>
    <xf numFmtId="164" fontId="16" fillId="0" borderId="0" xfId="0" applyNumberFormat="1" applyFont="1" applyAlignment="1">
      <alignment horizontal="left"/>
    </xf>
    <xf numFmtId="170" fontId="3" fillId="4" borderId="0" xfId="0" applyNumberFormat="1" applyFont="1" applyFill="1"/>
    <xf numFmtId="170" fontId="4" fillId="3" borderId="0" xfId="0" applyNumberFormat="1" applyFont="1" applyFill="1"/>
    <xf numFmtId="170" fontId="4" fillId="3" borderId="0" xfId="0" applyNumberFormat="1" applyFont="1" applyFill="1" applyAlignment="1">
      <alignment horizontal="right"/>
    </xf>
    <xf numFmtId="164" fontId="9" fillId="0" borderId="0" xfId="0" applyNumberFormat="1" applyFont="1"/>
    <xf numFmtId="0" fontId="14" fillId="3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11" fillId="0" borderId="0" xfId="0" applyFont="1" applyAlignment="1">
      <alignment horizontal="right"/>
    </xf>
    <xf numFmtId="2" fontId="12" fillId="0" borderId="0" xfId="0" applyNumberFormat="1" applyFont="1" applyAlignment="1">
      <alignment horizontal="right"/>
    </xf>
    <xf numFmtId="0" fontId="3" fillId="4" borderId="4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165" fontId="3" fillId="0" borderId="0" xfId="0" applyNumberFormat="1" applyFont="1"/>
    <xf numFmtId="0" fontId="17" fillId="0" borderId="0" xfId="0" applyFont="1" applyAlignment="1">
      <alignment horizontal="left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right"/>
    </xf>
    <xf numFmtId="165" fontId="3" fillId="4" borderId="0" xfId="0" applyNumberFormat="1" applyFont="1" applyFill="1" applyAlignment="1">
      <alignment horizontal="right"/>
    </xf>
    <xf numFmtId="165" fontId="4" fillId="3" borderId="0" xfId="0" applyNumberFormat="1" applyFont="1" applyFill="1" applyAlignment="1">
      <alignment horizontal="right"/>
    </xf>
    <xf numFmtId="164" fontId="14" fillId="3" borderId="0" xfId="0" applyNumberFormat="1" applyFont="1" applyFill="1"/>
    <xf numFmtId="164" fontId="4" fillId="3" borderId="0" xfId="1" applyNumberFormat="1" applyFont="1" applyFill="1" applyBorder="1"/>
    <xf numFmtId="165" fontId="11" fillId="0" borderId="0" xfId="0" applyNumberFormat="1" applyFont="1"/>
    <xf numFmtId="43" fontId="3" fillId="0" borderId="0" xfId="3" applyFont="1"/>
    <xf numFmtId="43" fontId="4" fillId="0" borderId="0" xfId="3" applyFont="1"/>
    <xf numFmtId="0" fontId="14" fillId="8" borderId="0" xfId="0" applyFont="1" applyFill="1" applyAlignment="1">
      <alignment horizontal="center" vertical="center" wrapText="1"/>
    </xf>
    <xf numFmtId="166" fontId="3" fillId="5" borderId="0" xfId="0" applyNumberFormat="1" applyFont="1" applyFill="1"/>
    <xf numFmtId="166" fontId="4" fillId="6" borderId="0" xfId="0" applyNumberFormat="1" applyFont="1" applyFill="1"/>
    <xf numFmtId="166" fontId="4" fillId="4" borderId="0" xfId="0" applyNumberFormat="1" applyFont="1" applyFill="1"/>
    <xf numFmtId="165" fontId="4" fillId="4" borderId="0" xfId="0" applyNumberFormat="1" applyFont="1" applyFill="1"/>
    <xf numFmtId="166" fontId="4" fillId="3" borderId="0" xfId="0" applyNumberFormat="1" applyFont="1" applyFill="1" applyAlignment="1">
      <alignment horizontal="right"/>
    </xf>
    <xf numFmtId="0" fontId="7" fillId="6" borderId="0" xfId="0" applyFont="1" applyFill="1" applyAlignment="1">
      <alignment horizontal="center" vertical="center" wrapText="1"/>
    </xf>
    <xf numFmtId="164" fontId="7" fillId="6" borderId="0" xfId="1" applyNumberFormat="1" applyFont="1" applyFill="1" applyAlignment="1">
      <alignment horizontal="center" vertical="center" wrapText="1"/>
    </xf>
    <xf numFmtId="165" fontId="4" fillId="4" borderId="0" xfId="0" applyNumberFormat="1" applyFont="1" applyFill="1" applyAlignment="1">
      <alignment horizontal="right"/>
    </xf>
    <xf numFmtId="171" fontId="3" fillId="0" borderId="0" xfId="0" applyNumberFormat="1" applyFont="1"/>
    <xf numFmtId="167" fontId="0" fillId="0" borderId="0" xfId="0" applyNumberFormat="1"/>
    <xf numFmtId="171" fontId="0" fillId="0" borderId="0" xfId="3" applyNumberFormat="1" applyFont="1"/>
    <xf numFmtId="171" fontId="2" fillId="0" borderId="0" xfId="0" applyNumberFormat="1" applyFont="1"/>
    <xf numFmtId="171" fontId="0" fillId="0" borderId="0" xfId="0" applyNumberFormat="1"/>
    <xf numFmtId="167" fontId="2" fillId="0" borderId="0" xfId="0" applyNumberFormat="1" applyFont="1"/>
    <xf numFmtId="0" fontId="0" fillId="0" borderId="0" xfId="0" applyAlignment="1">
      <alignment horizontal="right"/>
    </xf>
    <xf numFmtId="165" fontId="0" fillId="7" borderId="0" xfId="0" applyNumberFormat="1" applyFill="1"/>
    <xf numFmtId="167" fontId="0" fillId="7" borderId="0" xfId="0" applyNumberFormat="1" applyFill="1"/>
    <xf numFmtId="0" fontId="18" fillId="0" borderId="0" xfId="0" applyFont="1" applyAlignment="1">
      <alignment horizontal="left"/>
    </xf>
    <xf numFmtId="0" fontId="19" fillId="3" borderId="0" xfId="0" applyFont="1" applyFill="1" applyAlignment="1">
      <alignment horizontal="left"/>
    </xf>
    <xf numFmtId="0" fontId="20" fillId="3" borderId="0" xfId="0" applyFont="1" applyFill="1" applyAlignment="1">
      <alignment horizontal="right"/>
    </xf>
    <xf numFmtId="165" fontId="19" fillId="3" borderId="0" xfId="0" applyNumberFormat="1" applyFont="1" applyFill="1"/>
    <xf numFmtId="165" fontId="19" fillId="3" borderId="0" xfId="0" applyNumberFormat="1" applyFont="1" applyFill="1" applyAlignment="1">
      <alignment horizontal="right"/>
    </xf>
    <xf numFmtId="9" fontId="3" fillId="0" borderId="0" xfId="2" applyFont="1"/>
    <xf numFmtId="9" fontId="0" fillId="0" borderId="0" xfId="2" applyFont="1"/>
    <xf numFmtId="44" fontId="0" fillId="0" borderId="0" xfId="1" applyFont="1"/>
    <xf numFmtId="165" fontId="21" fillId="9" borderId="0" xfId="4" applyNumberFormat="1"/>
    <xf numFmtId="165" fontId="21" fillId="9" borderId="0" xfId="4" applyNumberFormat="1" applyAlignment="1">
      <alignment horizontal="right"/>
    </xf>
    <xf numFmtId="0" fontId="21" fillId="9" borderId="0" xfId="4" applyNumberFormat="1" applyAlignment="1">
      <alignment horizontal="right"/>
    </xf>
    <xf numFmtId="0" fontId="23" fillId="10" borderId="0" xfId="0" applyFont="1" applyFill="1" applyAlignment="1">
      <alignment vertical="center" wrapText="1"/>
    </xf>
    <xf numFmtId="0" fontId="24" fillId="10" borderId="7" xfId="0" applyFont="1" applyFill="1" applyBorder="1" applyAlignment="1">
      <alignment vertical="center" wrapText="1"/>
    </xf>
    <xf numFmtId="0" fontId="24" fillId="10" borderId="8" xfId="0" applyFont="1" applyFill="1" applyBorder="1" applyAlignment="1">
      <alignment vertical="center" wrapText="1"/>
    </xf>
    <xf numFmtId="0" fontId="27" fillId="0" borderId="0" xfId="0" applyFont="1" applyAlignment="1">
      <alignment vertical="center"/>
    </xf>
    <xf numFmtId="0" fontId="24" fillId="10" borderId="7" xfId="0" applyFont="1" applyFill="1" applyBorder="1" applyAlignment="1">
      <alignment vertical="center"/>
    </xf>
    <xf numFmtId="3" fontId="26" fillId="11" borderId="7" xfId="0" applyNumberFormat="1" applyFont="1" applyFill="1" applyBorder="1" applyAlignment="1">
      <alignment horizontal="right" vertical="center" wrapText="1"/>
    </xf>
    <xf numFmtId="0" fontId="24" fillId="10" borderId="8" xfId="0" applyFont="1" applyFill="1" applyBorder="1" applyAlignment="1">
      <alignment vertical="center"/>
    </xf>
    <xf numFmtId="0" fontId="24" fillId="10" borderId="8" xfId="0" applyFont="1" applyFill="1" applyBorder="1" applyAlignment="1">
      <alignment horizontal="left" vertical="center"/>
    </xf>
    <xf numFmtId="172" fontId="25" fillId="11" borderId="7" xfId="3" applyNumberFormat="1" applyFont="1" applyFill="1" applyBorder="1" applyAlignment="1">
      <alignment horizontal="right" vertical="center"/>
    </xf>
    <xf numFmtId="172" fontId="26" fillId="11" borderId="8" xfId="3" applyNumberFormat="1" applyFont="1" applyFill="1" applyBorder="1" applyAlignment="1">
      <alignment horizontal="right" vertical="center"/>
    </xf>
    <xf numFmtId="172" fontId="26" fillId="11" borderId="8" xfId="3" applyNumberFormat="1" applyFont="1" applyFill="1" applyBorder="1" applyAlignment="1">
      <alignment horizontal="right" vertical="center" wrapText="1"/>
    </xf>
    <xf numFmtId="0" fontId="28" fillId="10" borderId="7" xfId="0" applyFont="1" applyFill="1" applyBorder="1" applyAlignment="1">
      <alignment vertical="center"/>
    </xf>
    <xf numFmtId="0" fontId="29" fillId="10" borderId="7" xfId="0" applyFont="1" applyFill="1" applyBorder="1" applyAlignment="1">
      <alignment vertical="center" wrapText="1"/>
    </xf>
    <xf numFmtId="43" fontId="3" fillId="0" borderId="0" xfId="0" applyNumberFormat="1" applyFont="1"/>
    <xf numFmtId="0" fontId="22" fillId="0" borderId="0" xfId="5" quotePrefix="1"/>
    <xf numFmtId="0" fontId="27" fillId="0" borderId="0" xfId="0" applyFont="1" applyAlignment="1">
      <alignment horizontal="justify" vertical="center"/>
    </xf>
    <xf numFmtId="0" fontId="24" fillId="10" borderId="0" xfId="0" applyFont="1" applyFill="1" applyAlignment="1">
      <alignment vertical="center"/>
    </xf>
    <xf numFmtId="0" fontId="24" fillId="10" borderId="0" xfId="0" applyFont="1" applyFill="1" applyAlignment="1">
      <alignment vertical="center" wrapText="1"/>
    </xf>
    <xf numFmtId="0" fontId="33" fillId="10" borderId="7" xfId="0" applyFont="1" applyFill="1" applyBorder="1" applyAlignment="1">
      <alignment vertical="center"/>
    </xf>
    <xf numFmtId="3" fontId="35" fillId="11" borderId="7" xfId="0" applyNumberFormat="1" applyFont="1" applyFill="1" applyBorder="1" applyAlignment="1">
      <alignment horizontal="right" vertical="center" wrapText="1"/>
    </xf>
    <xf numFmtId="0" fontId="33" fillId="10" borderId="8" xfId="0" applyFont="1" applyFill="1" applyBorder="1" applyAlignment="1">
      <alignment vertical="center"/>
    </xf>
    <xf numFmtId="3" fontId="35" fillId="0" borderId="8" xfId="0" applyNumberFormat="1" applyFont="1" applyBorder="1" applyAlignment="1">
      <alignment horizontal="right" vertical="center" wrapText="1"/>
    </xf>
    <xf numFmtId="3" fontId="35" fillId="11" borderId="8" xfId="0" applyNumberFormat="1" applyFont="1" applyFill="1" applyBorder="1" applyAlignment="1">
      <alignment horizontal="right" vertical="center" wrapText="1"/>
    </xf>
    <xf numFmtId="0" fontId="33" fillId="10" borderId="0" xfId="0" applyFont="1" applyFill="1" applyAlignment="1">
      <alignment vertical="center" wrapText="1"/>
    </xf>
    <xf numFmtId="0" fontId="33" fillId="10" borderId="8" xfId="0" applyFont="1" applyFill="1" applyBorder="1" applyAlignment="1">
      <alignment vertical="center" wrapText="1"/>
    </xf>
    <xf numFmtId="3" fontId="35" fillId="11" borderId="8" xfId="3" applyNumberFormat="1" applyFont="1" applyFill="1" applyBorder="1" applyAlignment="1">
      <alignment horizontal="right" vertical="center" wrapText="1"/>
    </xf>
    <xf numFmtId="172" fontId="30" fillId="11" borderId="7" xfId="3" applyNumberFormat="1" applyFont="1" applyFill="1" applyBorder="1" applyAlignment="1">
      <alignment vertical="top" wrapText="1"/>
    </xf>
    <xf numFmtId="172" fontId="30" fillId="0" borderId="8" xfId="3" applyNumberFormat="1" applyFont="1" applyBorder="1" applyAlignment="1">
      <alignment vertical="top" wrapText="1"/>
    </xf>
    <xf numFmtId="172" fontId="31" fillId="0" borderId="8" xfId="3" applyNumberFormat="1" applyFont="1" applyBorder="1" applyAlignment="1">
      <alignment horizontal="right" vertical="center" wrapText="1"/>
    </xf>
    <xf numFmtId="172" fontId="30" fillId="11" borderId="8" xfId="3" applyNumberFormat="1" applyFont="1" applyFill="1" applyBorder="1" applyAlignment="1">
      <alignment vertical="top" wrapText="1"/>
    </xf>
    <xf numFmtId="172" fontId="37" fillId="11" borderId="8" xfId="3" applyNumberFormat="1" applyFont="1" applyFill="1" applyBorder="1" applyAlignment="1">
      <alignment horizontal="right" vertical="center" wrapText="1"/>
    </xf>
    <xf numFmtId="172" fontId="39" fillId="0" borderId="8" xfId="3" applyNumberFormat="1" applyFont="1" applyBorder="1" applyAlignment="1">
      <alignment horizontal="right" vertical="center"/>
    </xf>
    <xf numFmtId="172" fontId="30" fillId="0" borderId="8" xfId="3" applyNumberFormat="1" applyFont="1" applyBorder="1" applyAlignment="1">
      <alignment vertical="top"/>
    </xf>
    <xf numFmtId="172" fontId="38" fillId="11" borderId="8" xfId="3" applyNumberFormat="1" applyFont="1" applyFill="1" applyBorder="1" applyAlignment="1">
      <alignment horizontal="right" vertical="center"/>
    </xf>
    <xf numFmtId="172" fontId="30" fillId="11" borderId="8" xfId="3" applyNumberFormat="1" applyFont="1" applyFill="1" applyBorder="1" applyAlignment="1">
      <alignment vertical="top"/>
    </xf>
    <xf numFmtId="172" fontId="34" fillId="0" borderId="8" xfId="3" applyNumberFormat="1" applyFont="1" applyBorder="1" applyAlignment="1">
      <alignment horizontal="right" vertical="center"/>
    </xf>
    <xf numFmtId="172" fontId="25" fillId="11" borderId="8" xfId="3" applyNumberFormat="1" applyFont="1" applyFill="1" applyBorder="1" applyAlignment="1">
      <alignment horizontal="right" vertical="center"/>
    </xf>
    <xf numFmtId="172" fontId="34" fillId="11" borderId="8" xfId="3" applyNumberFormat="1" applyFont="1" applyFill="1" applyBorder="1" applyAlignment="1">
      <alignment horizontal="right" vertical="center"/>
    </xf>
    <xf numFmtId="0" fontId="33" fillId="10" borderId="7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0" fillId="11" borderId="0" xfId="0" applyFont="1" applyFill="1" applyAlignment="1">
      <alignment vertical="center"/>
    </xf>
    <xf numFmtId="3" fontId="40" fillId="11" borderId="0" xfId="0" applyNumberFormat="1" applyFont="1" applyFill="1" applyAlignment="1">
      <alignment horizontal="right" vertical="center"/>
    </xf>
    <xf numFmtId="0" fontId="32" fillId="11" borderId="0" xfId="0" applyFont="1" applyFill="1" applyAlignment="1">
      <alignment horizontal="right" vertical="center" wrapText="1"/>
    </xf>
    <xf numFmtId="172" fontId="37" fillId="11" borderId="7" xfId="3" applyNumberFormat="1" applyFont="1" applyFill="1" applyBorder="1" applyAlignment="1">
      <alignment horizontal="right" vertical="center"/>
    </xf>
    <xf numFmtId="172" fontId="31" fillId="0" borderId="8" xfId="3" applyNumberFormat="1" applyFont="1" applyBorder="1" applyAlignment="1">
      <alignment horizontal="right" vertical="center"/>
    </xf>
    <xf numFmtId="0" fontId="42" fillId="10" borderId="0" xfId="0" applyFont="1" applyFill="1" applyAlignment="1">
      <alignment vertical="center" wrapText="1"/>
    </xf>
    <xf numFmtId="0" fontId="42" fillId="10" borderId="7" xfId="0" applyFont="1" applyFill="1" applyBorder="1" applyAlignment="1">
      <alignment vertical="center" wrapText="1"/>
    </xf>
    <xf numFmtId="0" fontId="36" fillId="10" borderId="8" xfId="0" applyFont="1" applyFill="1" applyBorder="1" applyAlignment="1">
      <alignment vertical="center" wrapText="1"/>
    </xf>
    <xf numFmtId="0" fontId="42" fillId="10" borderId="8" xfId="0" applyFont="1" applyFill="1" applyBorder="1" applyAlignment="1">
      <alignment vertical="center" wrapText="1"/>
    </xf>
    <xf numFmtId="0" fontId="5" fillId="2" borderId="9" xfId="6"/>
    <xf numFmtId="0" fontId="27" fillId="0" borderId="0" xfId="0" applyFont="1"/>
    <xf numFmtId="172" fontId="30" fillId="11" borderId="8" xfId="3" applyNumberFormat="1" applyFont="1" applyFill="1" applyBorder="1" applyAlignment="1">
      <alignment horizontal="right" vertical="center" wrapText="1"/>
    </xf>
    <xf numFmtId="172" fontId="44" fillId="11" borderId="8" xfId="3" applyNumberFormat="1" applyFont="1" applyFill="1" applyBorder="1" applyAlignment="1">
      <alignment horizontal="right" vertical="center" wrapText="1"/>
    </xf>
    <xf numFmtId="3" fontId="45" fillId="11" borderId="7" xfId="0" applyNumberFormat="1" applyFont="1" applyFill="1" applyBorder="1" applyAlignment="1">
      <alignment horizontal="right" vertical="center" wrapText="1"/>
    </xf>
    <xf numFmtId="172" fontId="30" fillId="0" borderId="8" xfId="3" applyNumberFormat="1" applyFont="1" applyBorder="1" applyAlignment="1">
      <alignment horizontal="right" vertical="center"/>
    </xf>
    <xf numFmtId="0" fontId="46" fillId="10" borderId="8" xfId="0" applyFont="1" applyFill="1" applyBorder="1" applyAlignment="1">
      <alignment vertical="center" wrapText="1"/>
    </xf>
    <xf numFmtId="172" fontId="44" fillId="11" borderId="7" xfId="3" applyNumberFormat="1" applyFont="1" applyFill="1" applyBorder="1" applyAlignment="1">
      <alignment horizontal="right" vertical="center"/>
    </xf>
    <xf numFmtId="3" fontId="45" fillId="0" borderId="8" xfId="0" applyNumberFormat="1" applyFont="1" applyBorder="1" applyAlignment="1">
      <alignment horizontal="right" vertical="center" wrapText="1"/>
    </xf>
    <xf numFmtId="0" fontId="47" fillId="0" borderId="0" xfId="0" applyFont="1" applyAlignment="1">
      <alignment vertical="center"/>
    </xf>
    <xf numFmtId="3" fontId="48" fillId="11" borderId="7" xfId="0" applyNumberFormat="1" applyFont="1" applyFill="1" applyBorder="1" applyAlignment="1">
      <alignment horizontal="right" vertical="center" wrapText="1"/>
    </xf>
    <xf numFmtId="0" fontId="46" fillId="10" borderId="0" xfId="0" applyFont="1" applyFill="1" applyAlignment="1">
      <alignment vertical="center" wrapText="1"/>
    </xf>
    <xf numFmtId="0" fontId="46" fillId="10" borderId="7" xfId="0" applyFont="1" applyFill="1" applyBorder="1" applyAlignment="1">
      <alignment vertical="center"/>
    </xf>
    <xf numFmtId="0" fontId="46" fillId="10" borderId="8" xfId="0" applyFont="1" applyFill="1" applyBorder="1" applyAlignment="1">
      <alignment vertical="center"/>
    </xf>
    <xf numFmtId="0" fontId="23" fillId="10" borderId="0" xfId="0" applyFont="1" applyFill="1" applyAlignment="1">
      <alignment horizontal="justify" vertical="center" wrapText="1"/>
    </xf>
    <xf numFmtId="0" fontId="33" fillId="10" borderId="7" xfId="0" applyFont="1" applyFill="1" applyBorder="1" applyAlignment="1">
      <alignment horizontal="justify" vertical="center" wrapText="1"/>
    </xf>
    <xf numFmtId="0" fontId="23" fillId="10" borderId="10" xfId="0" applyFont="1" applyFill="1" applyBorder="1" applyAlignment="1">
      <alignment horizontal="justify" vertical="center" wrapText="1"/>
    </xf>
    <xf numFmtId="0" fontId="23" fillId="10" borderId="11" xfId="0" applyFont="1" applyFill="1" applyBorder="1" applyAlignment="1">
      <alignment horizontal="justify" vertical="center" wrapText="1"/>
    </xf>
    <xf numFmtId="0" fontId="33" fillId="10" borderId="12" xfId="0" applyFont="1" applyFill="1" applyBorder="1" applyAlignment="1">
      <alignment horizontal="justify" vertical="center"/>
    </xf>
    <xf numFmtId="0" fontId="41" fillId="0" borderId="0" xfId="0" applyFont="1" applyAlignment="1">
      <alignment horizontal="justify" vertical="center"/>
    </xf>
    <xf numFmtId="0" fontId="33" fillId="10" borderId="7" xfId="0" applyFont="1" applyFill="1" applyBorder="1" applyAlignment="1">
      <alignment horizontal="justify" vertical="center"/>
    </xf>
    <xf numFmtId="0" fontId="23" fillId="10" borderId="7" xfId="0" applyFont="1" applyFill="1" applyBorder="1" applyAlignment="1">
      <alignment horizontal="justify" vertical="center" wrapText="1"/>
    </xf>
    <xf numFmtId="167" fontId="3" fillId="0" borderId="0" xfId="0" applyNumberFormat="1" applyFont="1"/>
    <xf numFmtId="165" fontId="4" fillId="0" borderId="0" xfId="0" applyNumberFormat="1" applyFont="1"/>
    <xf numFmtId="170" fontId="4" fillId="0" borderId="0" xfId="0" applyNumberFormat="1" applyFont="1"/>
    <xf numFmtId="170" fontId="4" fillId="0" borderId="0" xfId="0" applyNumberFormat="1" applyFont="1" applyAlignment="1">
      <alignment horizontal="right"/>
    </xf>
    <xf numFmtId="164" fontId="3" fillId="4" borderId="1" xfId="0" applyNumberFormat="1" applyFont="1" applyFill="1" applyBorder="1" applyAlignment="1">
      <alignment horizontal="center"/>
    </xf>
    <xf numFmtId="0" fontId="5" fillId="2" borderId="9" xfId="6" applyAlignment="1">
      <alignment horizontal="left"/>
    </xf>
    <xf numFmtId="0" fontId="5" fillId="2" borderId="9" xfId="6" applyAlignment="1">
      <alignment horizontal="center"/>
    </xf>
    <xf numFmtId="0" fontId="5" fillId="12" borderId="13" xfId="7"/>
    <xf numFmtId="170" fontId="21" fillId="9" borderId="0" xfId="4" applyNumberFormat="1" applyAlignment="1">
      <alignment horizontal="right"/>
    </xf>
    <xf numFmtId="165" fontId="3" fillId="0" borderId="0" xfId="0" applyNumberFormat="1" applyFont="1" applyAlignment="1">
      <alignment horizontal="center"/>
    </xf>
    <xf numFmtId="43" fontId="12" fillId="0" borderId="0" xfId="3" applyFont="1" applyAlignment="1">
      <alignment horizontal="center"/>
    </xf>
    <xf numFmtId="165" fontId="50" fillId="9" borderId="0" xfId="4" applyNumberFormat="1" applyFont="1" applyAlignment="1">
      <alignment horizontal="right"/>
    </xf>
    <xf numFmtId="0" fontId="49" fillId="13" borderId="14" xfId="8"/>
    <xf numFmtId="165" fontId="4" fillId="3" borderId="0" xfId="0" applyNumberFormat="1" applyFont="1" applyFill="1" applyAlignment="1">
      <alignment horizontal="left"/>
    </xf>
  </cellXfs>
  <cellStyles count="9">
    <cellStyle name="Calculation" xfId="8" builtinId="22"/>
    <cellStyle name="Comma" xfId="3" builtinId="3"/>
    <cellStyle name="Currency" xfId="1" builtinId="4"/>
    <cellStyle name="Heading 1" xfId="6" builtinId="16" customBuiltin="1"/>
    <cellStyle name="Heading 2" xfId="7" builtinId="17" customBuiltin="1"/>
    <cellStyle name="Hyperlink" xfId="5" builtinId="8"/>
    <cellStyle name="Normal" xfId="0" builtinId="0"/>
    <cellStyle name="Output" xfId="4" builtinId="21" customBuiltin="1"/>
    <cellStyle name="Percent" xfId="2" builtinId="5"/>
  </cellStyles>
  <dxfs count="4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12164055581898E-2"/>
          <c:y val="3.2958801498127341E-2"/>
          <c:w val="0.91878411753057265"/>
          <c:h val="0.771016351909193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 | Graphs'!$S$33</c:f>
              <c:strCache>
                <c:ptCount val="1"/>
                <c:pt idx="0">
                  <c:v>Pipeline integrity</c:v>
                </c:pt>
              </c:strCache>
            </c:strRef>
          </c:tx>
          <c:spPr>
            <a:pattFill prst="pct75">
              <a:fgClr>
                <a:schemeClr val="accent5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080-4758-A875-479E67542FA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080-4758-A875-479E67542F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080-4758-A875-479E67542FAD}"/>
              </c:ext>
            </c:extLst>
          </c:dPt>
          <c:cat>
            <c:strRef>
              <c:f>'O | Graphs'!$T$19:$AC$19</c:f>
              <c:strCache>
                <c:ptCount val="1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</c:strCache>
            </c:strRef>
          </c:cat>
          <c:val>
            <c:numRef>
              <c:f>'O | Graphs'!$T$33:$AC$33</c:f>
              <c:numCache>
                <c:formatCode>0.0</c:formatCode>
                <c:ptCount val="10"/>
                <c:pt idx="0">
                  <c:v>2.6156913606275021</c:v>
                </c:pt>
                <c:pt idx="1">
                  <c:v>1.5194574453262015</c:v>
                </c:pt>
                <c:pt idx="2">
                  <c:v>2.1193812777369603</c:v>
                </c:pt>
                <c:pt idx="3">
                  <c:v>3.8215632998400006</c:v>
                </c:pt>
                <c:pt idx="4">
                  <c:v>5.3151010924960005</c:v>
                </c:pt>
                <c:pt idx="5">
                  <c:v>8.243460322854677</c:v>
                </c:pt>
                <c:pt idx="6">
                  <c:v>10.692552617449406</c:v>
                </c:pt>
                <c:pt idx="7">
                  <c:v>9.9138176812125582</c:v>
                </c:pt>
                <c:pt idx="8">
                  <c:v>8.4941697720129401</c:v>
                </c:pt>
                <c:pt idx="9">
                  <c:v>4.8141316994050136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F8F-4880-87FE-78109A08F995}"/>
            </c:ext>
          </c:extLst>
        </c:ser>
        <c:ser>
          <c:idx val="1"/>
          <c:order val="1"/>
          <c:tx>
            <c:strRef>
              <c:f>'O | Graphs'!$S$34</c:f>
              <c:strCache>
                <c:ptCount val="1"/>
                <c:pt idx="0">
                  <c:v>Environment</c:v>
                </c:pt>
              </c:strCache>
            </c:strRef>
          </c:tx>
          <c:spPr>
            <a:pattFill prst="pct75">
              <a:fgClr>
                <a:schemeClr val="accent3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080-4758-A875-479E67542FA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080-4758-A875-479E67542F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C080-4758-A875-479E67542FAD}"/>
              </c:ext>
            </c:extLst>
          </c:dPt>
          <c:cat>
            <c:strRef>
              <c:f>'O | Graphs'!$T$19:$AC$19</c:f>
              <c:strCache>
                <c:ptCount val="1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</c:strCache>
            </c:strRef>
          </c:cat>
          <c:val>
            <c:numRef>
              <c:f>'O | Graphs'!$T$34:$AC$34</c:f>
              <c:numCache>
                <c:formatCode>0.0</c:formatCode>
                <c:ptCount val="10"/>
                <c:pt idx="0">
                  <c:v>0.60106965962591197</c:v>
                </c:pt>
                <c:pt idx="1">
                  <c:v>0.70463230500625518</c:v>
                </c:pt>
                <c:pt idx="2">
                  <c:v>0.6599560613358908</c:v>
                </c:pt>
                <c:pt idx="3">
                  <c:v>0.36188833491023781</c:v>
                </c:pt>
                <c:pt idx="4">
                  <c:v>0.36754284014321026</c:v>
                </c:pt>
                <c:pt idx="5">
                  <c:v>10.379012489134253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C-7F8F-4880-87FE-78109A08F995}"/>
            </c:ext>
          </c:extLst>
        </c:ser>
        <c:ser>
          <c:idx val="2"/>
          <c:order val="2"/>
          <c:tx>
            <c:strRef>
              <c:f>'O | Graphs'!$S$35</c:f>
              <c:strCache>
                <c:ptCount val="1"/>
                <c:pt idx="0">
                  <c:v>DN250</c:v>
                </c:pt>
              </c:strCache>
            </c:strRef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080-4758-A875-479E67542FA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C080-4758-A875-479E67542F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080-4758-A875-479E67542FAD}"/>
              </c:ext>
            </c:extLst>
          </c:dPt>
          <c:cat>
            <c:strRef>
              <c:f>'O | Graphs'!$T$19:$AC$19</c:f>
              <c:strCache>
                <c:ptCount val="1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</c:strCache>
            </c:strRef>
          </c:cat>
          <c:val>
            <c:numRef>
              <c:f>'O | Graphs'!$T$35:$AC$35</c:f>
              <c:numCache>
                <c:formatCode>0.0</c:formatCode>
                <c:ptCount val="10"/>
                <c:pt idx="0">
                  <c:v>6.6472382679607147</c:v>
                </c:pt>
                <c:pt idx="1">
                  <c:v>8.8228226041590094</c:v>
                </c:pt>
                <c:pt idx="2">
                  <c:v>3.5359472834969603</c:v>
                </c:pt>
                <c:pt idx="3">
                  <c:v>1.0702266675200001</c:v>
                </c:pt>
                <c:pt idx="4">
                  <c:v>7.8931242368159991</c:v>
                </c:pt>
                <c:pt idx="5">
                  <c:v>5.083094842410472</c:v>
                </c:pt>
                <c:pt idx="6">
                  <c:v>5.8134906013769498</c:v>
                </c:pt>
                <c:pt idx="7">
                  <c:v>1.4602618881991212</c:v>
                </c:pt>
                <c:pt idx="8">
                  <c:v>1.4461605484322435</c:v>
                </c:pt>
                <c:pt idx="9">
                  <c:v>2.5649246956001455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8F-4880-87FE-78109A08F995}"/>
            </c:ext>
          </c:extLst>
        </c:ser>
        <c:ser>
          <c:idx val="3"/>
          <c:order val="3"/>
          <c:tx>
            <c:strRef>
              <c:f>'O | Graphs'!$S$36</c:f>
              <c:strCache>
                <c:ptCount val="1"/>
                <c:pt idx="0">
                  <c:v>Gas instruments</c:v>
                </c:pt>
              </c:strCache>
            </c:strRef>
          </c:tx>
          <c:spPr>
            <a:pattFill prst="pct75">
              <a:fgClr>
                <a:schemeClr val="accent6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'O | Graphs'!$T$19:$AC$19</c:f>
              <c:strCache>
                <c:ptCount val="1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</c:strCache>
            </c:strRef>
          </c:cat>
          <c:val>
            <c:numRef>
              <c:f>'O | Graphs'!$T$36:$AC$36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">
                  <c:v>0.66099766963815831</c:v>
                </c:pt>
                <c:pt idx="6" formatCode="0.0">
                  <c:v>0.66099766963815831</c:v>
                </c:pt>
                <c:pt idx="7" formatCode="0.0">
                  <c:v>0.66099766963815831</c:v>
                </c:pt>
                <c:pt idx="8" formatCode="0.0">
                  <c:v>0.66099766963815831</c:v>
                </c:pt>
                <c:pt idx="9" formatCode="0.0">
                  <c:v>0.66099766963815831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7F8F-4880-87FE-78109A08F995}"/>
            </c:ext>
          </c:extLst>
        </c:ser>
        <c:ser>
          <c:idx val="4"/>
          <c:order val="4"/>
          <c:tx>
            <c:strRef>
              <c:f>'O | Graphs'!$S$37</c:f>
              <c:strCache>
                <c:ptCount val="1"/>
                <c:pt idx="0">
                  <c:v>Other</c:v>
                </c:pt>
              </c:strCache>
            </c:strRef>
          </c:tx>
          <c:spPr>
            <a:pattFill prst="pct75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080-4758-A875-479E67542FA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080-4758-A875-479E67542F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080-4758-A875-479E67542FAD}"/>
              </c:ext>
            </c:extLst>
          </c:dPt>
          <c:cat>
            <c:strRef>
              <c:f>'O | Graphs'!$T$19:$AC$19</c:f>
              <c:strCache>
                <c:ptCount val="10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  <c:pt idx="5">
                  <c:v>2027-28</c:v>
                </c:pt>
                <c:pt idx="6">
                  <c:v>2028-29</c:v>
                </c:pt>
                <c:pt idx="7">
                  <c:v>2029-30</c:v>
                </c:pt>
                <c:pt idx="8">
                  <c:v>2030-31</c:v>
                </c:pt>
                <c:pt idx="9">
                  <c:v>2031-32</c:v>
                </c:pt>
              </c:strCache>
            </c:strRef>
          </c:cat>
          <c:val>
            <c:numRef>
              <c:f>'O | Graphs'!$T$37:$AC$37</c:f>
              <c:numCache>
                <c:formatCode>_-* #,##0.0_-;\-* #,##0.0_-;_-* "-"??_-;_-@_-</c:formatCode>
                <c:ptCount val="10"/>
                <c:pt idx="0">
                  <c:v>5.1179751890404752</c:v>
                </c:pt>
                <c:pt idx="1">
                  <c:v>4.338203575914056</c:v>
                </c:pt>
                <c:pt idx="2">
                  <c:v>5.3398509100736149</c:v>
                </c:pt>
                <c:pt idx="3">
                  <c:v>6.5344922694406948</c:v>
                </c:pt>
                <c:pt idx="4">
                  <c:v>2.3438013047720521</c:v>
                </c:pt>
                <c:pt idx="5">
                  <c:v>2.3561242163349476</c:v>
                </c:pt>
                <c:pt idx="6">
                  <c:v>2.8323325688473133</c:v>
                </c:pt>
                <c:pt idx="7">
                  <c:v>2.4529016011077776</c:v>
                </c:pt>
                <c:pt idx="8">
                  <c:v>5.2271072396942007</c:v>
                </c:pt>
                <c:pt idx="9">
                  <c:v>2.6798966074494555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8F-4880-87FE-78109A08F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217713136"/>
        <c:axId val="1217697296"/>
        <c:extLst/>
      </c:barChart>
      <c:lineChart>
        <c:grouping val="stacked"/>
        <c:varyColors val="0"/>
        <c:ser>
          <c:idx val="5"/>
          <c:order val="5"/>
          <c:tx>
            <c:strRef>
              <c:f>'O | Graphs'!$S$39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'O | Graphs'!$T$39:$X$39</c:f>
              <c:numCache>
                <c:formatCode>_-* #,##0.0_-;\-* #,##0.0_-;_-* "-"??_-;_-@_-</c:formatCode>
                <c:ptCount val="5"/>
                <c:pt idx="0">
                  <c:v>23.251344980348389</c:v>
                </c:pt>
                <c:pt idx="1">
                  <c:v>7.4091085991195884</c:v>
                </c:pt>
                <c:pt idx="2">
                  <c:v>5.8716278303717857</c:v>
                </c:pt>
                <c:pt idx="3">
                  <c:v>4.0234813988682241</c:v>
                </c:pt>
                <c:pt idx="4">
                  <c:v>6.9031931577464585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C080-4758-A875-479E67542F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0"/>
                  <a:t>$m Real 30 June 2027</a:t>
                </a:r>
              </a:p>
            </c:rich>
          </c:tx>
          <c:layout>
            <c:manualLayout>
              <c:xMode val="edge"/>
              <c:yMode val="edge"/>
              <c:x val="3.4919335213649981E-3"/>
              <c:y val="0.26211436128213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799313389208995E-3"/>
          <c:y val="0.85391227946561987"/>
          <c:w val="0.99560362769272559"/>
          <c:h val="0.146087720534380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12164055581898E-2"/>
          <c:y val="3.2958801498127341E-2"/>
          <c:w val="0.91878411753057265"/>
          <c:h val="0.7710163519091938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'O | Graphs'!$S$33</c:f>
              <c:strCache>
                <c:ptCount val="1"/>
                <c:pt idx="0">
                  <c:v>Pipeline integrity</c:v>
                </c:pt>
              </c:strCache>
            </c:strRef>
          </c:tx>
          <c:spPr>
            <a:pattFill prst="pct75">
              <a:fgClr>
                <a:schemeClr val="accent5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C5-4086-8E88-BAB54ADDB2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C5-4086-8E88-BAB54ADDB2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C5-4086-8E88-BAB54ADDB2FE}"/>
              </c:ext>
            </c:extLst>
          </c:dPt>
          <c:cat>
            <c:strRef>
              <c:f>'O | Graphs'!$T$19:$X$19</c:f>
              <c:strCache>
                <c:ptCount val="5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</c:strCache>
            </c:strRef>
          </c:cat>
          <c:val>
            <c:numRef>
              <c:f>'O | Graphs'!$T$33:$X$33</c:f>
              <c:numCache>
                <c:formatCode>0.0</c:formatCode>
                <c:ptCount val="5"/>
                <c:pt idx="0">
                  <c:v>2.6156913606275021</c:v>
                </c:pt>
                <c:pt idx="1">
                  <c:v>1.5194574453262015</c:v>
                </c:pt>
                <c:pt idx="2">
                  <c:v>2.1193812777369603</c:v>
                </c:pt>
                <c:pt idx="3">
                  <c:v>3.8215632998400006</c:v>
                </c:pt>
                <c:pt idx="4">
                  <c:v>5.3151010924960005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4C5-4086-8E88-BAB54ADDB2FE}"/>
            </c:ext>
          </c:extLst>
        </c:ser>
        <c:ser>
          <c:idx val="1"/>
          <c:order val="1"/>
          <c:tx>
            <c:strRef>
              <c:f>'O | Graphs'!$S$34</c:f>
              <c:strCache>
                <c:ptCount val="1"/>
                <c:pt idx="0">
                  <c:v>Environment</c:v>
                </c:pt>
              </c:strCache>
            </c:strRef>
          </c:tx>
          <c:spPr>
            <a:pattFill prst="pct75">
              <a:fgClr>
                <a:schemeClr val="accent3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24C5-4086-8E88-BAB54ADDB2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24C5-4086-8E88-BAB54ADDB2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24C5-4086-8E88-BAB54ADDB2FE}"/>
              </c:ext>
            </c:extLst>
          </c:dPt>
          <c:cat>
            <c:strRef>
              <c:f>'O | Graphs'!$T$19:$X$19</c:f>
              <c:strCache>
                <c:ptCount val="5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</c:strCache>
            </c:strRef>
          </c:cat>
          <c:val>
            <c:numRef>
              <c:f>'O | Graphs'!$T$34:$X$34</c:f>
              <c:numCache>
                <c:formatCode>0.0</c:formatCode>
                <c:ptCount val="5"/>
                <c:pt idx="0">
                  <c:v>0.60106965962591197</c:v>
                </c:pt>
                <c:pt idx="1">
                  <c:v>0.70463230500625518</c:v>
                </c:pt>
                <c:pt idx="2">
                  <c:v>0.6599560613358908</c:v>
                </c:pt>
                <c:pt idx="3">
                  <c:v>0.36188833491023781</c:v>
                </c:pt>
                <c:pt idx="4">
                  <c:v>0.36754284014321026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D-24C5-4086-8E88-BAB54ADDB2FE}"/>
            </c:ext>
          </c:extLst>
        </c:ser>
        <c:ser>
          <c:idx val="2"/>
          <c:order val="2"/>
          <c:tx>
            <c:strRef>
              <c:f>'O | Graphs'!$S$35</c:f>
              <c:strCache>
                <c:ptCount val="1"/>
                <c:pt idx="0">
                  <c:v>DN250</c:v>
                </c:pt>
              </c:strCache>
            </c:strRef>
          </c:tx>
          <c:spPr>
            <a:pattFill prst="pct75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4C5-4086-8E88-BAB54ADDB2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4C5-4086-8E88-BAB54ADDB2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24C5-4086-8E88-BAB54ADDB2FE}"/>
              </c:ext>
            </c:extLst>
          </c:dPt>
          <c:cat>
            <c:strRef>
              <c:f>'O | Graphs'!$T$19:$X$19</c:f>
              <c:strCache>
                <c:ptCount val="5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</c:strCache>
            </c:strRef>
          </c:cat>
          <c:val>
            <c:numRef>
              <c:f>'O | Graphs'!$T$35:$X$35</c:f>
              <c:numCache>
                <c:formatCode>0.0</c:formatCode>
                <c:ptCount val="5"/>
                <c:pt idx="0">
                  <c:v>6.6472382679607147</c:v>
                </c:pt>
                <c:pt idx="1">
                  <c:v>8.8228226041590094</c:v>
                </c:pt>
                <c:pt idx="2">
                  <c:v>3.5359472834969603</c:v>
                </c:pt>
                <c:pt idx="3">
                  <c:v>1.0702266675200001</c:v>
                </c:pt>
                <c:pt idx="4">
                  <c:v>7.8931242368159991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4C5-4086-8E88-BAB54ADDB2FE}"/>
            </c:ext>
          </c:extLst>
        </c:ser>
        <c:ser>
          <c:idx val="3"/>
          <c:order val="3"/>
          <c:tx>
            <c:strRef>
              <c:f>'O | Graphs'!$S$36</c:f>
              <c:strCache>
                <c:ptCount val="1"/>
                <c:pt idx="0">
                  <c:v>Gas instruments</c:v>
                </c:pt>
              </c:strCache>
            </c:strRef>
          </c:tx>
          <c:spPr>
            <a:pattFill prst="pct75">
              <a:fgClr>
                <a:schemeClr val="accent6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strRef>
              <c:f>'O | Graphs'!$T$19:$X$19</c:f>
              <c:strCache>
                <c:ptCount val="5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</c:strCache>
            </c:strRef>
          </c:cat>
          <c:val>
            <c:numRef>
              <c:f>'O | Graphs'!$T$36:$X$36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5-24C5-4086-8E88-BAB54ADDB2FE}"/>
            </c:ext>
          </c:extLst>
        </c:ser>
        <c:ser>
          <c:idx val="4"/>
          <c:order val="4"/>
          <c:tx>
            <c:strRef>
              <c:f>'O | Graphs'!$S$37</c:f>
              <c:strCache>
                <c:ptCount val="1"/>
                <c:pt idx="0">
                  <c:v>Other</c:v>
                </c:pt>
              </c:strCache>
            </c:strRef>
          </c:tx>
          <c:spPr>
            <a:pattFill prst="pct75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24C5-4086-8E88-BAB54ADDB2F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24C5-4086-8E88-BAB54ADDB2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24C5-4086-8E88-BAB54ADDB2FE}"/>
              </c:ext>
            </c:extLst>
          </c:dPt>
          <c:cat>
            <c:strRef>
              <c:f>'O | Graphs'!$T$19:$X$19</c:f>
              <c:strCache>
                <c:ptCount val="5"/>
                <c:pt idx="0">
                  <c:v>2022-23</c:v>
                </c:pt>
                <c:pt idx="1">
                  <c:v>2023-24</c:v>
                </c:pt>
                <c:pt idx="2">
                  <c:v>2024-25</c:v>
                </c:pt>
                <c:pt idx="3">
                  <c:v>2025-26E</c:v>
                </c:pt>
                <c:pt idx="4">
                  <c:v>2026-27E</c:v>
                </c:pt>
              </c:strCache>
            </c:strRef>
          </c:cat>
          <c:val>
            <c:numRef>
              <c:f>'O | Graphs'!$T$37:$X$37</c:f>
              <c:numCache>
                <c:formatCode>_-* #,##0.0_-;\-* #,##0.0_-;_-* "-"??_-;_-@_-</c:formatCode>
                <c:ptCount val="5"/>
                <c:pt idx="0">
                  <c:v>5.1179751890404752</c:v>
                </c:pt>
                <c:pt idx="1">
                  <c:v>4.338203575914056</c:v>
                </c:pt>
                <c:pt idx="2">
                  <c:v>5.3398509100736149</c:v>
                </c:pt>
                <c:pt idx="3">
                  <c:v>6.5344922694406948</c:v>
                </c:pt>
                <c:pt idx="4">
                  <c:v>2.3438013047720521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24C5-4086-8E88-BAB54ADDB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217713136"/>
        <c:axId val="1217697296"/>
        <c:extLst/>
      </c:barChart>
      <c:lineChart>
        <c:grouping val="stacked"/>
        <c:varyColors val="0"/>
        <c:ser>
          <c:idx val="6"/>
          <c:order val="5"/>
          <c:tx>
            <c:strRef>
              <c:f>'O | Graphs'!$S$39</c:f>
              <c:strCache>
                <c:ptCount val="1"/>
                <c:pt idx="0">
                  <c:v>AER allowance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'O | Graphs'!$T$32:$X$32</c:f>
              <c:numCache>
                <c:formatCode>General</c:formatCode>
                <c:ptCount val="5"/>
              </c:numCache>
            </c:numRef>
          </c:cat>
          <c:val>
            <c:numRef>
              <c:f>'O | Graphs'!$T$39:$X$39</c:f>
              <c:numCache>
                <c:formatCode>_-* #,##0.0_-;\-* #,##0.0_-;_-* "-"??_-;_-@_-</c:formatCode>
                <c:ptCount val="5"/>
                <c:pt idx="0">
                  <c:v>23.251344980348389</c:v>
                </c:pt>
                <c:pt idx="1">
                  <c:v>7.4091085991195884</c:v>
                </c:pt>
                <c:pt idx="2">
                  <c:v>5.8716278303717857</c:v>
                </c:pt>
                <c:pt idx="3">
                  <c:v>4.0234813988682241</c:v>
                </c:pt>
                <c:pt idx="4">
                  <c:v>6.9031931577464585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24C5-4086-8E88-BAB54ADDB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7713136"/>
        <c:axId val="1217697296"/>
      </c:lineChart>
      <c:catAx>
        <c:axId val="121771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697296"/>
        <c:crosses val="autoZero"/>
        <c:auto val="1"/>
        <c:lblAlgn val="ctr"/>
        <c:lblOffset val="100"/>
        <c:noMultiLvlLbl val="0"/>
      </c:catAx>
      <c:valAx>
        <c:axId val="121769729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0"/>
                  <a:t>$m Real 30 June 2027</a:t>
                </a:r>
              </a:p>
            </c:rich>
          </c:tx>
          <c:layout>
            <c:manualLayout>
              <c:xMode val="edge"/>
              <c:yMode val="edge"/>
              <c:x val="3.4919335213649981E-3"/>
              <c:y val="0.26211436128213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1771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5799313389208995E-3"/>
          <c:y val="0.85391227946561987"/>
          <c:w val="0.99842010647415824"/>
          <c:h val="5.40103433235715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104775</xdr:rowOff>
    </xdr:from>
    <xdr:to>
      <xdr:col>2</xdr:col>
      <xdr:colOff>254631</xdr:colOff>
      <xdr:row>5</xdr:row>
      <xdr:rowOff>486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C1D085BD-5054-4C7C-B0CE-5F9F5BD87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101600"/>
          <a:ext cx="1346099" cy="80376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67441</xdr:colOff>
      <xdr:row>0</xdr:row>
      <xdr:rowOff>46858</xdr:rowOff>
    </xdr:from>
    <xdr:to>
      <xdr:col>1</xdr:col>
      <xdr:colOff>1192772</xdr:colOff>
      <xdr:row>4</xdr:row>
      <xdr:rowOff>130606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4FF75F1-9155-4546-AC2B-CF66EC23F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66" y="50033"/>
          <a:ext cx="1334881" cy="79812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67441</xdr:colOff>
      <xdr:row>0</xdr:row>
      <xdr:rowOff>46858</xdr:rowOff>
    </xdr:from>
    <xdr:to>
      <xdr:col>1</xdr:col>
      <xdr:colOff>1192772</xdr:colOff>
      <xdr:row>4</xdr:row>
      <xdr:rowOff>121081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390E683C-2EFE-479E-8ADD-0C570A9A2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66" y="50033"/>
          <a:ext cx="1334881" cy="79812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14</xdr:col>
      <xdr:colOff>383403</xdr:colOff>
      <xdr:row>29</xdr:row>
      <xdr:rowOff>6647</xdr:rowOff>
    </xdr:to>
    <xdr:graphicFrame macro="">
      <xdr:nvGraphicFramePr>
        <xdr:cNvPr id="46" name="Chart 1">
          <a:extLst>
            <a:ext uri="{FF2B5EF4-FFF2-40B4-BE49-F238E27FC236}">
              <a16:creationId xmlns:a16="http://schemas.microsoft.com/office/drawing/2014/main" id="{769AAF9B-8D0E-448F-9CDE-6E128DB1BC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32</xdr:row>
      <xdr:rowOff>0</xdr:rowOff>
    </xdr:from>
    <xdr:to>
      <xdr:col>14</xdr:col>
      <xdr:colOff>383403</xdr:colOff>
      <xdr:row>54</xdr:row>
      <xdr:rowOff>83188</xdr:rowOff>
    </xdr:to>
    <xdr:graphicFrame macro="">
      <xdr:nvGraphicFramePr>
        <xdr:cNvPr id="48" name="Chart 1">
          <a:extLst>
            <a:ext uri="{FF2B5EF4-FFF2-40B4-BE49-F238E27FC236}">
              <a16:creationId xmlns:a16="http://schemas.microsoft.com/office/drawing/2014/main" id="{FF096B4F-8A0E-4AD8-871F-9780D6777F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0.52383</cdr:x>
      <cdr:y>0.02921</cdr:y>
    </cdr:from>
    <cdr:to>
      <cdr:x>0.52544</cdr:x>
      <cdr:y>0.89628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121A11CF-8E50-EECD-71DD-6EBFB02DE650}"/>
            </a:ext>
          </a:extLst>
        </cdr:cNvPr>
        <cdr:cNvCxnSpPr/>
      </cdr:nvCxnSpPr>
      <cdr:spPr>
        <a:xfrm xmlns:a="http://schemas.openxmlformats.org/drawingml/2006/main">
          <a:off x="4205923" y="112340"/>
          <a:ext cx="12927" cy="333470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bg1">
              <a:lumMod val="75000"/>
            </a:schemeClr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104775</xdr:rowOff>
    </xdr:from>
    <xdr:to>
      <xdr:col>1</xdr:col>
      <xdr:colOff>1160641</xdr:colOff>
      <xdr:row>5</xdr:row>
      <xdr:rowOff>486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49345F80-7460-4D52-A9C6-10C1C5F19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550" y="101600"/>
          <a:ext cx="1335266" cy="80376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104775</xdr:rowOff>
    </xdr:from>
    <xdr:to>
      <xdr:col>2</xdr:col>
      <xdr:colOff>297041</xdr:colOff>
      <xdr:row>5</xdr:row>
      <xdr:rowOff>486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05B0BBD1-B204-41F4-A8D2-637E2FE3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104775"/>
          <a:ext cx="1342924" cy="800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77537</xdr:colOff>
      <xdr:row>0</xdr:row>
      <xdr:rowOff>79542</xdr:rowOff>
    </xdr:from>
    <xdr:to>
      <xdr:col>1</xdr:col>
      <xdr:colOff>1067940</xdr:colOff>
      <xdr:row>4</xdr:row>
      <xdr:rowOff>164583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81A9D9E2-AACA-49C8-A2EA-9D675D5934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37" y="79542"/>
          <a:ext cx="1336574" cy="80058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77537</xdr:colOff>
      <xdr:row>0</xdr:row>
      <xdr:rowOff>79542</xdr:rowOff>
    </xdr:from>
    <xdr:to>
      <xdr:col>1</xdr:col>
      <xdr:colOff>1067940</xdr:colOff>
      <xdr:row>4</xdr:row>
      <xdr:rowOff>164583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07A6FB46-8BCF-4E41-8DA1-DFEA17E887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37" y="82717"/>
          <a:ext cx="1342828" cy="802591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3</xdr:row>
      <xdr:rowOff>37374</xdr:rowOff>
    </xdr:from>
    <xdr:to>
      <xdr:col>8</xdr:col>
      <xdr:colOff>0</xdr:colOff>
      <xdr:row>6</xdr:row>
      <xdr:rowOff>82998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53C099A-F74B-4A16-AD98-C481480A8341}"/>
            </a:ext>
          </a:extLst>
        </xdr:cNvPr>
        <xdr:cNvSpPr txBox="1"/>
      </xdr:nvSpPr>
      <xdr:spPr>
        <a:xfrm>
          <a:off x="8229600" y="580299"/>
          <a:ext cx="0" cy="639349"/>
        </a:xfrm>
        <a:prstGeom prst="rect">
          <a:avLst/>
        </a:prstGeom>
        <a:solidFill>
          <a:schemeClr val="accent4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AU" sz="1100"/>
            <a:t>"As</a:t>
          </a:r>
          <a:r>
            <a:rPr lang="en-AU" sz="1100" baseline="0"/>
            <a:t> incurred" or specific year</a:t>
          </a:r>
          <a:endParaRPr lang="en-AU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77537</xdr:colOff>
      <xdr:row>0</xdr:row>
      <xdr:rowOff>79542</xdr:rowOff>
    </xdr:from>
    <xdr:to>
      <xdr:col>1</xdr:col>
      <xdr:colOff>1067940</xdr:colOff>
      <xdr:row>4</xdr:row>
      <xdr:rowOff>164583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5D034632-13EF-4F12-B633-18C3D68684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37" y="82717"/>
          <a:ext cx="1342828" cy="805766"/>
        </a:xfrm>
        <a:prstGeom prst="rect">
          <a:avLst/>
        </a:prstGeom>
      </xdr:spPr>
    </xdr:pic>
    <xdr:clientData/>
  </xdr:twoCellAnchor>
  <xdr:twoCellAnchor>
    <xdr:from>
      <xdr:col>9</xdr:col>
      <xdr:colOff>0</xdr:colOff>
      <xdr:row>3</xdr:row>
      <xdr:rowOff>37374</xdr:rowOff>
    </xdr:from>
    <xdr:to>
      <xdr:col>9</xdr:col>
      <xdr:colOff>0</xdr:colOff>
      <xdr:row>6</xdr:row>
      <xdr:rowOff>82998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84EED1D-6F59-46A4-994F-D46D0DF894DD}"/>
            </a:ext>
          </a:extLst>
        </xdr:cNvPr>
        <xdr:cNvSpPr txBox="1"/>
      </xdr:nvSpPr>
      <xdr:spPr>
        <a:xfrm>
          <a:off x="8229600" y="580299"/>
          <a:ext cx="0" cy="639349"/>
        </a:xfrm>
        <a:prstGeom prst="rect">
          <a:avLst/>
        </a:prstGeom>
        <a:solidFill>
          <a:schemeClr val="accent4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AU" sz="1100"/>
            <a:t>"As</a:t>
          </a:r>
          <a:r>
            <a:rPr lang="en-AU" sz="1100" baseline="0"/>
            <a:t> incurred" or specific year</a:t>
          </a:r>
          <a:endParaRPr lang="en-AU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77537</xdr:colOff>
      <xdr:row>0</xdr:row>
      <xdr:rowOff>79542</xdr:rowOff>
    </xdr:from>
    <xdr:to>
      <xdr:col>1</xdr:col>
      <xdr:colOff>1067940</xdr:colOff>
      <xdr:row>4</xdr:row>
      <xdr:rowOff>164583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D3ADB267-A715-487C-BAFB-6ACE93540E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537" y="82717"/>
          <a:ext cx="1342828" cy="805766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3</xdr:row>
      <xdr:rowOff>37374</xdr:rowOff>
    </xdr:from>
    <xdr:to>
      <xdr:col>10</xdr:col>
      <xdr:colOff>0</xdr:colOff>
      <xdr:row>6</xdr:row>
      <xdr:rowOff>82998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1085A21-304C-4E46-9162-8CD74ED63820}"/>
            </a:ext>
          </a:extLst>
        </xdr:cNvPr>
        <xdr:cNvSpPr txBox="1"/>
      </xdr:nvSpPr>
      <xdr:spPr>
        <a:xfrm>
          <a:off x="11565894" y="580299"/>
          <a:ext cx="1247425" cy="639349"/>
        </a:xfrm>
        <a:prstGeom prst="rect">
          <a:avLst/>
        </a:prstGeom>
        <a:solidFill>
          <a:schemeClr val="accent4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AU" sz="1100"/>
            <a:t>"As</a:t>
          </a:r>
          <a:r>
            <a:rPr lang="en-AU" sz="1100" baseline="0"/>
            <a:t> incurred" or specific year</a:t>
          </a:r>
          <a:endParaRPr lang="en-AU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67441</xdr:colOff>
      <xdr:row>0</xdr:row>
      <xdr:rowOff>46858</xdr:rowOff>
    </xdr:from>
    <xdr:to>
      <xdr:col>1</xdr:col>
      <xdr:colOff>1192772</xdr:colOff>
      <xdr:row>4</xdr:row>
      <xdr:rowOff>121081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3051C56D-16D0-42EE-B798-01A39C293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66" y="50033"/>
          <a:ext cx="1336347" cy="79812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67441</xdr:colOff>
      <xdr:row>0</xdr:row>
      <xdr:rowOff>46858</xdr:rowOff>
    </xdr:from>
    <xdr:to>
      <xdr:col>1</xdr:col>
      <xdr:colOff>1192772</xdr:colOff>
      <xdr:row>4</xdr:row>
      <xdr:rowOff>121081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A586A16B-5381-4A56-8FE2-49926CCCD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266" y="50033"/>
          <a:ext cx="1338056" cy="7949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APA 2024">
  <a:themeElements>
    <a:clrScheme name="APA">
      <a:dk1>
        <a:sysClr val="windowText" lastClr="000000"/>
      </a:dk1>
      <a:lt1>
        <a:sysClr val="window" lastClr="FFFFFF"/>
      </a:lt1>
      <a:dk2>
        <a:srgbClr val="E6E6E6"/>
      </a:dk2>
      <a:lt2>
        <a:srgbClr val="F8F8F8"/>
      </a:lt2>
      <a:accent1>
        <a:srgbClr val="006275"/>
      </a:accent1>
      <a:accent2>
        <a:srgbClr val="AFD7D6"/>
      </a:accent2>
      <a:accent3>
        <a:srgbClr val="E12433"/>
      </a:accent3>
      <a:accent4>
        <a:srgbClr val="BFFF87"/>
      </a:accent4>
      <a:accent5>
        <a:srgbClr val="B1132D"/>
      </a:accent5>
      <a:accent6>
        <a:srgbClr val="F96700"/>
      </a:accent6>
      <a:hlink>
        <a:srgbClr val="000000"/>
      </a:hlink>
      <a:folHlink>
        <a:srgbClr val="00000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D5209-1BE8-4944-9839-FCA5A54803A1}">
  <dimension ref="A1:R25"/>
  <sheetViews>
    <sheetView workbookViewId="0">
      <selection activeCell="A7" sqref="A7"/>
    </sheetView>
  </sheetViews>
  <sheetFormatPr defaultRowHeight="14.25" x14ac:dyDescent="0.2"/>
  <cols>
    <col min="1" max="1" width="28.125" customWidth="1"/>
    <col min="2" max="2" width="3.625" customWidth="1"/>
    <col min="3" max="3" width="28.125" customWidth="1"/>
    <col min="4" max="4" width="4.125" customWidth="1"/>
    <col min="5" max="5" width="38.125" customWidth="1"/>
    <col min="6" max="6" width="3.375" customWidth="1"/>
    <col min="7" max="7" width="27.625" bestFit="1" customWidth="1"/>
    <col min="16" max="16" width="13.75" bestFit="1" customWidth="1"/>
  </cols>
  <sheetData>
    <row r="1" spans="1:18" ht="15" x14ac:dyDescent="0.25">
      <c r="A1" s="1" t="s">
        <v>291</v>
      </c>
      <c r="B1" s="1"/>
      <c r="C1" s="1" t="s">
        <v>293</v>
      </c>
      <c r="E1" s="1" t="s">
        <v>1</v>
      </c>
      <c r="G1" s="1" t="s">
        <v>102</v>
      </c>
      <c r="I1" s="1" t="s">
        <v>101</v>
      </c>
      <c r="L1" s="1" t="s">
        <v>177</v>
      </c>
      <c r="P1" s="1" t="s">
        <v>195</v>
      </c>
      <c r="R1" s="1" t="s">
        <v>292</v>
      </c>
    </row>
    <row r="2" spans="1:18" x14ac:dyDescent="0.2">
      <c r="A2" t="s">
        <v>2</v>
      </c>
      <c r="C2" t="s">
        <v>2</v>
      </c>
      <c r="E2" t="s">
        <v>3</v>
      </c>
      <c r="G2" t="s">
        <v>82</v>
      </c>
      <c r="I2" t="s">
        <v>169</v>
      </c>
      <c r="L2" t="str" cm="1">
        <f t="array" ref="L2:L18">_xlfn.UNIQUE(R2:R25,FALSE,FALSE)</f>
        <v>Minor Projects</v>
      </c>
      <c r="P2" t="s">
        <v>20</v>
      </c>
      <c r="R2" t="str" cm="1">
        <f t="array" ref="R2:R13">_xlfn.UNIQUE('I | Historic capex'!D11:D150,FALSE,FALSE)</f>
        <v>Minor Projects</v>
      </c>
    </row>
    <row r="3" spans="1:18" x14ac:dyDescent="0.2">
      <c r="A3" t="s">
        <v>4</v>
      </c>
      <c r="C3" t="s">
        <v>4</v>
      </c>
      <c r="E3" t="s">
        <v>5</v>
      </c>
      <c r="G3" t="s">
        <v>83</v>
      </c>
      <c r="I3" t="s">
        <v>76</v>
      </c>
      <c r="L3" t="str">
        <v>Pipeline Integrity</v>
      </c>
      <c r="P3" t="s">
        <v>53</v>
      </c>
      <c r="R3" t="str">
        <v>Pipeline Integrity</v>
      </c>
    </row>
    <row r="4" spans="1:18" x14ac:dyDescent="0.2">
      <c r="A4" t="s">
        <v>69</v>
      </c>
      <c r="C4" t="s">
        <v>69</v>
      </c>
      <c r="E4" t="s">
        <v>6</v>
      </c>
      <c r="G4" t="s">
        <v>84</v>
      </c>
      <c r="I4" t="s">
        <v>77</v>
      </c>
      <c r="L4" t="str">
        <v>DN250 Supply Security Project</v>
      </c>
      <c r="P4" t="s">
        <v>52</v>
      </c>
      <c r="R4" t="str">
        <v>DN250 Supply Security Project</v>
      </c>
    </row>
    <row r="5" spans="1:18" x14ac:dyDescent="0.2">
      <c r="A5" t="s">
        <v>347</v>
      </c>
      <c r="C5" t="s">
        <v>347</v>
      </c>
      <c r="E5" t="s">
        <v>7</v>
      </c>
      <c r="G5" t="s">
        <v>85</v>
      </c>
      <c r="I5" t="s">
        <v>78</v>
      </c>
      <c r="L5" t="str">
        <v>Valve Upgrade</v>
      </c>
      <c r="P5" t="s">
        <v>51</v>
      </c>
      <c r="R5" t="str">
        <v>Valve Upgrade</v>
      </c>
    </row>
    <row r="6" spans="1:18" x14ac:dyDescent="0.2">
      <c r="A6" t="s">
        <v>71</v>
      </c>
      <c r="C6" t="s">
        <v>71</v>
      </c>
      <c r="E6" t="s">
        <v>8</v>
      </c>
      <c r="G6" t="s">
        <v>86</v>
      </c>
      <c r="I6" t="s">
        <v>79</v>
      </c>
      <c r="L6" t="str">
        <v>Bulimba Creek Strain</v>
      </c>
      <c r="P6" t="s">
        <v>50</v>
      </c>
      <c r="R6" t="str">
        <v>Bulimba Creek Strain</v>
      </c>
    </row>
    <row r="7" spans="1:18" x14ac:dyDescent="0.2">
      <c r="A7" t="s">
        <v>72</v>
      </c>
      <c r="C7" t="s">
        <v>72</v>
      </c>
      <c r="E7" t="s">
        <v>9</v>
      </c>
      <c r="G7" t="s">
        <v>87</v>
      </c>
      <c r="I7" t="s">
        <v>80</v>
      </c>
      <c r="L7" t="str">
        <v>Gowrie Creek</v>
      </c>
      <c r="P7" t="s">
        <v>49</v>
      </c>
      <c r="R7" t="str">
        <v>Gowrie Creek</v>
      </c>
    </row>
    <row r="8" spans="1:18" x14ac:dyDescent="0.2">
      <c r="A8" t="s">
        <v>73</v>
      </c>
      <c r="C8" t="s">
        <v>73</v>
      </c>
      <c r="E8" t="s">
        <v>10</v>
      </c>
      <c r="G8" t="s">
        <v>88</v>
      </c>
      <c r="I8" t="s">
        <v>81</v>
      </c>
      <c r="L8" t="str">
        <v>Pipeline Relocation</v>
      </c>
      <c r="R8" t="str">
        <v>Pipeline Relocation</v>
      </c>
    </row>
    <row r="9" spans="1:18" x14ac:dyDescent="0.2">
      <c r="A9" t="s">
        <v>74</v>
      </c>
      <c r="C9" t="s">
        <v>74</v>
      </c>
      <c r="G9" t="s">
        <v>89</v>
      </c>
      <c r="I9" t="s">
        <v>25</v>
      </c>
      <c r="L9" t="str">
        <v>Dalby Communication Relocation</v>
      </c>
      <c r="R9" t="str">
        <v>Dalby Communication Relocation</v>
      </c>
    </row>
    <row r="10" spans="1:18" x14ac:dyDescent="0.2">
      <c r="A10" t="s">
        <v>169</v>
      </c>
      <c r="C10" t="s">
        <v>350</v>
      </c>
      <c r="G10" t="s">
        <v>90</v>
      </c>
      <c r="L10" t="str">
        <v>Access Arrangement</v>
      </c>
      <c r="R10" t="str">
        <v>Access Arrangement</v>
      </c>
    </row>
    <row r="11" spans="1:18" x14ac:dyDescent="0.2">
      <c r="A11" t="s">
        <v>348</v>
      </c>
      <c r="C11" t="s">
        <v>349</v>
      </c>
      <c r="G11" t="s">
        <v>76</v>
      </c>
      <c r="L11" t="str">
        <v>Property Leases</v>
      </c>
      <c r="R11" t="str">
        <v>Property Leases</v>
      </c>
    </row>
    <row r="12" spans="1:18" x14ac:dyDescent="0.2">
      <c r="A12" t="s">
        <v>349</v>
      </c>
      <c r="G12" t="s">
        <v>25</v>
      </c>
      <c r="L12" t="str">
        <v>Vehicle Leases</v>
      </c>
      <c r="R12" t="str">
        <v>Vehicle Leases</v>
      </c>
    </row>
    <row r="13" spans="1:18" x14ac:dyDescent="0.2">
      <c r="G13" t="s">
        <v>91</v>
      </c>
      <c r="L13" t="str">
        <v>Group IT</v>
      </c>
      <c r="R13" t="str">
        <v>Group IT</v>
      </c>
    </row>
    <row r="14" spans="1:18" x14ac:dyDescent="0.2">
      <c r="G14" t="s">
        <v>92</v>
      </c>
      <c r="L14" t="str">
        <v>Corporate</v>
      </c>
      <c r="R14" t="str" cm="1">
        <f t="array" ref="R14:R25">_xlfn.UNIQUE('C | RFM escalation'!C50:C71,FALSE,FALSE)</f>
        <v>Corporate</v>
      </c>
    </row>
    <row r="15" spans="1:18" x14ac:dyDescent="0.2">
      <c r="G15" t="s">
        <v>93</v>
      </c>
      <c r="L15" t="str">
        <v>Main Switchboard Replacement</v>
      </c>
      <c r="R15" t="str">
        <v>Group IT</v>
      </c>
    </row>
    <row r="16" spans="1:18" x14ac:dyDescent="0.2">
      <c r="G16" t="s">
        <v>94</v>
      </c>
      <c r="L16" t="str">
        <v>Environment</v>
      </c>
      <c r="R16" t="str">
        <v>Property Leases</v>
      </c>
    </row>
    <row r="17" spans="7:18" x14ac:dyDescent="0.2">
      <c r="G17" t="s">
        <v>95</v>
      </c>
      <c r="L17" t="str">
        <v>PIG Trap</v>
      </c>
      <c r="R17" t="str">
        <v>Vehicle Leases</v>
      </c>
    </row>
    <row r="18" spans="7:18" x14ac:dyDescent="0.2">
      <c r="G18" t="s">
        <v>96</v>
      </c>
      <c r="L18" t="str">
        <v>Ellengrove Safety</v>
      </c>
      <c r="R18" t="str">
        <v>Access Arrangement</v>
      </c>
    </row>
    <row r="19" spans="7:18" x14ac:dyDescent="0.2">
      <c r="G19" t="s">
        <v>97</v>
      </c>
      <c r="R19" t="str">
        <v>Pipeline Integrity</v>
      </c>
    </row>
    <row r="20" spans="7:18" x14ac:dyDescent="0.2">
      <c r="G20" t="s">
        <v>98</v>
      </c>
      <c r="R20" t="str">
        <v>DN250 Supply Security Project</v>
      </c>
    </row>
    <row r="21" spans="7:18" x14ac:dyDescent="0.2">
      <c r="G21" t="s">
        <v>99</v>
      </c>
      <c r="R21" t="str">
        <v>Main Switchboard Replacement</v>
      </c>
    </row>
    <row r="22" spans="7:18" x14ac:dyDescent="0.2">
      <c r="G22" t="s">
        <v>67</v>
      </c>
      <c r="R22" t="str">
        <v>Environment</v>
      </c>
    </row>
    <row r="23" spans="7:18" x14ac:dyDescent="0.2">
      <c r="R23" t="str">
        <v>PIG Trap</v>
      </c>
    </row>
    <row r="24" spans="7:18" x14ac:dyDescent="0.2">
      <c r="R24" t="str">
        <v>Minor Projects</v>
      </c>
    </row>
    <row r="25" spans="7:18" x14ac:dyDescent="0.2">
      <c r="R25" t="str">
        <v>Ellengrove Safety</v>
      </c>
    </row>
  </sheetData>
  <pageMargins left="0.7" right="0.7" top="0.75" bottom="0.75" header="0.3" footer="0.3"/>
  <pageSetup paperSize="9" orientation="portrait" r:id="rId1"/>
  <headerFooter>
    <oddFooter>&amp;C_x000D_&amp;1#&amp;"Aptos"&amp;10&amp;K008000 APA-INTERNAL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7CA00-BC1F-4726-80E6-96A83FC5B6EA}">
  <sheetPr>
    <tabColor theme="4"/>
  </sheetPr>
  <dimension ref="A1:K75"/>
  <sheetViews>
    <sheetView showGridLines="0" tabSelected="1" zoomScale="145" zoomScaleNormal="145" workbookViewId="0">
      <pane ySplit="9" topLeftCell="A10" activePane="bottomLeft" state="frozen"/>
      <selection pane="bottomLeft" activeCell="H12" sqref="H12:H20"/>
    </sheetView>
  </sheetViews>
  <sheetFormatPr defaultColWidth="8.625" defaultRowHeight="16.5" x14ac:dyDescent="0.3"/>
  <cols>
    <col min="1" max="1" width="2.75" style="2" customWidth="1"/>
    <col min="2" max="2" width="61.875" style="3" customWidth="1"/>
    <col min="3" max="3" width="12.625" style="2" customWidth="1"/>
    <col min="4" max="6" width="12.625" style="5" customWidth="1"/>
    <col min="7" max="7" width="12.625" style="3" customWidth="1"/>
    <col min="8" max="8" width="9.25" style="2" bestFit="1" customWidth="1"/>
    <col min="9" max="12" width="8.625" style="2"/>
    <col min="13" max="13" width="9.125" style="2" bestFit="1" customWidth="1"/>
    <col min="14" max="16384" width="8.625" style="2"/>
  </cols>
  <sheetData>
    <row r="1" spans="1:11" x14ac:dyDescent="0.3">
      <c r="K1" s="2" t="s">
        <v>199</v>
      </c>
    </row>
    <row r="2" spans="1:11" x14ac:dyDescent="0.3">
      <c r="K2" s="3" t="str">
        <f>IF(COUNTIF($K$10:$K$100,"ERROR")&gt;0,"ERROR","OK")</f>
        <v>OK</v>
      </c>
    </row>
    <row r="6" spans="1:11" s="24" customFormat="1" ht="18.75" x14ac:dyDescent="0.3">
      <c r="A6" s="27" t="s">
        <v>48</v>
      </c>
      <c r="C6" s="40"/>
      <c r="D6" s="25"/>
      <c r="E6" s="25"/>
      <c r="F6" s="25"/>
      <c r="G6" s="26"/>
    </row>
    <row r="7" spans="1:11" s="24" customFormat="1" ht="18.75" x14ac:dyDescent="0.3">
      <c r="A7" s="23" t="s">
        <v>43</v>
      </c>
      <c r="D7" s="25"/>
      <c r="E7" s="25"/>
      <c r="F7" s="25"/>
      <c r="G7" s="26"/>
    </row>
    <row r="8" spans="1:11" x14ac:dyDescent="0.3">
      <c r="A8" s="18"/>
    </row>
    <row r="9" spans="1:11" ht="18.75" x14ac:dyDescent="0.3">
      <c r="A9" s="8" t="s">
        <v>127</v>
      </c>
      <c r="B9" s="8"/>
      <c r="C9" s="15"/>
      <c r="D9" s="16"/>
      <c r="E9" s="16"/>
      <c r="F9" s="16"/>
      <c r="G9" s="17"/>
      <c r="H9" s="17"/>
    </row>
    <row r="11" spans="1:11" x14ac:dyDescent="0.3">
      <c r="A11" s="13"/>
      <c r="B11" s="11" t="s">
        <v>128</v>
      </c>
      <c r="C11" s="91" t="s">
        <v>53</v>
      </c>
      <c r="D11" s="91" t="s">
        <v>52</v>
      </c>
      <c r="E11" s="91" t="s">
        <v>51</v>
      </c>
      <c r="F11" s="91" t="s">
        <v>50</v>
      </c>
      <c r="G11" s="91" t="s">
        <v>49</v>
      </c>
      <c r="H11" s="91" t="s">
        <v>36</v>
      </c>
    </row>
    <row r="12" spans="1:11" x14ac:dyDescent="0.3">
      <c r="A12" s="31"/>
      <c r="B12" s="31" t="str">
        <f>Mapping!A2</f>
        <v>Pipelines</v>
      </c>
      <c r="C12" s="34">
        <f>SUMIF('C | PTRM escalation'!$E$11:$E$160,$B12,'C | PTRM escalation'!BP$11:BP$160)/10^6</f>
        <v>18.835286390513357</v>
      </c>
      <c r="D12" s="34">
        <f>SUMIF('C | PTRM escalation'!$E$11:$E$160,$B12,'C | PTRM escalation'!BQ$11:BQ$160)/10^6</f>
        <v>13.271127245962139</v>
      </c>
      <c r="E12" s="34">
        <f>SUMIF('C | PTRM escalation'!$E$11:$E$160,$B12,'C | PTRM escalation'!BR$11:BR$160)/10^6</f>
        <v>8.26840670142224</v>
      </c>
      <c r="F12" s="34">
        <f>SUMIF('C | PTRM escalation'!$E$11:$E$160,$B12,'C | PTRM escalation'!BS$11:BS$160)/10^6</f>
        <v>8.7475687808794991</v>
      </c>
      <c r="G12" s="34">
        <f>SUMIF('C | PTRM escalation'!$E$11:$E$160,$B12,'C | PTRM escalation'!BT$11:BT$160)/10^6</f>
        <v>6.093415489382588</v>
      </c>
      <c r="H12" s="124">
        <f>SUM(C12:G12)</f>
        <v>55.215804608159814</v>
      </c>
    </row>
    <row r="13" spans="1:11" x14ac:dyDescent="0.3">
      <c r="A13" s="31"/>
      <c r="B13" s="31" t="str">
        <f>Mapping!A3</f>
        <v>Compressors</v>
      </c>
      <c r="C13" s="34">
        <f>SUMIF('C | PTRM escalation'!$E$11:$E$160,$B13,'C | PTRM escalation'!BP$11:BP$160)/10^6</f>
        <v>0.23064472198076119</v>
      </c>
      <c r="D13" s="34">
        <f>SUMIF('C | PTRM escalation'!$E$11:$E$160,$B13,'C | PTRM escalation'!BQ$11:BQ$160)/10^6</f>
        <v>0.3465981399497377</v>
      </c>
      <c r="E13" s="34">
        <f>SUMIF('C | PTRM escalation'!$E$11:$E$160,$B13,'C | PTRM escalation'!BR$11:BR$160)/10^6</f>
        <v>0.23176663193951044</v>
      </c>
      <c r="F13" s="34">
        <f>SUMIF('C | PTRM escalation'!$E$11:$E$160,$B13,'C | PTRM escalation'!BS$11:BS$160)/10^6</f>
        <v>0.23271420661186476</v>
      </c>
      <c r="G13" s="34">
        <f>SUMIF('C | PTRM escalation'!$E$11:$E$160,$B13,'C | PTRM escalation'!BT$11:BT$160)/10^6</f>
        <v>0.23328864752280615</v>
      </c>
      <c r="H13" s="124">
        <f t="shared" ref="H13:H22" si="0">SUM(C13:G13)</f>
        <v>1.2750123480046802</v>
      </c>
    </row>
    <row r="14" spans="1:11" x14ac:dyDescent="0.3">
      <c r="A14" s="31"/>
      <c r="B14" s="31" t="str">
        <f>Mapping!A4</f>
        <v>Regulators and meters</v>
      </c>
      <c r="C14" s="34">
        <f>SUMIF('C | PTRM escalation'!$E$11:$E$160,$B14,'C | PTRM escalation'!BP$11:BP$160)/10^6</f>
        <v>0.86491770742785445</v>
      </c>
      <c r="D14" s="34">
        <f>SUMIF('C | PTRM escalation'!$E$11:$E$160,$B14,'C | PTRM escalation'!BQ$11:BQ$160)/10^6</f>
        <v>0.86649534987434418</v>
      </c>
      <c r="E14" s="34">
        <f>SUMIF('C | PTRM escalation'!$E$11:$E$160,$B14,'C | PTRM escalation'!BR$11:BR$160)/10^6</f>
        <v>0.69529989581853124</v>
      </c>
      <c r="F14" s="34">
        <f>SUMIF('C | PTRM escalation'!$E$11:$E$160,$B14,'C | PTRM escalation'!BS$11:BS$160)/10^6</f>
        <v>0.63996406818262819</v>
      </c>
      <c r="G14" s="34">
        <f>SUMIF('C | PTRM escalation'!$E$11:$E$160,$B14,'C | PTRM escalation'!BT$11:BT$160)/10^6</f>
        <v>0.80484583395368137</v>
      </c>
      <c r="H14" s="124">
        <f t="shared" si="0"/>
        <v>3.87152285525704</v>
      </c>
    </row>
    <row r="15" spans="1:11" x14ac:dyDescent="0.3">
      <c r="A15" s="31"/>
      <c r="B15" s="31" t="str">
        <f>Mapping!A5</f>
        <v>Easements</v>
      </c>
      <c r="C15" s="34">
        <f>SUMIF('C | PTRM escalation'!$E$11:$E$160,$B15,'C | PTRM escalation'!BP$11:BP$160)/10^6</f>
        <v>0</v>
      </c>
      <c r="D15" s="34">
        <f>SUMIF('C | PTRM escalation'!$E$11:$E$160,$B15,'C | PTRM escalation'!BQ$11:BQ$160)/10^6</f>
        <v>0</v>
      </c>
      <c r="E15" s="34">
        <f>SUMIF('C | PTRM escalation'!$E$11:$E$160,$B15,'C | PTRM escalation'!BR$11:BR$160)/10^6</f>
        <v>0</v>
      </c>
      <c r="F15" s="34">
        <f>SUMIF('C | PTRM escalation'!$E$11:$E$160,$B15,'C | PTRM escalation'!BS$11:BS$160)/10^6</f>
        <v>0</v>
      </c>
      <c r="G15" s="34">
        <f>SUMIF('C | PTRM escalation'!$E$11:$E$160,$B15,'C | PTRM escalation'!BT$11:BT$160)/10^6</f>
        <v>0</v>
      </c>
      <c r="H15" s="124">
        <f t="shared" si="0"/>
        <v>0</v>
      </c>
    </row>
    <row r="16" spans="1:11" x14ac:dyDescent="0.3">
      <c r="A16" s="31"/>
      <c r="B16" s="31" t="str">
        <f>Mapping!A6</f>
        <v>Communications</v>
      </c>
      <c r="C16" s="34">
        <f>SUMIF('C | PTRM escalation'!$E$11:$E$160,$B16,'C | PTRM escalation'!BP$11:BP$160)/10^6</f>
        <v>0</v>
      </c>
      <c r="D16" s="34">
        <f>SUMIF('C | PTRM escalation'!$E$11:$E$160,$B16,'C | PTRM escalation'!BQ$11:BQ$160)/10^6</f>
        <v>0</v>
      </c>
      <c r="E16" s="34">
        <f>SUMIF('C | PTRM escalation'!$E$11:$E$160,$B16,'C | PTRM escalation'!BR$11:BR$160)/10^6</f>
        <v>0</v>
      </c>
      <c r="F16" s="34">
        <f>SUMIF('C | PTRM escalation'!$E$11:$E$160,$B16,'C | PTRM escalation'!BS$11:BS$160)/10^6</f>
        <v>0</v>
      </c>
      <c r="G16" s="34">
        <f>SUMIF('C | PTRM escalation'!$E$11:$E$160,$B16,'C | PTRM escalation'!BT$11:BT$160)/10^6</f>
        <v>0</v>
      </c>
      <c r="H16" s="124">
        <f t="shared" si="0"/>
        <v>0</v>
      </c>
    </row>
    <row r="17" spans="1:11" x14ac:dyDescent="0.3">
      <c r="A17" s="31"/>
      <c r="B17" s="31" t="str">
        <f>Mapping!A7</f>
        <v>Capitalised AA costs</v>
      </c>
      <c r="C17" s="34">
        <f>SUMIF('C | PTRM escalation'!$E$11:$E$160,$B17,'C | PTRM escalation'!BP$11:BP$160)/10^6</f>
        <v>0</v>
      </c>
      <c r="D17" s="34">
        <f>SUMIF('C | PTRM escalation'!$E$11:$E$160,$B17,'C | PTRM escalation'!BQ$11:BQ$160)/10^6</f>
        <v>0</v>
      </c>
      <c r="E17" s="34">
        <f>SUMIF('C | PTRM escalation'!$E$11:$E$160,$B17,'C | PTRM escalation'!BR$11:BR$160)/10^6</f>
        <v>9.0045925020330445E-2</v>
      </c>
      <c r="F17" s="34">
        <f>SUMIF('C | PTRM escalation'!$E$11:$E$160,$B17,'C | PTRM escalation'!BS$11:BS$160)/10^6</f>
        <v>0.47324549780101316</v>
      </c>
      <c r="G17" s="34">
        <f>SUMIF('C | PTRM escalation'!$E$11:$E$160,$B17,'C | PTRM escalation'!BT$11:BT$160)/10^6</f>
        <v>8.6284622715569081E-2</v>
      </c>
      <c r="H17" s="124">
        <f t="shared" si="0"/>
        <v>0.64957604553691262</v>
      </c>
    </row>
    <row r="18" spans="1:11" x14ac:dyDescent="0.3">
      <c r="A18" s="31"/>
      <c r="B18" s="31" t="str">
        <f>Mapping!A8</f>
        <v>Group IT</v>
      </c>
      <c r="C18" s="34">
        <f>SUMIF('C | PTRM escalation'!$E$11:$E$160,$B18,'C | PTRM escalation'!BP$11:BP$160)/10^6</f>
        <v>0.66099766963815831</v>
      </c>
      <c r="D18" s="34">
        <f>SUMIF('C | PTRM escalation'!$E$11:$E$160,$B18,'C | PTRM escalation'!BQ$11:BQ$160)/10^6</f>
        <v>0.66099766963815831</v>
      </c>
      <c r="E18" s="34">
        <f>SUMIF('C | PTRM escalation'!$E$11:$E$160,$B18,'C | PTRM escalation'!BR$11:BR$160)/10^6</f>
        <v>0.66099766963815831</v>
      </c>
      <c r="F18" s="34">
        <f>SUMIF('C | PTRM escalation'!$E$11:$E$160,$B18,'C | PTRM escalation'!BS$11:BS$160)/10^6</f>
        <v>0.66099766963815831</v>
      </c>
      <c r="G18" s="34">
        <f>SUMIF('C | PTRM escalation'!$E$11:$E$160,$B18,'C | PTRM escalation'!BT$11:BT$160)/10^6</f>
        <v>0.66099766963815831</v>
      </c>
      <c r="H18" s="124">
        <f t="shared" si="0"/>
        <v>3.3049883481907916</v>
      </c>
    </row>
    <row r="19" spans="1:11" x14ac:dyDescent="0.3">
      <c r="A19" s="31"/>
      <c r="B19" s="31" t="str">
        <f>Mapping!A9</f>
        <v>SIB Capex</v>
      </c>
      <c r="C19" s="34">
        <f>SUMIF('C | PTRM escalation'!$E$11:$E$160,$B19,'C | PTRM escalation'!BP$11:BP$160)/10^6</f>
        <v>1.2605617869263361</v>
      </c>
      <c r="D19" s="34">
        <f>SUMIF('C | PTRM escalation'!$E$11:$E$160,$B19,'C | PTRM escalation'!BQ$11:BQ$160)/10^6</f>
        <v>1.6192390790232283</v>
      </c>
      <c r="E19" s="34">
        <f>SUMIF('C | PTRM escalation'!$E$11:$E$160,$B19,'C | PTRM escalation'!BR$11:BR$160)/10^6</f>
        <v>1.4357891483294056</v>
      </c>
      <c r="F19" s="34">
        <f>SUMIF('C | PTRM escalation'!$E$11:$E$160,$B19,'C | PTRM escalation'!BS$11:BS$160)/10^6</f>
        <v>1.4376842976741144</v>
      </c>
      <c r="G19" s="34">
        <f>SUMIF('C | PTRM escalation'!$E$11:$E$160,$B19,'C | PTRM escalation'!BT$11:BT$160)/10^6</f>
        <v>1.438833179495997</v>
      </c>
      <c r="H19" s="124">
        <f t="shared" si="0"/>
        <v>7.1921074914490823</v>
      </c>
    </row>
    <row r="20" spans="1:11" x14ac:dyDescent="0.3">
      <c r="A20" s="31"/>
      <c r="B20" s="31" t="str">
        <f>Mapping!A10</f>
        <v>Pipeline Integrity</v>
      </c>
      <c r="C20" s="34">
        <f>SUMIF('C | PTRM escalation'!$E$11:$E$160,$B20,'C | PTRM escalation'!BP$11:BP$160)/10^6</f>
        <v>4.8702812638860449</v>
      </c>
      <c r="D20" s="34">
        <f>SUMIF('C | PTRM escalation'!$E$11:$E$160,$B20,'C | PTRM escalation'!BQ$11:BQ$160)/10^6</f>
        <v>3.2349159728642185</v>
      </c>
      <c r="E20" s="34">
        <f>SUMIF('C | PTRM escalation'!$E$11:$E$160,$B20,'C | PTRM escalation'!BR$11:BR$160)/10^6</f>
        <v>3.1056728679894396</v>
      </c>
      <c r="F20" s="34">
        <f>SUMIF('C | PTRM escalation'!$E$11:$E$160,$B20,'C | PTRM escalation'!BS$11:BS$160)/10^6</f>
        <v>3.636260708990263</v>
      </c>
      <c r="G20" s="34">
        <f>SUMIF('C | PTRM escalation'!$E$11:$E$160,$B20,'C | PTRM escalation'!BT$11:BT$160)/10^6</f>
        <v>1.4022852293839738</v>
      </c>
      <c r="H20" s="124">
        <f t="shared" si="0"/>
        <v>16.249416043113943</v>
      </c>
    </row>
    <row r="21" spans="1:11" x14ac:dyDescent="0.3">
      <c r="A21" s="31"/>
      <c r="B21" s="31" t="str">
        <f>Mapping!A11</f>
        <v>Building installation</v>
      </c>
      <c r="C21" s="34">
        <f>SUMIF('C | PTRM escalation'!$E$11:$E$160,$B21,'C | PTRM escalation'!BP$11:BP$160)/10^6</f>
        <v>0</v>
      </c>
      <c r="D21" s="34">
        <f>SUMIF('C | PTRM escalation'!$E$11:$E$160,$B21,'C | PTRM escalation'!BQ$11:BQ$160)/10^6</f>
        <v>0</v>
      </c>
      <c r="E21" s="34">
        <f>SUMIF('C | PTRM escalation'!$E$11:$E$160,$B21,'C | PTRM escalation'!BR$11:BR$160)/10^6</f>
        <v>0</v>
      </c>
      <c r="F21" s="34">
        <f>SUMIF('C | PTRM escalation'!$E$11:$E$160,$B21,'C | PTRM escalation'!BS$11:BS$160)/10^6</f>
        <v>0</v>
      </c>
      <c r="G21" s="34">
        <f>SUMIF('C | PTRM escalation'!$E$11:$E$160,$B21,'C | PTRM escalation'!BT$11:BT$160)/10^6</f>
        <v>0</v>
      </c>
      <c r="H21" s="124">
        <f t="shared" si="0"/>
        <v>0</v>
      </c>
    </row>
    <row r="22" spans="1:11" x14ac:dyDescent="0.3">
      <c r="A22" s="31"/>
      <c r="B22" s="31" t="str">
        <f>Mapping!A12</f>
        <v>In-house software</v>
      </c>
      <c r="C22" s="34">
        <f>SUMIF('C | PTRM escalation'!$E$11:$E$160,$B22,'C | PTRM escalation'!BP$11:BP$160)/10^6</f>
        <v>0</v>
      </c>
      <c r="D22" s="34">
        <f>SUMIF('C | PTRM escalation'!$E$11:$E$160,$B22,'C | PTRM escalation'!BQ$11:BQ$160)/10^6</f>
        <v>0</v>
      </c>
      <c r="E22" s="34">
        <f>SUMIF('C | PTRM escalation'!$E$11:$E$160,$B22,'C | PTRM escalation'!BR$11:BR$160)/10^6</f>
        <v>0</v>
      </c>
      <c r="F22" s="34">
        <f>SUMIF('C | PTRM escalation'!$E$11:$E$160,$B22,'C | PTRM escalation'!BS$11:BS$160)/10^6</f>
        <v>0</v>
      </c>
      <c r="G22" s="34">
        <f>SUMIF('C | PTRM escalation'!$E$11:$E$160,$B22,'C | PTRM escalation'!BT$11:BT$160)/10^6</f>
        <v>0</v>
      </c>
      <c r="H22" s="124">
        <f t="shared" si="0"/>
        <v>0</v>
      </c>
    </row>
    <row r="23" spans="1:11" x14ac:dyDescent="0.3">
      <c r="A23" s="36"/>
      <c r="B23" s="33" t="s">
        <v>36</v>
      </c>
      <c r="C23" s="35">
        <f>SUM(C12:C22)</f>
        <v>26.722689540372507</v>
      </c>
      <c r="D23" s="35">
        <f t="shared" ref="D23:G23" si="1">SUM(D12:D22)</f>
        <v>19.999373457311826</v>
      </c>
      <c r="E23" s="35">
        <f t="shared" si="1"/>
        <v>14.487978840157616</v>
      </c>
      <c r="F23" s="35">
        <f t="shared" si="1"/>
        <v>15.82843522977754</v>
      </c>
      <c r="G23" s="35">
        <f t="shared" si="1"/>
        <v>10.719950672092773</v>
      </c>
      <c r="H23" s="35">
        <f>SUM(H12:H22)</f>
        <v>87.758427739712261</v>
      </c>
      <c r="K23" s="3" t="str">
        <f>IF(ROUND(H23*10^6,2)=ROUND('C | PTRM escalation'!$BU$6,2),"OK","ERROR")</f>
        <v>OK</v>
      </c>
    </row>
    <row r="24" spans="1:11" x14ac:dyDescent="0.3">
      <c r="C24" s="30"/>
      <c r="D24" s="30"/>
      <c r="E24" s="30"/>
      <c r="F24" s="30"/>
      <c r="G24" s="30"/>
    </row>
    <row r="25" spans="1:11" x14ac:dyDescent="0.3">
      <c r="A25" s="13"/>
      <c r="B25" s="11" t="s">
        <v>44</v>
      </c>
      <c r="C25" s="91" t="s">
        <v>53</v>
      </c>
      <c r="D25" s="91" t="s">
        <v>52</v>
      </c>
      <c r="E25" s="91" t="s">
        <v>51</v>
      </c>
      <c r="F25" s="91" t="s">
        <v>50</v>
      </c>
      <c r="G25" s="91" t="s">
        <v>49</v>
      </c>
      <c r="H25" s="91" t="s">
        <v>36</v>
      </c>
    </row>
    <row r="26" spans="1:11" x14ac:dyDescent="0.3">
      <c r="A26" s="31"/>
      <c r="B26" s="31" t="str">
        <f t="shared" ref="B26:B34" si="2">B12</f>
        <v>Pipelines</v>
      </c>
      <c r="C26" s="31">
        <v>0</v>
      </c>
      <c r="D26" s="31">
        <v>0</v>
      </c>
      <c r="E26" s="31">
        <v>0</v>
      </c>
      <c r="F26" s="31">
        <v>0</v>
      </c>
      <c r="G26" s="31">
        <v>0</v>
      </c>
      <c r="H26" s="125">
        <f>SUM(C26:G26)</f>
        <v>0</v>
      </c>
    </row>
    <row r="27" spans="1:11" x14ac:dyDescent="0.3">
      <c r="A27" s="31"/>
      <c r="B27" s="31" t="str">
        <f t="shared" si="2"/>
        <v>Compressors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125">
        <f t="shared" ref="H27:H34" si="3">SUM(C27:G27)</f>
        <v>0</v>
      </c>
    </row>
    <row r="28" spans="1:11" x14ac:dyDescent="0.3">
      <c r="A28" s="31"/>
      <c r="B28" s="31" t="str">
        <f t="shared" si="2"/>
        <v>Regulators and meters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125">
        <f t="shared" si="3"/>
        <v>0</v>
      </c>
    </row>
    <row r="29" spans="1:11" x14ac:dyDescent="0.3">
      <c r="A29" s="31"/>
      <c r="B29" s="31" t="str">
        <f t="shared" si="2"/>
        <v>Easements</v>
      </c>
      <c r="C29" s="31">
        <v>0</v>
      </c>
      <c r="D29" s="31">
        <v>0</v>
      </c>
      <c r="E29" s="31">
        <v>0</v>
      </c>
      <c r="F29" s="31">
        <v>0</v>
      </c>
      <c r="G29" s="31">
        <v>0</v>
      </c>
      <c r="H29" s="125">
        <f t="shared" si="3"/>
        <v>0</v>
      </c>
    </row>
    <row r="30" spans="1:11" x14ac:dyDescent="0.3">
      <c r="A30" s="31"/>
      <c r="B30" s="31" t="str">
        <f t="shared" si="2"/>
        <v>Communications</v>
      </c>
      <c r="C30" s="31">
        <v>0</v>
      </c>
      <c r="D30" s="31">
        <v>0</v>
      </c>
      <c r="E30" s="31">
        <v>0</v>
      </c>
      <c r="F30" s="31">
        <v>0</v>
      </c>
      <c r="G30" s="31">
        <v>0</v>
      </c>
      <c r="H30" s="125">
        <f t="shared" si="3"/>
        <v>0</v>
      </c>
    </row>
    <row r="31" spans="1:11" x14ac:dyDescent="0.3">
      <c r="A31" s="31"/>
      <c r="B31" s="31" t="str">
        <f t="shared" si="2"/>
        <v>Capitalised AA costs</v>
      </c>
      <c r="C31" s="31">
        <v>0</v>
      </c>
      <c r="D31" s="31">
        <v>0</v>
      </c>
      <c r="E31" s="31">
        <v>0</v>
      </c>
      <c r="F31" s="31">
        <v>0</v>
      </c>
      <c r="G31" s="31">
        <v>0</v>
      </c>
      <c r="H31" s="125">
        <f t="shared" si="3"/>
        <v>0</v>
      </c>
    </row>
    <row r="32" spans="1:11" x14ac:dyDescent="0.3">
      <c r="A32" s="31"/>
      <c r="B32" s="31" t="str">
        <f t="shared" si="2"/>
        <v>Group IT</v>
      </c>
      <c r="C32" s="31">
        <v>0</v>
      </c>
      <c r="D32" s="31">
        <v>0</v>
      </c>
      <c r="E32" s="31">
        <v>0</v>
      </c>
      <c r="F32" s="31">
        <v>0</v>
      </c>
      <c r="G32" s="31">
        <v>0</v>
      </c>
      <c r="H32" s="125">
        <f t="shared" si="3"/>
        <v>0</v>
      </c>
    </row>
    <row r="33" spans="1:11" x14ac:dyDescent="0.3">
      <c r="A33" s="31"/>
      <c r="B33" s="31" t="str">
        <f t="shared" si="2"/>
        <v>SIB Capex</v>
      </c>
      <c r="C33" s="31">
        <v>0</v>
      </c>
      <c r="D33" s="31">
        <v>0</v>
      </c>
      <c r="E33" s="31">
        <v>0</v>
      </c>
      <c r="F33" s="31">
        <v>0</v>
      </c>
      <c r="G33" s="31">
        <v>0</v>
      </c>
      <c r="H33" s="125">
        <f t="shared" si="3"/>
        <v>0</v>
      </c>
    </row>
    <row r="34" spans="1:11" x14ac:dyDescent="0.3">
      <c r="A34" s="31"/>
      <c r="B34" s="31" t="str">
        <f t="shared" si="2"/>
        <v>Pipeline Integrity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125">
        <f t="shared" si="3"/>
        <v>0</v>
      </c>
    </row>
    <row r="35" spans="1:11" x14ac:dyDescent="0.3">
      <c r="A35" s="36"/>
      <c r="B35" s="33" t="s">
        <v>36</v>
      </c>
      <c r="C35" s="33">
        <f t="shared" ref="C35:H35" si="4">SUM(C26:C34)</f>
        <v>0</v>
      </c>
      <c r="D35" s="35">
        <f t="shared" si="4"/>
        <v>0</v>
      </c>
      <c r="E35" s="33">
        <f t="shared" si="4"/>
        <v>0</v>
      </c>
      <c r="F35" s="33">
        <f t="shared" si="4"/>
        <v>0</v>
      </c>
      <c r="G35" s="33">
        <f t="shared" si="4"/>
        <v>0</v>
      </c>
      <c r="H35" s="33">
        <f t="shared" si="4"/>
        <v>0</v>
      </c>
    </row>
    <row r="36" spans="1:11" s="37" customFormat="1" ht="12.75" x14ac:dyDescent="0.25">
      <c r="B36" s="38"/>
      <c r="C36" s="39"/>
      <c r="D36" s="39"/>
      <c r="E36" s="39"/>
      <c r="F36" s="39"/>
      <c r="G36" s="39"/>
    </row>
    <row r="37" spans="1:11" x14ac:dyDescent="0.3">
      <c r="A37" s="13"/>
      <c r="B37" s="11" t="s">
        <v>45</v>
      </c>
      <c r="C37" s="91" t="s">
        <v>53</v>
      </c>
      <c r="D37" s="91" t="s">
        <v>52</v>
      </c>
      <c r="E37" s="91" t="s">
        <v>51</v>
      </c>
      <c r="F37" s="91" t="s">
        <v>50</v>
      </c>
      <c r="G37" s="91" t="s">
        <v>49</v>
      </c>
      <c r="H37" s="91" t="s">
        <v>36</v>
      </c>
    </row>
    <row r="38" spans="1:11" x14ac:dyDescent="0.3">
      <c r="A38" s="31"/>
      <c r="B38" s="31" t="str">
        <f>B26</f>
        <v>Pipelines</v>
      </c>
      <c r="C38" s="34">
        <f>SUMIF('C | PTRM escalation'!$E$11:$E$160,'O | PTRM inputs'!$B38,'C | PTRM escalation'!BW$11:BW$160)/10^6</f>
        <v>18.835286390513357</v>
      </c>
      <c r="D38" s="34">
        <f>SUMIF('C | PTRM escalation'!$E$11:$E$160,'O | PTRM inputs'!$B38,'C | PTRM escalation'!BX$11:BX$160)/10^6</f>
        <v>13.271127245962139</v>
      </c>
      <c r="E38" s="34">
        <f>SUMIF('C | PTRM escalation'!$E$11:$E$160,'O | PTRM inputs'!$B38,'C | PTRM escalation'!BY$11:BY$160)/10^6</f>
        <v>8.26840670142224</v>
      </c>
      <c r="F38" s="34">
        <f>SUMIF('C | PTRM escalation'!$E$11:$E$160,'O | PTRM inputs'!$B38,'C | PTRM escalation'!BZ$11:BZ$160)/10^6</f>
        <v>8.7475687808794991</v>
      </c>
      <c r="G38" s="34">
        <f>SUMIF('C | PTRM escalation'!$E$11:$E$160,'O | PTRM inputs'!$B38,'C | PTRM escalation'!CA$11:CA$160)/10^6</f>
        <v>6.093415489382588</v>
      </c>
      <c r="H38" s="124">
        <f>SUM(C38:G38)</f>
        <v>55.215804608159814</v>
      </c>
    </row>
    <row r="39" spans="1:11" x14ac:dyDescent="0.3">
      <c r="A39" s="31"/>
      <c r="B39" s="31" t="str">
        <f t="shared" ref="B39:B46" si="5">B27</f>
        <v>Compressors</v>
      </c>
      <c r="C39" s="34">
        <f>SUMIF('C | PTRM escalation'!$E$11:$E$160,'O | PTRM inputs'!$B39,'C | PTRM escalation'!BW$11:BW$160)/10^6</f>
        <v>0.23064472198076119</v>
      </c>
      <c r="D39" s="34">
        <f>SUMIF('C | PTRM escalation'!$E$11:$E$160,'O | PTRM inputs'!$B39,'C | PTRM escalation'!BX$11:BX$160)/10^6</f>
        <v>0.3465981399497377</v>
      </c>
      <c r="E39" s="34">
        <f>SUMIF('C | PTRM escalation'!$E$11:$E$160,'O | PTRM inputs'!$B39,'C | PTRM escalation'!BY$11:BY$160)/10^6</f>
        <v>0.23176663193951044</v>
      </c>
      <c r="F39" s="34">
        <f>SUMIF('C | PTRM escalation'!$E$11:$E$160,'O | PTRM inputs'!$B39,'C | PTRM escalation'!BZ$11:BZ$160)/10^6</f>
        <v>0.23271420661186476</v>
      </c>
      <c r="G39" s="34">
        <f>SUMIF('C | PTRM escalation'!$E$11:$E$160,'O | PTRM inputs'!$B39,'C | PTRM escalation'!CA$11:CA$160)/10^6</f>
        <v>0.23328864752280615</v>
      </c>
      <c r="H39" s="124">
        <f t="shared" ref="H39:H46" si="6">SUM(C39:G39)</f>
        <v>1.2750123480046802</v>
      </c>
    </row>
    <row r="40" spans="1:11" x14ac:dyDescent="0.3">
      <c r="A40" s="31"/>
      <c r="B40" s="31" t="str">
        <f t="shared" si="5"/>
        <v>Regulators and meters</v>
      </c>
      <c r="C40" s="34">
        <f>SUMIF('C | PTRM escalation'!$E$11:$E$160,'O | PTRM inputs'!$B40,'C | PTRM escalation'!BW$11:BW$160)/10^6</f>
        <v>0.86491770742785445</v>
      </c>
      <c r="D40" s="34">
        <f>SUMIF('C | PTRM escalation'!$E$11:$E$160,'O | PTRM inputs'!$B40,'C | PTRM escalation'!BX$11:BX$160)/10^6</f>
        <v>0.86649534987434418</v>
      </c>
      <c r="E40" s="34">
        <f>SUMIF('C | PTRM escalation'!$E$11:$E$160,'O | PTRM inputs'!$B40,'C | PTRM escalation'!BY$11:BY$160)/10^6</f>
        <v>0.69529989581853124</v>
      </c>
      <c r="F40" s="34">
        <f>SUMIF('C | PTRM escalation'!$E$11:$E$160,'O | PTRM inputs'!$B40,'C | PTRM escalation'!BZ$11:BZ$160)/10^6</f>
        <v>0.63996406818262819</v>
      </c>
      <c r="G40" s="34">
        <f>SUMIF('C | PTRM escalation'!$E$11:$E$160,'O | PTRM inputs'!$B40,'C | PTRM escalation'!CA$11:CA$160)/10^6</f>
        <v>0.80484583395368137</v>
      </c>
      <c r="H40" s="124">
        <f t="shared" si="6"/>
        <v>3.87152285525704</v>
      </c>
    </row>
    <row r="41" spans="1:11" x14ac:dyDescent="0.3">
      <c r="A41" s="31"/>
      <c r="B41" s="31" t="str">
        <f t="shared" si="5"/>
        <v>Easements</v>
      </c>
      <c r="C41" s="34">
        <f>SUMIF('C | PTRM escalation'!$E$11:$E$160,'O | PTRM inputs'!$B41,'C | PTRM escalation'!BW$11:BW$160)/10^6</f>
        <v>0</v>
      </c>
      <c r="D41" s="34">
        <f>SUMIF('C | PTRM escalation'!$E$11:$E$160,'O | PTRM inputs'!$B41,'C | PTRM escalation'!BX$11:BX$160)/10^6</f>
        <v>0</v>
      </c>
      <c r="E41" s="34">
        <f>SUMIF('C | PTRM escalation'!$E$11:$E$160,'O | PTRM inputs'!$B41,'C | PTRM escalation'!BY$11:BY$160)/10^6</f>
        <v>0</v>
      </c>
      <c r="F41" s="34">
        <f>SUMIF('C | PTRM escalation'!$E$11:$E$160,'O | PTRM inputs'!$B41,'C | PTRM escalation'!BZ$11:BZ$160)/10^6</f>
        <v>0</v>
      </c>
      <c r="G41" s="34">
        <f>SUMIF('C | PTRM escalation'!$E$11:$E$160,'O | PTRM inputs'!$B41,'C | PTRM escalation'!CA$11:CA$160)/10^6</f>
        <v>0</v>
      </c>
      <c r="H41" s="124">
        <f t="shared" si="6"/>
        <v>0</v>
      </c>
    </row>
    <row r="42" spans="1:11" x14ac:dyDescent="0.3">
      <c r="A42" s="31"/>
      <c r="B42" s="31" t="str">
        <f t="shared" si="5"/>
        <v>Communications</v>
      </c>
      <c r="C42" s="34">
        <f>SUMIF('C | PTRM escalation'!$E$11:$E$160,'O | PTRM inputs'!$B42,'C | PTRM escalation'!BW$11:BW$160)/10^6</f>
        <v>0</v>
      </c>
      <c r="D42" s="34">
        <f>SUMIF('C | PTRM escalation'!$E$11:$E$160,'O | PTRM inputs'!$B42,'C | PTRM escalation'!BX$11:BX$160)/10^6</f>
        <v>0</v>
      </c>
      <c r="E42" s="34">
        <f>SUMIF('C | PTRM escalation'!$E$11:$E$160,'O | PTRM inputs'!$B42,'C | PTRM escalation'!BY$11:BY$160)/10^6</f>
        <v>0</v>
      </c>
      <c r="F42" s="34">
        <f>SUMIF('C | PTRM escalation'!$E$11:$E$160,'O | PTRM inputs'!$B42,'C | PTRM escalation'!BZ$11:BZ$160)/10^6</f>
        <v>0</v>
      </c>
      <c r="G42" s="34">
        <f>SUMIF('C | PTRM escalation'!$E$11:$E$160,'O | PTRM inputs'!$B42,'C | PTRM escalation'!CA$11:CA$160)/10^6</f>
        <v>0</v>
      </c>
      <c r="H42" s="124">
        <f t="shared" si="6"/>
        <v>0</v>
      </c>
    </row>
    <row r="43" spans="1:11" x14ac:dyDescent="0.3">
      <c r="A43" s="31"/>
      <c r="B43" s="31" t="str">
        <f t="shared" si="5"/>
        <v>Capitalised AA costs</v>
      </c>
      <c r="C43" s="34">
        <f>SUMIF('C | PTRM escalation'!$E$11:$E$160,'O | PTRM inputs'!$B43,'C | PTRM escalation'!BW$11:BW$160)/10^6</f>
        <v>0</v>
      </c>
      <c r="D43" s="34">
        <f>SUMIF('C | PTRM escalation'!$E$11:$E$160,'O | PTRM inputs'!$B43,'C | PTRM escalation'!BX$11:BX$160)/10^6</f>
        <v>0</v>
      </c>
      <c r="E43" s="34">
        <f>SUMIF('C | PTRM escalation'!$E$11:$E$160,'O | PTRM inputs'!$B43,'C | PTRM escalation'!BY$11:BY$160)/10^6</f>
        <v>9.0045925020330445E-2</v>
      </c>
      <c r="F43" s="34">
        <f>SUMIF('C | PTRM escalation'!$E$11:$E$160,'O | PTRM inputs'!$B43,'C | PTRM escalation'!BZ$11:BZ$160)/10^6</f>
        <v>0.47324549780101316</v>
      </c>
      <c r="G43" s="34">
        <f>SUMIF('C | PTRM escalation'!$E$11:$E$160,'O | PTRM inputs'!$B43,'C | PTRM escalation'!CA$11:CA$160)/10^6</f>
        <v>8.6284622715569081E-2</v>
      </c>
      <c r="H43" s="124">
        <f t="shared" si="6"/>
        <v>0.64957604553691262</v>
      </c>
    </row>
    <row r="44" spans="1:11" x14ac:dyDescent="0.3">
      <c r="A44" s="31"/>
      <c r="B44" s="31" t="str">
        <f t="shared" si="5"/>
        <v>Group IT</v>
      </c>
      <c r="C44" s="34">
        <f>SUMIF('C | PTRM escalation'!$E$11:$E$160,'O | PTRM inputs'!$B44,'C | PTRM escalation'!BW$11:BW$160)/10^6</f>
        <v>0.66099766963815831</v>
      </c>
      <c r="D44" s="34">
        <f>SUMIF('C | PTRM escalation'!$E$11:$E$160,'O | PTRM inputs'!$B44,'C | PTRM escalation'!BX$11:BX$160)/10^6</f>
        <v>0.66099766963815831</v>
      </c>
      <c r="E44" s="34">
        <f>SUMIF('C | PTRM escalation'!$E$11:$E$160,'O | PTRM inputs'!$B44,'C | PTRM escalation'!BY$11:BY$160)/10^6</f>
        <v>0.66099766963815831</v>
      </c>
      <c r="F44" s="34">
        <f>SUMIF('C | PTRM escalation'!$E$11:$E$160,'O | PTRM inputs'!$B44,'C | PTRM escalation'!BZ$11:BZ$160)/10^6</f>
        <v>0.66099766963815831</v>
      </c>
      <c r="G44" s="34">
        <f>SUMIF('C | PTRM escalation'!$E$11:$E$160,'O | PTRM inputs'!$B44,'C | PTRM escalation'!CA$11:CA$160)/10^6</f>
        <v>0.66099766963815831</v>
      </c>
      <c r="H44" s="124">
        <f t="shared" si="6"/>
        <v>3.3049883481907916</v>
      </c>
    </row>
    <row r="45" spans="1:11" x14ac:dyDescent="0.3">
      <c r="A45" s="31"/>
      <c r="B45" s="31" t="str">
        <f t="shared" si="5"/>
        <v>SIB Capex</v>
      </c>
      <c r="C45" s="34">
        <f>SUMIF('C | PTRM escalation'!$E$11:$E$160,'O | PTRM inputs'!$B45,'C | PTRM escalation'!BW$11:BW$160)/10^6</f>
        <v>1.2605617869263361</v>
      </c>
      <c r="D45" s="34">
        <f>SUMIF('C | PTRM escalation'!$E$11:$E$160,'O | PTRM inputs'!$B45,'C | PTRM escalation'!BX$11:BX$160)/10^6</f>
        <v>1.6192390790232283</v>
      </c>
      <c r="E45" s="34">
        <f>SUMIF('C | PTRM escalation'!$E$11:$E$160,'O | PTRM inputs'!$B45,'C | PTRM escalation'!BY$11:BY$160)/10^6</f>
        <v>1.4357891483294056</v>
      </c>
      <c r="F45" s="34">
        <f>SUMIF('C | PTRM escalation'!$E$11:$E$160,'O | PTRM inputs'!$B45,'C | PTRM escalation'!BZ$11:BZ$160)/10^6</f>
        <v>1.4376842976741144</v>
      </c>
      <c r="G45" s="34">
        <f>SUMIF('C | PTRM escalation'!$E$11:$E$160,'O | PTRM inputs'!$B45,'C | PTRM escalation'!CA$11:CA$160)/10^6</f>
        <v>1.438833179495997</v>
      </c>
      <c r="H45" s="124">
        <f t="shared" si="6"/>
        <v>7.1921074914490823</v>
      </c>
    </row>
    <row r="46" spans="1:11" x14ac:dyDescent="0.3">
      <c r="A46" s="31"/>
      <c r="B46" s="31" t="str">
        <f t="shared" si="5"/>
        <v>Pipeline Integrity</v>
      </c>
      <c r="C46" s="34">
        <f>SUMIF('C | PTRM escalation'!$E$11:$E$160,'O | PTRM inputs'!$B46,'C | PTRM escalation'!BW$11:BW$160)/10^6</f>
        <v>4.8702812638860449</v>
      </c>
      <c r="D46" s="34">
        <f>SUMIF('C | PTRM escalation'!$E$11:$E$160,'O | PTRM inputs'!$B46,'C | PTRM escalation'!BX$11:BX$160)/10^6</f>
        <v>3.2349159728642185</v>
      </c>
      <c r="E46" s="34">
        <f>SUMIF('C | PTRM escalation'!$E$11:$E$160,'O | PTRM inputs'!$B46,'C | PTRM escalation'!BY$11:BY$160)/10^6</f>
        <v>3.1056728679894396</v>
      </c>
      <c r="F46" s="34">
        <f>SUMIF('C | PTRM escalation'!$E$11:$E$160,'O | PTRM inputs'!$B46,'C | PTRM escalation'!BZ$11:BZ$160)/10^6</f>
        <v>3.636260708990263</v>
      </c>
      <c r="G46" s="34">
        <f>SUMIF('C | PTRM escalation'!$E$11:$E$160,'O | PTRM inputs'!$B46,'C | PTRM escalation'!CA$11:CA$160)/10^6</f>
        <v>1.4022852293839738</v>
      </c>
      <c r="H46" s="124">
        <f t="shared" si="6"/>
        <v>16.249416043113943</v>
      </c>
    </row>
    <row r="47" spans="1:11" x14ac:dyDescent="0.3">
      <c r="A47" s="36"/>
      <c r="B47" s="33" t="s">
        <v>36</v>
      </c>
      <c r="C47" s="35">
        <f t="shared" ref="C47:H47" si="7">SUM(C38:C46)</f>
        <v>26.722689540372507</v>
      </c>
      <c r="D47" s="35">
        <f t="shared" si="7"/>
        <v>19.999373457311826</v>
      </c>
      <c r="E47" s="35">
        <f t="shared" si="7"/>
        <v>14.487978840157616</v>
      </c>
      <c r="F47" s="35">
        <f t="shared" si="7"/>
        <v>15.82843522977754</v>
      </c>
      <c r="G47" s="35">
        <f t="shared" si="7"/>
        <v>10.719950672092773</v>
      </c>
      <c r="H47" s="35">
        <f t="shared" si="7"/>
        <v>87.758427739712261</v>
      </c>
      <c r="K47" s="3" t="str">
        <f>IF(ROUND(H47*10^6,2)=ROUND('C | PTRM escalation'!CB6,2),"OK","ERROR")</f>
        <v>OK</v>
      </c>
    </row>
    <row r="48" spans="1:11" s="37" customFormat="1" ht="12.75" x14ac:dyDescent="0.25">
      <c r="B48" s="38"/>
      <c r="C48" s="39"/>
      <c r="D48" s="39"/>
      <c r="E48" s="39"/>
      <c r="F48" s="39"/>
      <c r="G48" s="39"/>
    </row>
    <row r="49" spans="1:11" x14ac:dyDescent="0.3">
      <c r="A49" s="13"/>
      <c r="B49" s="11" t="s">
        <v>203</v>
      </c>
      <c r="C49" s="91" t="s">
        <v>53</v>
      </c>
      <c r="D49" s="91" t="s">
        <v>52</v>
      </c>
      <c r="E49" s="91" t="s">
        <v>51</v>
      </c>
      <c r="F49" s="91" t="s">
        <v>50</v>
      </c>
      <c r="G49" s="91" t="s">
        <v>49</v>
      </c>
      <c r="H49" s="91" t="s">
        <v>36</v>
      </c>
    </row>
    <row r="50" spans="1:11" x14ac:dyDescent="0.3">
      <c r="A50" s="31"/>
      <c r="B50" s="31" t="str">
        <f>B38</f>
        <v>Pipelines</v>
      </c>
      <c r="C50" s="34">
        <f>SUMIF('C | PTRM escalation'!$E$11:$E$160,'O | PTRM inputs'!$B50,'C | PTRM escalation'!CD$11:CD$160)/10^6</f>
        <v>0</v>
      </c>
      <c r="D50" s="34">
        <f>SUMIF('C | PTRM escalation'!$E$11:$E$160,'O | PTRM inputs'!$B50,'C | PTRM escalation'!CE$11:CE$160)/10^6</f>
        <v>0</v>
      </c>
      <c r="E50" s="34">
        <f>SUMIF('C | PTRM escalation'!$E$11:$E$160,'O | PTRM inputs'!$B50,'C | PTRM escalation'!CF$11:CF$160)/10^6</f>
        <v>0</v>
      </c>
      <c r="F50" s="34">
        <f>SUMIF('C | PTRM escalation'!$E$11:$E$160,'O | PTRM inputs'!$B50,'C | PTRM escalation'!CG$11:CG$160)/10^6</f>
        <v>0.11635710330593238</v>
      </c>
      <c r="G50" s="34">
        <f>SUMIF('C | PTRM escalation'!$E$11:$E$160,'O | PTRM inputs'!$B50,'C | PTRM escalation'!CH$11:CH$160)/10^6</f>
        <v>0.11664432376140307</v>
      </c>
      <c r="H50" s="124">
        <f>SUM(C50:G50)</f>
        <v>0.23300142706733545</v>
      </c>
    </row>
    <row r="51" spans="1:11" x14ac:dyDescent="0.3">
      <c r="A51" s="31"/>
      <c r="B51" s="31" t="str">
        <f t="shared" ref="B51:B58" si="8">B39</f>
        <v>Compressors</v>
      </c>
      <c r="C51" s="34">
        <f>SUMIF('C | PTRM escalation'!$E$11:$E$160,'O | PTRM inputs'!$B51,'C | PTRM escalation'!CD$11:CD$160)/10^6</f>
        <v>0</v>
      </c>
      <c r="D51" s="34">
        <f>SUMIF('C | PTRM escalation'!$E$11:$E$160,'O | PTRM inputs'!$B51,'C | PTRM escalation'!CE$11:CE$160)/10^6</f>
        <v>0</v>
      </c>
      <c r="E51" s="34">
        <f>SUMIF('C | PTRM escalation'!$E$11:$E$160,'O | PTRM inputs'!$B51,'C | PTRM escalation'!CF$11:CF$160)/10^6</f>
        <v>0</v>
      </c>
      <c r="F51" s="34">
        <f>SUMIF('C | PTRM escalation'!$E$11:$E$160,'O | PTRM inputs'!$B51,'C | PTRM escalation'!CG$11:CG$160)/10^6</f>
        <v>0</v>
      </c>
      <c r="G51" s="34">
        <f>SUMIF('C | PTRM escalation'!$E$11:$E$160,'O | PTRM inputs'!$B51,'C | PTRM escalation'!CH$11:CH$160)/10^6</f>
        <v>0</v>
      </c>
      <c r="H51" s="124">
        <f t="shared" ref="H51:H58" si="9">SUM(C51:G51)</f>
        <v>0</v>
      </c>
    </row>
    <row r="52" spans="1:11" x14ac:dyDescent="0.3">
      <c r="A52" s="31"/>
      <c r="B52" s="31" t="str">
        <f t="shared" si="8"/>
        <v>Regulators and meters</v>
      </c>
      <c r="C52" s="34">
        <f>SUMIF('C | PTRM escalation'!$E$11:$E$160,'O | PTRM inputs'!$B52,'C | PTRM escalation'!CD$11:CD$160)/10^6</f>
        <v>0</v>
      </c>
      <c r="D52" s="34">
        <f>SUMIF('C | PTRM escalation'!$E$11:$E$160,'O | PTRM inputs'!$B52,'C | PTRM escalation'!CE$11:CE$160)/10^6</f>
        <v>0</v>
      </c>
      <c r="E52" s="34">
        <f>SUMIF('C | PTRM escalation'!$E$11:$E$160,'O | PTRM inputs'!$B52,'C | PTRM escalation'!CF$11:CF$160)/10^6</f>
        <v>0</v>
      </c>
      <c r="F52" s="34">
        <f>SUMIF('C | PTRM escalation'!$E$11:$E$160,'O | PTRM inputs'!$B52,'C | PTRM escalation'!CG$11:CG$160)/10^6</f>
        <v>0</v>
      </c>
      <c r="G52" s="34">
        <f>SUMIF('C | PTRM escalation'!$E$11:$E$160,'O | PTRM inputs'!$B52,'C | PTRM escalation'!CH$11:CH$160)/10^6</f>
        <v>0</v>
      </c>
      <c r="H52" s="124">
        <f t="shared" si="9"/>
        <v>0</v>
      </c>
    </row>
    <row r="53" spans="1:11" x14ac:dyDescent="0.3">
      <c r="A53" s="31"/>
      <c r="B53" s="31" t="str">
        <f t="shared" si="8"/>
        <v>Easements</v>
      </c>
      <c r="C53" s="34">
        <f>SUMIF('C | PTRM escalation'!$E$11:$E$160,'O | PTRM inputs'!$B53,'C | PTRM escalation'!CD$11:CD$160)/10^6</f>
        <v>0</v>
      </c>
      <c r="D53" s="34">
        <f>SUMIF('C | PTRM escalation'!$E$11:$E$160,'O | PTRM inputs'!$B53,'C | PTRM escalation'!CE$11:CE$160)/10^6</f>
        <v>0</v>
      </c>
      <c r="E53" s="34">
        <f>SUMIF('C | PTRM escalation'!$E$11:$E$160,'O | PTRM inputs'!$B53,'C | PTRM escalation'!CF$11:CF$160)/10^6</f>
        <v>0</v>
      </c>
      <c r="F53" s="34">
        <f>SUMIF('C | PTRM escalation'!$E$11:$E$160,'O | PTRM inputs'!$B53,'C | PTRM escalation'!CG$11:CG$160)/10^6</f>
        <v>0</v>
      </c>
      <c r="G53" s="34">
        <f>SUMIF('C | PTRM escalation'!$E$11:$E$160,'O | PTRM inputs'!$B53,'C | PTRM escalation'!CH$11:CH$160)/10^6</f>
        <v>0</v>
      </c>
      <c r="H53" s="124">
        <f t="shared" si="9"/>
        <v>0</v>
      </c>
    </row>
    <row r="54" spans="1:11" x14ac:dyDescent="0.3">
      <c r="A54" s="31"/>
      <c r="B54" s="31" t="str">
        <f t="shared" si="8"/>
        <v>Communications</v>
      </c>
      <c r="C54" s="34">
        <f>SUMIF('C | PTRM escalation'!$E$11:$E$160,'O | PTRM inputs'!$B54,'C | PTRM escalation'!CD$11:CD$160)/10^6</f>
        <v>0</v>
      </c>
      <c r="D54" s="34">
        <f>SUMIF('C | PTRM escalation'!$E$11:$E$160,'O | PTRM inputs'!$B54,'C | PTRM escalation'!CE$11:CE$160)/10^6</f>
        <v>0</v>
      </c>
      <c r="E54" s="34">
        <f>SUMIF('C | PTRM escalation'!$E$11:$E$160,'O | PTRM inputs'!$B54,'C | PTRM escalation'!CF$11:CF$160)/10^6</f>
        <v>0</v>
      </c>
      <c r="F54" s="34">
        <f>SUMIF('C | PTRM escalation'!$E$11:$E$160,'O | PTRM inputs'!$B54,'C | PTRM escalation'!CG$11:CG$160)/10^6</f>
        <v>0</v>
      </c>
      <c r="G54" s="34">
        <f>SUMIF('C | PTRM escalation'!$E$11:$E$160,'O | PTRM inputs'!$B54,'C | PTRM escalation'!CH$11:CH$160)/10^6</f>
        <v>0</v>
      </c>
      <c r="H54" s="124">
        <f t="shared" si="9"/>
        <v>0</v>
      </c>
    </row>
    <row r="55" spans="1:11" x14ac:dyDescent="0.3">
      <c r="A55" s="31"/>
      <c r="B55" s="31" t="str">
        <f t="shared" si="8"/>
        <v>Capitalised AA costs</v>
      </c>
      <c r="C55" s="34">
        <f>SUMIF('C | PTRM escalation'!$E$11:$E$160,'O | PTRM inputs'!$B55,'C | PTRM escalation'!CD$11:CD$160)/10^6</f>
        <v>0</v>
      </c>
      <c r="D55" s="34">
        <f>SUMIF('C | PTRM escalation'!$E$11:$E$160,'O | PTRM inputs'!$B55,'C | PTRM escalation'!CE$11:CE$160)/10^6</f>
        <v>0</v>
      </c>
      <c r="E55" s="34">
        <f>SUMIF('C | PTRM escalation'!$E$11:$E$160,'O | PTRM inputs'!$B55,'C | PTRM escalation'!CF$11:CF$160)/10^6</f>
        <v>0</v>
      </c>
      <c r="F55" s="34">
        <f>SUMIF('C | PTRM escalation'!$E$11:$E$160,'O | PTRM inputs'!$B55,'C | PTRM escalation'!CG$11:CG$160)/10^6</f>
        <v>0</v>
      </c>
      <c r="G55" s="34">
        <f>SUMIF('C | PTRM escalation'!$E$11:$E$160,'O | PTRM inputs'!$B55,'C | PTRM escalation'!CH$11:CH$160)/10^6</f>
        <v>0</v>
      </c>
      <c r="H55" s="124">
        <f t="shared" si="9"/>
        <v>0</v>
      </c>
    </row>
    <row r="56" spans="1:11" x14ac:dyDescent="0.3">
      <c r="A56" s="31"/>
      <c r="B56" s="31" t="str">
        <f t="shared" si="8"/>
        <v>Group IT</v>
      </c>
      <c r="C56" s="34">
        <f>SUMIF('C | PTRM escalation'!$E$11:$E$160,'O | PTRM inputs'!$B56,'C | PTRM escalation'!CD$11:CD$160)/10^6</f>
        <v>0.66099766963815831</v>
      </c>
      <c r="D56" s="34">
        <f>SUMIF('C | PTRM escalation'!$E$11:$E$160,'O | PTRM inputs'!$B56,'C | PTRM escalation'!CE$11:CE$160)/10^6</f>
        <v>0.66099766963815831</v>
      </c>
      <c r="E56" s="34">
        <f>SUMIF('C | PTRM escalation'!$E$11:$E$160,'O | PTRM inputs'!$B56,'C | PTRM escalation'!CF$11:CF$160)/10^6</f>
        <v>0.66099766963815831</v>
      </c>
      <c r="F56" s="34">
        <f>SUMIF('C | PTRM escalation'!$E$11:$E$160,'O | PTRM inputs'!$B56,'C | PTRM escalation'!CG$11:CG$160)/10^6</f>
        <v>0.66099766963815831</v>
      </c>
      <c r="G56" s="34">
        <f>SUMIF('C | PTRM escalation'!$E$11:$E$160,'O | PTRM inputs'!$B56,'C | PTRM escalation'!CH$11:CH$160)/10^6</f>
        <v>0.66099766963815831</v>
      </c>
      <c r="H56" s="124">
        <f t="shared" si="9"/>
        <v>3.3049883481907916</v>
      </c>
    </row>
    <row r="57" spans="1:11" x14ac:dyDescent="0.3">
      <c r="A57" s="31"/>
      <c r="B57" s="31" t="str">
        <f t="shared" si="8"/>
        <v>SIB Capex</v>
      </c>
      <c r="C57" s="34">
        <f>SUMIF('C | PTRM escalation'!$E$11:$E$160,'O | PTRM inputs'!$B57,'C | PTRM escalation'!CD$11:CD$160)/10^6</f>
        <v>0.60319615137198979</v>
      </c>
      <c r="D57" s="34">
        <f>SUMIF('C | PTRM escalation'!$E$11:$E$160,'O | PTRM inputs'!$B57,'C | PTRM escalation'!CE$11:CE$160)/10^6</f>
        <v>0.60319615137198979</v>
      </c>
      <c r="E57" s="34">
        <f>SUMIF('C | PTRM escalation'!$E$11:$E$160,'O | PTRM inputs'!$B57,'C | PTRM escalation'!CF$11:CF$160)/10^6</f>
        <v>0.60319615137198979</v>
      </c>
      <c r="F57" s="34">
        <f>SUMIF('C | PTRM escalation'!$E$11:$E$160,'O | PTRM inputs'!$B57,'C | PTRM escalation'!CG$11:CG$160)/10^6</f>
        <v>0.60319615137198979</v>
      </c>
      <c r="G57" s="34">
        <f>SUMIF('C | PTRM escalation'!$E$11:$E$160,'O | PTRM inputs'!$B57,'C | PTRM escalation'!CH$11:CH$160)/10^6</f>
        <v>0.60319615137198979</v>
      </c>
      <c r="H57" s="124">
        <f t="shared" si="9"/>
        <v>3.0159807568599488</v>
      </c>
    </row>
    <row r="58" spans="1:11" x14ac:dyDescent="0.3">
      <c r="A58" s="31"/>
      <c r="B58" s="31" t="str">
        <f t="shared" si="8"/>
        <v>Pipeline Integrity</v>
      </c>
      <c r="C58" s="34">
        <f>SUMIF('C | PTRM escalation'!$E$11:$E$160,'O | PTRM inputs'!$B58,'C | PTRM escalation'!CD$11:CD$160)/10^6</f>
        <v>0</v>
      </c>
      <c r="D58" s="34">
        <f>SUMIF('C | PTRM escalation'!$E$11:$E$160,'O | PTRM inputs'!$B58,'C | PTRM escalation'!CE$11:CE$160)/10^6</f>
        <v>0</v>
      </c>
      <c r="E58" s="34">
        <f>SUMIF('C | PTRM escalation'!$E$11:$E$160,'O | PTRM inputs'!$B58,'C | PTRM escalation'!CF$11:CF$160)/10^6</f>
        <v>0</v>
      </c>
      <c r="F58" s="34">
        <f>SUMIF('C | PTRM escalation'!$E$11:$E$160,'O | PTRM inputs'!$B58,'C | PTRM escalation'!CG$11:CG$160)/10^6</f>
        <v>0</v>
      </c>
      <c r="G58" s="34">
        <f>SUMIF('C | PTRM escalation'!$E$11:$E$160,'O | PTRM inputs'!$B58,'C | PTRM escalation'!CH$11:CH$160)/10^6</f>
        <v>0</v>
      </c>
      <c r="H58" s="124">
        <f t="shared" si="9"/>
        <v>0</v>
      </c>
    </row>
    <row r="59" spans="1:11" x14ac:dyDescent="0.3">
      <c r="A59" s="36"/>
      <c r="B59" s="33" t="s">
        <v>36</v>
      </c>
      <c r="C59" s="35">
        <f t="shared" ref="C59:H59" si="10">SUM(C50:C58)</f>
        <v>1.264193821010148</v>
      </c>
      <c r="D59" s="35">
        <f t="shared" si="10"/>
        <v>1.264193821010148</v>
      </c>
      <c r="E59" s="35">
        <f t="shared" si="10"/>
        <v>1.264193821010148</v>
      </c>
      <c r="F59" s="35">
        <f t="shared" si="10"/>
        <v>1.3805509243160805</v>
      </c>
      <c r="G59" s="35">
        <f t="shared" si="10"/>
        <v>1.3808381447715512</v>
      </c>
      <c r="H59" s="35">
        <f t="shared" si="10"/>
        <v>6.5539705321180755</v>
      </c>
      <c r="K59" s="3" t="str">
        <f>IF(ROUND(H59*10^6,2)=ROUND('C | PTRM escalation'!CI6,2),"OK","ERROR")</f>
        <v>OK</v>
      </c>
    </row>
    <row r="61" spans="1:11" x14ac:dyDescent="0.3">
      <c r="A61" s="13"/>
      <c r="B61" s="11" t="s">
        <v>229</v>
      </c>
      <c r="C61" s="91" t="s">
        <v>53</v>
      </c>
      <c r="D61" s="91" t="s">
        <v>52</v>
      </c>
      <c r="E61" s="91" t="s">
        <v>51</v>
      </c>
      <c r="F61" s="91" t="s">
        <v>50</v>
      </c>
      <c r="G61" s="91" t="s">
        <v>49</v>
      </c>
      <c r="H61" s="91" t="s">
        <v>36</v>
      </c>
    </row>
    <row r="62" spans="1:11" x14ac:dyDescent="0.3">
      <c r="A62" s="31"/>
      <c r="B62" s="31" t="str">
        <f>B50</f>
        <v>Pipelines</v>
      </c>
      <c r="C62" s="31">
        <v>0</v>
      </c>
      <c r="D62" s="31">
        <v>0</v>
      </c>
      <c r="E62" s="31">
        <v>0</v>
      </c>
      <c r="F62" s="31">
        <v>0</v>
      </c>
      <c r="G62" s="31">
        <v>0</v>
      </c>
      <c r="H62" s="125">
        <f>SUM(C62:G62)</f>
        <v>0</v>
      </c>
    </row>
    <row r="63" spans="1:11" x14ac:dyDescent="0.3">
      <c r="A63" s="31"/>
      <c r="B63" s="31" t="str">
        <f t="shared" ref="B63:B70" si="11">B51</f>
        <v>Compressors</v>
      </c>
      <c r="C63" s="31">
        <v>0</v>
      </c>
      <c r="D63" s="31">
        <v>0</v>
      </c>
      <c r="E63" s="31">
        <v>0</v>
      </c>
      <c r="F63" s="31">
        <v>0</v>
      </c>
      <c r="G63" s="31">
        <v>0</v>
      </c>
      <c r="H63" s="125">
        <f t="shared" ref="H63:H70" si="12">SUM(C63:G63)</f>
        <v>0</v>
      </c>
    </row>
    <row r="64" spans="1:11" x14ac:dyDescent="0.3">
      <c r="A64" s="31"/>
      <c r="B64" s="31" t="str">
        <f t="shared" si="11"/>
        <v>Regulators and meters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125">
        <f t="shared" si="12"/>
        <v>0</v>
      </c>
    </row>
    <row r="65" spans="1:8" x14ac:dyDescent="0.3">
      <c r="A65" s="31"/>
      <c r="B65" s="31" t="str">
        <f t="shared" si="11"/>
        <v>Easements</v>
      </c>
      <c r="C65" s="31">
        <v>0</v>
      </c>
      <c r="D65" s="31">
        <v>0</v>
      </c>
      <c r="E65" s="31">
        <v>0</v>
      </c>
      <c r="F65" s="31">
        <v>0</v>
      </c>
      <c r="G65" s="31">
        <v>0</v>
      </c>
      <c r="H65" s="125">
        <f t="shared" si="12"/>
        <v>0</v>
      </c>
    </row>
    <row r="66" spans="1:8" x14ac:dyDescent="0.3">
      <c r="A66" s="31"/>
      <c r="B66" s="31" t="str">
        <f t="shared" si="11"/>
        <v>Communications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125">
        <f t="shared" si="12"/>
        <v>0</v>
      </c>
    </row>
    <row r="67" spans="1:8" x14ac:dyDescent="0.3">
      <c r="A67" s="31"/>
      <c r="B67" s="31" t="str">
        <f t="shared" si="11"/>
        <v>Capitalised AA costs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125">
        <f t="shared" si="12"/>
        <v>0</v>
      </c>
    </row>
    <row r="68" spans="1:8" x14ac:dyDescent="0.3">
      <c r="A68" s="31"/>
      <c r="B68" s="31" t="str">
        <f t="shared" si="11"/>
        <v>Group IT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125">
        <f t="shared" si="12"/>
        <v>0</v>
      </c>
    </row>
    <row r="69" spans="1:8" x14ac:dyDescent="0.3">
      <c r="A69" s="31"/>
      <c r="B69" s="31" t="str">
        <f t="shared" si="11"/>
        <v>SIB Capex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125">
        <f t="shared" si="12"/>
        <v>0</v>
      </c>
    </row>
    <row r="70" spans="1:8" x14ac:dyDescent="0.3">
      <c r="A70" s="31"/>
      <c r="B70" s="31" t="str">
        <f t="shared" si="11"/>
        <v>Pipeline Integrity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125">
        <f t="shared" si="12"/>
        <v>0</v>
      </c>
    </row>
    <row r="71" spans="1:8" x14ac:dyDescent="0.3">
      <c r="A71" s="36"/>
      <c r="B71" s="33" t="s">
        <v>36</v>
      </c>
      <c r="C71" s="33">
        <f t="shared" ref="C71:H71" si="13">SUM(C62:C70)</f>
        <v>0</v>
      </c>
      <c r="D71" s="35">
        <f t="shared" si="13"/>
        <v>0</v>
      </c>
      <c r="E71" s="33">
        <f t="shared" si="13"/>
        <v>0</v>
      </c>
      <c r="F71" s="33">
        <f t="shared" si="13"/>
        <v>0</v>
      </c>
      <c r="G71" s="33">
        <f t="shared" si="13"/>
        <v>0</v>
      </c>
      <c r="H71" s="33">
        <f t="shared" si="13"/>
        <v>0</v>
      </c>
    </row>
    <row r="72" spans="1:8" s="37" customFormat="1" ht="12.75" x14ac:dyDescent="0.25">
      <c r="B72" s="38"/>
      <c r="C72" s="39"/>
      <c r="D72" s="39"/>
      <c r="E72" s="39"/>
      <c r="F72" s="39"/>
      <c r="G72" s="39"/>
    </row>
    <row r="75" spans="1:8" x14ac:dyDescent="0.3">
      <c r="C75" s="29"/>
    </row>
  </sheetData>
  <phoneticPr fontId="15" type="noConversion"/>
  <conditionalFormatting sqref="K2">
    <cfRule type="cellIs" dxfId="29" priority="3" operator="equal">
      <formula>"ERROR"</formula>
    </cfRule>
    <cfRule type="cellIs" dxfId="28" priority="4" operator="equal">
      <formula>"OK"</formula>
    </cfRule>
  </conditionalFormatting>
  <conditionalFormatting sqref="K23">
    <cfRule type="cellIs" dxfId="27" priority="7" operator="equal">
      <formula>"ERROR"</formula>
    </cfRule>
    <cfRule type="cellIs" dxfId="26" priority="8" operator="equal">
      <formula>"OK"</formula>
    </cfRule>
  </conditionalFormatting>
  <conditionalFormatting sqref="K47">
    <cfRule type="cellIs" dxfId="25" priority="1" operator="equal">
      <formula>"ERROR"</formula>
    </cfRule>
    <cfRule type="cellIs" dxfId="24" priority="2" operator="equal">
      <formula>"OK"</formula>
    </cfRule>
  </conditionalFormatting>
  <conditionalFormatting sqref="K59">
    <cfRule type="cellIs" dxfId="23" priority="5" operator="equal">
      <formula>"ERROR"</formula>
    </cfRule>
    <cfRule type="cellIs" dxfId="22" priority="6" operator="equal">
      <formula>"OK"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BD2FB-57D1-4526-81DB-53903CEDE933}">
  <sheetPr>
    <tabColor theme="4"/>
  </sheetPr>
  <dimension ref="A6:K144"/>
  <sheetViews>
    <sheetView showGridLines="0" zoomScale="85" zoomScaleNormal="85" workbookViewId="0">
      <pane ySplit="9" topLeftCell="A76" activePane="bottomLeft" state="frozen"/>
      <selection pane="bottomLeft" activeCell="K86" sqref="K86"/>
    </sheetView>
  </sheetViews>
  <sheetFormatPr defaultColWidth="8.625" defaultRowHeight="16.5" x14ac:dyDescent="0.3"/>
  <cols>
    <col min="1" max="1" width="2.75" style="2" customWidth="1"/>
    <col min="2" max="2" width="61.875" style="3" customWidth="1"/>
    <col min="3" max="4" width="12.625" style="3" customWidth="1"/>
    <col min="5" max="5" width="12.625" style="2" customWidth="1"/>
    <col min="6" max="8" width="12.625" style="5" customWidth="1"/>
    <col min="9" max="9" width="12.625" style="3" customWidth="1"/>
    <col min="10" max="10" width="9.625" style="2" customWidth="1"/>
    <col min="11" max="12" width="8.625" style="2"/>
    <col min="13" max="13" width="11.75" style="2" bestFit="1" customWidth="1"/>
    <col min="14" max="16384" width="8.625" style="2"/>
  </cols>
  <sheetData>
    <row r="6" spans="1:11" s="24" customFormat="1" ht="18.75" x14ac:dyDescent="0.3">
      <c r="A6" s="27" t="s">
        <v>48</v>
      </c>
      <c r="E6" s="40"/>
      <c r="F6" s="25"/>
      <c r="G6" s="25"/>
      <c r="H6" s="25"/>
      <c r="I6" s="26"/>
    </row>
    <row r="7" spans="1:11" s="24" customFormat="1" ht="18.75" x14ac:dyDescent="0.3">
      <c r="A7" s="23" t="s">
        <v>134</v>
      </c>
      <c r="F7" s="25"/>
      <c r="G7" s="25"/>
      <c r="H7" s="25"/>
      <c r="I7" s="26"/>
    </row>
    <row r="8" spans="1:11" x14ac:dyDescent="0.3">
      <c r="A8" s="18"/>
    </row>
    <row r="9" spans="1:11" ht="18.75" x14ac:dyDescent="0.3">
      <c r="A9" s="8" t="s">
        <v>135</v>
      </c>
      <c r="B9" s="8"/>
      <c r="C9" s="8"/>
      <c r="D9" s="8"/>
      <c r="E9" s="15"/>
      <c r="F9" s="16"/>
      <c r="G9" s="16"/>
      <c r="H9" s="16"/>
      <c r="I9" s="17"/>
    </row>
    <row r="11" spans="1:11" x14ac:dyDescent="0.3">
      <c r="A11" s="13"/>
      <c r="B11" s="11" t="s">
        <v>137</v>
      </c>
      <c r="C11" s="96" t="s">
        <v>120</v>
      </c>
      <c r="D11" s="96" t="s">
        <v>119</v>
      </c>
      <c r="E11" s="91" t="s">
        <v>53</v>
      </c>
      <c r="F11" s="91" t="s">
        <v>52</v>
      </c>
      <c r="G11" s="91" t="s">
        <v>51</v>
      </c>
      <c r="H11" s="91" t="s">
        <v>50</v>
      </c>
      <c r="I11" s="91" t="s">
        <v>49</v>
      </c>
    </row>
    <row r="12" spans="1:11" x14ac:dyDescent="0.3">
      <c r="A12" s="31"/>
      <c r="B12" s="31" t="s">
        <v>3</v>
      </c>
      <c r="C12" s="98">
        <f>SUMIF('C | RFM escalation'!$F$11:$F$160,$B12,'C | RFM escalation'!Z$11:Z$160)</f>
        <v>558406.99957382574</v>
      </c>
      <c r="D12" s="98">
        <f>SUMIF('C | RFM escalation'!$F$11:$F$160,$B12,'C | RFM escalation'!AA$11:AA$160)</f>
        <v>1205910.4419167787</v>
      </c>
      <c r="E12" s="98">
        <f>SUMIF('C | PTRM escalation'!$F$11:$F$160,$B12,'C | PTRM escalation'!BI$11:BI$160)</f>
        <v>2092151.9947592416</v>
      </c>
      <c r="F12" s="98">
        <f>SUMIF('C | PTRM escalation'!$F$11:$F$160,$B12,'C | PTRM escalation'!BJ$11:BJ$160)</f>
        <v>1536927.7853957296</v>
      </c>
      <c r="G12" s="98">
        <f>SUMIF('C | PTRM escalation'!$F$11:$F$160,$B12,'C | PTRM escalation'!BK$11:BK$160)</f>
        <v>1074309.8693272527</v>
      </c>
      <c r="H12" s="98">
        <f>SUMIF('C | PTRM escalation'!$F$11:$F$160,$B12,'C | PTRM escalation'!BL$11:BL$160)</f>
        <v>1148020.8701742697</v>
      </c>
      <c r="I12" s="98">
        <f>SUMIF('C | PTRM escalation'!$F$11:$F$160,$B12,'C | PTRM escalation'!BM$11:BM$160)</f>
        <v>761683.48274329386</v>
      </c>
    </row>
    <row r="13" spans="1:11" x14ac:dyDescent="0.3">
      <c r="A13" s="31"/>
      <c r="B13" s="31" t="s">
        <v>5</v>
      </c>
      <c r="C13" s="98">
        <f>SUMIF('C | RFM escalation'!$F$11:$F$160,$B13,'C | RFM escalation'!Z$11:Z$160)</f>
        <v>0</v>
      </c>
      <c r="D13" s="98">
        <f>SUMIF('C | RFM escalation'!$F$11:$F$160,$B13,'C | RFM escalation'!AA$11:AA$160)</f>
        <v>0</v>
      </c>
      <c r="E13" s="98">
        <f>SUMIF('C | PTRM escalation'!$F$11:$F$160,$B13,'C | PTRM escalation'!BI$11:BI$160)</f>
        <v>0</v>
      </c>
      <c r="F13" s="98">
        <f>SUMIF('C | PTRM escalation'!$F$11:$F$160,$B13,'C | PTRM escalation'!BJ$11:BJ$160)</f>
        <v>0</v>
      </c>
      <c r="G13" s="98">
        <f>SUMIF('C | PTRM escalation'!$F$11:$F$160,$B13,'C | PTRM escalation'!BK$11:BK$160)</f>
        <v>0</v>
      </c>
      <c r="H13" s="98">
        <f>SUMIF('C | PTRM escalation'!$F$11:$F$160,$B13,'C | PTRM escalation'!BL$11:BL$160)</f>
        <v>0</v>
      </c>
      <c r="I13" s="98">
        <f>SUMIF('C | PTRM escalation'!$F$11:$F$160,$B13,'C | PTRM escalation'!BM$11:BM$160)</f>
        <v>0</v>
      </c>
    </row>
    <row r="14" spans="1:11" x14ac:dyDescent="0.3">
      <c r="A14" s="31"/>
      <c r="B14" s="31" t="s">
        <v>6</v>
      </c>
      <c r="C14" s="98">
        <f>SUMIF('C | RFM escalation'!$F$11:$F$160,$B14,'C | RFM escalation'!Z$11:Z$160)</f>
        <v>392115.64185212029</v>
      </c>
      <c r="D14" s="98">
        <f>SUMIF('C | RFM escalation'!$F$11:$F$160,$B14,'C | RFM escalation'!AA$11:AA$160)</f>
        <v>108500.74730481447</v>
      </c>
      <c r="E14" s="98">
        <f>SUMIF('C | PTRM escalation'!$F$11:$F$160,$B14,'C | PTRM escalation'!BI$11:BI$160)</f>
        <v>104382.97604670947</v>
      </c>
      <c r="F14" s="98">
        <f>SUMIF('C | PTRM escalation'!$F$11:$F$160,$B14,'C | PTRM escalation'!BJ$11:BJ$160)</f>
        <v>104382.97604670947</v>
      </c>
      <c r="G14" s="98">
        <f>SUMIF('C | PTRM escalation'!$F$11:$F$160,$B14,'C | PTRM escalation'!BK$11:BK$160)</f>
        <v>111634.86232139728</v>
      </c>
      <c r="H14" s="98">
        <f>SUMIF('C | PTRM escalation'!$F$11:$F$160,$B14,'C | PTRM escalation'!BL$11:BL$160)</f>
        <v>142100.77451518073</v>
      </c>
      <c r="I14" s="98">
        <f>SUMIF('C | PTRM escalation'!$F$11:$F$160,$B14,'C | PTRM escalation'!BM$11:BM$160)</f>
        <v>111216.92348874113</v>
      </c>
    </row>
    <row r="15" spans="1:11" x14ac:dyDescent="0.3">
      <c r="A15" s="31"/>
      <c r="B15" s="31" t="s">
        <v>9</v>
      </c>
      <c r="C15" s="98">
        <f>SUMIF('C | RFM escalation'!$F$11:$F$160,$B15,'C | RFM escalation'!Z$11:Z$160)</f>
        <v>0</v>
      </c>
      <c r="D15" s="98">
        <f>SUMIF('C | RFM escalation'!$F$11:$F$160,$B15,'C | RFM escalation'!AA$11:AA$160)</f>
        <v>0</v>
      </c>
      <c r="E15" s="98">
        <f>SUMIF('C | PTRM escalation'!$F$11:$F$160,$B15,'C | PTRM escalation'!BI$11:BI$160)</f>
        <v>0</v>
      </c>
      <c r="F15" s="98">
        <f>SUMIF('C | PTRM escalation'!$F$11:$F$160,$B15,'C | PTRM escalation'!BJ$11:BJ$160)</f>
        <v>0</v>
      </c>
      <c r="G15" s="98">
        <f>SUMIF('C | PTRM escalation'!$F$11:$F$160,$B15,'C | PTRM escalation'!BK$11:BK$160)</f>
        <v>0</v>
      </c>
      <c r="H15" s="98">
        <f>SUMIF('C | PTRM escalation'!$F$11:$F$160,$B15,'C | PTRM escalation'!BL$11:BL$160)</f>
        <v>0</v>
      </c>
      <c r="I15" s="98">
        <f>SUMIF('C | PTRM escalation'!$F$11:$F$160,$B15,'C | PTRM escalation'!BM$11:BM$160)</f>
        <v>0</v>
      </c>
      <c r="J15" s="64" t="s">
        <v>36</v>
      </c>
    </row>
    <row r="16" spans="1:11" x14ac:dyDescent="0.3">
      <c r="A16" s="36"/>
      <c r="B16" s="33"/>
      <c r="C16" s="99">
        <f t="shared" ref="C16:D16" si="0">SUM(C10:C15)</f>
        <v>950522.64142594603</v>
      </c>
      <c r="D16" s="99">
        <f t="shared" si="0"/>
        <v>1314411.1892215931</v>
      </c>
      <c r="E16" s="99">
        <f>SUM(E10:E15)</f>
        <v>2196534.9708059509</v>
      </c>
      <c r="F16" s="99">
        <f>SUM(F10:F15)</f>
        <v>1641310.7614424392</v>
      </c>
      <c r="G16" s="99">
        <f>SUM(G10:G15)</f>
        <v>1185944.73164865</v>
      </c>
      <c r="H16" s="99">
        <f>SUM(H10:H15)</f>
        <v>1290121.6446894505</v>
      </c>
      <c r="I16" s="99">
        <f>SUM(I10:I15)</f>
        <v>872900.40623203502</v>
      </c>
      <c r="J16" s="100">
        <f>SUM(E16:I16)</f>
        <v>7186812.5148185249</v>
      </c>
      <c r="K16" s="2" t="b">
        <f>ROUND(J16,2)=ROUND('C | PTRM escalation'!BN6,2)</f>
        <v>1</v>
      </c>
    </row>
    <row r="18" spans="1:11" x14ac:dyDescent="0.3">
      <c r="A18" s="13"/>
      <c r="B18" s="11" t="s">
        <v>136</v>
      </c>
      <c r="C18" s="96" t="s">
        <v>120</v>
      </c>
      <c r="D18" s="96" t="s">
        <v>119</v>
      </c>
      <c r="E18" s="91" t="s">
        <v>53</v>
      </c>
      <c r="F18" s="91" t="s">
        <v>52</v>
      </c>
      <c r="G18" s="91" t="s">
        <v>51</v>
      </c>
      <c r="H18" s="91" t="s">
        <v>50</v>
      </c>
      <c r="I18" s="91" t="s">
        <v>49</v>
      </c>
    </row>
    <row r="19" spans="1:11" x14ac:dyDescent="0.3">
      <c r="A19" s="31"/>
      <c r="B19" s="31" t="str">
        <f>Mapping!E2</f>
        <v>Replacement</v>
      </c>
      <c r="C19" s="98">
        <f>SUMIF('C | RFM escalation'!$F$11:$F$160,$B19,'C | RFM escalation'!AC$11:AC$160)-SUMIF($B$12:$B$15,$B19,C$12:C$15)</f>
        <v>6204522.2174869524</v>
      </c>
      <c r="D19" s="98">
        <f>SUMIF('C | RFM escalation'!$F$11:$F$160,$B19,'C | RFM escalation'!AD$11:AD$160)-SUMIF($B$12:$B$15,$B19,D$12:D$15)</f>
        <v>13399004.910186432</v>
      </c>
      <c r="E19" s="98">
        <f>SUMIF('C | PTRM escalation'!$F$11:$F$160,$B19,'C | PTRM escalation'!BP$11:BP$160)-SUMIF($B$12:$B$15,$B19,E$12:E$15)</f>
        <v>23366343.72460312</v>
      </c>
      <c r="F19" s="98">
        <f>SUMIF('C | PTRM escalation'!$F$11:$F$160,$B19,'C | PTRM escalation'!BQ$11:BQ$160)-SUMIF($B$12:$B$15,$B19,F$12:F$15)</f>
        <v>17198251.850905951</v>
      </c>
      <c r="G19" s="98">
        <f>SUMIF('C | PTRM escalation'!$F$11:$F$160,$B19,'C | PTRM escalation'!BR$11:BR$160)-SUMIF($B$12:$B$15,$B19,G$12:G$15)</f>
        <v>12059429.224799886</v>
      </c>
      <c r="H19" s="98">
        <f>SUMIF('C | PTRM escalation'!$F$11:$F$160,$B19,'C | PTRM escalation'!BS$11:BS$160)-SUMIF($B$12:$B$15,$B19,H$12:H$15)</f>
        <v>12942975.040792111</v>
      </c>
      <c r="I19" s="98">
        <f>SUMIF('C | PTRM escalation'!$F$11:$F$160,$B19,'C | PTRM escalation'!BT$11:BT$160)-SUMIF($B$12:$B$15,$B19,I$12:I$15)</f>
        <v>8607788.7456237637</v>
      </c>
    </row>
    <row r="20" spans="1:11" x14ac:dyDescent="0.3">
      <c r="A20" s="31"/>
      <c r="B20" s="31" t="str">
        <f>Mapping!E3</f>
        <v>Expansion</v>
      </c>
      <c r="C20" s="98">
        <f>SUMIF('C | RFM escalation'!$F$11:$F$160,$B20,'C | RFM escalation'!AC$11:AC$160)-SUMIF($B$12:$B$15,$B20,C$12:C$15)</f>
        <v>0</v>
      </c>
      <c r="D20" s="98">
        <f>SUMIF('C | RFM escalation'!$F$11:$F$160,$B20,'C | RFM escalation'!AD$11:AD$160)-SUMIF($B$12:$B$15,$B20,D$12:D$15)</f>
        <v>0</v>
      </c>
      <c r="E20" s="98">
        <f>SUMIF('C | PTRM escalation'!$G$11:$G$160,$B20,'C | PTRM escalation'!BP$11:BP$160)-SUMIF($B$12:$B$15,$B20,E$12:E$15)</f>
        <v>0</v>
      </c>
      <c r="F20" s="98">
        <f>SUMIF('C | PTRM escalation'!$G$11:$G$160,$B20,'C | PTRM escalation'!BQ$11:BQ$160)-SUMIF($B$12:$B$15,$B20,F$12:F$15)</f>
        <v>0</v>
      </c>
      <c r="G20" s="98">
        <f>SUMIF('C | PTRM escalation'!$G$11:$G$160,$B20,'C | PTRM escalation'!BR$11:BR$160)-SUMIF($B$12:$B$15,$B20,G$12:G$15)</f>
        <v>0</v>
      </c>
      <c r="H20" s="98">
        <f>SUMIF('C | PTRM escalation'!$G$11:$G$160,$B20,'C | PTRM escalation'!BS$11:BS$160)-SUMIF($B$12:$B$15,$B20,H$12:H$15)</f>
        <v>0</v>
      </c>
      <c r="I20" s="98">
        <f>SUMIF('C | PTRM escalation'!$G$11:$G$160,$B20,'C | PTRM escalation'!BT$11:BT$160)-SUMIF($B$12:$B$15,$B20,I$12:I$15)</f>
        <v>0</v>
      </c>
    </row>
    <row r="21" spans="1:11" x14ac:dyDescent="0.3">
      <c r="A21" s="31"/>
      <c r="B21" s="31" t="str">
        <f>Mapping!E4</f>
        <v>Non-network</v>
      </c>
      <c r="C21" s="98">
        <f>SUMIF('C | RFM escalation'!$F$11:$F$160,$B21,'C | RFM escalation'!AC$11:AC$160)-SUMIF($B$12:$B$15,$B21,C$12:C$15)</f>
        <v>4356840.4650235577</v>
      </c>
      <c r="D21" s="98">
        <f>SUMIF('C | RFM escalation'!$F$11:$F$160,$B21,'C | RFM escalation'!AD$11:AD$160)-SUMIF($B$12:$B$15,$B21,D$12:D$15)</f>
        <v>1206153.3748192349</v>
      </c>
      <c r="E21" s="98">
        <f>SUMIF('C | PTRM escalation'!$F$11:$F$160,$B21,'C | PTRM escalation'!BP$11:BP$160)-SUMIF($B$12:$B$15,$B21,E$12:E$15)</f>
        <v>1159810.8449634383</v>
      </c>
      <c r="F21" s="98">
        <f>SUMIF('C | PTRM escalation'!$F$11:$F$160,$B21,'C | PTRM escalation'!BQ$11:BQ$160)-SUMIF($B$12:$B$15,$B21,F$12:F$15)</f>
        <v>1159810.8449634383</v>
      </c>
      <c r="G21" s="98">
        <f>SUMIF('C | PTRM escalation'!$F$11:$F$160,$B21,'C | PTRM escalation'!BR$11:BR$160)-SUMIF($B$12:$B$15,$B21,G$12:G$15)</f>
        <v>1242604.883709081</v>
      </c>
      <c r="H21" s="98">
        <f>SUMIF('C | PTRM escalation'!$F$11:$F$160,$B21,'C | PTRM escalation'!BS$11:BS$160)-SUMIF($B$12:$B$15,$B21,H$12:H$15)</f>
        <v>1595338.5442959801</v>
      </c>
      <c r="I21" s="98">
        <f>SUMIF('C | PTRM escalation'!$F$11:$F$160,$B21,'C | PTRM escalation'!BT$11:BT$160)-SUMIF($B$12:$B$15,$B21,I$12:I$15)</f>
        <v>1239261.520236976</v>
      </c>
    </row>
    <row r="22" spans="1:11" x14ac:dyDescent="0.3">
      <c r="A22" s="31"/>
      <c r="B22" s="31" t="str">
        <f>Mapping!E5</f>
        <v>Capitalised network overheads</v>
      </c>
      <c r="C22" s="98">
        <f>SUMIF('C | RFM escalation'!$F$11:$F$160,$B22,'C | RFM escalation'!AC$11:AC$160)-SUMIF($B$12:$B$15,$B22,C$12:C$15)</f>
        <v>0</v>
      </c>
      <c r="D22" s="98">
        <f>SUMIF('C | RFM escalation'!$F$11:$F$160,$B22,'C | RFM escalation'!AD$11:AD$160)-SUMIF($B$12:$B$15,$B22,D$12:D$15)</f>
        <v>0</v>
      </c>
      <c r="E22" s="98">
        <f>SUMIF('C | PTRM escalation'!$G$11:$G$160,$B22,'C | PTRM escalation'!BP$11:BP$160)-SUMIF($B$12:$B$15,$B22,E$12:E$15)</f>
        <v>0</v>
      </c>
      <c r="F22" s="98">
        <f>SUMIF('C | PTRM escalation'!$G$11:$G$160,$B22,'C | PTRM escalation'!BQ$11:BQ$160)-SUMIF($B$12:$B$15,$B22,F$12:F$15)</f>
        <v>0</v>
      </c>
      <c r="G22" s="98">
        <f>SUMIF('C | PTRM escalation'!$G$11:$G$160,$B22,'C | PTRM escalation'!BR$11:BR$160)-SUMIF($B$12:$B$15,$B22,G$12:G$15)</f>
        <v>0</v>
      </c>
      <c r="H22" s="98">
        <f>SUMIF('C | PTRM escalation'!$G$11:$G$160,$B22,'C | PTRM escalation'!BS$11:BS$160)-SUMIF($B$12:$B$15,$B22,H$12:H$15)</f>
        <v>0</v>
      </c>
      <c r="I22" s="98">
        <f>SUMIF('C | PTRM escalation'!$G$11:$G$160,$B22,'C | PTRM escalation'!BT$11:BT$160)-SUMIF($B$12:$B$15,$B22,I$12:I$15)</f>
        <v>0</v>
      </c>
    </row>
    <row r="23" spans="1:11" x14ac:dyDescent="0.3">
      <c r="A23" s="31"/>
      <c r="B23" s="31" t="str">
        <f>Mapping!E6</f>
        <v>Capitalised corporate overheads</v>
      </c>
      <c r="C23" s="98">
        <f t="shared" ref="C23:D23" si="1">C16</f>
        <v>950522.64142594603</v>
      </c>
      <c r="D23" s="98">
        <f t="shared" si="1"/>
        <v>1314411.1892215931</v>
      </c>
      <c r="E23" s="98">
        <f>E16</f>
        <v>2196534.9708059509</v>
      </c>
      <c r="F23" s="98">
        <f t="shared" ref="F23:I23" si="2">F16</f>
        <v>1641310.7614424392</v>
      </c>
      <c r="G23" s="98">
        <f t="shared" si="2"/>
        <v>1185944.73164865</v>
      </c>
      <c r="H23" s="98">
        <f t="shared" si="2"/>
        <v>1290121.6446894505</v>
      </c>
      <c r="I23" s="98">
        <f t="shared" si="2"/>
        <v>872900.40623203502</v>
      </c>
    </row>
    <row r="24" spans="1:11" x14ac:dyDescent="0.3">
      <c r="A24" s="31"/>
      <c r="B24" s="31" t="str">
        <f>Mapping!E7</f>
        <v>Other capex</v>
      </c>
      <c r="C24" s="98">
        <f>SUMIF('C | RFM escalation'!$F$11:$F$160,$B24,'C | RFM escalation'!AC$11:AC$160)-SUMIF($B$12:$B$15,$B24,C$12:C$15)</f>
        <v>0</v>
      </c>
      <c r="D24" s="98">
        <f>SUMIF('C | RFM escalation'!$F$11:$F$160,$B24,'C | RFM escalation'!AD$11:AD$160)-SUMIF($B$12:$B$15,$B24,D$12:D$15)</f>
        <v>0</v>
      </c>
      <c r="E24" s="98">
        <f>SUMIF('C | PTRM escalation'!$G$11:$G$160,$B24,'C | PTRM escalation'!BP$11:BP$160)-SUMIF($B$12:$B$15,$B24,E$12:E$15)</f>
        <v>0</v>
      </c>
      <c r="F24" s="98">
        <f>SUMIF('C | PTRM escalation'!$G$11:$G$160,$B24,'C | PTRM escalation'!BQ$11:BQ$160)-SUMIF($B$12:$B$15,$B24,F$12:F$15)</f>
        <v>0</v>
      </c>
      <c r="G24" s="98">
        <f>SUMIF('C | PTRM escalation'!$G$11:$G$160,$B24,'C | PTRM escalation'!BR$11:BR$160)-SUMIF($B$12:$B$15,$B24,G$12:G$15)</f>
        <v>0</v>
      </c>
      <c r="H24" s="98">
        <f>SUMIF('C | PTRM escalation'!$G$11:$G$160,$B24,'C | PTRM escalation'!BS$11:BS$160)-SUMIF($B$12:$B$15,$B24,H$12:H$15)</f>
        <v>0</v>
      </c>
      <c r="I24" s="98">
        <f>SUMIF('C | PTRM escalation'!$G$11:$G$160,$B24,'C | PTRM escalation'!BT$11:BT$160)-SUMIF($B$12:$B$15,$B24,I$12:I$15)</f>
        <v>0</v>
      </c>
    </row>
    <row r="25" spans="1:11" x14ac:dyDescent="0.3">
      <c r="A25" s="31"/>
      <c r="B25" s="31" t="str">
        <f>Mapping!E8</f>
        <v>Capital contributions included in the above</v>
      </c>
      <c r="C25" s="98">
        <f>SUMIF('C | RFM escalation'!$F$11:$F$160,$B25,'C | RFM escalation'!AC$11:AC$160)-SUMIF($B$12:$B$15,$B25,C$12:C$15)</f>
        <v>0</v>
      </c>
      <c r="D25" s="98">
        <f>SUMIF('C | RFM escalation'!$F$11:$F$160,$B25,'C | RFM escalation'!AD$11:AD$160)-SUMIF($B$12:$B$15,$B25,D$12:D$15)</f>
        <v>0</v>
      </c>
      <c r="E25" s="98">
        <f>SUMIF('C | PTRM escalation'!$G$11:$G$160,$B25,'C | PTRM escalation'!BP$11:BP$160)-SUMIF($B$12:$B$15,$B25,E$12:E$15)</f>
        <v>0</v>
      </c>
      <c r="F25" s="98">
        <f>SUMIF('C | PTRM escalation'!$G$11:$G$160,$B25,'C | PTRM escalation'!BQ$11:BQ$160)-SUMIF($B$12:$B$15,$B25,F$12:F$15)</f>
        <v>0</v>
      </c>
      <c r="G25" s="98">
        <f>SUMIF('C | PTRM escalation'!$G$11:$G$160,$B25,'C | PTRM escalation'!BR$11:BR$160)-SUMIF($B$12:$B$15,$B25,G$12:G$15)</f>
        <v>0</v>
      </c>
      <c r="H25" s="98">
        <f>SUMIF('C | PTRM escalation'!$G$11:$G$160,$B25,'C | PTRM escalation'!BS$11:BS$160)-SUMIF($B$12:$B$15,$B25,H$12:H$15)</f>
        <v>0</v>
      </c>
      <c r="I25" s="98">
        <f>SUMIF('C | PTRM escalation'!$G$11:$G$160,$B25,'C | PTRM escalation'!BT$11:BT$160)-SUMIF($B$12:$B$15,$B25,I$12:I$15)</f>
        <v>0</v>
      </c>
      <c r="J25" s="64" t="s">
        <v>36</v>
      </c>
    </row>
    <row r="26" spans="1:11" x14ac:dyDescent="0.3">
      <c r="A26" s="36"/>
      <c r="B26" s="33"/>
      <c r="C26" s="99">
        <f t="shared" ref="C26:D26" si="3">SUM(C19:C25)</f>
        <v>11511885.323936457</v>
      </c>
      <c r="D26" s="99">
        <f t="shared" si="3"/>
        <v>15919569.474227259</v>
      </c>
      <c r="E26" s="99">
        <f>SUM(E19:E25)</f>
        <v>26722689.54037251</v>
      </c>
      <c r="F26" s="99">
        <f t="shared" ref="F26:I26" si="4">SUM(F19:F25)</f>
        <v>19999373.457311828</v>
      </c>
      <c r="G26" s="99">
        <f t="shared" si="4"/>
        <v>14487978.840157617</v>
      </c>
      <c r="H26" s="99">
        <f t="shared" si="4"/>
        <v>15828435.229777541</v>
      </c>
      <c r="I26" s="99">
        <f t="shared" si="4"/>
        <v>10719950.672092775</v>
      </c>
      <c r="J26" s="100">
        <f>SUM(E26:I26)</f>
        <v>87758427.739712283</v>
      </c>
      <c r="K26" s="2" t="b">
        <f>J26='O | PTRM inputs'!H23*10^6</f>
        <v>1</v>
      </c>
    </row>
    <row r="27" spans="1:11" x14ac:dyDescent="0.3">
      <c r="A27" s="109"/>
      <c r="B27" s="223"/>
      <c r="C27" s="224"/>
      <c r="D27" s="224"/>
      <c r="E27" s="224"/>
      <c r="F27" s="224"/>
      <c r="G27" s="224"/>
      <c r="H27" s="224"/>
      <c r="I27" s="224"/>
      <c r="J27" s="225"/>
    </row>
    <row r="28" spans="1:11" x14ac:dyDescent="0.3">
      <c r="A28" s="13"/>
      <c r="B28" s="11" t="s">
        <v>327</v>
      </c>
      <c r="C28" s="96" t="s">
        <v>120</v>
      </c>
      <c r="D28" s="96" t="s">
        <v>119</v>
      </c>
      <c r="E28" s="91" t="s">
        <v>53</v>
      </c>
      <c r="F28" s="91" t="s">
        <v>52</v>
      </c>
      <c r="G28" s="91" t="s">
        <v>51</v>
      </c>
      <c r="H28" s="91" t="s">
        <v>50</v>
      </c>
      <c r="I28" s="91" t="s">
        <v>49</v>
      </c>
    </row>
    <row r="29" spans="1:11" x14ac:dyDescent="0.3">
      <c r="A29" s="31"/>
      <c r="B29" s="31" t="s">
        <v>322</v>
      </c>
      <c r="C29" s="98">
        <v>0</v>
      </c>
      <c r="D29" s="98">
        <v>0</v>
      </c>
      <c r="E29" s="98">
        <f>SUMIF('C | PTRM escalation'!$F$11:$F$160,"Replacement",'C | PTRM escalation'!AG$11:AG$160)</f>
        <v>8922714.3649266064</v>
      </c>
      <c r="F29" s="98">
        <f>SUMIF('C | PTRM escalation'!$F$11:$F$160,"Replacement",'C | PTRM escalation'!AH$11:AH$160)</f>
        <v>6553206.2597547276</v>
      </c>
      <c r="G29" s="98">
        <f>SUMIF('C | PTRM escalation'!$F$11:$F$160,"Replacement",'C | PTRM escalation'!AI$11:AI$160)</f>
        <v>4579398.5544159077</v>
      </c>
      <c r="H29" s="98">
        <f>SUMIF('C | PTRM escalation'!$F$11:$F$160,"Replacement",'C | PTRM escalation'!AJ$11:AJ$160)</f>
        <v>4958648.256050637</v>
      </c>
      <c r="I29" s="98">
        <f>SUMIF('C | PTRM escalation'!$F$11:$F$160,"Replacement",'C | PTRM escalation'!AK$11:AK$160)</f>
        <v>3266601.2626647125</v>
      </c>
    </row>
    <row r="30" spans="1:11" x14ac:dyDescent="0.3">
      <c r="A30" s="31"/>
      <c r="B30" s="31" t="s">
        <v>323</v>
      </c>
      <c r="C30" s="98">
        <f>SUMIF('C | RFM escalation'!$F$11:$F$160,$B30,'C | RFM escalation'!AC$11:AC$160)-SUMIF($B$12:$B$15,$B30,C$12:C$15)</f>
        <v>0</v>
      </c>
      <c r="D30" s="98">
        <f>SUMIF('C | RFM escalation'!$F$11:$F$160,$B30,'C | RFM escalation'!AD$11:AD$160)-SUMIF($B$12:$B$15,$B30,D$12:D$15)</f>
        <v>0</v>
      </c>
      <c r="E30" s="98">
        <v>0</v>
      </c>
      <c r="F30" s="98">
        <v>0</v>
      </c>
      <c r="G30" s="98">
        <v>0</v>
      </c>
      <c r="H30" s="98">
        <v>0</v>
      </c>
      <c r="I30" s="98">
        <v>0</v>
      </c>
    </row>
    <row r="31" spans="1:11" x14ac:dyDescent="0.3">
      <c r="A31" s="31"/>
      <c r="B31" s="31" t="s">
        <v>324</v>
      </c>
      <c r="C31" s="98">
        <f>SUMIF('C | RFM escalation'!$F$11:$F$160,$B31,'C | RFM escalation'!AC$11:AC$160)-SUMIF($B$12:$B$15,$B31,C$12:C$15)</f>
        <v>0</v>
      </c>
      <c r="D31" s="98">
        <f>SUMIF('C | RFM escalation'!$F$11:$F$160,$B31,'C | RFM escalation'!AD$11:AD$160)-SUMIF($B$12:$B$15,$B31,D$12:D$15)</f>
        <v>0</v>
      </c>
      <c r="E31" s="98">
        <v>0</v>
      </c>
      <c r="F31" s="98">
        <v>0</v>
      </c>
      <c r="G31" s="98">
        <v>0</v>
      </c>
      <c r="H31" s="98">
        <v>0</v>
      </c>
      <c r="I31" s="98">
        <v>0</v>
      </c>
    </row>
    <row r="32" spans="1:11" x14ac:dyDescent="0.3">
      <c r="A32" s="31"/>
      <c r="B32" s="31" t="s">
        <v>325</v>
      </c>
      <c r="C32" s="98">
        <f t="shared" ref="C32:D32" si="5">C19-C29</f>
        <v>6204522.2174869524</v>
      </c>
      <c r="D32" s="98">
        <f t="shared" si="5"/>
        <v>13399004.910186432</v>
      </c>
      <c r="E32" s="98">
        <f>E19-E29</f>
        <v>14443629.359676514</v>
      </c>
      <c r="F32" s="98">
        <f t="shared" ref="F32:H32" si="6">F19-F29</f>
        <v>10645045.591151223</v>
      </c>
      <c r="G32" s="98">
        <f t="shared" si="6"/>
        <v>7480030.6703839786</v>
      </c>
      <c r="H32" s="98">
        <f t="shared" si="6"/>
        <v>7984326.7847414743</v>
      </c>
      <c r="I32" s="98">
        <f>I19-I29</f>
        <v>5341187.4829590507</v>
      </c>
    </row>
    <row r="33" spans="1:11" x14ac:dyDescent="0.3">
      <c r="A33" s="31"/>
      <c r="B33" s="31" t="s">
        <v>326</v>
      </c>
      <c r="C33" s="98">
        <f>C12</f>
        <v>558406.99957382574</v>
      </c>
      <c r="D33" s="98">
        <f t="shared" ref="D33:I33" si="7">D12</f>
        <v>1205910.4419167787</v>
      </c>
      <c r="E33" s="98">
        <f t="shared" si="7"/>
        <v>2092151.9947592416</v>
      </c>
      <c r="F33" s="98">
        <f t="shared" si="7"/>
        <v>1536927.7853957296</v>
      </c>
      <c r="G33" s="98">
        <f t="shared" si="7"/>
        <v>1074309.8693272527</v>
      </c>
      <c r="H33" s="98">
        <f t="shared" si="7"/>
        <v>1148020.8701742697</v>
      </c>
      <c r="I33" s="98">
        <f t="shared" si="7"/>
        <v>761683.48274329386</v>
      </c>
    </row>
    <row r="34" spans="1:11" x14ac:dyDescent="0.3">
      <c r="A34" s="31"/>
      <c r="B34" s="31" t="s">
        <v>10</v>
      </c>
      <c r="C34" s="98"/>
      <c r="D34" s="98">
        <f>SUMIF('C | RFM escalation'!$F$11:$F$160,$B34,'C | RFM escalation'!AD$11:AD$160)-SUMIF($B$12:$B$15,$B34,D$12:D$15)</f>
        <v>0</v>
      </c>
      <c r="E34" s="98">
        <f>SUMIF('C | PTRM escalation'!$G$11:$G$160,$B34,'C | PTRM escalation'!BP$11:BP$160)-SUMIF($B$12:$B$15,$B34,E$12:E$15)</f>
        <v>0</v>
      </c>
      <c r="F34" s="98">
        <f>SUMIF('C | PTRM escalation'!$G$11:$G$160,$B34,'C | PTRM escalation'!BQ$11:BQ$160)-SUMIF($B$12:$B$15,$B34,F$12:F$15)</f>
        <v>0</v>
      </c>
      <c r="G34" s="98">
        <f>SUMIF('C | PTRM escalation'!$G$11:$G$160,$B34,'C | PTRM escalation'!BR$11:BR$160)-SUMIF($B$12:$B$15,$B34,G$12:G$15)</f>
        <v>0</v>
      </c>
      <c r="H34" s="98">
        <f>SUMIF('C | PTRM escalation'!$G$11:$G$160,$B34,'C | PTRM escalation'!BS$11:BS$160)-SUMIF($B$12:$B$15,$B34,H$12:H$15)</f>
        <v>0</v>
      </c>
      <c r="I34" s="98">
        <f>SUMIF('C | PTRM escalation'!$G$11:$G$160,$B34,'C | PTRM escalation'!BT$11:BT$160)-SUMIF($B$12:$B$15,$B34,I$12:I$15)</f>
        <v>0</v>
      </c>
      <c r="J34" s="64" t="s">
        <v>36</v>
      </c>
    </row>
    <row r="35" spans="1:11" x14ac:dyDescent="0.3">
      <c r="A35" s="36"/>
      <c r="B35" s="33"/>
      <c r="C35" s="99">
        <f t="shared" ref="C35:I35" si="8">SUM(C29:C34)</f>
        <v>6762929.2170607783</v>
      </c>
      <c r="D35" s="99">
        <f t="shared" si="8"/>
        <v>14604915.352103211</v>
      </c>
      <c r="E35" s="99">
        <f t="shared" si="8"/>
        <v>25458495.719362363</v>
      </c>
      <c r="F35" s="99">
        <f t="shared" si="8"/>
        <v>18735179.636301681</v>
      </c>
      <c r="G35" s="99">
        <f t="shared" si="8"/>
        <v>13133739.094127139</v>
      </c>
      <c r="H35" s="99">
        <f t="shared" si="8"/>
        <v>14090995.910966381</v>
      </c>
      <c r="I35" s="99">
        <f t="shared" si="8"/>
        <v>9369472.2283670567</v>
      </c>
      <c r="J35" s="100">
        <f>SUM(E35:I35)</f>
        <v>80787882.58912462</v>
      </c>
      <c r="K35" s="2" t="b">
        <f>J35=SUMIF('C | PTRM escalation'!$F$10:$F$162,"Replacement",'C | PTRM escalation'!$BU$10:$BU$162)</f>
        <v>1</v>
      </c>
    </row>
    <row r="36" spans="1:11" x14ac:dyDescent="0.3">
      <c r="A36" s="109"/>
      <c r="B36" s="223"/>
      <c r="C36" s="224"/>
      <c r="D36" s="224"/>
      <c r="E36" s="224"/>
      <c r="F36" s="224"/>
      <c r="G36" s="224"/>
      <c r="H36" s="224"/>
      <c r="I36" s="224"/>
      <c r="J36" s="225"/>
    </row>
    <row r="37" spans="1:11" x14ac:dyDescent="0.3">
      <c r="A37" s="13"/>
      <c r="B37" s="11" t="s">
        <v>330</v>
      </c>
      <c r="C37" s="96" t="s">
        <v>120</v>
      </c>
      <c r="D37" s="96" t="s">
        <v>119</v>
      </c>
      <c r="E37" s="91" t="s">
        <v>53</v>
      </c>
      <c r="F37" s="91" t="s">
        <v>52</v>
      </c>
      <c r="G37" s="91" t="s">
        <v>51</v>
      </c>
      <c r="H37" s="91" t="s">
        <v>50</v>
      </c>
      <c r="I37" s="91" t="s">
        <v>49</v>
      </c>
    </row>
    <row r="38" spans="1:11" x14ac:dyDescent="0.3">
      <c r="A38" s="31"/>
      <c r="B38" s="31" t="s">
        <v>148</v>
      </c>
      <c r="C38" s="98">
        <f>SUMIF('C | RFM escalation'!$B$11:$B$160,$B38,'C | RFM escalation'!AC$11:AC$160)</f>
        <v>0</v>
      </c>
      <c r="D38" s="98">
        <f>SUMIF('C | RFM escalation'!$B$11:$B$160,$B38,'C | RFM escalation'!AD$11:AD$160)</f>
        <v>0</v>
      </c>
      <c r="E38" s="98">
        <f>SUMIF('C | PTRM escalation'!$B$11:$B$160,$B38,'C | PTRM escalation'!BP$11:BP$160)</f>
        <v>576611.80495190294</v>
      </c>
      <c r="F38" s="98">
        <f>SUMIF('C | PTRM escalation'!$B$11:$B$160,$B38,'C | PTRM escalation'!BQ$11:BQ$160)</f>
        <v>0</v>
      </c>
      <c r="G38" s="98">
        <f>SUMIF('C | PTRM escalation'!$B$11:$B$160,$B38,'C | PTRM escalation'!BR$11:BR$160)</f>
        <v>0</v>
      </c>
      <c r="H38" s="98">
        <f>SUMIF('C | PTRM escalation'!$B$11:$B$160,$B38,'C | PTRM escalation'!BS$11:BS$160)</f>
        <v>0</v>
      </c>
      <c r="I38" s="98">
        <f>SUMIF('C | PTRM escalation'!$B$11:$B$160,$B38,'C | PTRM escalation'!BT$11:BT$160)</f>
        <v>0</v>
      </c>
    </row>
    <row r="39" spans="1:11" x14ac:dyDescent="0.3">
      <c r="A39" s="31"/>
      <c r="B39" s="31" t="s">
        <v>297</v>
      </c>
      <c r="C39" s="98">
        <f>SUMIF('C | RFM escalation'!$B$11:$B$160,$B39,'C | RFM escalation'!AC$11:AC$160)</f>
        <v>0</v>
      </c>
      <c r="D39" s="98">
        <f>SUMIF('C | RFM escalation'!$B$11:$B$160,$B39,'C | RFM escalation'!AD$11:AD$160)</f>
        <v>0</v>
      </c>
      <c r="E39" s="98">
        <f>SUMIF('C | PTRM escalation'!$B$11:$B$160,$B39,'C | PTRM escalation'!BP$11:BP$160)</f>
        <v>0</v>
      </c>
      <c r="F39" s="98">
        <f>SUMIF('C | PTRM escalation'!$B$11:$B$160,$B39,'C | PTRM escalation'!BQ$11:BQ$160)</f>
        <v>693196.2798994754</v>
      </c>
      <c r="G39" s="98">
        <f>SUMIF('C | PTRM escalation'!$B$11:$B$160,$B39,'C | PTRM escalation'!BR$11:BR$160)</f>
        <v>0</v>
      </c>
      <c r="H39" s="98">
        <f>SUMIF('C | PTRM escalation'!$B$11:$B$160,$B39,'C | PTRM escalation'!BS$11:BS$160)</f>
        <v>0</v>
      </c>
      <c r="I39" s="98">
        <f>SUMIF('C | PTRM escalation'!$B$11:$B$160,$B39,'C | PTRM escalation'!BT$11:BT$160)</f>
        <v>0</v>
      </c>
    </row>
    <row r="40" spans="1:11" x14ac:dyDescent="0.3">
      <c r="A40" s="31"/>
      <c r="B40" s="31" t="s">
        <v>298</v>
      </c>
      <c r="C40" s="98">
        <f>SUMIF('C | RFM escalation'!$B$11:$B$160,$B40,'C | RFM escalation'!AC$11:AC$160)</f>
        <v>0</v>
      </c>
      <c r="D40" s="98">
        <f>SUMIF('C | RFM escalation'!$B$11:$B$160,$B40,'C | RFM escalation'!AD$11:AD$160)</f>
        <v>0</v>
      </c>
      <c r="E40" s="98">
        <f>SUMIF('C | PTRM escalation'!$B$11:$B$160,$B40,'C | PTRM escalation'!BP$11:BP$160)</f>
        <v>0</v>
      </c>
      <c r="F40" s="98">
        <f>SUMIF('C | PTRM escalation'!$B$11:$B$160,$B40,'C | PTRM escalation'!BQ$11:BQ$160)</f>
        <v>0</v>
      </c>
      <c r="G40" s="98">
        <f>SUMIF('C | PTRM escalation'!$B$11:$B$160,$B40,'C | PTRM escalation'!BR$11:BR$160)</f>
        <v>1042949.8437277968</v>
      </c>
      <c r="H40" s="98">
        <f>SUMIF('C | PTRM escalation'!$B$11:$B$160,$B40,'C | PTRM escalation'!BS$11:BS$160)</f>
        <v>0</v>
      </c>
      <c r="I40" s="98">
        <f>SUMIF('C | PTRM escalation'!$B$11:$B$160,$B40,'C | PTRM escalation'!BT$11:BT$160)</f>
        <v>0</v>
      </c>
    </row>
    <row r="41" spans="1:11" x14ac:dyDescent="0.3">
      <c r="A41" s="31"/>
      <c r="B41" s="31" t="s">
        <v>58</v>
      </c>
      <c r="C41" s="98">
        <f>SUMIF('C | RFM escalation'!$B$11:$B$160,$B41,'C | RFM escalation'!AC$11:AC$160)</f>
        <v>0</v>
      </c>
      <c r="D41" s="98">
        <f>SUMIF('C | RFM escalation'!$B$11:$B$160,$B41,'C | RFM escalation'!AD$11:AD$160)</f>
        <v>0</v>
      </c>
      <c r="E41" s="98">
        <f>SUMIF('C | PTRM escalation'!$B$11:$B$160,$B41,'C | PTRM escalation'!BP$11:BP$160)</f>
        <v>0</v>
      </c>
      <c r="F41" s="98">
        <f>SUMIF('C | PTRM escalation'!$B$11:$B$160,$B41,'C | PTRM escalation'!BQ$11:BQ$160)</f>
        <v>0</v>
      </c>
      <c r="G41" s="98">
        <f>SUMIF('C | PTRM escalation'!$B$11:$B$160,$B41,'C | PTRM escalation'!BR$11:BR$160)</f>
        <v>92706.652775804163</v>
      </c>
      <c r="H41" s="98">
        <f>SUMIF('C | PTRM escalation'!$B$11:$B$160,$B41,'C | PTRM escalation'!BS$11:BS$160)</f>
        <v>1658189.9527894123</v>
      </c>
      <c r="I41" s="98">
        <f>SUMIF('C | PTRM escalation'!$B$11:$B$160,$B41,'C | PTRM escalation'!BT$11:BT$160)</f>
        <v>877385.77245766018</v>
      </c>
    </row>
    <row r="42" spans="1:11" x14ac:dyDescent="0.3">
      <c r="A42" s="31"/>
      <c r="B42" s="31" t="s">
        <v>299</v>
      </c>
      <c r="C42" s="98">
        <f>SUMIF('C | RFM escalation'!$B$11:$B$160,$B42,'C | RFM escalation'!AC$11:AC$160)</f>
        <v>0</v>
      </c>
      <c r="D42" s="98">
        <f>SUMIF('C | RFM escalation'!$B$11:$B$160,$B42,'C | RFM escalation'!AD$11:AD$160)</f>
        <v>0</v>
      </c>
      <c r="E42" s="98">
        <f>SUMIF('C | PTRM escalation'!$B$11:$B$160,$B42,'C | PTRM escalation'!BP$11:BP$160)</f>
        <v>1845157.7758460895</v>
      </c>
      <c r="F42" s="98">
        <f>SUMIF('C | PTRM escalation'!$B$11:$B$160,$B42,'C | PTRM escalation'!BQ$11:BQ$160)</f>
        <v>0</v>
      </c>
      <c r="G42" s="98">
        <f>SUMIF('C | PTRM escalation'!$B$11:$B$160,$B42,'C | PTRM escalation'!BR$11:BR$160)</f>
        <v>0</v>
      </c>
      <c r="H42" s="98">
        <f>SUMIF('C | PTRM escalation'!$B$11:$B$160,$B42,'C | PTRM escalation'!BS$11:BS$160)</f>
        <v>0</v>
      </c>
      <c r="I42" s="98">
        <f>SUMIF('C | PTRM escalation'!$B$11:$B$160,$B42,'C | PTRM escalation'!BT$11:BT$160)</f>
        <v>0</v>
      </c>
    </row>
    <row r="43" spans="1:11" x14ac:dyDescent="0.3">
      <c r="A43" s="31"/>
      <c r="B43" s="31" t="s">
        <v>300</v>
      </c>
      <c r="C43" s="98">
        <f>SUMIF('C | RFM escalation'!$B$11:$B$160,$B43,'C | RFM escalation'!AC$11:AC$160)</f>
        <v>0</v>
      </c>
      <c r="D43" s="98">
        <f>SUMIF('C | RFM escalation'!$B$11:$B$160,$B43,'C | RFM escalation'!AD$11:AD$160)</f>
        <v>0</v>
      </c>
      <c r="E43" s="98">
        <f>SUMIF('C | PTRM escalation'!$B$11:$B$160,$B43,'C | PTRM escalation'!BP$11:BP$160)</f>
        <v>1153223.6099038059</v>
      </c>
      <c r="F43" s="98">
        <f>SUMIF('C | PTRM escalation'!$B$11:$B$160,$B43,'C | PTRM escalation'!BQ$11:BQ$160)</f>
        <v>577663.56658289605</v>
      </c>
      <c r="G43" s="98">
        <f>SUMIF('C | PTRM escalation'!$B$11:$B$160,$B43,'C | PTRM escalation'!BR$11:BR$160)</f>
        <v>0</v>
      </c>
      <c r="H43" s="98">
        <f>SUMIF('C | PTRM escalation'!$B$11:$B$160,$B43,'C | PTRM escalation'!BS$11:BS$160)</f>
        <v>0</v>
      </c>
      <c r="I43" s="98">
        <f>SUMIF('C | PTRM escalation'!$B$11:$B$160,$B43,'C | PTRM escalation'!BT$11:BT$160)</f>
        <v>0</v>
      </c>
    </row>
    <row r="44" spans="1:11" x14ac:dyDescent="0.3">
      <c r="A44" s="31"/>
      <c r="B44" s="31" t="s">
        <v>301</v>
      </c>
      <c r="C44" s="98">
        <f>SUMIF('C | RFM escalation'!$B$11:$B$160,$B44,'C | RFM escalation'!AC$11:AC$160)</f>
        <v>0</v>
      </c>
      <c r="D44" s="98">
        <f>SUMIF('C | RFM escalation'!$B$11:$B$160,$B44,'C | RFM escalation'!AD$11:AD$160)</f>
        <v>0</v>
      </c>
      <c r="E44" s="98">
        <f>SUMIF('C | PTRM escalation'!$B$11:$B$160,$B44,'C | PTRM escalation'!BP$11:BP$160)</f>
        <v>0</v>
      </c>
      <c r="F44" s="98">
        <f>SUMIF('C | PTRM escalation'!$B$11:$B$160,$B44,'C | PTRM escalation'!BQ$11:BQ$160)</f>
        <v>982028.06319092342</v>
      </c>
      <c r="G44" s="98">
        <f>SUMIF('C | PTRM escalation'!$B$11:$B$160,$B44,'C | PTRM escalation'!BR$11:BR$160)</f>
        <v>985008.18574291933</v>
      </c>
      <c r="H44" s="98">
        <f>SUMIF('C | PTRM escalation'!$B$11:$B$160,$B44,'C | PTRM escalation'!BS$11:BS$160)</f>
        <v>989035.37810042524</v>
      </c>
      <c r="I44" s="98">
        <f>SUMIF('C | PTRM escalation'!$B$11:$B$160,$B44,'C | PTRM escalation'!BT$11:BT$160)</f>
        <v>262449.72846315691</v>
      </c>
    </row>
    <row r="45" spans="1:11" x14ac:dyDescent="0.3">
      <c r="A45" s="31"/>
      <c r="B45" s="31" t="s">
        <v>302</v>
      </c>
      <c r="C45" s="98">
        <f>SUMIF('C | RFM escalation'!$B$11:$B$160,$B45,'C | RFM escalation'!AC$11:AC$160)</f>
        <v>0</v>
      </c>
      <c r="D45" s="98">
        <f>SUMIF('C | RFM escalation'!$B$11:$B$160,$B45,'C | RFM escalation'!AD$11:AD$160)</f>
        <v>0</v>
      </c>
      <c r="E45" s="98">
        <f>SUMIF('C | PTRM escalation'!$B$11:$B$160,$B45,'C | PTRM escalation'!BP$11:BP$160)</f>
        <v>0</v>
      </c>
      <c r="F45" s="98">
        <f>SUMIF('C | PTRM escalation'!$B$11:$B$160,$B45,'C | PTRM escalation'!BQ$11:BQ$160)</f>
        <v>982028.06319092342</v>
      </c>
      <c r="G45" s="98">
        <f>SUMIF('C | PTRM escalation'!$B$11:$B$160,$B45,'C | PTRM escalation'!BR$11:BR$160)</f>
        <v>985008.18574291933</v>
      </c>
      <c r="H45" s="98">
        <f>SUMIF('C | PTRM escalation'!$B$11:$B$160,$B45,'C | PTRM escalation'!BS$11:BS$160)</f>
        <v>989035.37810042524</v>
      </c>
      <c r="I45" s="98">
        <f>SUMIF('C | PTRM escalation'!$B$11:$B$160,$B45,'C | PTRM escalation'!BT$11:BT$160)</f>
        <v>262449.72846315691</v>
      </c>
    </row>
    <row r="46" spans="1:11" x14ac:dyDescent="0.3">
      <c r="A46" s="31"/>
      <c r="B46" s="31" t="s">
        <v>303</v>
      </c>
      <c r="C46" s="98">
        <f>SUMIF('C | RFM escalation'!$B$11:$B$160,$B46,'C | RFM escalation'!AC$11:AC$160)</f>
        <v>0</v>
      </c>
      <c r="D46" s="98">
        <f>SUMIF('C | RFM escalation'!$B$11:$B$160,$B46,'C | RFM escalation'!AD$11:AD$160)</f>
        <v>0</v>
      </c>
      <c r="E46" s="98">
        <f>SUMIF('C | PTRM escalation'!$B$11:$B$160,$B46,'C | PTRM escalation'!BP$11:BP$160)</f>
        <v>1729835.4148557086</v>
      </c>
      <c r="F46" s="98">
        <f>SUMIF('C | PTRM escalation'!$B$11:$B$160,$B46,'C | PTRM escalation'!BQ$11:BQ$160)</f>
        <v>1732990.6997486884</v>
      </c>
      <c r="G46" s="98">
        <f>SUMIF('C | PTRM escalation'!$B$11:$B$160,$B46,'C | PTRM escalation'!BR$11:BR$160)</f>
        <v>1738249.7395463281</v>
      </c>
      <c r="H46" s="98">
        <f>SUMIF('C | PTRM escalation'!$B$11:$B$160,$B46,'C | PTRM escalation'!BS$11:BS$160)</f>
        <v>1745356.5495889855</v>
      </c>
      <c r="I46" s="98">
        <f>SUMIF('C | PTRM escalation'!$B$11:$B$160,$B46,'C | PTRM escalation'!BT$11:BT$160)</f>
        <v>1749664.856421046</v>
      </c>
    </row>
    <row r="47" spans="1:11" x14ac:dyDescent="0.3">
      <c r="A47" s="31"/>
      <c r="B47" s="31" t="s">
        <v>304</v>
      </c>
      <c r="C47" s="98">
        <f>SUMIF('C | RFM escalation'!$B$11:$B$160,$B47,'C | RFM escalation'!AC$11:AC$160)</f>
        <v>0</v>
      </c>
      <c r="D47" s="98">
        <f>SUMIF('C | RFM escalation'!$B$11:$B$160,$B47,'C | RFM escalation'!AD$11:AD$160)</f>
        <v>0</v>
      </c>
      <c r="E47" s="98">
        <f>SUMIF('C | PTRM escalation'!$B$11:$B$160,$B47,'C | PTRM escalation'!BP$11:BP$160)</f>
        <v>922578.88792304473</v>
      </c>
      <c r="F47" s="98">
        <f>SUMIF('C | PTRM escalation'!$B$11:$B$160,$B47,'C | PTRM escalation'!BQ$11:BQ$160)</f>
        <v>924261.70653263386</v>
      </c>
      <c r="G47" s="98">
        <f>SUMIF('C | PTRM escalation'!$B$11:$B$160,$B47,'C | PTRM escalation'!BR$11:BR$160)</f>
        <v>927066.52775804175</v>
      </c>
      <c r="H47" s="98">
        <f>SUMIF('C | PTRM escalation'!$B$11:$B$160,$B47,'C | PTRM escalation'!BS$11:BS$160)</f>
        <v>930856.82644745905</v>
      </c>
      <c r="I47" s="98">
        <f>SUMIF('C | PTRM escalation'!$B$11:$B$160,$B47,'C | PTRM escalation'!BT$11:BT$160)</f>
        <v>933154.59009122464</v>
      </c>
    </row>
    <row r="48" spans="1:11" x14ac:dyDescent="0.3">
      <c r="A48" s="31"/>
      <c r="B48" s="31" t="s">
        <v>305</v>
      </c>
      <c r="C48" s="98">
        <f>SUMIF('C | RFM escalation'!$B$11:$B$160,$B48,'C | RFM escalation'!AC$11:AC$160)</f>
        <v>0</v>
      </c>
      <c r="D48" s="98">
        <f>SUMIF('C | RFM escalation'!$B$11:$B$160,$B48,'C | RFM escalation'!AD$11:AD$160)</f>
        <v>0</v>
      </c>
      <c r="E48" s="98">
        <f>SUMIF('C | PTRM escalation'!$B$11:$B$160,$B48,'C | PTRM escalation'!BP$11:BP$160)</f>
        <v>922578.88792304473</v>
      </c>
      <c r="F48" s="98">
        <f>SUMIF('C | PTRM escalation'!$B$11:$B$160,$B48,'C | PTRM escalation'!BQ$11:BQ$160)</f>
        <v>0</v>
      </c>
      <c r="G48" s="98">
        <f>SUMIF('C | PTRM escalation'!$B$11:$B$160,$B48,'C | PTRM escalation'!BR$11:BR$160)</f>
        <v>0</v>
      </c>
      <c r="H48" s="98">
        <f>SUMIF('C | PTRM escalation'!$B$11:$B$160,$B48,'C | PTRM escalation'!BS$11:BS$160)</f>
        <v>0</v>
      </c>
      <c r="I48" s="98">
        <f>SUMIF('C | PTRM escalation'!$B$11:$B$160,$B48,'C | PTRM escalation'!BT$11:BT$160)</f>
        <v>0</v>
      </c>
    </row>
    <row r="49" spans="1:9" x14ac:dyDescent="0.3">
      <c r="A49" s="31"/>
      <c r="B49" s="31" t="s">
        <v>306</v>
      </c>
      <c r="C49" s="98">
        <f>SUMIF('C | RFM escalation'!$B$11:$B$160,$B49,'C | RFM escalation'!AC$11:AC$160)</f>
        <v>0</v>
      </c>
      <c r="D49" s="98">
        <f>SUMIF('C | RFM escalation'!$B$11:$B$160,$B49,'C | RFM escalation'!AD$11:AD$160)</f>
        <v>0</v>
      </c>
      <c r="E49" s="98">
        <f>SUMIF('C | PTRM escalation'!$B$11:$B$160,$B49,'C | PTRM escalation'!BP$11:BP$160)</f>
        <v>3587595.6183108268</v>
      </c>
      <c r="F49" s="98">
        <f>SUMIF('C | PTRM escalation'!$B$11:$B$160,$B49,'C | PTRM escalation'!BQ$11:BQ$160)</f>
        <v>4315263.5304146837</v>
      </c>
      <c r="G49" s="98">
        <f>SUMIF('C | PTRM escalation'!$B$11:$B$160,$B49,'C | PTRM escalation'!BR$11:BR$160)</f>
        <v>0</v>
      </c>
      <c r="H49" s="98">
        <f>SUMIF('C | PTRM escalation'!$B$11:$B$160,$B49,'C | PTRM escalation'!BS$11:BS$160)</f>
        <v>0</v>
      </c>
      <c r="I49" s="98">
        <f>SUMIF('C | PTRM escalation'!$B$11:$B$160,$B49,'C | PTRM escalation'!BT$11:BT$160)</f>
        <v>0</v>
      </c>
    </row>
    <row r="50" spans="1:9" x14ac:dyDescent="0.3">
      <c r="A50" s="31"/>
      <c r="B50" s="31" t="s">
        <v>307</v>
      </c>
      <c r="C50" s="98">
        <f>SUMIF('C | RFM escalation'!$B$11:$B$160,$B50,'C | RFM escalation'!AC$11:AC$160)</f>
        <v>0</v>
      </c>
      <c r="D50" s="98">
        <f>SUMIF('C | RFM escalation'!$B$11:$B$160,$B50,'C | RFM escalation'!AD$11:AD$160)</f>
        <v>725504</v>
      </c>
      <c r="E50" s="98">
        <f>SUMIF('C | PTRM escalation'!$B$11:$B$160,$B50,'C | PTRM escalation'!BP$11:BP$160)</f>
        <v>0</v>
      </c>
      <c r="F50" s="98">
        <f>SUMIF('C | PTRM escalation'!$B$11:$B$160,$B50,'C | PTRM escalation'!BQ$11:BQ$160)</f>
        <v>0</v>
      </c>
      <c r="G50" s="98">
        <f>SUMIF('C | PTRM escalation'!$B$11:$B$160,$B50,'C | PTRM escalation'!BR$11:BR$160)</f>
        <v>0</v>
      </c>
      <c r="H50" s="98">
        <f>SUMIF('C | PTRM escalation'!$B$11:$B$160,$B50,'C | PTRM escalation'!BS$11:BS$160)</f>
        <v>0</v>
      </c>
      <c r="I50" s="98">
        <f>SUMIF('C | PTRM escalation'!$B$11:$B$160,$B50,'C | PTRM escalation'!BT$11:BT$160)</f>
        <v>0</v>
      </c>
    </row>
    <row r="51" spans="1:9" x14ac:dyDescent="0.3">
      <c r="A51" s="31"/>
      <c r="B51" s="31" t="s">
        <v>308</v>
      </c>
      <c r="C51" s="98">
        <f>SUMIF('C | RFM escalation'!$B$11:$B$160,$B51,'C | RFM escalation'!AC$11:AC$160)</f>
        <v>0</v>
      </c>
      <c r="D51" s="98">
        <f>SUMIF('C | RFM escalation'!$B$11:$B$160,$B51,'C | RFM escalation'!AD$11:AD$160)</f>
        <v>0</v>
      </c>
      <c r="E51" s="98">
        <f>SUMIF('C | PTRM escalation'!$B$11:$B$160,$B51,'C | PTRM escalation'!BP$11:BP$160)</f>
        <v>288305.90247595147</v>
      </c>
      <c r="F51" s="98">
        <f>SUMIF('C | PTRM escalation'!$B$11:$B$160,$B51,'C | PTRM escalation'!BQ$11:BQ$160)</f>
        <v>288831.78329144802</v>
      </c>
      <c r="G51" s="98">
        <f>SUMIF('C | PTRM escalation'!$B$11:$B$160,$B51,'C | PTRM escalation'!BR$11:BR$160)</f>
        <v>289708.28992438805</v>
      </c>
      <c r="H51" s="98">
        <f>SUMIF('C | PTRM escalation'!$B$11:$B$160,$B51,'C | PTRM escalation'!BS$11:BS$160)</f>
        <v>290892.75826483092</v>
      </c>
      <c r="I51" s="98">
        <f>SUMIF('C | PTRM escalation'!$B$11:$B$160,$B51,'C | PTRM escalation'!BT$11:BT$160)</f>
        <v>291610.80940350774</v>
      </c>
    </row>
    <row r="52" spans="1:9" x14ac:dyDescent="0.3">
      <c r="A52" s="31"/>
      <c r="B52" s="31" t="s">
        <v>309</v>
      </c>
      <c r="C52" s="98">
        <f>SUMIF('C | RFM escalation'!$B$11:$B$160,$B52,'C | RFM escalation'!AC$11:AC$160)</f>
        <v>0</v>
      </c>
      <c r="D52" s="98">
        <f>SUMIF('C | RFM escalation'!$B$11:$B$160,$B52,'C | RFM escalation'!AD$11:AD$160)</f>
        <v>0</v>
      </c>
      <c r="E52" s="98">
        <f>SUMIF('C | PTRM escalation'!$B$11:$B$160,$B52,'C | PTRM escalation'!BP$11:BP$160)</f>
        <v>1207193.3216236942</v>
      </c>
      <c r="F52" s="98">
        <f>SUMIF('C | PTRM escalation'!$B$11:$B$160,$B52,'C | PTRM escalation'!BQ$11:BQ$160)</f>
        <v>1209395.2876708182</v>
      </c>
      <c r="G52" s="98">
        <f>SUMIF('C | PTRM escalation'!$B$11:$B$160,$B52,'C | PTRM escalation'!BR$11:BR$160)</f>
        <v>1170553.5982747332</v>
      </c>
      <c r="H52" s="98">
        <f>SUMIF('C | PTRM escalation'!$B$11:$B$160,$B52,'C | PTRM escalation'!BS$11:BS$160)</f>
        <v>1155267.7901674125</v>
      </c>
      <c r="I52" s="98">
        <f>SUMIF('C | PTRM escalation'!$B$11:$B$160,$B52,'C | PTRM escalation'!BT$11:BT$160)</f>
        <v>2273313.8861966375</v>
      </c>
    </row>
    <row r="53" spans="1:9" x14ac:dyDescent="0.3">
      <c r="A53" s="31"/>
      <c r="B53" s="31" t="s">
        <v>310</v>
      </c>
      <c r="C53" s="98">
        <f>SUMIF('C | RFM escalation'!$B$11:$B$160,$B53,'C | RFM escalation'!AC$11:AC$160)</f>
        <v>0</v>
      </c>
      <c r="D53" s="98">
        <f>SUMIF('C | RFM escalation'!$B$11:$B$160,$B53,'C | RFM escalation'!AD$11:AD$160)</f>
        <v>0</v>
      </c>
      <c r="E53" s="98">
        <f>SUMIF('C | PTRM escalation'!$B$11:$B$160,$B53,'C | PTRM escalation'!BP$11:BP$160)</f>
        <v>10379012.489134252</v>
      </c>
      <c r="F53" s="98">
        <f>SUMIF('C | PTRM escalation'!$B$11:$B$160,$B53,'C | PTRM escalation'!BQ$11:BQ$160)</f>
        <v>0</v>
      </c>
      <c r="G53" s="98">
        <f>SUMIF('C | PTRM escalation'!$B$11:$B$160,$B53,'C | PTRM escalation'!BR$11:BR$160)</f>
        <v>0</v>
      </c>
      <c r="H53" s="98">
        <f>SUMIF('C | PTRM escalation'!$B$11:$B$160,$B53,'C | PTRM escalation'!BS$11:BS$160)</f>
        <v>0</v>
      </c>
      <c r="I53" s="98">
        <f>SUMIF('C | PTRM escalation'!$B$11:$B$160,$B53,'C | PTRM escalation'!BT$11:BT$160)</f>
        <v>0</v>
      </c>
    </row>
    <row r="54" spans="1:9" x14ac:dyDescent="0.3">
      <c r="A54" s="31"/>
      <c r="B54" s="31" t="s">
        <v>59</v>
      </c>
      <c r="C54" s="98">
        <f>SUMIF('C | RFM escalation'!$B$11:$B$160,$B54,'C | RFM escalation'!AC$11:AC$160)</f>
        <v>0</v>
      </c>
      <c r="D54" s="98">
        <f>SUMIF('C | RFM escalation'!$B$11:$B$160,$B54,'C | RFM escalation'!AD$11:AD$160)</f>
        <v>0</v>
      </c>
      <c r="E54" s="98">
        <f>SUMIF('C | PTRM escalation'!$B$11:$B$160,$B54,'C | PTRM escalation'!BP$11:BP$160)</f>
        <v>230644.72198076118</v>
      </c>
      <c r="F54" s="98">
        <f>SUMIF('C | PTRM escalation'!$B$11:$B$160,$B54,'C | PTRM escalation'!BQ$11:BQ$160)</f>
        <v>231065.42663315847</v>
      </c>
      <c r="G54" s="98">
        <f>SUMIF('C | PTRM escalation'!$B$11:$B$160,$B54,'C | PTRM escalation'!BR$11:BR$160)</f>
        <v>231766.63193951044</v>
      </c>
      <c r="H54" s="98">
        <f>SUMIF('C | PTRM escalation'!$B$11:$B$160,$B54,'C | PTRM escalation'!BS$11:BS$160)</f>
        <v>232714.20661186476</v>
      </c>
      <c r="I54" s="98">
        <f>SUMIF('C | PTRM escalation'!$B$11:$B$160,$B54,'C | PTRM escalation'!BT$11:BT$160)</f>
        <v>233288.64752280616</v>
      </c>
    </row>
    <row r="55" spans="1:9" x14ac:dyDescent="0.3">
      <c r="A55" s="31"/>
      <c r="B55" s="31" t="s">
        <v>60</v>
      </c>
      <c r="C55" s="98">
        <f>SUMIF('C | RFM escalation'!$B$11:$B$160,$B55,'C | RFM escalation'!AC$11:AC$160)</f>
        <v>0</v>
      </c>
      <c r="D55" s="98">
        <f>SUMIF('C | RFM escalation'!$B$11:$B$160,$B55,'C | RFM escalation'!AD$11:AD$160)</f>
        <v>0</v>
      </c>
      <c r="E55" s="98">
        <f>SUMIF('C | PTRM escalation'!$B$11:$B$160,$B55,'C | PTRM escalation'!BP$11:BP$160)</f>
        <v>403628.26346633211</v>
      </c>
      <c r="F55" s="98">
        <f>SUMIF('C | PTRM escalation'!$B$11:$B$160,$B55,'C | PTRM escalation'!BQ$11:BQ$160)</f>
        <v>404364.49660802732</v>
      </c>
      <c r="G55" s="98">
        <f>SUMIF('C | PTRM escalation'!$B$11:$B$160,$B55,'C | PTRM escalation'!BR$11:BR$160)</f>
        <v>405591.60589414329</v>
      </c>
      <c r="H55" s="98">
        <f>SUMIF('C | PTRM escalation'!$B$11:$B$160,$B55,'C | PTRM escalation'!BS$11:BS$160)</f>
        <v>407249.86157076334</v>
      </c>
      <c r="I55" s="98">
        <f>SUMIF('C | PTRM escalation'!$B$11:$B$160,$B55,'C | PTRM escalation'!BT$11:BT$160)</f>
        <v>408255.13316491083</v>
      </c>
    </row>
    <row r="56" spans="1:9" x14ac:dyDescent="0.3">
      <c r="A56" s="31"/>
      <c r="B56" s="31" t="s">
        <v>93</v>
      </c>
      <c r="C56" s="98">
        <f>SUMIF('C | RFM escalation'!$B$11:$B$160,$B56,'C | RFM escalation'!AC$11:AC$160)</f>
        <v>0</v>
      </c>
      <c r="D56" s="98">
        <f>SUMIF('C | RFM escalation'!$B$11:$B$160,$B56,'C | RFM escalation'!AD$11:AD$160)</f>
        <v>0</v>
      </c>
      <c r="E56" s="98">
        <f>SUMIF('C | PTRM escalation'!$B$11:$B$160,$B56,'C | PTRM escalation'!BP$11:BP$160)</f>
        <v>230644.72198076118</v>
      </c>
      <c r="F56" s="98">
        <f>SUMIF('C | PTRM escalation'!$B$11:$B$160,$B56,'C | PTRM escalation'!BQ$11:BQ$160)</f>
        <v>231065.42663315847</v>
      </c>
      <c r="G56" s="98">
        <f>SUMIF('C | PTRM escalation'!$B$11:$B$160,$B56,'C | PTRM escalation'!BR$11:BR$160)</f>
        <v>231766.63193951044</v>
      </c>
      <c r="H56" s="98">
        <f>SUMIF('C | PTRM escalation'!$B$11:$B$160,$B56,'C | PTRM escalation'!BS$11:BS$160)</f>
        <v>232714.20661186476</v>
      </c>
      <c r="I56" s="98">
        <f>SUMIF('C | PTRM escalation'!$B$11:$B$160,$B56,'C | PTRM escalation'!BT$11:BT$160)</f>
        <v>233288.64752280616</v>
      </c>
    </row>
    <row r="57" spans="1:9" x14ac:dyDescent="0.3">
      <c r="A57" s="31"/>
      <c r="B57" s="31" t="s">
        <v>262</v>
      </c>
      <c r="C57" s="98">
        <f>SUMIF('C | RFM escalation'!$B$11:$B$160,$B57,'C | RFM escalation'!AC$11:AC$160)</f>
        <v>0</v>
      </c>
      <c r="D57" s="98">
        <f>SUMIF('C | RFM escalation'!$B$11:$B$160,$B57,'C | RFM escalation'!AD$11:AD$160)</f>
        <v>0</v>
      </c>
      <c r="E57" s="98">
        <f>SUMIF('C | PTRM escalation'!$B$11:$B$160,$B57,'C | PTRM escalation'!BP$11:BP$160)</f>
        <v>461289.44396152237</v>
      </c>
      <c r="F57" s="98">
        <f>SUMIF('C | PTRM escalation'!$B$11:$B$160,$B57,'C | PTRM escalation'!BQ$11:BQ$160)</f>
        <v>1386392.5597989508</v>
      </c>
      <c r="G57" s="98">
        <f>SUMIF('C | PTRM escalation'!$B$11:$B$160,$B57,'C | PTRM escalation'!BR$11:BR$160)</f>
        <v>463533.26387902087</v>
      </c>
      <c r="H57" s="98">
        <f>SUMIF('C | PTRM escalation'!$B$11:$B$160,$B57,'C | PTRM escalation'!BS$11:BS$160)</f>
        <v>1396285.2396711886</v>
      </c>
      <c r="I57" s="98">
        <f>SUMIF('C | PTRM escalation'!$B$11:$B$160,$B57,'C | PTRM escalation'!BT$11:BT$160)</f>
        <v>466577.29504561232</v>
      </c>
    </row>
    <row r="58" spans="1:9" x14ac:dyDescent="0.3">
      <c r="A58" s="31"/>
      <c r="B58" s="31" t="s">
        <v>263</v>
      </c>
      <c r="C58" s="98">
        <f>SUMIF('C | RFM escalation'!$B$11:$B$160,$B58,'C | RFM escalation'!AC$11:AC$160)</f>
        <v>0</v>
      </c>
      <c r="D58" s="98">
        <f>SUMIF('C | RFM escalation'!$B$11:$B$160,$B58,'C | RFM escalation'!AD$11:AD$160)</f>
        <v>0</v>
      </c>
      <c r="E58" s="98">
        <f>SUMIF('C | PTRM escalation'!$B$11:$B$160,$B58,'C | PTRM escalation'!BP$11:BP$160)</f>
        <v>259475.31222835631</v>
      </c>
      <c r="F58" s="98">
        <f>SUMIF('C | PTRM escalation'!$B$11:$B$160,$B58,'C | PTRM escalation'!BQ$11:BQ$160)</f>
        <v>1299743.0248115163</v>
      </c>
      <c r="G58" s="98">
        <f>SUMIF('C | PTRM escalation'!$B$11:$B$160,$B58,'C | PTRM escalation'!BR$11:BR$160)</f>
        <v>782212.38279584772</v>
      </c>
      <c r="H58" s="98">
        <f>SUMIF('C | PTRM escalation'!$B$11:$B$160,$B58,'C | PTRM escalation'!BS$11:BS$160)</f>
        <v>785410.44731504354</v>
      </c>
      <c r="I58" s="98">
        <f>SUMIF('C | PTRM escalation'!$B$11:$B$160,$B58,'C | PTRM escalation'!BT$11:BT$160)</f>
        <v>262449.72846315691</v>
      </c>
    </row>
    <row r="59" spans="1:9" x14ac:dyDescent="0.3">
      <c r="A59" s="31"/>
      <c r="B59" s="31" t="s">
        <v>311</v>
      </c>
      <c r="C59" s="98">
        <f>SUMIF('C | RFM escalation'!$B$11:$B$160,$B59,'C | RFM escalation'!AC$11:AC$160)</f>
        <v>0</v>
      </c>
      <c r="D59" s="98">
        <f>SUMIF('C | RFM escalation'!$B$11:$B$160,$B59,'C | RFM escalation'!AD$11:AD$160)</f>
        <v>0</v>
      </c>
      <c r="E59" s="98">
        <f>SUMIF('C | PTRM escalation'!$B$11:$B$160,$B59,'C | PTRM escalation'!BP$11:BP$160)</f>
        <v>0</v>
      </c>
      <c r="F59" s="98">
        <f>SUMIF('C | PTRM escalation'!$B$11:$B$160,$B59,'C | PTRM escalation'!BQ$11:BQ$160)</f>
        <v>0</v>
      </c>
      <c r="G59" s="98">
        <f>SUMIF('C | PTRM escalation'!$B$11:$B$160,$B59,'C | PTRM escalation'!BR$11:BR$160)</f>
        <v>0</v>
      </c>
      <c r="H59" s="98">
        <f>SUMIF('C | PTRM escalation'!$B$11:$B$160,$B59,'C | PTRM escalation'!BS$11:BS$160)</f>
        <v>2327142.0661186473</v>
      </c>
      <c r="I59" s="98">
        <f>SUMIF('C | PTRM escalation'!$B$11:$B$160,$B59,'C | PTRM escalation'!BT$11:BT$160)</f>
        <v>0</v>
      </c>
    </row>
    <row r="60" spans="1:9" x14ac:dyDescent="0.3">
      <c r="A60" s="31"/>
      <c r="B60" s="31" t="s">
        <v>67</v>
      </c>
      <c r="C60" s="98">
        <f>SUMIF('C | RFM escalation'!$B$11:$B$160,$B60,'C | RFM escalation'!AC$11:AC$160)</f>
        <v>0</v>
      </c>
      <c r="D60" s="98">
        <f>SUMIF('C | RFM escalation'!$B$11:$B$160,$B60,'C | RFM escalation'!AD$11:AD$160)</f>
        <v>0</v>
      </c>
      <c r="E60" s="98">
        <f>SUMIF('C | PTRM escalation'!$B$11:$B$160,$B60,'C | PTRM escalation'!BP$11:BP$160)</f>
        <v>0</v>
      </c>
      <c r="F60" s="98">
        <f>SUMIF('C | PTRM escalation'!$B$11:$B$160,$B60,'C | PTRM escalation'!BQ$11:BQ$160)</f>
        <v>0</v>
      </c>
      <c r="G60" s="98">
        <f>SUMIF('C | PTRM escalation'!$B$11:$B$160,$B60,'C | PTRM escalation'!BR$11:BR$160)</f>
        <v>2897082.8992438801</v>
      </c>
      <c r="H60" s="98">
        <f>SUMIF('C | PTRM escalation'!$B$11:$B$160,$B60,'C | PTRM escalation'!BS$11:BS$160)</f>
        <v>0</v>
      </c>
      <c r="I60" s="98">
        <f>SUMIF('C | PTRM escalation'!$B$11:$B$160,$B60,'C | PTRM escalation'!BT$11:BT$160)</f>
        <v>0</v>
      </c>
    </row>
    <row r="61" spans="1:9" x14ac:dyDescent="0.3">
      <c r="A61" s="31"/>
      <c r="B61" s="31" t="s">
        <v>68</v>
      </c>
      <c r="C61" s="98">
        <f>SUMIF('C | RFM escalation'!$B$11:$B$160,$B61,'C | RFM escalation'!AC$11:AC$160)</f>
        <v>0</v>
      </c>
      <c r="D61" s="98">
        <f>SUMIF('C | RFM escalation'!$B$11:$B$160,$B61,'C | RFM escalation'!AD$11:AD$160)</f>
        <v>0</v>
      </c>
      <c r="E61" s="98">
        <f>SUMIF('C | PTRM escalation'!$B$11:$B$160,$B61,'C | PTRM escalation'!BP$11:BP$160)</f>
        <v>369059.73307839507</v>
      </c>
      <c r="F61" s="98">
        <f>SUMIF('C | PTRM escalation'!$B$11:$B$160,$B61,'C | PTRM escalation'!BQ$11:BQ$160)</f>
        <v>369059.73307839507</v>
      </c>
      <c r="G61" s="98">
        <f>SUMIF('C | PTRM escalation'!$B$11:$B$160,$B61,'C | PTRM escalation'!BR$11:BR$160)</f>
        <v>369059.73307839507</v>
      </c>
      <c r="H61" s="98">
        <f>SUMIF('C | PTRM escalation'!$B$11:$B$160,$B61,'C | PTRM escalation'!BS$11:BS$160)</f>
        <v>369059.73307839507</v>
      </c>
      <c r="I61" s="98">
        <f>SUMIF('C | PTRM escalation'!$B$11:$B$160,$B61,'C | PTRM escalation'!BT$11:BT$160)</f>
        <v>369059.73307839507</v>
      </c>
    </row>
    <row r="62" spans="1:9" x14ac:dyDescent="0.3">
      <c r="A62" s="31"/>
      <c r="B62" s="31" t="s">
        <v>312</v>
      </c>
      <c r="C62" s="98">
        <f>SUMIF('C | RFM escalation'!$B$11:$B$160,$B62,'C | RFM escalation'!AC$11:AC$160)</f>
        <v>1553344.83</v>
      </c>
      <c r="D62" s="98">
        <f>SUMIF('C | RFM escalation'!$B$11:$B$160,$B62,'C | RFM escalation'!AD$11:AD$160)</f>
        <v>811104.414536</v>
      </c>
      <c r="E62" s="98">
        <f>SUMIF('C | PTRM escalation'!$B$11:$B$160,$B62,'C | PTRM escalation'!BP$11:BP$160)</f>
        <v>0</v>
      </c>
      <c r="F62" s="98">
        <f>SUMIF('C | PTRM escalation'!$B$11:$B$160,$B62,'C | PTRM escalation'!BQ$11:BQ$160)</f>
        <v>0</v>
      </c>
      <c r="G62" s="98">
        <f>SUMIF('C | PTRM escalation'!$B$11:$B$160,$B62,'C | PTRM escalation'!BR$11:BR$160)</f>
        <v>0</v>
      </c>
      <c r="H62" s="98">
        <f>SUMIF('C | PTRM escalation'!$B$11:$B$160,$B62,'C | PTRM escalation'!BS$11:BS$160)</f>
        <v>0</v>
      </c>
      <c r="I62" s="98">
        <f>SUMIF('C | PTRM escalation'!$B$11:$B$160,$B62,'C | PTRM escalation'!BT$11:BT$160)</f>
        <v>0</v>
      </c>
    </row>
    <row r="63" spans="1:9" x14ac:dyDescent="0.3">
      <c r="A63" s="31"/>
      <c r="B63" s="31" t="s">
        <v>313</v>
      </c>
      <c r="C63" s="98">
        <f>SUMIF('C | RFM escalation'!$B$11:$B$160,$B63,'C | RFM escalation'!AC$11:AC$160)</f>
        <v>0</v>
      </c>
      <c r="D63" s="98">
        <f>SUMIF('C | RFM escalation'!$B$11:$B$160,$B63,'C | RFM escalation'!AD$11:AD$160)</f>
        <v>0</v>
      </c>
      <c r="E63" s="98">
        <f>SUMIF('C | PTRM escalation'!$B$11:$B$160,$B63,'C | PTRM escalation'!BP$11:BP$160)</f>
        <v>372709.18526120106</v>
      </c>
      <c r="F63" s="98">
        <f>SUMIF('C | PTRM escalation'!$B$11:$B$160,$B63,'C | PTRM escalation'!BQ$11:BQ$160)</f>
        <v>0</v>
      </c>
      <c r="G63" s="98">
        <f>SUMIF('C | PTRM escalation'!$B$11:$B$160,$B63,'C | PTRM escalation'!BR$11:BR$160)</f>
        <v>0</v>
      </c>
      <c r="H63" s="98">
        <f>SUMIF('C | PTRM escalation'!$B$11:$B$160,$B63,'C | PTRM escalation'!BS$11:BS$160)</f>
        <v>0</v>
      </c>
      <c r="I63" s="98">
        <f>SUMIF('C | PTRM escalation'!$B$11:$B$160,$B63,'C | PTRM escalation'!BT$11:BT$160)</f>
        <v>0</v>
      </c>
    </row>
    <row r="64" spans="1:9" x14ac:dyDescent="0.3">
      <c r="A64" s="31"/>
      <c r="B64" s="31" t="s">
        <v>314</v>
      </c>
      <c r="C64" s="98">
        <f>SUMIF('C | RFM escalation'!$B$11:$B$160,$B64,'C | RFM escalation'!AC$11:AC$160)</f>
        <v>801150</v>
      </c>
      <c r="D64" s="98">
        <f>SUMIF('C | RFM escalation'!$B$11:$B$160,$B64,'C | RFM escalation'!AD$11:AD$160)</f>
        <v>57827.203200000004</v>
      </c>
      <c r="E64" s="98">
        <f>SUMIF('C | PTRM escalation'!$B$11:$B$160,$B64,'C | PTRM escalation'!BP$11:BP$160)</f>
        <v>0</v>
      </c>
      <c r="F64" s="98">
        <f>SUMIF('C | PTRM escalation'!$B$11:$B$160,$B64,'C | PTRM escalation'!BQ$11:BQ$160)</f>
        <v>0</v>
      </c>
      <c r="G64" s="98">
        <f>SUMIF('C | PTRM escalation'!$B$11:$B$160,$B64,'C | PTRM escalation'!BR$11:BR$160)</f>
        <v>0</v>
      </c>
      <c r="H64" s="98">
        <f>SUMIF('C | PTRM escalation'!$B$11:$B$160,$B64,'C | PTRM escalation'!BS$11:BS$160)</f>
        <v>0</v>
      </c>
      <c r="I64" s="98">
        <f>SUMIF('C | PTRM escalation'!$B$11:$B$160,$B64,'C | PTRM escalation'!BT$11:BT$160)</f>
        <v>0</v>
      </c>
    </row>
    <row r="65" spans="1:10" x14ac:dyDescent="0.3">
      <c r="A65" s="31"/>
      <c r="B65" s="31" t="s">
        <v>315</v>
      </c>
      <c r="C65" s="98">
        <f>SUMIF('C | RFM escalation'!$B$11:$B$160,$B65,'C | RFM escalation'!AC$11:AC$160)</f>
        <v>708500</v>
      </c>
      <c r="D65" s="98">
        <f>SUMIF('C | RFM escalation'!$B$11:$B$160,$B65,'C | RFM escalation'!AD$11:AD$160)</f>
        <v>303643.18264800002</v>
      </c>
      <c r="E65" s="98">
        <f>SUMIF('C | PTRM escalation'!$B$11:$B$160,$B65,'C | PTRM escalation'!BP$11:BP$160)</f>
        <v>0</v>
      </c>
      <c r="F65" s="98">
        <f>SUMIF('C | PTRM escalation'!$B$11:$B$160,$B65,'C | PTRM escalation'!BQ$11:BQ$160)</f>
        <v>0</v>
      </c>
      <c r="G65" s="98">
        <f>SUMIF('C | PTRM escalation'!$B$11:$B$160,$B65,'C | PTRM escalation'!BR$11:BR$160)</f>
        <v>0</v>
      </c>
      <c r="H65" s="98">
        <f>SUMIF('C | PTRM escalation'!$B$11:$B$160,$B65,'C | PTRM escalation'!BS$11:BS$160)</f>
        <v>0</v>
      </c>
      <c r="I65" s="98">
        <f>SUMIF('C | PTRM escalation'!$B$11:$B$160,$B65,'C | PTRM escalation'!BT$11:BT$160)</f>
        <v>0</v>
      </c>
    </row>
    <row r="66" spans="1:10" x14ac:dyDescent="0.3">
      <c r="A66" s="31"/>
      <c r="B66" s="31" t="s">
        <v>316</v>
      </c>
      <c r="C66" s="98">
        <f>SUMIF('C | RFM escalation'!$B$11:$B$160,$B66,'C | RFM escalation'!AC$11:AC$160)</f>
        <v>54500</v>
      </c>
      <c r="D66" s="98">
        <f>SUMIF('C | RFM escalation'!$B$11:$B$160,$B66,'C | RFM escalation'!AD$11:AD$160)</f>
        <v>856622.97759999998</v>
      </c>
      <c r="E66" s="98">
        <f>SUMIF('C | PTRM escalation'!$B$11:$B$160,$B66,'C | PTRM escalation'!BP$11:BP$160)</f>
        <v>0</v>
      </c>
      <c r="F66" s="98">
        <f>SUMIF('C | PTRM escalation'!$B$11:$B$160,$B66,'C | PTRM escalation'!BQ$11:BQ$160)</f>
        <v>0</v>
      </c>
      <c r="G66" s="98">
        <f>SUMIF('C | PTRM escalation'!$B$11:$B$160,$B66,'C | PTRM escalation'!BR$11:BR$160)</f>
        <v>0</v>
      </c>
      <c r="H66" s="98">
        <f>SUMIF('C | PTRM escalation'!$B$11:$B$160,$B66,'C | PTRM escalation'!BS$11:BS$160)</f>
        <v>0</v>
      </c>
      <c r="I66" s="98">
        <f>SUMIF('C | PTRM escalation'!$B$11:$B$160,$B66,'C | PTRM escalation'!BT$11:BT$160)</f>
        <v>0</v>
      </c>
    </row>
    <row r="67" spans="1:10" x14ac:dyDescent="0.3">
      <c r="A67" s="31"/>
      <c r="B67" s="31" t="s">
        <v>317</v>
      </c>
      <c r="C67" s="98">
        <f>SUMIF('C | RFM escalation'!$B$11:$B$160,$B67,'C | RFM escalation'!AC$11:AC$160)</f>
        <v>0</v>
      </c>
      <c r="D67" s="98">
        <f>SUMIF('C | RFM escalation'!$B$11:$B$160,$B67,'C | RFM escalation'!AD$11:AD$160)</f>
        <v>1303241.02948</v>
      </c>
      <c r="E67" s="98">
        <f>SUMIF('C | PTRM escalation'!$B$11:$B$160,$B67,'C | PTRM escalation'!BP$11:BP$160)</f>
        <v>0</v>
      </c>
      <c r="F67" s="98">
        <f>SUMIF('C | PTRM escalation'!$B$11:$B$160,$B67,'C | PTRM escalation'!BQ$11:BQ$160)</f>
        <v>0</v>
      </c>
      <c r="G67" s="98">
        <f>SUMIF('C | PTRM escalation'!$B$11:$B$160,$B67,'C | PTRM escalation'!BR$11:BR$160)</f>
        <v>0</v>
      </c>
      <c r="H67" s="98">
        <f>SUMIF('C | PTRM escalation'!$B$11:$B$160,$B67,'C | PTRM escalation'!BS$11:BS$160)</f>
        <v>0</v>
      </c>
      <c r="I67" s="98">
        <f>SUMIF('C | PTRM escalation'!$B$11:$B$160,$B67,'C | PTRM escalation'!BT$11:BT$160)</f>
        <v>0</v>
      </c>
    </row>
    <row r="68" spans="1:10" x14ac:dyDescent="0.3">
      <c r="A68" s="31"/>
      <c r="B68" s="31" t="s">
        <v>318</v>
      </c>
      <c r="C68" s="98">
        <f>SUMIF('C | RFM escalation'!$B$11:$B$160,$B68,'C | RFM escalation'!AC$11:AC$160)</f>
        <v>0</v>
      </c>
      <c r="D68" s="98">
        <f>SUMIF('C | RFM escalation'!$B$11:$B$160,$B68,'C | RFM escalation'!AD$11:AD$160)</f>
        <v>0</v>
      </c>
      <c r="E68" s="98">
        <f>SUMIF('C | PTRM escalation'!$B$11:$B$160,$B68,'C | PTRM escalation'!BP$11:BP$160)</f>
        <v>0</v>
      </c>
      <c r="F68" s="98">
        <f>SUMIF('C | PTRM escalation'!$B$11:$B$160,$B68,'C | PTRM escalation'!BQ$11:BQ$160)</f>
        <v>0</v>
      </c>
      <c r="G68" s="98">
        <f>SUMIF('C | PTRM escalation'!$B$11:$B$160,$B68,'C | PTRM escalation'!BR$11:BR$160)</f>
        <v>0</v>
      </c>
      <c r="H68" s="98">
        <f>SUMIF('C | PTRM escalation'!$B$11:$B$160,$B68,'C | PTRM escalation'!BS$11:BS$160)</f>
        <v>0</v>
      </c>
      <c r="I68" s="98">
        <f>SUMIF('C | PTRM escalation'!$B$11:$B$160,$B68,'C | PTRM escalation'!BT$11:BT$160)</f>
        <v>0</v>
      </c>
    </row>
    <row r="69" spans="1:10" x14ac:dyDescent="0.3">
      <c r="A69" s="31"/>
      <c r="B69" s="31" t="s">
        <v>319</v>
      </c>
      <c r="C69" s="98">
        <f>SUMIF('C | RFM escalation'!$B$11:$B$160,$B69,'C | RFM escalation'!AC$11:AC$160)</f>
        <v>353406.57706077903</v>
      </c>
      <c r="D69" s="98">
        <f>SUMIF('C | RFM escalation'!$B$11:$B$160,$B69,'C | RFM escalation'!AD$11:AD$160)</f>
        <v>367542.84014321025</v>
      </c>
      <c r="E69" s="98">
        <f>SUMIF('C | PTRM escalation'!$B$11:$B$160,$B69,'C | PTRM escalation'!BP$11:BP$160)</f>
        <v>0</v>
      </c>
      <c r="F69" s="98">
        <f>SUMIF('C | PTRM escalation'!$B$11:$B$160,$B69,'C | PTRM escalation'!BQ$11:BQ$160)</f>
        <v>0</v>
      </c>
      <c r="G69" s="98">
        <f>SUMIF('C | PTRM escalation'!$B$11:$B$160,$B69,'C | PTRM escalation'!BR$11:BR$160)</f>
        <v>0</v>
      </c>
      <c r="H69" s="98">
        <f>SUMIF('C | PTRM escalation'!$B$11:$B$160,$B69,'C | PTRM escalation'!BS$11:BS$160)</f>
        <v>0</v>
      </c>
      <c r="I69" s="98">
        <f>SUMIF('C | PTRM escalation'!$B$11:$B$160,$B69,'C | PTRM escalation'!BT$11:BT$160)</f>
        <v>0</v>
      </c>
    </row>
    <row r="70" spans="1:10" x14ac:dyDescent="0.3">
      <c r="A70" s="31"/>
      <c r="B70" s="31" t="s">
        <v>320</v>
      </c>
      <c r="C70" s="98">
        <f>SUMIF('C | RFM escalation'!$B$11:$B$160,$B70,'C | RFM escalation'!AC$11:AC$160)</f>
        <v>0</v>
      </c>
      <c r="D70" s="98">
        <f>SUMIF('C | RFM escalation'!$B$11:$B$160,$B70,'C | RFM escalation'!AD$11:AD$160)</f>
        <v>0</v>
      </c>
      <c r="E70" s="98">
        <f>SUMIF('C | PTRM escalation'!$B$11:$B$160,$B70,'C | PTRM escalation'!BP$11:BP$160)</f>
        <v>0</v>
      </c>
      <c r="F70" s="98">
        <f>SUMIF('C | PTRM escalation'!$B$11:$B$160,$B70,'C | PTRM escalation'!BQ$11:BQ$160)</f>
        <v>0</v>
      </c>
      <c r="G70" s="98">
        <f>SUMIF('C | PTRM escalation'!$B$11:$B$160,$B70,'C | PTRM escalation'!BR$11:BR$160)</f>
        <v>0</v>
      </c>
      <c r="H70" s="98">
        <f>SUMIF('C | PTRM escalation'!$B$11:$B$160,$B70,'C | PTRM escalation'!BS$11:BS$160)</f>
        <v>0</v>
      </c>
      <c r="I70" s="98">
        <f>SUMIF('C | PTRM escalation'!$B$11:$B$160,$B70,'C | PTRM escalation'!BT$11:BT$160)</f>
        <v>0</v>
      </c>
    </row>
    <row r="71" spans="1:10" x14ac:dyDescent="0.3">
      <c r="A71" s="31"/>
      <c r="B71" s="31" t="s">
        <v>321</v>
      </c>
      <c r="C71" s="98">
        <f t="shared" ref="C71:I71" si="9">C35-SUM(C38:C70)</f>
        <v>3292027.8099999991</v>
      </c>
      <c r="D71" s="98">
        <f t="shared" si="9"/>
        <v>10179429.704496</v>
      </c>
      <c r="E71" s="98">
        <f t="shared" si="9"/>
        <v>518950.62445671111</v>
      </c>
      <c r="F71" s="98">
        <f t="shared" si="9"/>
        <v>3107829.9882159829</v>
      </c>
      <c r="G71" s="98">
        <f t="shared" si="9"/>
        <v>521474.92186389863</v>
      </c>
      <c r="H71" s="98">
        <f t="shared" si="9"/>
        <v>581785.51652966253</v>
      </c>
      <c r="I71" s="98">
        <f t="shared" si="9"/>
        <v>746523.67207297869</v>
      </c>
      <c r="J71" s="91" t="s">
        <v>36</v>
      </c>
    </row>
    <row r="72" spans="1:10" x14ac:dyDescent="0.3">
      <c r="A72" s="36"/>
      <c r="B72" s="33"/>
      <c r="C72" s="99">
        <f t="shared" ref="C72:I72" si="10">SUM(C38:C71)</f>
        <v>6762929.2170607783</v>
      </c>
      <c r="D72" s="99">
        <f t="shared" si="10"/>
        <v>14604915.352103211</v>
      </c>
      <c r="E72" s="99">
        <f t="shared" si="10"/>
        <v>25458495.719362363</v>
      </c>
      <c r="F72" s="99">
        <f t="shared" si="10"/>
        <v>18735179.636301681</v>
      </c>
      <c r="G72" s="99">
        <f t="shared" si="10"/>
        <v>13133739.094127139</v>
      </c>
      <c r="H72" s="99">
        <f t="shared" si="10"/>
        <v>14090995.910966381</v>
      </c>
      <c r="I72" s="99">
        <f t="shared" si="10"/>
        <v>9369472.2283670567</v>
      </c>
      <c r="J72" s="100">
        <f>SUM(E72:I72)</f>
        <v>80787882.58912462</v>
      </c>
    </row>
    <row r="73" spans="1:10" x14ac:dyDescent="0.3">
      <c r="A73" s="109"/>
      <c r="B73" s="223"/>
      <c r="C73" s="224"/>
      <c r="D73" s="224"/>
      <c r="E73" s="224"/>
      <c r="F73" s="224"/>
      <c r="G73" s="224"/>
      <c r="H73" s="224"/>
      <c r="I73" s="224"/>
      <c r="J73" s="225"/>
    </row>
    <row r="74" spans="1:10" x14ac:dyDescent="0.3">
      <c r="A74" s="13"/>
      <c r="B74" s="11" t="s">
        <v>331</v>
      </c>
      <c r="C74" s="96" t="s">
        <v>120</v>
      </c>
      <c r="D74" s="96" t="s">
        <v>119</v>
      </c>
      <c r="E74" s="91" t="s">
        <v>53</v>
      </c>
      <c r="F74" s="91" t="s">
        <v>52</v>
      </c>
      <c r="G74" s="91" t="s">
        <v>51</v>
      </c>
      <c r="H74" s="91" t="s">
        <v>50</v>
      </c>
      <c r="I74" s="91" t="s">
        <v>49</v>
      </c>
    </row>
    <row r="75" spans="1:10" x14ac:dyDescent="0.3">
      <c r="A75" s="31"/>
      <c r="B75" s="31" t="s">
        <v>322</v>
      </c>
      <c r="C75" s="98">
        <f>'C | RFM escalation'!K54+'C | RFM escalation'!N54</f>
        <v>309192.30769230769</v>
      </c>
      <c r="D75" s="98">
        <f>'C | RFM escalation'!L54+'C | RFM escalation'!O54</f>
        <v>60589.515876851634</v>
      </c>
      <c r="E75" s="98">
        <f>SUMIF('C | PTRM escalation'!$F$11:$F$160,"Non-network",'C | PTRM escalation'!AG$11:AG$160)</f>
        <v>0</v>
      </c>
      <c r="F75" s="98">
        <f>SUMIF('C | PTRM escalation'!$F$11:$F$160,"Non-network",'C | PTRM escalation'!AH$11:AH$160)</f>
        <v>0</v>
      </c>
      <c r="G75" s="98">
        <f>SUMIF('C | PTRM escalation'!$F$11:$F$160,"Non-network",'C | PTRM escalation'!AI$11:AI$160)</f>
        <v>82794.03874564264</v>
      </c>
      <c r="H75" s="98">
        <f>SUMIF('C | PTRM escalation'!$F$11:$F$160,"Non-network",'C | PTRM escalation'!AJ$11:AJ$160)</f>
        <v>435527.6993325419</v>
      </c>
      <c r="I75" s="98">
        <f>SUMIF('C | PTRM escalation'!$F$11:$F$160,"Non-network",'C | PTRM escalation'!AK$11:AK$160)</f>
        <v>79450.675273537432</v>
      </c>
    </row>
    <row r="76" spans="1:10" x14ac:dyDescent="0.3">
      <c r="A76" s="31"/>
      <c r="B76" s="31" t="s">
        <v>323</v>
      </c>
      <c r="C76" s="98">
        <f>SUMIF('C | RFM escalation'!$F$11:$F$160,$B76,'C | RFM escalation'!AC$11:AC$160)-SUMIF($B$12:$B$15,$B76,C$12:C$15)</f>
        <v>0</v>
      </c>
      <c r="D76" s="98">
        <f>SUMIF('C | RFM escalation'!$F$11:$F$160,$B76,'C | RFM escalation'!AD$11:AD$160)-SUMIF($B$12:$B$15,$B76,D$12:D$15)</f>
        <v>0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</row>
    <row r="77" spans="1:10" x14ac:dyDescent="0.3">
      <c r="A77" s="31"/>
      <c r="B77" s="31" t="s">
        <v>324</v>
      </c>
      <c r="C77" s="98">
        <f>SUMIF('C | RFM escalation'!$F$11:$F$160,$B77,'C | RFM escalation'!AC$11:AC$160)-SUMIF($B$12:$B$15,$B77,C$12:C$15)</f>
        <v>0</v>
      </c>
      <c r="D77" s="98">
        <f>SUMIF('C | RFM escalation'!$F$11:$F$160,$B77,'C | RFM escalation'!AD$11:AD$160)-SUMIF($B$12:$B$15,$B77,D$12:D$15)</f>
        <v>0</v>
      </c>
      <c r="E77" s="98">
        <v>0</v>
      </c>
      <c r="F77" s="98">
        <v>0</v>
      </c>
      <c r="G77" s="98">
        <v>0</v>
      </c>
      <c r="H77" s="98">
        <v>0</v>
      </c>
      <c r="I77" s="98">
        <v>0</v>
      </c>
    </row>
    <row r="78" spans="1:10" x14ac:dyDescent="0.3">
      <c r="A78" s="31"/>
      <c r="B78" s="31" t="s">
        <v>325</v>
      </c>
      <c r="C78" s="98">
        <f t="shared" ref="C78:H78" si="11">C21-C75</f>
        <v>4047648.1573312501</v>
      </c>
      <c r="D78" s="98">
        <f t="shared" si="11"/>
        <v>1145563.8589423832</v>
      </c>
      <c r="E78" s="98">
        <f t="shared" si="11"/>
        <v>1159810.8449634383</v>
      </c>
      <c r="F78" s="98">
        <f t="shared" si="11"/>
        <v>1159810.8449634383</v>
      </c>
      <c r="G78" s="98">
        <f t="shared" si="11"/>
        <v>1159810.8449634383</v>
      </c>
      <c r="H78" s="98">
        <f t="shared" si="11"/>
        <v>1159810.8449634383</v>
      </c>
      <c r="I78" s="98">
        <f>I21-I75</f>
        <v>1159810.8449634386</v>
      </c>
    </row>
    <row r="79" spans="1:10" x14ac:dyDescent="0.3">
      <c r="A79" s="31"/>
      <c r="B79" s="31" t="s">
        <v>326</v>
      </c>
      <c r="C79" s="98">
        <f t="shared" ref="C79:H79" si="12">C14</f>
        <v>392115.64185212029</v>
      </c>
      <c r="D79" s="98">
        <f t="shared" si="12"/>
        <v>108500.74730481447</v>
      </c>
      <c r="E79" s="98">
        <f t="shared" si="12"/>
        <v>104382.97604670947</v>
      </c>
      <c r="F79" s="98">
        <f t="shared" si="12"/>
        <v>104382.97604670947</v>
      </c>
      <c r="G79" s="98">
        <f t="shared" si="12"/>
        <v>111634.86232139728</v>
      </c>
      <c r="H79" s="98">
        <f t="shared" si="12"/>
        <v>142100.77451518073</v>
      </c>
      <c r="I79" s="98">
        <f>I14</f>
        <v>111216.92348874113</v>
      </c>
    </row>
    <row r="80" spans="1:10" x14ac:dyDescent="0.3">
      <c r="A80" s="31"/>
      <c r="B80" s="31" t="s">
        <v>10</v>
      </c>
      <c r="C80" s="98"/>
      <c r="D80" s="98">
        <f>SUMIF('C | RFM escalation'!$F$11:$F$160,$B80,'C | RFM escalation'!AD$11:AD$160)-SUMIF($B$12:$B$15,$B80,D$12:D$15)</f>
        <v>0</v>
      </c>
      <c r="E80" s="98">
        <f>SUMIF('C | PTRM escalation'!$G$11:$G$160,$B80,'C | PTRM escalation'!BP$11:BP$160)-SUMIF($B$12:$B$15,$B80,E$12:E$15)</f>
        <v>0</v>
      </c>
      <c r="F80" s="98">
        <f>SUMIF('C | PTRM escalation'!$G$11:$G$160,$B80,'C | PTRM escalation'!BQ$11:BQ$160)-SUMIF($B$12:$B$15,$B80,F$12:F$15)</f>
        <v>0</v>
      </c>
      <c r="G80" s="98">
        <f>SUMIF('C | PTRM escalation'!$G$11:$G$160,$B80,'C | PTRM escalation'!BR$11:BR$160)-SUMIF($B$12:$B$15,$B80,G$12:G$15)</f>
        <v>0</v>
      </c>
      <c r="H80" s="98">
        <f>SUMIF('C | PTRM escalation'!$G$11:$G$160,$B80,'C | PTRM escalation'!BS$11:BS$160)-SUMIF($B$12:$B$15,$B80,H$12:H$15)</f>
        <v>0</v>
      </c>
      <c r="I80" s="98">
        <f>SUMIF('C | PTRM escalation'!$G$11:$G$160,$B80,'C | PTRM escalation'!BT$11:BT$160)-SUMIF($B$12:$B$15,$B80,I$12:I$15)</f>
        <v>0</v>
      </c>
      <c r="J80" s="64" t="s">
        <v>36</v>
      </c>
    </row>
    <row r="81" spans="1:11" x14ac:dyDescent="0.3">
      <c r="A81" s="36"/>
      <c r="B81" s="33"/>
      <c r="C81" s="99">
        <f t="shared" ref="C81:I81" si="13">SUM(C75:C80)</f>
        <v>4748956.1068756776</v>
      </c>
      <c r="D81" s="99">
        <f t="shared" si="13"/>
        <v>1314654.1221240493</v>
      </c>
      <c r="E81" s="99">
        <f t="shared" si="13"/>
        <v>1264193.8210101479</v>
      </c>
      <c r="F81" s="99">
        <f t="shared" si="13"/>
        <v>1264193.8210101479</v>
      </c>
      <c r="G81" s="99">
        <f t="shared" si="13"/>
        <v>1354239.7460304783</v>
      </c>
      <c r="H81" s="99">
        <f t="shared" si="13"/>
        <v>1737439.318811161</v>
      </c>
      <c r="I81" s="99">
        <f t="shared" si="13"/>
        <v>1350478.443725717</v>
      </c>
      <c r="J81" s="100">
        <f>SUM(E81:I81)</f>
        <v>6970545.1505876528</v>
      </c>
      <c r="K81" s="2" t="b">
        <f>J81=SUMIF('C | PTRM escalation'!$F$10:$F$162,"non-Network",'C | PTRM escalation'!$BU$10:$BU$162)</f>
        <v>1</v>
      </c>
    </row>
    <row r="82" spans="1:11" x14ac:dyDescent="0.3">
      <c r="A82" s="109"/>
      <c r="B82" s="223"/>
      <c r="C82" s="224"/>
      <c r="D82" s="224"/>
      <c r="E82" s="224"/>
      <c r="F82" s="224"/>
      <c r="G82" s="224"/>
      <c r="H82" s="224"/>
      <c r="I82" s="224"/>
      <c r="J82" s="225"/>
    </row>
    <row r="83" spans="1:11" x14ac:dyDescent="0.3">
      <c r="A83" s="13"/>
      <c r="B83" s="11" t="s">
        <v>333</v>
      </c>
      <c r="C83" s="96" t="s">
        <v>120</v>
      </c>
      <c r="D83" s="96" t="s">
        <v>119</v>
      </c>
      <c r="E83" s="91" t="s">
        <v>53</v>
      </c>
      <c r="F83" s="91" t="s">
        <v>52</v>
      </c>
      <c r="G83" s="91" t="s">
        <v>51</v>
      </c>
      <c r="H83" s="91" t="s">
        <v>50</v>
      </c>
      <c r="I83" s="91" t="s">
        <v>49</v>
      </c>
    </row>
    <row r="84" spans="1:11" x14ac:dyDescent="0.3">
      <c r="A84" s="31"/>
      <c r="B84" s="31" t="s">
        <v>332</v>
      </c>
      <c r="C84" s="98">
        <f>SUMIF('C | RFM escalation'!$B$11:$B$160,$B84,'C | RFM escalation'!AC$11:AC$160)</f>
        <v>153485.48725328522</v>
      </c>
      <c r="D84" s="98">
        <f>SUMIF('C | RFM escalation'!$B$11:$B$160,$B84,'C | RFM escalation'!AD$11:AD$160)</f>
        <v>159624.90674341662</v>
      </c>
      <c r="E84" s="98">
        <f>SUMIF('C | PTRM escalation'!$B$11:$B$160,$B84,'C | PTRM escalation'!BP$11:BP$160)</f>
        <v>161610.10712943901</v>
      </c>
      <c r="F84" s="98">
        <f>SUMIF('C | PTRM escalation'!$B$11:$B$160,$B84,'C | PTRM escalation'!BQ$11:BQ$160)</f>
        <v>161610.10712943901</v>
      </c>
      <c r="G84" s="98">
        <f>SUMIF('C | PTRM escalation'!$B$11:$B$160,$B84,'C | PTRM escalation'!BR$11:BR$160)</f>
        <v>161610.10712943901</v>
      </c>
      <c r="H84" s="98">
        <f>SUMIF('C | PTRM escalation'!$B$11:$B$160,$B84,'C | PTRM escalation'!BS$11:BS$160)</f>
        <v>161610.10712943901</v>
      </c>
      <c r="I84" s="98">
        <f>SUMIF('C | PTRM escalation'!$B$11:$B$160,$B84,'C | PTRM escalation'!BT$11:BT$160)</f>
        <v>161610.10712943901</v>
      </c>
    </row>
    <row r="85" spans="1:11" x14ac:dyDescent="0.3">
      <c r="A85" s="31"/>
      <c r="B85" s="31" t="s">
        <v>73</v>
      </c>
      <c r="C85" s="98">
        <f>SUMIF('C | RFM escalation'!$B$11:$B$160,$B85,'C | RFM escalation'!AC$11:AC$160)</f>
        <v>3839064.8014272461</v>
      </c>
      <c r="D85" s="98">
        <f>SUMIF('C | RFM escalation'!$B$11:$B$160,$B85,'C | RFM escalation'!AD$11:AD$160)</f>
        <v>652878.04858082824</v>
      </c>
      <c r="E85" s="98">
        <f>SUMIF('C | PTRM escalation'!$B$11:$B$160,$B85,'C | PTRM escalation'!BP$11:BP$160)</f>
        <v>660997.66963815829</v>
      </c>
      <c r="F85" s="98">
        <f>SUMIF('C | PTRM escalation'!$B$11:$B$160,$B85,'C | PTRM escalation'!BQ$11:BQ$160)</f>
        <v>660997.66963815829</v>
      </c>
      <c r="G85" s="98">
        <f>SUMIF('C | PTRM escalation'!$B$11:$B$160,$B85,'C | PTRM escalation'!BR$11:BR$160)</f>
        <v>660997.66963815829</v>
      </c>
      <c r="H85" s="98">
        <f>SUMIF('C | PTRM escalation'!$B$11:$B$160,$B85,'C | PTRM escalation'!BS$11:BS$160)</f>
        <v>660997.66963815829</v>
      </c>
      <c r="I85" s="98">
        <f>SUMIF('C | PTRM escalation'!$B$11:$B$160,$B85,'C | PTRM escalation'!BT$11:BT$160)</f>
        <v>660997.66963815829</v>
      </c>
    </row>
    <row r="86" spans="1:11" x14ac:dyDescent="0.3">
      <c r="A86" s="31"/>
      <c r="B86" s="31" t="s">
        <v>175</v>
      </c>
      <c r="C86" s="98">
        <f>SUMIF('C | RFM escalation'!$B$11:$B$160,$B86,'C | RFM escalation'!AC$11:AC$160)</f>
        <v>202548.06407701308</v>
      </c>
      <c r="D86" s="98">
        <f>SUMIF('C | RFM escalation'!$B$11:$B$160,$B86,'C | RFM escalation'!AD$11:AD$160)</f>
        <v>210649.98664009362</v>
      </c>
      <c r="E86" s="98">
        <f>SUMIF('C | PTRM escalation'!$B$11:$B$160,$B86,'C | PTRM escalation'!BP$11:BP$160)</f>
        <v>213269.76849823259</v>
      </c>
      <c r="F86" s="98">
        <f>SUMIF('C | PTRM escalation'!$B$11:$B$160,$B86,'C | PTRM escalation'!BQ$11:BQ$160)</f>
        <v>213269.76849823259</v>
      </c>
      <c r="G86" s="98">
        <f>SUMIF('C | PTRM escalation'!$B$11:$B$160,$B86,'C | PTRM escalation'!BR$11:BR$160)</f>
        <v>213269.76849823259</v>
      </c>
      <c r="H86" s="98">
        <f>SUMIF('C | PTRM escalation'!$B$11:$B$160,$B86,'C | PTRM escalation'!BS$11:BS$160)</f>
        <v>213269.76849823259</v>
      </c>
      <c r="I86" s="98">
        <f>SUMIF('C | PTRM escalation'!$B$11:$B$160,$B86,'C | PTRM escalation'!BT$11:BT$160)</f>
        <v>213269.76849823259</v>
      </c>
    </row>
    <row r="87" spans="1:11" x14ac:dyDescent="0.3">
      <c r="A87" s="31"/>
      <c r="B87" s="31" t="s">
        <v>176</v>
      </c>
      <c r="C87" s="98">
        <f>SUMIF('C | RFM escalation'!$B$11:$B$160,$B87,'C | RFM escalation'!AC$11:AC$160)</f>
        <v>216838.13873351854</v>
      </c>
      <c r="D87" s="98">
        <f>SUMIF('C | RFM escalation'!$B$11:$B$160,$B87,'C | RFM escalation'!AD$11:AD$160)</f>
        <v>225511.66428285924</v>
      </c>
      <c r="E87" s="98">
        <f>SUMIF('C | PTRM escalation'!$B$11:$B$160,$B87,'C | PTRM escalation'!BP$11:BP$160)</f>
        <v>228316.27574431812</v>
      </c>
      <c r="F87" s="98">
        <f>SUMIF('C | PTRM escalation'!$B$11:$B$160,$B87,'C | PTRM escalation'!BQ$11:BQ$160)</f>
        <v>228316.27574431812</v>
      </c>
      <c r="G87" s="98">
        <f>SUMIF('C | PTRM escalation'!$B$11:$B$160,$B87,'C | PTRM escalation'!BR$11:BR$160)</f>
        <v>228316.27574431812</v>
      </c>
      <c r="H87" s="98">
        <f>SUMIF('C | PTRM escalation'!$B$11:$B$160,$B87,'C | PTRM escalation'!BS$11:BS$160)</f>
        <v>228316.27574431812</v>
      </c>
      <c r="I87" s="98">
        <f>SUMIF('C | PTRM escalation'!$B$11:$B$160,$B87,'C | PTRM escalation'!BT$11:BT$160)</f>
        <v>228316.27574431812</v>
      </c>
    </row>
    <row r="88" spans="1:11" x14ac:dyDescent="0.3">
      <c r="A88" s="31"/>
      <c r="B88" s="31" t="s">
        <v>140</v>
      </c>
      <c r="C88" s="98">
        <f>SUMIF('C | RFM escalation'!$B$11:$B$160,$B88,'C | RFM escalation'!AC$11:AC$160)</f>
        <v>337019.61538461538</v>
      </c>
      <c r="D88" s="98">
        <f>SUMIF('C | RFM escalation'!$B$11:$B$160,$B88,'C | RFM escalation'!AD$11:AD$160)</f>
        <v>65989.515876851627</v>
      </c>
      <c r="E88" s="98">
        <f>SUMIF('C | PTRM escalation'!$B$11:$B$160,$B88,'C | PTRM escalation'!BP$11:BP$160)</f>
        <v>0</v>
      </c>
      <c r="F88" s="98">
        <f>SUMIF('C | PTRM escalation'!$B$11:$B$160,$B88,'C | PTRM escalation'!BQ$11:BQ$160)</f>
        <v>0</v>
      </c>
      <c r="G88" s="98">
        <f>SUMIF('C | PTRM escalation'!$B$11:$B$160,$B88,'C | PTRM escalation'!BR$11:BR$160)</f>
        <v>90045.92502033044</v>
      </c>
      <c r="H88" s="98">
        <f>SUMIF('C | PTRM escalation'!$B$11:$B$160,$B88,'C | PTRM escalation'!BS$11:BS$160)</f>
        <v>473245.49780101317</v>
      </c>
      <c r="I88" s="98">
        <f>SUMIF('C | PTRM escalation'!$B$11:$B$160,$B88,'C | PTRM escalation'!BT$11:BT$160)</f>
        <v>86284.622715569087</v>
      </c>
    </row>
    <row r="89" spans="1:11" x14ac:dyDescent="0.3">
      <c r="A89" s="31"/>
      <c r="B89" s="31" t="s">
        <v>321</v>
      </c>
      <c r="C89" s="98">
        <f>C81-SUM(C84:C88)</f>
        <v>0</v>
      </c>
      <c r="D89" s="98">
        <f t="shared" ref="D89:I89" si="14">D81-SUM(D84:D88)</f>
        <v>0</v>
      </c>
      <c r="E89" s="98">
        <f t="shared" si="14"/>
        <v>0</v>
      </c>
      <c r="F89" s="98">
        <f t="shared" si="14"/>
        <v>0</v>
      </c>
      <c r="G89" s="98">
        <f t="shared" si="14"/>
        <v>0</v>
      </c>
      <c r="H89" s="98">
        <f t="shared" si="14"/>
        <v>0</v>
      </c>
      <c r="I89" s="98">
        <f t="shared" si="14"/>
        <v>0</v>
      </c>
      <c r="J89" s="91" t="s">
        <v>36</v>
      </c>
    </row>
    <row r="90" spans="1:11" x14ac:dyDescent="0.3">
      <c r="A90" s="36"/>
      <c r="B90" s="33"/>
      <c r="C90" s="99">
        <f>SUM(C84:C89)</f>
        <v>4748956.1068756776</v>
      </c>
      <c r="D90" s="99">
        <f t="shared" ref="D90:I90" si="15">SUM(D84:D89)</f>
        <v>1314654.1221240493</v>
      </c>
      <c r="E90" s="99">
        <f t="shared" si="15"/>
        <v>1264193.8210101479</v>
      </c>
      <c r="F90" s="99">
        <f t="shared" si="15"/>
        <v>1264193.8210101479</v>
      </c>
      <c r="G90" s="99">
        <f t="shared" si="15"/>
        <v>1354239.7460304783</v>
      </c>
      <c r="H90" s="99">
        <f t="shared" si="15"/>
        <v>1737439.318811161</v>
      </c>
      <c r="I90" s="99">
        <f t="shared" si="15"/>
        <v>1350478.443725717</v>
      </c>
      <c r="J90" s="100">
        <f>SUM(E90:I90)</f>
        <v>6970545.1505876528</v>
      </c>
    </row>
    <row r="91" spans="1:11" x14ac:dyDescent="0.3">
      <c r="A91" s="109"/>
      <c r="B91" s="223"/>
      <c r="C91" s="224"/>
      <c r="D91" s="224"/>
      <c r="E91" s="224"/>
      <c r="F91" s="224"/>
      <c r="G91" s="224"/>
      <c r="H91" s="224"/>
      <c r="I91" s="224"/>
      <c r="J91" s="225"/>
    </row>
    <row r="92" spans="1:11" x14ac:dyDescent="0.3">
      <c r="A92" s="13"/>
      <c r="B92" s="11" t="s">
        <v>129</v>
      </c>
      <c r="C92" s="96" t="s">
        <v>120</v>
      </c>
      <c r="D92" s="96" t="s">
        <v>119</v>
      </c>
      <c r="E92" s="91" t="s">
        <v>53</v>
      </c>
      <c r="F92" s="91" t="s">
        <v>52</v>
      </c>
      <c r="G92" s="91" t="s">
        <v>51</v>
      </c>
      <c r="H92" s="91" t="s">
        <v>50</v>
      </c>
      <c r="I92" s="91" t="s">
        <v>49</v>
      </c>
    </row>
    <row r="93" spans="1:11" x14ac:dyDescent="0.3">
      <c r="A93" s="31"/>
      <c r="B93" s="31" t="s">
        <v>2</v>
      </c>
      <c r="C93" s="31"/>
      <c r="D93" s="31"/>
      <c r="E93" s="31">
        <f>SUMIF('C | PTRM escalation'!$E$11:$E$160,'O | Reset RIN'!$B93,'C | PTRM escalation'!CD$11:CD$160)/10^6</f>
        <v>0</v>
      </c>
      <c r="F93" s="31">
        <f>SUMIF('C | PTRM escalation'!$E$11:$E$160,'O | Reset RIN'!$B93,'C | PTRM escalation'!CE$11:CE$160)/10^6</f>
        <v>0</v>
      </c>
      <c r="G93" s="31">
        <f>SUMIF('C | PTRM escalation'!$E$11:$E$160,'O | Reset RIN'!$B93,'C | PTRM escalation'!CF$11:CF$160)/10^6</f>
        <v>0</v>
      </c>
      <c r="H93" s="31">
        <f>SUMIF('C | PTRM escalation'!$E$11:$E$160,'O | Reset RIN'!$B93,'C | PTRM escalation'!CG$11:CG$160)/10^6</f>
        <v>0.11635710330593238</v>
      </c>
      <c r="I93" s="31">
        <f>SUMIF('C | PTRM escalation'!$E$11:$E$160,'O | Reset RIN'!$B93,'C | PTRM escalation'!CH$11:CH$160)/10^6</f>
        <v>0.11664432376140307</v>
      </c>
    </row>
    <row r="94" spans="1:11" x14ac:dyDescent="0.3">
      <c r="A94" s="31"/>
      <c r="B94" s="31" t="s">
        <v>4</v>
      </c>
      <c r="C94" s="31"/>
      <c r="D94" s="31"/>
      <c r="E94" s="31">
        <f>SUMIF('C | PTRM escalation'!$E$11:$E$160,'O | Reset RIN'!$B94,'C | PTRM escalation'!CD$11:CD$160)/10^6</f>
        <v>0</v>
      </c>
      <c r="F94" s="31">
        <f>SUMIF('C | PTRM escalation'!$E$11:$E$160,'O | Reset RIN'!$B94,'C | PTRM escalation'!CE$11:CE$160)/10^6</f>
        <v>0</v>
      </c>
      <c r="G94" s="31">
        <f>SUMIF('C | PTRM escalation'!$E$11:$E$160,'O | Reset RIN'!$B94,'C | PTRM escalation'!CF$11:CF$160)/10^6</f>
        <v>0</v>
      </c>
      <c r="H94" s="31">
        <f>SUMIF('C | PTRM escalation'!$E$11:$E$160,'O | Reset RIN'!$B94,'C | PTRM escalation'!CG$11:CG$160)/10^6</f>
        <v>0</v>
      </c>
      <c r="I94" s="31">
        <f>SUMIF('C | PTRM escalation'!$E$11:$E$160,'O | Reset RIN'!$B94,'C | PTRM escalation'!CH$11:CH$160)/10^6</f>
        <v>0</v>
      </c>
    </row>
    <row r="95" spans="1:11" x14ac:dyDescent="0.3">
      <c r="A95" s="31"/>
      <c r="B95" s="31" t="s">
        <v>69</v>
      </c>
      <c r="C95" s="31"/>
      <c r="D95" s="31"/>
      <c r="E95" s="31">
        <f>SUMIF('C | PTRM escalation'!$E$11:$E$160,'O | Reset RIN'!$B95,'C | PTRM escalation'!CD$11:CD$160)/10^6</f>
        <v>0</v>
      </c>
      <c r="F95" s="31">
        <f>SUMIF('C | PTRM escalation'!$E$11:$E$160,'O | Reset RIN'!$B95,'C | PTRM escalation'!CE$11:CE$160)/10^6</f>
        <v>0</v>
      </c>
      <c r="G95" s="31">
        <f>SUMIF('C | PTRM escalation'!$E$11:$E$160,'O | Reset RIN'!$B95,'C | PTRM escalation'!CF$11:CF$160)/10^6</f>
        <v>0</v>
      </c>
      <c r="H95" s="31">
        <f>SUMIF('C | PTRM escalation'!$E$11:$E$160,'O | Reset RIN'!$B95,'C | PTRM escalation'!CG$11:CG$160)/10^6</f>
        <v>0</v>
      </c>
      <c r="I95" s="31">
        <f>SUMIF('C | PTRM escalation'!$E$11:$E$160,'O | Reset RIN'!$B95,'C | PTRM escalation'!CH$11:CH$160)/10^6</f>
        <v>0</v>
      </c>
    </row>
    <row r="96" spans="1:11" x14ac:dyDescent="0.3">
      <c r="A96" s="31"/>
      <c r="B96" s="31" t="s">
        <v>70</v>
      </c>
      <c r="C96" s="31"/>
      <c r="D96" s="31"/>
      <c r="E96" s="31">
        <f>SUMIF('C | PTRM escalation'!$E$11:$E$160,'O | Reset RIN'!$B96,'C | PTRM escalation'!CD$11:CD$160)/10^6</f>
        <v>0</v>
      </c>
      <c r="F96" s="31">
        <f>SUMIF('C | PTRM escalation'!$E$11:$E$160,'O | Reset RIN'!$B96,'C | PTRM escalation'!CE$11:CE$160)/10^6</f>
        <v>0</v>
      </c>
      <c r="G96" s="31">
        <f>SUMIF('C | PTRM escalation'!$E$11:$E$160,'O | Reset RIN'!$B96,'C | PTRM escalation'!CF$11:CF$160)/10^6</f>
        <v>0</v>
      </c>
      <c r="H96" s="31">
        <f>SUMIF('C | PTRM escalation'!$E$11:$E$160,'O | Reset RIN'!$B96,'C | PTRM escalation'!CG$11:CG$160)/10^6</f>
        <v>0</v>
      </c>
      <c r="I96" s="31">
        <f>SUMIF('C | PTRM escalation'!$E$11:$E$160,'O | Reset RIN'!$B96,'C | PTRM escalation'!CH$11:CH$160)/10^6</f>
        <v>0</v>
      </c>
    </row>
    <row r="97" spans="1:9" x14ac:dyDescent="0.3">
      <c r="A97" s="31"/>
      <c r="B97" s="31" t="s">
        <v>71</v>
      </c>
      <c r="C97" s="31"/>
      <c r="D97" s="31"/>
      <c r="E97" s="31">
        <f>SUMIF('C | PTRM escalation'!$E$11:$E$160,'O | Reset RIN'!$B97,'C | PTRM escalation'!CD$11:CD$160)/10^6</f>
        <v>0</v>
      </c>
      <c r="F97" s="31">
        <f>SUMIF('C | PTRM escalation'!$E$11:$E$160,'O | Reset RIN'!$B97,'C | PTRM escalation'!CE$11:CE$160)/10^6</f>
        <v>0</v>
      </c>
      <c r="G97" s="31">
        <f>SUMIF('C | PTRM escalation'!$E$11:$E$160,'O | Reset RIN'!$B97,'C | PTRM escalation'!CF$11:CF$160)/10^6</f>
        <v>0</v>
      </c>
      <c r="H97" s="31">
        <f>SUMIF('C | PTRM escalation'!$E$11:$E$160,'O | Reset RIN'!$B97,'C | PTRM escalation'!CG$11:CG$160)/10^6</f>
        <v>0</v>
      </c>
      <c r="I97" s="31">
        <f>SUMIF('C | PTRM escalation'!$E$11:$E$160,'O | Reset RIN'!$B97,'C | PTRM escalation'!CH$11:CH$160)/10^6</f>
        <v>0</v>
      </c>
    </row>
    <row r="98" spans="1:9" x14ac:dyDescent="0.3">
      <c r="A98" s="31"/>
      <c r="B98" s="31" t="s">
        <v>72</v>
      </c>
      <c r="C98" s="31"/>
      <c r="D98" s="31"/>
      <c r="E98" s="31">
        <f>SUMIF('C | PTRM escalation'!$E$11:$E$160,'O | Reset RIN'!$B98,'C | PTRM escalation'!CD$11:CD$160)/10^6</f>
        <v>0</v>
      </c>
      <c r="F98" s="31">
        <f>SUMIF('C | PTRM escalation'!$E$11:$E$160,'O | Reset RIN'!$B98,'C | PTRM escalation'!CE$11:CE$160)/10^6</f>
        <v>0</v>
      </c>
      <c r="G98" s="31">
        <f>SUMIF('C | PTRM escalation'!$E$11:$E$160,'O | Reset RIN'!$B98,'C | PTRM escalation'!CF$11:CF$160)/10^6</f>
        <v>0</v>
      </c>
      <c r="H98" s="31">
        <f>SUMIF('C | PTRM escalation'!$E$11:$E$160,'O | Reset RIN'!$B98,'C | PTRM escalation'!CG$11:CG$160)/10^6</f>
        <v>0</v>
      </c>
      <c r="I98" s="31">
        <f>SUMIF('C | PTRM escalation'!$E$11:$E$160,'O | Reset RIN'!$B98,'C | PTRM escalation'!CH$11:CH$160)/10^6</f>
        <v>0</v>
      </c>
    </row>
    <row r="99" spans="1:9" x14ac:dyDescent="0.3">
      <c r="A99" s="31"/>
      <c r="B99" s="31" t="s">
        <v>73</v>
      </c>
      <c r="C99" s="31"/>
      <c r="D99" s="31"/>
      <c r="E99" s="31">
        <f>SUMIF('C | PTRM escalation'!$E$11:$E$160,'O | Reset RIN'!$B99,'C | PTRM escalation'!CD$11:CD$160)/10^6</f>
        <v>0.66099766963815831</v>
      </c>
      <c r="F99" s="31">
        <f>SUMIF('C | PTRM escalation'!$E$11:$E$160,'O | Reset RIN'!$B99,'C | PTRM escalation'!CE$11:CE$160)/10^6</f>
        <v>0.66099766963815831</v>
      </c>
      <c r="G99" s="31">
        <f>SUMIF('C | PTRM escalation'!$E$11:$E$160,'O | Reset RIN'!$B99,'C | PTRM escalation'!CF$11:CF$160)/10^6</f>
        <v>0.66099766963815831</v>
      </c>
      <c r="H99" s="31">
        <f>SUMIF('C | PTRM escalation'!$E$11:$E$160,'O | Reset RIN'!$B99,'C | PTRM escalation'!CG$11:CG$160)/10^6</f>
        <v>0.66099766963815831</v>
      </c>
      <c r="I99" s="31">
        <f>SUMIF('C | PTRM escalation'!$E$11:$E$160,'O | Reset RIN'!$B99,'C | PTRM escalation'!CH$11:CH$160)/10^6</f>
        <v>0.66099766963815831</v>
      </c>
    </row>
    <row r="100" spans="1:9" x14ac:dyDescent="0.3">
      <c r="A100" s="31"/>
      <c r="B100" s="31" t="s">
        <v>74</v>
      </c>
      <c r="C100" s="31"/>
      <c r="D100" s="31"/>
      <c r="E100" s="31">
        <f>SUMIF('C | PTRM escalation'!$E$11:$E$160,'O | Reset RIN'!$B100,'C | PTRM escalation'!CD$11:CD$160)/10^6</f>
        <v>0.60319615137198979</v>
      </c>
      <c r="F100" s="31">
        <f>SUMIF('C | PTRM escalation'!$E$11:$E$160,'O | Reset RIN'!$B100,'C | PTRM escalation'!CE$11:CE$160)/10^6</f>
        <v>0.60319615137198979</v>
      </c>
      <c r="G100" s="31">
        <f>SUMIF('C | PTRM escalation'!$E$11:$E$160,'O | Reset RIN'!$B100,'C | PTRM escalation'!CF$11:CF$160)/10^6</f>
        <v>0.60319615137198979</v>
      </c>
      <c r="H100" s="31">
        <f>SUMIF('C | PTRM escalation'!$E$11:$E$160,'O | Reset RIN'!$B100,'C | PTRM escalation'!CG$11:CG$160)/10^6</f>
        <v>0.60319615137198979</v>
      </c>
      <c r="I100" s="31">
        <f>SUMIF('C | PTRM escalation'!$E$11:$E$160,'O | Reset RIN'!$B100,'C | PTRM escalation'!CH$11:CH$160)/10^6</f>
        <v>0.60319615137198979</v>
      </c>
    </row>
    <row r="101" spans="1:9" x14ac:dyDescent="0.3">
      <c r="A101" s="31"/>
      <c r="B101" s="31" t="s">
        <v>75</v>
      </c>
      <c r="C101" s="31"/>
      <c r="D101" s="31"/>
      <c r="E101" s="31">
        <f>SUMIF('C | PTRM escalation'!$E$11:$E$160,'O | Reset RIN'!$B101,'C | PTRM escalation'!CD$11:CD$160)/10^6</f>
        <v>0</v>
      </c>
      <c r="F101" s="31">
        <f>SUMIF('C | PTRM escalation'!$E$11:$E$160,'O | Reset RIN'!$B101,'C | PTRM escalation'!CE$11:CE$160)/10^6</f>
        <v>0</v>
      </c>
      <c r="G101" s="31">
        <f>SUMIF('C | PTRM escalation'!$E$11:$E$160,'O | Reset RIN'!$B101,'C | PTRM escalation'!CF$11:CF$160)/10^6</f>
        <v>0</v>
      </c>
      <c r="H101" s="31">
        <f>SUMIF('C | PTRM escalation'!$E$11:$E$160,'O | Reset RIN'!$B101,'C | PTRM escalation'!CG$11:CG$160)/10^6</f>
        <v>0</v>
      </c>
      <c r="I101" s="31">
        <f>SUMIF('C | PTRM escalation'!$E$11:$E$160,'O | Reset RIN'!$B101,'C | PTRM escalation'!CH$11:CH$160)/10^6</f>
        <v>0</v>
      </c>
    </row>
    <row r="102" spans="1:9" x14ac:dyDescent="0.3">
      <c r="A102" s="36"/>
      <c r="B102" s="33" t="s">
        <v>36</v>
      </c>
      <c r="C102" s="33"/>
      <c r="D102" s="33"/>
      <c r="E102" s="33">
        <f>SUM(E93:E101)</f>
        <v>1.264193821010148</v>
      </c>
      <c r="F102" s="33">
        <f>SUM(F93:F101)</f>
        <v>1.264193821010148</v>
      </c>
      <c r="G102" s="33">
        <f>SUM(G93:G101)</f>
        <v>1.264193821010148</v>
      </c>
      <c r="H102" s="33">
        <f>SUM(H93:H101)</f>
        <v>1.3805509243160805</v>
      </c>
      <c r="I102" s="33">
        <f>SUM(I93:I101)</f>
        <v>1.3808381447715512</v>
      </c>
    </row>
    <row r="103" spans="1:9" x14ac:dyDescent="0.3">
      <c r="E103" s="30"/>
      <c r="F103" s="30"/>
      <c r="G103" s="30"/>
      <c r="H103" s="30"/>
      <c r="I103" s="30"/>
    </row>
    <row r="104" spans="1:9" x14ac:dyDescent="0.3">
      <c r="A104" s="13"/>
      <c r="B104" s="11" t="s">
        <v>44</v>
      </c>
      <c r="C104" s="11"/>
      <c r="D104" s="11"/>
      <c r="E104" s="91" t="s">
        <v>53</v>
      </c>
      <c r="F104" s="91" t="s">
        <v>52</v>
      </c>
      <c r="G104" s="91" t="s">
        <v>51</v>
      </c>
      <c r="H104" s="91" t="s">
        <v>50</v>
      </c>
      <c r="I104" s="91" t="s">
        <v>49</v>
      </c>
    </row>
    <row r="105" spans="1:9" x14ac:dyDescent="0.3">
      <c r="A105" s="31"/>
      <c r="B105" s="31" t="s">
        <v>2</v>
      </c>
      <c r="C105" s="31"/>
      <c r="D105" s="31"/>
      <c r="E105" s="31">
        <v>0</v>
      </c>
      <c r="F105" s="31">
        <v>0</v>
      </c>
      <c r="G105" s="31">
        <v>0</v>
      </c>
      <c r="H105" s="31">
        <v>0</v>
      </c>
      <c r="I105" s="31">
        <v>0</v>
      </c>
    </row>
    <row r="106" spans="1:9" x14ac:dyDescent="0.3">
      <c r="A106" s="31"/>
      <c r="B106" s="31" t="s">
        <v>4</v>
      </c>
      <c r="C106" s="31"/>
      <c r="D106" s="31"/>
      <c r="E106" s="31">
        <v>0</v>
      </c>
      <c r="F106" s="31">
        <v>0</v>
      </c>
      <c r="G106" s="31">
        <v>0</v>
      </c>
      <c r="H106" s="31">
        <v>0</v>
      </c>
      <c r="I106" s="31">
        <v>0</v>
      </c>
    </row>
    <row r="107" spans="1:9" x14ac:dyDescent="0.3">
      <c r="A107" s="31"/>
      <c r="B107" s="31" t="s">
        <v>69</v>
      </c>
      <c r="C107" s="31"/>
      <c r="D107" s="31"/>
      <c r="E107" s="31">
        <v>0</v>
      </c>
      <c r="F107" s="31">
        <v>0</v>
      </c>
      <c r="G107" s="31">
        <v>0</v>
      </c>
      <c r="H107" s="31">
        <v>0</v>
      </c>
      <c r="I107" s="31">
        <v>0</v>
      </c>
    </row>
    <row r="108" spans="1:9" x14ac:dyDescent="0.3">
      <c r="A108" s="31"/>
      <c r="B108" s="31" t="s">
        <v>70</v>
      </c>
      <c r="C108" s="31"/>
      <c r="D108" s="31"/>
      <c r="E108" s="31">
        <v>0</v>
      </c>
      <c r="F108" s="31">
        <v>0</v>
      </c>
      <c r="G108" s="31">
        <v>0</v>
      </c>
      <c r="H108" s="31">
        <v>0</v>
      </c>
      <c r="I108" s="31">
        <v>0</v>
      </c>
    </row>
    <row r="109" spans="1:9" x14ac:dyDescent="0.3">
      <c r="A109" s="31"/>
      <c r="B109" s="31" t="s">
        <v>71</v>
      </c>
      <c r="C109" s="31"/>
      <c r="D109" s="31"/>
      <c r="E109" s="31">
        <v>0</v>
      </c>
      <c r="F109" s="31">
        <v>0</v>
      </c>
      <c r="G109" s="31">
        <v>0</v>
      </c>
      <c r="H109" s="31">
        <v>0</v>
      </c>
      <c r="I109" s="31">
        <v>0</v>
      </c>
    </row>
    <row r="110" spans="1:9" x14ac:dyDescent="0.3">
      <c r="A110" s="31"/>
      <c r="B110" s="31" t="s">
        <v>72</v>
      </c>
      <c r="C110" s="31"/>
      <c r="D110" s="31"/>
      <c r="E110" s="31">
        <v>0</v>
      </c>
      <c r="F110" s="34">
        <v>0</v>
      </c>
      <c r="G110" s="31">
        <v>0</v>
      </c>
      <c r="H110" s="31">
        <v>0</v>
      </c>
      <c r="I110" s="31">
        <v>0</v>
      </c>
    </row>
    <row r="111" spans="1:9" x14ac:dyDescent="0.3">
      <c r="A111" s="31"/>
      <c r="B111" s="31" t="s">
        <v>73</v>
      </c>
      <c r="C111" s="31"/>
      <c r="D111" s="31"/>
      <c r="E111" s="31">
        <v>0</v>
      </c>
      <c r="F111" s="31">
        <v>0</v>
      </c>
      <c r="G111" s="31">
        <v>0</v>
      </c>
      <c r="H111" s="31">
        <v>0</v>
      </c>
      <c r="I111" s="31">
        <v>0</v>
      </c>
    </row>
    <row r="112" spans="1:9" x14ac:dyDescent="0.3">
      <c r="A112" s="31"/>
      <c r="B112" s="31" t="s">
        <v>74</v>
      </c>
      <c r="C112" s="31"/>
      <c r="D112" s="31"/>
      <c r="E112" s="31">
        <v>0</v>
      </c>
      <c r="F112" s="31">
        <v>0</v>
      </c>
      <c r="G112" s="31">
        <v>0</v>
      </c>
      <c r="H112" s="31">
        <v>0</v>
      </c>
      <c r="I112" s="31">
        <v>0</v>
      </c>
    </row>
    <row r="113" spans="1:9" x14ac:dyDescent="0.3">
      <c r="A113" s="31"/>
      <c r="B113" s="31" t="s">
        <v>75</v>
      </c>
      <c r="C113" s="31"/>
      <c r="D113" s="31"/>
      <c r="E113" s="31">
        <v>0</v>
      </c>
      <c r="F113" s="31">
        <v>0</v>
      </c>
      <c r="G113" s="31">
        <v>0</v>
      </c>
      <c r="H113" s="31">
        <v>0</v>
      </c>
      <c r="I113" s="31">
        <v>0</v>
      </c>
    </row>
    <row r="114" spans="1:9" x14ac:dyDescent="0.3">
      <c r="A114" s="36"/>
      <c r="B114" s="33" t="s">
        <v>36</v>
      </c>
      <c r="C114" s="33"/>
      <c r="D114" s="33"/>
      <c r="E114" s="33">
        <f>SUM(E105:E113)</f>
        <v>0</v>
      </c>
      <c r="F114" s="35">
        <f>SUM(F105:F113)</f>
        <v>0</v>
      </c>
      <c r="G114" s="33">
        <f>SUM(G105:G113)</f>
        <v>0</v>
      </c>
      <c r="H114" s="33">
        <f>SUM(H105:H113)</f>
        <v>0</v>
      </c>
      <c r="I114" s="33">
        <f>SUM(I105:I113)</f>
        <v>0</v>
      </c>
    </row>
    <row r="115" spans="1:9" s="37" customFormat="1" ht="12.75" x14ac:dyDescent="0.25">
      <c r="B115" s="38"/>
      <c r="C115" s="38"/>
      <c r="D115" s="38"/>
      <c r="E115" s="39"/>
      <c r="F115" s="39"/>
      <c r="G115" s="39"/>
      <c r="H115" s="39"/>
      <c r="I115" s="39"/>
    </row>
    <row r="117" spans="1:9" x14ac:dyDescent="0.3">
      <c r="A117" s="13"/>
      <c r="B117" s="11" t="s">
        <v>45</v>
      </c>
      <c r="C117" s="11"/>
      <c r="D117" s="11"/>
      <c r="E117" s="91" t="s">
        <v>53</v>
      </c>
      <c r="F117" s="91" t="s">
        <v>52</v>
      </c>
      <c r="G117" s="91" t="s">
        <v>51</v>
      </c>
      <c r="H117" s="91" t="s">
        <v>50</v>
      </c>
      <c r="I117" s="91" t="s">
        <v>49</v>
      </c>
    </row>
    <row r="118" spans="1:9" x14ac:dyDescent="0.3">
      <c r="A118" s="31"/>
      <c r="B118" s="31" t="s">
        <v>2</v>
      </c>
      <c r="C118" s="31"/>
      <c r="D118" s="31"/>
      <c r="E118" s="31">
        <f>SUMIF('C | PTRM escalation'!$E$11:$E$160,$B118,'C | PTRM escalation'!BW$11:BW$160)</f>
        <v>18835286.390513357</v>
      </c>
      <c r="F118" s="31">
        <f>SUMIF('C | PTRM escalation'!$E$11:$E$160,$B118,'C | PTRM escalation'!BX$11:BX$160)</f>
        <v>13271127.245962139</v>
      </c>
      <c r="G118" s="31">
        <f>SUMIF('C | PTRM escalation'!$E$11:$E$160,$B118,'C | PTRM escalation'!BY$11:BY$160)</f>
        <v>8268406.7014222397</v>
      </c>
      <c r="H118" s="31">
        <f>SUMIF('C | PTRM escalation'!$E$11:$E$160,$B118,'C | PTRM escalation'!BZ$11:BZ$160)</f>
        <v>8747568.7808794994</v>
      </c>
      <c r="I118" s="31">
        <f>SUMIF('C | PTRM escalation'!$E$11:$E$160,$B118,'C | PTRM escalation'!CA$11:CA$160)</f>
        <v>6093415.4893825883</v>
      </c>
    </row>
    <row r="119" spans="1:9" x14ac:dyDescent="0.3">
      <c r="A119" s="31"/>
      <c r="B119" s="31" t="s">
        <v>4</v>
      </c>
      <c r="C119" s="31"/>
      <c r="D119" s="31"/>
      <c r="E119" s="31">
        <f>SUMIF('C | PTRM escalation'!$E$11:$E$160,$B119,'C | PTRM escalation'!BW$11:BW$160)</f>
        <v>230644.72198076118</v>
      </c>
      <c r="F119" s="31">
        <f>SUMIF('C | PTRM escalation'!$E$11:$E$160,$B119,'C | PTRM escalation'!BX$11:BX$160)</f>
        <v>346598.1399497377</v>
      </c>
      <c r="G119" s="31">
        <f>SUMIF('C | PTRM escalation'!$E$11:$E$160,$B119,'C | PTRM escalation'!BY$11:BY$160)</f>
        <v>231766.63193951044</v>
      </c>
      <c r="H119" s="31">
        <f>SUMIF('C | PTRM escalation'!$E$11:$E$160,$B119,'C | PTRM escalation'!BZ$11:BZ$160)</f>
        <v>232714.20661186476</v>
      </c>
      <c r="I119" s="31">
        <f>SUMIF('C | PTRM escalation'!$E$11:$E$160,$B119,'C | PTRM escalation'!CA$11:CA$160)</f>
        <v>233288.64752280616</v>
      </c>
    </row>
    <row r="120" spans="1:9" x14ac:dyDescent="0.3">
      <c r="A120" s="31"/>
      <c r="B120" s="31" t="s">
        <v>69</v>
      </c>
      <c r="C120" s="31"/>
      <c r="D120" s="31"/>
      <c r="E120" s="31">
        <f>SUMIF('C | PTRM escalation'!$E$11:$E$160,$B120,'C | PTRM escalation'!BW$11:BW$160)</f>
        <v>864917.70742785442</v>
      </c>
      <c r="F120" s="31">
        <f>SUMIF('C | PTRM escalation'!$E$11:$E$160,$B120,'C | PTRM escalation'!BX$11:BX$160)</f>
        <v>866495.34987434419</v>
      </c>
      <c r="G120" s="31">
        <f>SUMIF('C | PTRM escalation'!$E$11:$E$160,$B120,'C | PTRM escalation'!BY$11:BY$160)</f>
        <v>695299.89581853128</v>
      </c>
      <c r="H120" s="31">
        <f>SUMIF('C | PTRM escalation'!$E$11:$E$160,$B120,'C | PTRM escalation'!BZ$11:BZ$160)</f>
        <v>639964.06818262814</v>
      </c>
      <c r="I120" s="31">
        <f>SUMIF('C | PTRM escalation'!$E$11:$E$160,$B120,'C | PTRM escalation'!CA$11:CA$160)</f>
        <v>804845.8339536814</v>
      </c>
    </row>
    <row r="121" spans="1:9" x14ac:dyDescent="0.3">
      <c r="A121" s="31"/>
      <c r="B121" s="31" t="s">
        <v>70</v>
      </c>
      <c r="C121" s="31"/>
      <c r="D121" s="31"/>
      <c r="E121" s="31">
        <f>SUMIF('C | PTRM escalation'!$E$11:$E$160,$B121,'C | PTRM escalation'!BW$11:BW$160)</f>
        <v>0</v>
      </c>
      <c r="F121" s="31">
        <f>SUMIF('C | PTRM escalation'!$E$11:$E$160,$B121,'C | PTRM escalation'!BX$11:BX$160)</f>
        <v>0</v>
      </c>
      <c r="G121" s="31">
        <f>SUMIF('C | PTRM escalation'!$E$11:$E$160,$B121,'C | PTRM escalation'!BY$11:BY$160)</f>
        <v>0</v>
      </c>
      <c r="H121" s="31">
        <f>SUMIF('C | PTRM escalation'!$E$11:$E$160,$B121,'C | PTRM escalation'!BZ$11:BZ$160)</f>
        <v>0</v>
      </c>
      <c r="I121" s="31">
        <f>SUMIF('C | PTRM escalation'!$E$11:$E$160,$B121,'C | PTRM escalation'!CA$11:CA$160)</f>
        <v>0</v>
      </c>
    </row>
    <row r="122" spans="1:9" x14ac:dyDescent="0.3">
      <c r="A122" s="31"/>
      <c r="B122" s="31" t="s">
        <v>71</v>
      </c>
      <c r="C122" s="31"/>
      <c r="D122" s="31"/>
      <c r="E122" s="31">
        <f>SUMIF('C | PTRM escalation'!$E$11:$E$160,$B122,'C | PTRM escalation'!BW$11:BW$160)</f>
        <v>0</v>
      </c>
      <c r="F122" s="31">
        <f>SUMIF('C | PTRM escalation'!$E$11:$E$160,$B122,'C | PTRM escalation'!BX$11:BX$160)</f>
        <v>0</v>
      </c>
      <c r="G122" s="31">
        <f>SUMIF('C | PTRM escalation'!$E$11:$E$160,$B122,'C | PTRM escalation'!BY$11:BY$160)</f>
        <v>0</v>
      </c>
      <c r="H122" s="31">
        <f>SUMIF('C | PTRM escalation'!$E$11:$E$160,$B122,'C | PTRM escalation'!BZ$11:BZ$160)</f>
        <v>0</v>
      </c>
      <c r="I122" s="31">
        <f>SUMIF('C | PTRM escalation'!$E$11:$E$160,$B122,'C | PTRM escalation'!CA$11:CA$160)</f>
        <v>0</v>
      </c>
    </row>
    <row r="123" spans="1:9" x14ac:dyDescent="0.3">
      <c r="A123" s="31"/>
      <c r="B123" s="31" t="s">
        <v>72</v>
      </c>
      <c r="C123" s="31"/>
      <c r="D123" s="31"/>
      <c r="E123" s="31">
        <f>SUMIF('C | PTRM escalation'!$E$11:$E$160,$B123,'C | PTRM escalation'!BW$11:BW$160)</f>
        <v>0</v>
      </c>
      <c r="F123" s="31">
        <f>SUMIF('C | PTRM escalation'!$E$11:$E$160,$B123,'C | PTRM escalation'!BX$11:BX$160)</f>
        <v>0</v>
      </c>
      <c r="G123" s="31">
        <f>SUMIF('C | PTRM escalation'!$E$11:$E$160,$B123,'C | PTRM escalation'!BY$11:BY$160)</f>
        <v>90045.92502033044</v>
      </c>
      <c r="H123" s="31">
        <f>SUMIF('C | PTRM escalation'!$E$11:$E$160,$B123,'C | PTRM escalation'!BZ$11:BZ$160)</f>
        <v>473245.49780101317</v>
      </c>
      <c r="I123" s="31">
        <f>SUMIF('C | PTRM escalation'!$E$11:$E$160,$B123,'C | PTRM escalation'!CA$11:CA$160)</f>
        <v>86284.622715569087</v>
      </c>
    </row>
    <row r="124" spans="1:9" x14ac:dyDescent="0.3">
      <c r="A124" s="31"/>
      <c r="B124" s="31" t="s">
        <v>73</v>
      </c>
      <c r="C124" s="31"/>
      <c r="D124" s="31"/>
      <c r="E124" s="31">
        <f>SUMIF('C | PTRM escalation'!$E$11:$E$160,$B124,'C | PTRM escalation'!BW$11:BW$160)</f>
        <v>660997.66963815829</v>
      </c>
      <c r="F124" s="31">
        <f>SUMIF('C | PTRM escalation'!$E$11:$E$160,$B124,'C | PTRM escalation'!BX$11:BX$160)</f>
        <v>660997.66963815829</v>
      </c>
      <c r="G124" s="31">
        <f>SUMIF('C | PTRM escalation'!$E$11:$E$160,$B124,'C | PTRM escalation'!BY$11:BY$160)</f>
        <v>660997.66963815829</v>
      </c>
      <c r="H124" s="31">
        <f>SUMIF('C | PTRM escalation'!$E$11:$E$160,$B124,'C | PTRM escalation'!BZ$11:BZ$160)</f>
        <v>660997.66963815829</v>
      </c>
      <c r="I124" s="31">
        <f>SUMIF('C | PTRM escalation'!$E$11:$E$160,$B124,'C | PTRM escalation'!CA$11:CA$160)</f>
        <v>660997.66963815829</v>
      </c>
    </row>
    <row r="125" spans="1:9" x14ac:dyDescent="0.3">
      <c r="A125" s="31"/>
      <c r="B125" s="31" t="s">
        <v>74</v>
      </c>
      <c r="C125" s="31"/>
      <c r="D125" s="31"/>
      <c r="E125" s="31">
        <f>SUMIF('C | PTRM escalation'!$E$11:$E$160,$B125,'C | PTRM escalation'!BW$11:BW$160)</f>
        <v>1260561.7869263361</v>
      </c>
      <c r="F125" s="31">
        <f>SUMIF('C | PTRM escalation'!$E$11:$E$160,$B125,'C | PTRM escalation'!BX$11:BX$160)</f>
        <v>1619239.0790232283</v>
      </c>
      <c r="G125" s="31">
        <f>SUMIF('C | PTRM escalation'!$E$11:$E$160,$B125,'C | PTRM escalation'!BY$11:BY$160)</f>
        <v>1435789.1483294056</v>
      </c>
      <c r="H125" s="31">
        <f>SUMIF('C | PTRM escalation'!$E$11:$E$160,$B125,'C | PTRM escalation'!BZ$11:BZ$160)</f>
        <v>1437684.2976741144</v>
      </c>
      <c r="I125" s="31">
        <f>SUMIF('C | PTRM escalation'!$E$11:$E$160,$B125,'C | PTRM escalation'!CA$11:CA$160)</f>
        <v>1438833.179495997</v>
      </c>
    </row>
    <row r="126" spans="1:9" x14ac:dyDescent="0.3">
      <c r="A126" s="31"/>
      <c r="B126" s="31" t="s">
        <v>75</v>
      </c>
      <c r="C126" s="31"/>
      <c r="D126" s="31"/>
      <c r="E126" s="31">
        <f>SUMIF('C | PTRM escalation'!$E$11:$E$160,$B126,'C | PTRM escalation'!BW$11:BW$160)</f>
        <v>0</v>
      </c>
      <c r="F126" s="31">
        <f>SUMIF('C | PTRM escalation'!$E$11:$E$160,$B126,'C | PTRM escalation'!BX$11:BX$160)</f>
        <v>0</v>
      </c>
      <c r="G126" s="31">
        <f>SUMIF('C | PTRM escalation'!$E$11:$E$160,$B126,'C | PTRM escalation'!BY$11:BY$160)</f>
        <v>0</v>
      </c>
      <c r="H126" s="31">
        <f>SUMIF('C | PTRM escalation'!$E$11:$E$160,$B126,'C | PTRM escalation'!BZ$11:BZ$160)</f>
        <v>0</v>
      </c>
      <c r="I126" s="31">
        <f>SUMIF('C | PTRM escalation'!$E$11:$E$160,$B126,'C | PTRM escalation'!CA$11:CA$160)</f>
        <v>0</v>
      </c>
    </row>
    <row r="127" spans="1:9" x14ac:dyDescent="0.3">
      <c r="A127" s="36"/>
      <c r="B127" s="33" t="s">
        <v>36</v>
      </c>
      <c r="C127" s="33"/>
      <c r="D127" s="33"/>
      <c r="E127" s="33">
        <f>SUM(E118:E126)</f>
        <v>21852408.276486468</v>
      </c>
      <c r="F127" s="33">
        <f>SUM(F118:F126)</f>
        <v>16764457.484447608</v>
      </c>
      <c r="G127" s="33">
        <f>SUM(G118:G126)</f>
        <v>11382305.972168176</v>
      </c>
      <c r="H127" s="33">
        <f>SUM(H118:H126)</f>
        <v>12192174.520787278</v>
      </c>
      <c r="I127" s="33">
        <f>SUM(I118:I126)</f>
        <v>9317665.4427088015</v>
      </c>
    </row>
    <row r="128" spans="1:9" s="37" customFormat="1" ht="12.75" x14ac:dyDescent="0.25">
      <c r="B128" s="38"/>
      <c r="C128" s="38"/>
      <c r="D128" s="38"/>
      <c r="E128" s="39"/>
      <c r="F128" s="39"/>
      <c r="G128" s="39"/>
      <c r="H128" s="39"/>
      <c r="I128" s="39"/>
    </row>
    <row r="130" spans="1:9" x14ac:dyDescent="0.3">
      <c r="A130" s="13"/>
      <c r="B130" s="11" t="s">
        <v>46</v>
      </c>
      <c r="C130" s="11"/>
      <c r="D130" s="11"/>
      <c r="E130" s="91" t="s">
        <v>53</v>
      </c>
      <c r="F130" s="91" t="s">
        <v>52</v>
      </c>
      <c r="G130" s="91" t="s">
        <v>51</v>
      </c>
      <c r="H130" s="91" t="s">
        <v>50</v>
      </c>
      <c r="I130" s="91" t="s">
        <v>49</v>
      </c>
    </row>
    <row r="131" spans="1:9" x14ac:dyDescent="0.3">
      <c r="A131" s="31"/>
      <c r="B131" s="31" t="s">
        <v>2</v>
      </c>
      <c r="C131" s="31"/>
      <c r="D131" s="31"/>
      <c r="E131" s="31">
        <v>0</v>
      </c>
      <c r="F131" s="31">
        <v>0</v>
      </c>
      <c r="G131" s="31">
        <v>0</v>
      </c>
      <c r="H131" s="31">
        <v>0</v>
      </c>
      <c r="I131" s="31">
        <v>0</v>
      </c>
    </row>
    <row r="132" spans="1:9" x14ac:dyDescent="0.3">
      <c r="A132" s="31"/>
      <c r="B132" s="31" t="s">
        <v>4</v>
      </c>
      <c r="C132" s="31"/>
      <c r="D132" s="31"/>
      <c r="E132" s="31">
        <v>0</v>
      </c>
      <c r="F132" s="31">
        <v>0</v>
      </c>
      <c r="G132" s="31">
        <v>0</v>
      </c>
      <c r="H132" s="31">
        <v>0</v>
      </c>
      <c r="I132" s="31">
        <v>0</v>
      </c>
    </row>
    <row r="133" spans="1:9" x14ac:dyDescent="0.3">
      <c r="A133" s="31"/>
      <c r="B133" s="31" t="s">
        <v>69</v>
      </c>
      <c r="C133" s="31"/>
      <c r="D133" s="31"/>
      <c r="E133" s="31">
        <v>0</v>
      </c>
      <c r="F133" s="31">
        <v>0</v>
      </c>
      <c r="G133" s="31">
        <v>0</v>
      </c>
      <c r="H133" s="31">
        <v>0</v>
      </c>
      <c r="I133" s="31">
        <v>0</v>
      </c>
    </row>
    <row r="134" spans="1:9" x14ac:dyDescent="0.3">
      <c r="A134" s="31"/>
      <c r="B134" s="31" t="s">
        <v>70</v>
      </c>
      <c r="C134" s="31"/>
      <c r="D134" s="31"/>
      <c r="E134" s="31">
        <v>0</v>
      </c>
      <c r="F134" s="31">
        <v>0</v>
      </c>
      <c r="G134" s="31">
        <v>0</v>
      </c>
      <c r="H134" s="31">
        <v>0</v>
      </c>
      <c r="I134" s="31">
        <v>0</v>
      </c>
    </row>
    <row r="135" spans="1:9" x14ac:dyDescent="0.3">
      <c r="A135" s="31"/>
      <c r="B135" s="31" t="s">
        <v>71</v>
      </c>
      <c r="C135" s="31"/>
      <c r="D135" s="31"/>
      <c r="E135" s="31">
        <v>0</v>
      </c>
      <c r="F135" s="31">
        <v>0</v>
      </c>
      <c r="G135" s="31">
        <v>0</v>
      </c>
      <c r="H135" s="31">
        <v>0</v>
      </c>
      <c r="I135" s="31">
        <v>0</v>
      </c>
    </row>
    <row r="136" spans="1:9" x14ac:dyDescent="0.3">
      <c r="A136" s="31"/>
      <c r="B136" s="31" t="s">
        <v>72</v>
      </c>
      <c r="C136" s="31"/>
      <c r="D136" s="31"/>
      <c r="E136" s="31">
        <v>0</v>
      </c>
      <c r="F136" s="34">
        <v>0</v>
      </c>
      <c r="G136" s="31">
        <v>0</v>
      </c>
      <c r="H136" s="31">
        <v>0</v>
      </c>
      <c r="I136" s="31">
        <v>0</v>
      </c>
    </row>
    <row r="137" spans="1:9" x14ac:dyDescent="0.3">
      <c r="A137" s="31"/>
      <c r="B137" s="31" t="s">
        <v>73</v>
      </c>
      <c r="C137" s="31"/>
      <c r="D137" s="31"/>
      <c r="E137" s="31">
        <v>0</v>
      </c>
      <c r="F137" s="31">
        <v>0</v>
      </c>
      <c r="G137" s="31">
        <v>0</v>
      </c>
      <c r="H137" s="31">
        <v>0</v>
      </c>
      <c r="I137" s="31">
        <v>0</v>
      </c>
    </row>
    <row r="138" spans="1:9" x14ac:dyDescent="0.3">
      <c r="A138" s="31"/>
      <c r="B138" s="31" t="s">
        <v>74</v>
      </c>
      <c r="C138" s="31"/>
      <c r="D138" s="31"/>
      <c r="E138" s="31">
        <v>0</v>
      </c>
      <c r="F138" s="31">
        <v>0</v>
      </c>
      <c r="G138" s="31">
        <v>0</v>
      </c>
      <c r="H138" s="31">
        <v>0</v>
      </c>
      <c r="I138" s="31">
        <v>0</v>
      </c>
    </row>
    <row r="139" spans="1:9" x14ac:dyDescent="0.3">
      <c r="A139" s="31"/>
      <c r="B139" s="31" t="s">
        <v>75</v>
      </c>
      <c r="C139" s="31"/>
      <c r="D139" s="31"/>
      <c r="E139" s="31">
        <v>0</v>
      </c>
      <c r="F139" s="31">
        <v>0</v>
      </c>
      <c r="G139" s="31">
        <v>0</v>
      </c>
      <c r="H139" s="31">
        <v>0</v>
      </c>
      <c r="I139" s="31">
        <v>0</v>
      </c>
    </row>
    <row r="140" spans="1:9" x14ac:dyDescent="0.3">
      <c r="A140" s="36"/>
      <c r="B140" s="33" t="s">
        <v>36</v>
      </c>
      <c r="C140" s="33"/>
      <c r="D140" s="33"/>
      <c r="E140" s="33">
        <f>SUM(E131:E139)</f>
        <v>0</v>
      </c>
      <c r="F140" s="35">
        <f>SUM(F131:F139)</f>
        <v>0</v>
      </c>
      <c r="G140" s="33">
        <f>SUM(G131:G139)</f>
        <v>0</v>
      </c>
      <c r="H140" s="33">
        <f>SUM(H131:H139)</f>
        <v>0</v>
      </c>
      <c r="I140" s="33">
        <f>SUM(I131:I139)</f>
        <v>0</v>
      </c>
    </row>
    <row r="141" spans="1:9" s="37" customFormat="1" ht="12.75" x14ac:dyDescent="0.25">
      <c r="B141" s="38"/>
      <c r="C141" s="38"/>
      <c r="D141" s="38"/>
      <c r="E141" s="39"/>
      <c r="F141" s="39"/>
      <c r="G141" s="39"/>
      <c r="H141" s="39"/>
      <c r="I141" s="39"/>
    </row>
    <row r="144" spans="1:9" x14ac:dyDescent="0.3">
      <c r="E144" s="29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133D2-8822-4859-AFF4-87A4C141C0FF}">
  <sheetPr>
    <tabColor theme="4"/>
  </sheetPr>
  <dimension ref="A1:M312"/>
  <sheetViews>
    <sheetView showGridLines="0" zoomScaleNormal="100" workbookViewId="0">
      <pane ySplit="9" topLeftCell="A209" activePane="bottomLeft" state="frozen"/>
      <selection pane="bottomLeft" activeCell="E308" sqref="E308"/>
    </sheetView>
  </sheetViews>
  <sheetFormatPr defaultColWidth="8.625" defaultRowHeight="16.5" x14ac:dyDescent="0.3"/>
  <cols>
    <col min="1" max="1" width="2.75" style="2" customWidth="1"/>
    <col min="2" max="2" width="61.875" style="3" customWidth="1"/>
    <col min="3" max="3" width="12.625" style="2" customWidth="1"/>
    <col min="4" max="6" width="12.625" style="5" customWidth="1"/>
    <col min="7" max="7" width="12.625" style="3" customWidth="1"/>
    <col min="8" max="16384" width="8.625" style="2"/>
  </cols>
  <sheetData>
    <row r="1" spans="1:11" x14ac:dyDescent="0.3">
      <c r="K1" s="2" t="s">
        <v>199</v>
      </c>
    </row>
    <row r="2" spans="1:11" x14ac:dyDescent="0.3">
      <c r="K2" s="3" t="str">
        <f>IF(COUNTIF($K$12:$K$201,"ERROR")&gt;0,"ERROR","OK")</f>
        <v>OK</v>
      </c>
    </row>
    <row r="6" spans="1:11" s="24" customFormat="1" ht="18.75" x14ac:dyDescent="0.3">
      <c r="A6" s="27" t="s">
        <v>48</v>
      </c>
      <c r="C6" s="40"/>
      <c r="D6" s="25"/>
      <c r="E6" s="25"/>
      <c r="F6" s="25"/>
      <c r="G6" s="26"/>
    </row>
    <row r="7" spans="1:11" s="24" customFormat="1" ht="18.75" x14ac:dyDescent="0.3">
      <c r="A7" s="23" t="s">
        <v>165</v>
      </c>
      <c r="D7" s="25"/>
      <c r="E7" s="25"/>
      <c r="F7" s="25"/>
      <c r="G7" s="26"/>
    </row>
    <row r="8" spans="1:11" x14ac:dyDescent="0.3">
      <c r="A8" s="18"/>
    </row>
    <row r="9" spans="1:11" ht="19.5" thickBot="1" x14ac:dyDescent="0.35">
      <c r="A9" s="227" t="s">
        <v>166</v>
      </c>
      <c r="B9" s="227"/>
      <c r="C9" s="200"/>
      <c r="D9" s="227"/>
      <c r="E9" s="227"/>
      <c r="F9" s="227"/>
      <c r="G9" s="228"/>
      <c r="H9" s="228"/>
    </row>
    <row r="10" spans="1:11" ht="17.25" thickTop="1" x14ac:dyDescent="0.3">
      <c r="B10" s="2"/>
      <c r="D10" s="2"/>
      <c r="E10" s="2"/>
      <c r="F10" s="2"/>
      <c r="G10" s="2"/>
    </row>
    <row r="11" spans="1:11" ht="19.5" thickBot="1" x14ac:dyDescent="0.35">
      <c r="A11" s="229" t="s">
        <v>335</v>
      </c>
      <c r="B11" s="229"/>
      <c r="C11" s="229"/>
      <c r="D11" s="229"/>
      <c r="E11" s="229"/>
      <c r="F11" s="229"/>
      <c r="G11" s="229"/>
      <c r="H11" s="229"/>
    </row>
    <row r="12" spans="1:11" ht="17.25" thickTop="1" x14ac:dyDescent="0.3"/>
    <row r="13" spans="1:11" ht="18.75" x14ac:dyDescent="0.3">
      <c r="B13" s="110" t="s">
        <v>167</v>
      </c>
    </row>
    <row r="14" spans="1:11" x14ac:dyDescent="0.3">
      <c r="B14" s="11" t="s">
        <v>181</v>
      </c>
      <c r="C14" s="113" t="s">
        <v>56</v>
      </c>
      <c r="D14" s="113" t="s">
        <v>55</v>
      </c>
      <c r="E14" s="113" t="s">
        <v>54</v>
      </c>
      <c r="F14" s="113" t="s">
        <v>120</v>
      </c>
      <c r="G14" s="113" t="s">
        <v>119</v>
      </c>
      <c r="H14" s="91" t="s">
        <v>36</v>
      </c>
    </row>
    <row r="15" spans="1:11" x14ac:dyDescent="0.3">
      <c r="A15" s="109"/>
      <c r="B15" s="31" t="s">
        <v>169</v>
      </c>
      <c r="C15" s="114">
        <f>SUMIF('C | Forecast escalation'!$C$11:$C$160,'O | Overview'!$B15,'C | Forecast escalation'!J$11:J$160)/10^6</f>
        <v>7.5822369142186234</v>
      </c>
      <c r="D15" s="114">
        <f>SUMIF('C | Forecast escalation'!$C$11:$C$160,'O | Overview'!$B15,'C | Forecast escalation'!K$11:K$160)/10^6</f>
        <v>1.5198321381482405</v>
      </c>
      <c r="E15" s="114">
        <f>SUMIF('C | Forecast escalation'!$C$11:$C$160,'O | Overview'!$B15,'C | Forecast escalation'!L$11:L$160)/10^6</f>
        <v>1.2988595248576378</v>
      </c>
      <c r="F15" s="114">
        <f>SUMIF('C | Forecast escalation'!$C$11:$C$160,'O | Overview'!$B15,'C | Forecast escalation'!M$11:M$160)/10^6</f>
        <v>1.2243641987673322</v>
      </c>
      <c r="G15" s="114">
        <f>SUMIF('C | Forecast escalation'!$C$11:$C$160,'O | Overview'!$B15,'C | Forecast escalation'!N$11:N$160)/10^6</f>
        <v>3.2786108260399645</v>
      </c>
      <c r="H15" s="129">
        <f>SUM(C15:G15)</f>
        <v>14.9039036020318</v>
      </c>
    </row>
    <row r="16" spans="1:11" x14ac:dyDescent="0.3">
      <c r="A16" s="109"/>
      <c r="B16" s="31" t="s">
        <v>249</v>
      </c>
      <c r="C16" s="114">
        <f>SUMIF('C | Forecast escalation'!$C$11:$C$160,'O | Overview'!$B16,'C | Forecast escalation'!J$11:J$160)/10^6</f>
        <v>5.1726398297254441</v>
      </c>
      <c r="D16" s="114">
        <f>SUMIF('C | Forecast escalation'!$C$11:$C$160,'O | Overview'!$B16,'C | Forecast escalation'!K$11:K$160)/10^6</f>
        <v>0</v>
      </c>
      <c r="E16" s="114">
        <f>SUMIF('C | Forecast escalation'!$C$11:$C$160,'O | Overview'!$B16,'C | Forecast escalation'!L$11:L$160)/10^6</f>
        <v>0</v>
      </c>
      <c r="F16" s="114">
        <f>SUMIF('C | Forecast escalation'!$C$11:$C$160,'O | Overview'!$B16,'C | Forecast escalation'!M$11:M$160)/10^6</f>
        <v>0</v>
      </c>
      <c r="G16" s="114">
        <f>SUMIF('C | Forecast escalation'!$C$11:$C$160,'O | Overview'!$B16,'C | Forecast escalation'!N$11:N$160)/10^6</f>
        <v>0</v>
      </c>
      <c r="H16" s="129">
        <f t="shared" ref="H16:H27" si="0">SUM(C16:G16)</f>
        <v>5.1726398297254441</v>
      </c>
    </row>
    <row r="17" spans="1:11" x14ac:dyDescent="0.3">
      <c r="A17" s="109"/>
      <c r="B17" s="31" t="s">
        <v>146</v>
      </c>
      <c r="C17" s="114">
        <f>SUMIF('C | Forecast escalation'!$C$11:$C$160,'O | Overview'!$B17,'C | Forecast escalation'!J$11:J$160)/10^6</f>
        <v>0.8180073739610797</v>
      </c>
      <c r="D17" s="114">
        <f>SUMIF('C | Forecast escalation'!$C$11:$C$160,'O | Overview'!$B17,'C | Forecast escalation'!K$11:K$160)/10^6</f>
        <v>0</v>
      </c>
      <c r="E17" s="114">
        <f>SUMIF('C | Forecast escalation'!$C$11:$C$160,'O | Overview'!$B17,'C | Forecast escalation'!L$11:L$160)/10^6</f>
        <v>0</v>
      </c>
      <c r="F17" s="114">
        <f>SUMIF('C | Forecast escalation'!$C$11:$C$160,'O | Overview'!$B17,'C | Forecast escalation'!M$11:M$160)/10^6</f>
        <v>0</v>
      </c>
      <c r="G17" s="114">
        <f>SUMIF('C | Forecast escalation'!$C$11:$C$160,'O | Overview'!$B17,'C | Forecast escalation'!N$11:N$160)/10^6</f>
        <v>0</v>
      </c>
      <c r="H17" s="129">
        <f t="shared" si="0"/>
        <v>0.8180073739610797</v>
      </c>
    </row>
    <row r="18" spans="1:11" x14ac:dyDescent="0.3">
      <c r="A18" s="109"/>
      <c r="B18" s="31" t="s">
        <v>170</v>
      </c>
      <c r="C18" s="114">
        <f>SUMIF('C | Forecast escalation'!$C$11:$C$160,'O | Overview'!$B18,'C | Forecast escalation'!J$11:J$160)/10^6</f>
        <v>0.27361015881519279</v>
      </c>
      <c r="D18" s="114">
        <f>SUMIF('C | Forecast escalation'!$C$11:$C$160,'O | Overview'!$B18,'C | Forecast escalation'!K$11:K$160)/10^6</f>
        <v>0</v>
      </c>
      <c r="E18" s="114">
        <f>SUMIF('C | Forecast escalation'!$C$11:$C$160,'O | Overview'!$B18,'C | Forecast escalation'!L$11:L$160)/10^6</f>
        <v>0</v>
      </c>
      <c r="F18" s="114">
        <f>SUMIF('C | Forecast escalation'!$C$11:$C$160,'O | Overview'!$B18,'C | Forecast escalation'!M$11:M$160)/10^6</f>
        <v>0</v>
      </c>
      <c r="G18" s="114">
        <f>SUMIF('C | Forecast escalation'!$C$11:$C$160,'O | Overview'!$B18,'C | Forecast escalation'!N$11:N$160)/10^6</f>
        <v>0</v>
      </c>
      <c r="H18" s="129">
        <f t="shared" si="0"/>
        <v>0.27361015881519279</v>
      </c>
    </row>
    <row r="19" spans="1:11" x14ac:dyDescent="0.3">
      <c r="A19" s="109"/>
      <c r="B19" s="31" t="s">
        <v>171</v>
      </c>
      <c r="C19" s="114">
        <f>SUMIF('C | Forecast escalation'!$C$11:$C$160,'O | Overview'!$B19,'C | Forecast escalation'!J$11:J$160)/10^6</f>
        <v>1.1401777458937614</v>
      </c>
      <c r="D19" s="114">
        <f>SUMIF('C | Forecast escalation'!$C$11:$C$160,'O | Overview'!$B19,'C | Forecast escalation'!K$11:K$160)/10^6</f>
        <v>0</v>
      </c>
      <c r="E19" s="114">
        <f>SUMIF('C | Forecast escalation'!$C$11:$C$160,'O | Overview'!$B19,'C | Forecast escalation'!L$11:L$160)/10^6</f>
        <v>0</v>
      </c>
      <c r="F19" s="114">
        <f>SUMIF('C | Forecast escalation'!$C$11:$C$160,'O | Overview'!$B19,'C | Forecast escalation'!M$11:M$160)/10^6</f>
        <v>0</v>
      </c>
      <c r="G19" s="114">
        <f>SUMIF('C | Forecast escalation'!$C$11:$C$160,'O | Overview'!$B19,'C | Forecast escalation'!N$11:N$160)/10^6</f>
        <v>0</v>
      </c>
      <c r="H19" s="129">
        <f t="shared" si="0"/>
        <v>1.1401777458937614</v>
      </c>
    </row>
    <row r="20" spans="1:11" x14ac:dyDescent="0.3">
      <c r="A20" s="109"/>
      <c r="B20" s="31" t="s">
        <v>172</v>
      </c>
      <c r="C20" s="114">
        <f>SUMIF('C | Forecast escalation'!$C$11:$C$160,'O | Overview'!$B20,'C | Forecast escalation'!J$11:J$160)/10^6</f>
        <v>0.12153282456192703</v>
      </c>
      <c r="D20" s="114">
        <f>SUMIF('C | Forecast escalation'!$C$11:$C$160,'O | Overview'!$B20,'C | Forecast escalation'!K$11:K$160)/10^6</f>
        <v>0.1523184359260123</v>
      </c>
      <c r="E20" s="114">
        <f>SUMIF('C | Forecast escalation'!$C$11:$C$160,'O | Overview'!$B20,'C | Forecast escalation'!L$11:L$160)/10^6</f>
        <v>0</v>
      </c>
      <c r="F20" s="114">
        <f>SUMIF('C | Forecast escalation'!$C$11:$C$160,'O | Overview'!$B20,'C | Forecast escalation'!M$11:M$160)/10^6</f>
        <v>0</v>
      </c>
      <c r="G20" s="114">
        <f>SUMIF('C | Forecast escalation'!$C$11:$C$160,'O | Overview'!$B20,'C | Forecast escalation'!N$11:N$160)/10^6</f>
        <v>0</v>
      </c>
      <c r="H20" s="129">
        <f t="shared" si="0"/>
        <v>0.27385126048793934</v>
      </c>
    </row>
    <row r="21" spans="1:11" x14ac:dyDescent="0.3">
      <c r="A21" s="109"/>
      <c r="B21" s="31" t="s">
        <v>173</v>
      </c>
      <c r="C21" s="114">
        <f>SUMIF('C | Forecast escalation'!$C$11:$C$160,'O | Overview'!$B21,'C | Forecast escalation'!J$11:J$160)/10^6</f>
        <v>6.0789527993079927E-2</v>
      </c>
      <c r="D21" s="114">
        <f>SUMIF('C | Forecast escalation'!$C$11:$C$160,'O | Overview'!$B21,'C | Forecast escalation'!K$11:K$160)/10^6</f>
        <v>0</v>
      </c>
      <c r="E21" s="114">
        <f>SUMIF('C | Forecast escalation'!$C$11:$C$160,'O | Overview'!$B21,'C | Forecast escalation'!L$11:L$160)/10^6</f>
        <v>0</v>
      </c>
      <c r="F21" s="114">
        <f>SUMIF('C | Forecast escalation'!$C$11:$C$160,'O | Overview'!$B21,'C | Forecast escalation'!M$11:M$160)/10^6</f>
        <v>0</v>
      </c>
      <c r="G21" s="114">
        <f>SUMIF('C | Forecast escalation'!$C$11:$C$160,'O | Overview'!$B21,'C | Forecast escalation'!N$11:N$160)/10^6</f>
        <v>0</v>
      </c>
      <c r="H21" s="129">
        <f t="shared" si="0"/>
        <v>6.0789527993079927E-2</v>
      </c>
    </row>
    <row r="22" spans="1:11" x14ac:dyDescent="0.3">
      <c r="A22" s="109"/>
      <c r="B22" s="31" t="s">
        <v>174</v>
      </c>
      <c r="C22" s="114">
        <f>SUMIF('C | Forecast escalation'!$C$11:$C$160,'O | Overview'!$B22,'C | Forecast escalation'!J$11:J$160)/10^6</f>
        <v>0</v>
      </c>
      <c r="D22" s="114">
        <f>SUMIF('C | Forecast escalation'!$C$11:$C$160,'O | Overview'!$B22,'C | Forecast escalation'!K$11:K$160)/10^6</f>
        <v>0.37922276951846517</v>
      </c>
      <c r="E22" s="114">
        <f>SUMIF('C | Forecast escalation'!$C$11:$C$160,'O | Overview'!$B22,'C | Forecast escalation'!L$11:L$160)/10^6</f>
        <v>0</v>
      </c>
      <c r="F22" s="114">
        <f>SUMIF('C | Forecast escalation'!$C$11:$C$160,'O | Overview'!$B22,'C | Forecast escalation'!M$11:M$160)/10^6</f>
        <v>0</v>
      </c>
      <c r="G22" s="114">
        <f>SUMIF('C | Forecast escalation'!$C$11:$C$160,'O | Overview'!$B22,'C | Forecast escalation'!N$11:N$160)/10^6</f>
        <v>0</v>
      </c>
      <c r="H22" s="129">
        <f t="shared" si="0"/>
        <v>0.37922276951846517</v>
      </c>
    </row>
    <row r="23" spans="1:11" x14ac:dyDescent="0.3">
      <c r="A23" s="109"/>
      <c r="B23" s="31" t="s">
        <v>68</v>
      </c>
      <c r="C23" s="114">
        <f>SUMIF('C | Forecast escalation'!$C$11:$C$160,'O | Overview'!$B23,'C | Forecast escalation'!J$11:J$160)/10^6</f>
        <v>0.43626475131283704</v>
      </c>
      <c r="D23" s="114">
        <f>SUMIF('C | Forecast escalation'!$C$11:$C$160,'O | Overview'!$B23,'C | Forecast escalation'!K$11:K$160)/10^6</f>
        <v>0.45457084627983818</v>
      </c>
      <c r="E23" s="114">
        <f>SUMIF('C | Forecast escalation'!$C$11:$C$160,'O | Overview'!$B23,'C | Forecast escalation'!L$11:L$160)/10^6</f>
        <v>0.4662946593723194</v>
      </c>
      <c r="F23" s="114">
        <f>SUMIF('C | Forecast escalation'!$C$11:$C$160,'O | Overview'!$B23,'C | Forecast escalation'!M$11:M$160)/10^6</f>
        <v>0.48855660790083705</v>
      </c>
      <c r="G23" s="114">
        <f>SUMIF('C | Forecast escalation'!$C$11:$C$160,'O | Overview'!$B23,'C | Forecast escalation'!N$11:N$160)/10^6</f>
        <v>0.50600822404421464</v>
      </c>
      <c r="H23" s="129">
        <f t="shared" si="0"/>
        <v>2.3516950889100463</v>
      </c>
    </row>
    <row r="24" spans="1:11" x14ac:dyDescent="0.3">
      <c r="A24" s="109"/>
      <c r="B24" s="31" t="s">
        <v>73</v>
      </c>
      <c r="C24" s="114">
        <f>SUMIF('C | Forecast escalation'!$C$11:$C$160,'O | Overview'!$B24,'C | Forecast escalation'!J$11:J$160)/10^6</f>
        <v>3.8900948996454052</v>
      </c>
      <c r="D24" s="114">
        <f>SUMIF('C | Forecast escalation'!$C$11:$C$160,'O | Overview'!$B24,'C | Forecast escalation'!K$11:K$160)/10^6</f>
        <v>4.0636309918125519</v>
      </c>
      <c r="E24" s="114">
        <f>SUMIF('C | Forecast escalation'!$C$11:$C$160,'O | Overview'!$B24,'C | Forecast escalation'!L$11:L$160)/10^6</f>
        <v>2.8873085036669686</v>
      </c>
      <c r="F24" s="114">
        <f>SUMIF('C | Forecast escalation'!$C$11:$C$160,'O | Overview'!$B24,'C | Forecast escalation'!M$11:M$160)/10^6</f>
        <v>2.0497436729559704</v>
      </c>
      <c r="G24" s="114">
        <f>SUMIF('C | Forecast escalation'!$C$11:$C$160,'O | Overview'!$B24,'C | Forecast escalation'!N$11:N$160)/10^6</f>
        <v>1.1823392360095539</v>
      </c>
      <c r="H24" s="129">
        <f t="shared" si="0"/>
        <v>14.073117304090449</v>
      </c>
    </row>
    <row r="25" spans="1:11" x14ac:dyDescent="0.3">
      <c r="A25" s="109"/>
      <c r="B25" s="31" t="s">
        <v>140</v>
      </c>
      <c r="C25" s="114">
        <f>SUMIF('C | Forecast escalation'!$C$11:$C$160,'O | Overview'!$B25,'C | Forecast escalation'!J$11:J$160)/10^6</f>
        <v>0.79173106445138475</v>
      </c>
      <c r="D25" s="114">
        <f>SUMIF('C | Forecast escalation'!$C$11:$C$160,'O | Overview'!$B25,'C | Forecast escalation'!K$11:K$160)/10^6</f>
        <v>5.7511754853108957E-2</v>
      </c>
      <c r="E25" s="114">
        <f>SUMIF('C | Forecast escalation'!$C$11:$C$160,'O | Overview'!$B25,'C | Forecast escalation'!L$11:L$160)/10^6</f>
        <v>0</v>
      </c>
      <c r="F25" s="114">
        <f>SUMIF('C | Forecast escalation'!$C$11:$C$160,'O | Overview'!$B25,'C | Forecast escalation'!M$11:M$160)/10^6</f>
        <v>0</v>
      </c>
      <c r="G25" s="114">
        <f>SUMIF('C | Forecast escalation'!$C$11:$C$160,'O | Overview'!$B25,'C | Forecast escalation'!N$11:N$160)/10^6</f>
        <v>0</v>
      </c>
      <c r="H25" s="129">
        <f t="shared" si="0"/>
        <v>0.84924281930449375</v>
      </c>
    </row>
    <row r="26" spans="1:11" x14ac:dyDescent="0.3">
      <c r="A26" s="109"/>
      <c r="B26" s="31" t="s">
        <v>175</v>
      </c>
      <c r="C26" s="114">
        <f>SUMIF('C | Forecast escalation'!$C$11:$C$160,'O | Overview'!$B26,'C | Forecast escalation'!J$11:J$160)/10^6</f>
        <v>0</v>
      </c>
      <c r="D26" s="114">
        <f>SUMIF('C | Forecast escalation'!$C$11:$C$160,'O | Overview'!$B26,'C | Forecast escalation'!K$11:K$160)/10^6</f>
        <v>0</v>
      </c>
      <c r="E26" s="114">
        <f>SUMIF('C | Forecast escalation'!$C$11:$C$160,'O | Overview'!$B26,'C | Forecast escalation'!L$11:L$160)/10^6</f>
        <v>0.68278187442422555</v>
      </c>
      <c r="F26" s="114">
        <f>SUMIF('C | Forecast escalation'!$C$11:$C$160,'O | Overview'!$B26,'C | Forecast escalation'!M$11:M$160)/10^6</f>
        <v>0</v>
      </c>
      <c r="G26" s="114">
        <f>SUMIF('C | Forecast escalation'!$C$11:$C$160,'O | Overview'!$B26,'C | Forecast escalation'!N$11:N$160)/10^6</f>
        <v>1.8013002795174622</v>
      </c>
      <c r="H26" s="129">
        <f t="shared" si="0"/>
        <v>2.4840821539416877</v>
      </c>
    </row>
    <row r="27" spans="1:11" x14ac:dyDescent="0.3">
      <c r="A27" s="109"/>
      <c r="B27" s="31" t="s">
        <v>176</v>
      </c>
      <c r="C27" s="114">
        <f>SUMIF('C | Forecast escalation'!$C$11:$C$160,'O | Overview'!$B27,'C | Forecast escalation'!J$11:J$160)/10^6</f>
        <v>0.12905647603841297</v>
      </c>
      <c r="D27" s="114">
        <f>SUMIF('C | Forecast escalation'!$C$11:$C$160,'O | Overview'!$B27,'C | Forecast escalation'!K$11:K$160)/10^6</f>
        <v>0.13415388470819867</v>
      </c>
      <c r="E27" s="114">
        <f>SUMIF('C | Forecast escalation'!$C$11:$C$160,'O | Overview'!$B27,'C | Forecast escalation'!L$11:L$160)/10^6</f>
        <v>0.13707423900998075</v>
      </c>
      <c r="F27" s="114">
        <f>SUMIF('C | Forecast escalation'!$C$11:$C$160,'O | Overview'!$B27,'C | Forecast escalation'!M$11:M$160)/10^6</f>
        <v>0.14286260871917381</v>
      </c>
      <c r="G27" s="114">
        <f>SUMIF('C | Forecast escalation'!$C$11:$C$160,'O | Overview'!$B27,'C | Forecast escalation'!N$11:N$160)/10^6</f>
        <v>0.1474958355851122</v>
      </c>
      <c r="H27" s="129">
        <f t="shared" si="0"/>
        <v>0.6906430440608784</v>
      </c>
    </row>
    <row r="28" spans="1:11" x14ac:dyDescent="0.3">
      <c r="A28" s="109"/>
      <c r="B28" s="33" t="s">
        <v>36</v>
      </c>
      <c r="C28" s="115">
        <f t="shared" ref="C28:H28" si="1">SUM(C15:C27)</f>
        <v>20.416141566617149</v>
      </c>
      <c r="D28" s="115">
        <f t="shared" si="1"/>
        <v>6.7612408212464157</v>
      </c>
      <c r="E28" s="115">
        <f t="shared" si="1"/>
        <v>5.4723188013311326</v>
      </c>
      <c r="F28" s="115">
        <f t="shared" si="1"/>
        <v>3.9055270883433133</v>
      </c>
      <c r="G28" s="115">
        <f t="shared" si="1"/>
        <v>6.9157544011963079</v>
      </c>
      <c r="H28" s="115">
        <f t="shared" si="1"/>
        <v>43.470982678734316</v>
      </c>
      <c r="K28" s="3" t="str">
        <f>IF(H28*10^6='C | Forecast escalation'!O161,"OK","ERROR")</f>
        <v>OK</v>
      </c>
    </row>
    <row r="29" spans="1:11" s="37" customFormat="1" ht="12.75" x14ac:dyDescent="0.25">
      <c r="B29" s="38"/>
      <c r="C29" s="39"/>
      <c r="D29" s="39"/>
      <c r="E29" s="39"/>
      <c r="F29" s="39"/>
      <c r="G29" s="39"/>
    </row>
    <row r="30" spans="1:11" s="37" customFormat="1" ht="18.75" x14ac:dyDescent="0.3">
      <c r="B30" s="110" t="s">
        <v>168</v>
      </c>
      <c r="C30" s="2"/>
      <c r="D30" s="5"/>
      <c r="E30" s="5"/>
      <c r="F30" s="5"/>
      <c r="G30" s="3"/>
      <c r="H30" s="2"/>
    </row>
    <row r="31" spans="1:11" x14ac:dyDescent="0.3">
      <c r="B31" s="11" t="s">
        <v>181</v>
      </c>
      <c r="C31" s="91" t="s">
        <v>56</v>
      </c>
      <c r="D31" s="91" t="s">
        <v>55</v>
      </c>
      <c r="E31" s="91" t="s">
        <v>54</v>
      </c>
      <c r="F31" s="91" t="s">
        <v>120</v>
      </c>
      <c r="G31" s="91" t="s">
        <v>119</v>
      </c>
      <c r="H31" s="91" t="s">
        <v>36</v>
      </c>
    </row>
    <row r="32" spans="1:11" x14ac:dyDescent="0.3">
      <c r="B32" s="31" t="s">
        <v>2</v>
      </c>
      <c r="C32" s="114">
        <f>SUMIF('C | Forecast escalation'!$D$11:$D$160,'O | Overview'!$B32,'C | Forecast escalation'!J$11:J$160)/10^6</f>
        <v>14.016587314399757</v>
      </c>
      <c r="D32" s="114">
        <f>SUMIF('C | Forecast escalation'!$D$11:$D$160,'O | Overview'!$B32,'C | Forecast escalation'!K$11:K$160)/10^6</f>
        <v>2.0513733435927177</v>
      </c>
      <c r="E32" s="114">
        <f>SUMIF('C | Forecast escalation'!$D$11:$D$160,'O | Overview'!$B32,'C | Forecast escalation'!L$11:L$160)/10^6</f>
        <v>1.2988595248576378</v>
      </c>
      <c r="F32" s="114">
        <f>SUMIF('C | Forecast escalation'!$D$11:$D$160,'O | Overview'!$B32,'C | Forecast escalation'!M$11:M$160)/10^6</f>
        <v>1.2243641987673322</v>
      </c>
      <c r="G32" s="114">
        <f>SUMIF('C | Forecast escalation'!$D$11:$D$160,'O | Overview'!$B32,'C | Forecast escalation'!N$11:N$160)/10^6</f>
        <v>3.2786108260399645</v>
      </c>
      <c r="H32" s="129">
        <f>SUM(C32:G32)</f>
        <v>21.869795207657411</v>
      </c>
    </row>
    <row r="33" spans="2:11" x14ac:dyDescent="0.3">
      <c r="B33" s="31" t="s">
        <v>4</v>
      </c>
      <c r="C33" s="114">
        <f>SUMIF('C | Forecast escalation'!$D$11:$D$160,'O | Overview'!$B33,'C | Forecast escalation'!J$11:J$160)/10^6</f>
        <v>0.27361015881519279</v>
      </c>
      <c r="D33" s="114">
        <f>SUMIF('C | Forecast escalation'!$D$11:$D$160,'O | Overview'!$B33,'C | Forecast escalation'!K$11:K$160)/10^6</f>
        <v>0</v>
      </c>
      <c r="E33" s="114">
        <f>SUMIF('C | Forecast escalation'!$D$11:$D$160,'O | Overview'!$B33,'C | Forecast escalation'!L$11:L$160)/10^6</f>
        <v>0</v>
      </c>
      <c r="F33" s="114">
        <f>SUMIF('C | Forecast escalation'!$D$11:$D$160,'O | Overview'!$B33,'C | Forecast escalation'!M$11:M$160)/10^6</f>
        <v>0</v>
      </c>
      <c r="G33" s="114">
        <f>SUMIF('C | Forecast escalation'!$D$11:$D$160,'O | Overview'!$B33,'C | Forecast escalation'!N$11:N$160)/10^6</f>
        <v>0</v>
      </c>
      <c r="H33" s="129">
        <f t="shared" ref="H33:H39" si="2">SUM(C33:G33)</f>
        <v>0.27361015881519279</v>
      </c>
    </row>
    <row r="34" spans="2:11" x14ac:dyDescent="0.3">
      <c r="B34" s="31" t="s">
        <v>69</v>
      </c>
      <c r="C34" s="114">
        <f>SUMIF('C | Forecast escalation'!$D$11:$D$160,'O | Overview'!$B34,'C | Forecast escalation'!J$11:J$160)/10^6</f>
        <v>0</v>
      </c>
      <c r="D34" s="114">
        <f>SUMIF('C | Forecast escalation'!$D$11:$D$160,'O | Overview'!$B34,'C | Forecast escalation'!K$11:K$160)/10^6</f>
        <v>0</v>
      </c>
      <c r="E34" s="114">
        <f>SUMIF('C | Forecast escalation'!$D$11:$D$160,'O | Overview'!$B34,'C | Forecast escalation'!L$11:L$160)/10^6</f>
        <v>0</v>
      </c>
      <c r="F34" s="114">
        <f>SUMIF('C | Forecast escalation'!$D$11:$D$160,'O | Overview'!$B34,'C | Forecast escalation'!M$11:M$160)/10^6</f>
        <v>0</v>
      </c>
      <c r="G34" s="114">
        <f>SUMIF('C | Forecast escalation'!$D$11:$D$160,'O | Overview'!$B34,'C | Forecast escalation'!N$11:N$160)/10^6</f>
        <v>0</v>
      </c>
      <c r="H34" s="129">
        <f t="shared" si="2"/>
        <v>0</v>
      </c>
    </row>
    <row r="35" spans="2:11" x14ac:dyDescent="0.3">
      <c r="B35" s="31" t="s">
        <v>70</v>
      </c>
      <c r="C35" s="114">
        <f>SUMIF('C | Forecast escalation'!$D$11:$D$160,'O | Overview'!$B35,'C | Forecast escalation'!J$11:J$160)/10^6</f>
        <v>0</v>
      </c>
      <c r="D35" s="114">
        <f>SUMIF('C | Forecast escalation'!$D$11:$D$160,'O | Overview'!$B35,'C | Forecast escalation'!K$11:K$160)/10^6</f>
        <v>0</v>
      </c>
      <c r="E35" s="114">
        <f>SUMIF('C | Forecast escalation'!$D$11:$D$160,'O | Overview'!$B35,'C | Forecast escalation'!L$11:L$160)/10^6</f>
        <v>0</v>
      </c>
      <c r="F35" s="114">
        <f>SUMIF('C | Forecast escalation'!$D$11:$D$160,'O | Overview'!$B35,'C | Forecast escalation'!M$11:M$160)/10^6</f>
        <v>0</v>
      </c>
      <c r="G35" s="114">
        <f>SUMIF('C | Forecast escalation'!$D$11:$D$160,'O | Overview'!$B35,'C | Forecast escalation'!N$11:N$160)/10^6</f>
        <v>0</v>
      </c>
      <c r="H35" s="129">
        <f t="shared" si="2"/>
        <v>0</v>
      </c>
    </row>
    <row r="36" spans="2:11" x14ac:dyDescent="0.3">
      <c r="B36" s="31" t="s">
        <v>71</v>
      </c>
      <c r="C36" s="114">
        <f>SUMIF('C | Forecast escalation'!$D$11:$D$160,'O | Overview'!$B36,'C | Forecast escalation'!J$11:J$160)/10^6</f>
        <v>0</v>
      </c>
      <c r="D36" s="114">
        <f>SUMIF('C | Forecast escalation'!$D$11:$D$160,'O | Overview'!$B36,'C | Forecast escalation'!K$11:K$160)/10^6</f>
        <v>0</v>
      </c>
      <c r="E36" s="114">
        <f>SUMIF('C | Forecast escalation'!$D$11:$D$160,'O | Overview'!$B36,'C | Forecast escalation'!L$11:L$160)/10^6</f>
        <v>0</v>
      </c>
      <c r="F36" s="114">
        <f>SUMIF('C | Forecast escalation'!$D$11:$D$160,'O | Overview'!$B36,'C | Forecast escalation'!M$11:M$160)/10^6</f>
        <v>0</v>
      </c>
      <c r="G36" s="114">
        <f>SUMIF('C | Forecast escalation'!$D$11:$D$160,'O | Overview'!$B36,'C | Forecast escalation'!N$11:N$160)/10^6</f>
        <v>0</v>
      </c>
      <c r="H36" s="129">
        <f t="shared" si="2"/>
        <v>0</v>
      </c>
    </row>
    <row r="37" spans="2:11" x14ac:dyDescent="0.3">
      <c r="B37" s="31" t="s">
        <v>72</v>
      </c>
      <c r="C37" s="114">
        <f>SUMIF('C | Forecast escalation'!$D$11:$D$160,'O | Overview'!$B37,'C | Forecast escalation'!J$11:J$160)/10^6</f>
        <v>0.79173106445138475</v>
      </c>
      <c r="D37" s="114">
        <f>SUMIF('C | Forecast escalation'!$D$11:$D$160,'O | Overview'!$B37,'C | Forecast escalation'!K$11:K$160)/10^6</f>
        <v>5.7511754853108957E-2</v>
      </c>
      <c r="E37" s="114">
        <f>SUMIF('C | Forecast escalation'!$D$11:$D$160,'O | Overview'!$B37,'C | Forecast escalation'!L$11:L$160)/10^6</f>
        <v>0</v>
      </c>
      <c r="F37" s="114">
        <f>SUMIF('C | Forecast escalation'!$D$11:$D$160,'O | Overview'!$B37,'C | Forecast escalation'!M$11:M$160)/10^6</f>
        <v>0</v>
      </c>
      <c r="G37" s="114">
        <f>SUMIF('C | Forecast escalation'!$D$11:$D$160,'O | Overview'!$B37,'C | Forecast escalation'!N$11:N$160)/10^6</f>
        <v>0</v>
      </c>
      <c r="H37" s="129">
        <f t="shared" si="2"/>
        <v>0.84924281930449375</v>
      </c>
    </row>
    <row r="38" spans="2:11" x14ac:dyDescent="0.3">
      <c r="B38" s="31" t="s">
        <v>73</v>
      </c>
      <c r="C38" s="114">
        <f>SUMIF('C | Forecast escalation'!$D$11:$D$160,'O | Overview'!$B38,'C | Forecast escalation'!J$11:J$160)/10^6</f>
        <v>3.8900948996454052</v>
      </c>
      <c r="D38" s="114">
        <f>SUMIF('C | Forecast escalation'!$D$11:$D$160,'O | Overview'!$B38,'C | Forecast escalation'!K$11:K$160)/10^6</f>
        <v>4.0636309918125519</v>
      </c>
      <c r="E38" s="114">
        <f>SUMIF('C | Forecast escalation'!$D$11:$D$160,'O | Overview'!$B38,'C | Forecast escalation'!L$11:L$160)/10^6</f>
        <v>2.8873085036669686</v>
      </c>
      <c r="F38" s="114">
        <f>SUMIF('C | Forecast escalation'!$D$11:$D$160,'O | Overview'!$B38,'C | Forecast escalation'!M$11:M$160)/10^6</f>
        <v>2.0497436729559704</v>
      </c>
      <c r="G38" s="114">
        <f>SUMIF('C | Forecast escalation'!$D$11:$D$160,'O | Overview'!$B38,'C | Forecast escalation'!N$11:N$160)/10^6</f>
        <v>1.1823392360095539</v>
      </c>
      <c r="H38" s="129">
        <f t="shared" si="2"/>
        <v>14.073117304090449</v>
      </c>
    </row>
    <row r="39" spans="2:11" x14ac:dyDescent="0.3">
      <c r="B39" s="31" t="s">
        <v>74</v>
      </c>
      <c r="C39" s="114">
        <f>SUMIF('C | Forecast escalation'!$D$11:$D$160,'O | Overview'!$B39,'C | Forecast escalation'!J$11:J$160)/10^6</f>
        <v>1.4441181293054097</v>
      </c>
      <c r="D39" s="114">
        <f>SUMIF('C | Forecast escalation'!$D$11:$D$160,'O | Overview'!$B39,'C | Forecast escalation'!K$11:K$160)/10^6</f>
        <v>0.58872473098803679</v>
      </c>
      <c r="E39" s="114">
        <f>SUMIF('C | Forecast escalation'!$D$11:$D$160,'O | Overview'!$B39,'C | Forecast escalation'!L$11:L$160)/10^6</f>
        <v>1.2861507728065258</v>
      </c>
      <c r="F39" s="114">
        <f>SUMIF('C | Forecast escalation'!$D$11:$D$160,'O | Overview'!$B39,'C | Forecast escalation'!M$11:M$160)/10^6</f>
        <v>0.63141921662001077</v>
      </c>
      <c r="G39" s="114">
        <f>SUMIF('C | Forecast escalation'!$D$11:$D$160,'O | Overview'!$B39,'C | Forecast escalation'!N$11:N$160)/10^6</f>
        <v>2.4548043391467891</v>
      </c>
      <c r="H39" s="129">
        <f t="shared" si="2"/>
        <v>6.4052171888667724</v>
      </c>
    </row>
    <row r="40" spans="2:11" x14ac:dyDescent="0.3">
      <c r="B40" s="33" t="s">
        <v>36</v>
      </c>
      <c r="C40" s="115">
        <f t="shared" ref="C40:H40" si="3">SUM(C32:C39)</f>
        <v>20.416141566617149</v>
      </c>
      <c r="D40" s="115">
        <f t="shared" si="3"/>
        <v>6.7612408212464157</v>
      </c>
      <c r="E40" s="115">
        <f t="shared" si="3"/>
        <v>5.4723188013311317</v>
      </c>
      <c r="F40" s="115">
        <f t="shared" si="3"/>
        <v>3.9055270883433133</v>
      </c>
      <c r="G40" s="115">
        <f t="shared" si="3"/>
        <v>6.915754401196307</v>
      </c>
      <c r="H40" s="115">
        <f t="shared" si="3"/>
        <v>43.470982678734316</v>
      </c>
      <c r="K40" s="3" t="str">
        <f>IF(H40*10^6='C | Forecast escalation'!O161,"OK","ERROR")</f>
        <v>OK</v>
      </c>
    </row>
    <row r="42" spans="2:11" ht="18.75" x14ac:dyDescent="0.3">
      <c r="B42" s="110" t="s">
        <v>167</v>
      </c>
    </row>
    <row r="43" spans="2:11" x14ac:dyDescent="0.3">
      <c r="B43" s="11" t="s">
        <v>295</v>
      </c>
      <c r="C43" s="91" t="s">
        <v>56</v>
      </c>
      <c r="D43" s="91" t="s">
        <v>55</v>
      </c>
      <c r="E43" s="91" t="s">
        <v>54</v>
      </c>
      <c r="F43" s="91" t="s">
        <v>120</v>
      </c>
      <c r="G43" s="91" t="s">
        <v>119</v>
      </c>
      <c r="H43" s="91" t="s">
        <v>36</v>
      </c>
    </row>
    <row r="44" spans="2:11" x14ac:dyDescent="0.3">
      <c r="B44" s="31" t="str">
        <f t="shared" ref="B44:B57" si="4">B15</f>
        <v>Pipeline Integrity</v>
      </c>
      <c r="C44" s="114">
        <f>C15*'I | Inflation'!D$76</f>
        <v>8.6240373569901525</v>
      </c>
      <c r="D44" s="114">
        <f>D15*'I | Inflation'!E$76</f>
        <v>1.665184138168434</v>
      </c>
      <c r="E44" s="114">
        <f>E15*'I | Inflation'!F$76</f>
        <v>1.3938736968200238</v>
      </c>
      <c r="F44" s="114">
        <f>F15*'I | Inflation'!G$76</f>
        <v>1.2537489395377481</v>
      </c>
      <c r="G44" s="114">
        <f>G15*'I | Inflation'!H$76</f>
        <v>3.2786108260399645</v>
      </c>
      <c r="H44" s="129">
        <f>SUM(C44:G44)</f>
        <v>16.215454957556322</v>
      </c>
    </row>
    <row r="45" spans="2:11" x14ac:dyDescent="0.3">
      <c r="B45" s="31" t="str">
        <f t="shared" si="4"/>
        <v>DN250 Supply Security Project</v>
      </c>
      <c r="C45" s="114">
        <f>C16*'I | Inflation'!D$76</f>
        <v>5.8833612864501914</v>
      </c>
      <c r="D45" s="114">
        <f>D16*'I | Inflation'!E$76</f>
        <v>0</v>
      </c>
      <c r="E45" s="114">
        <f>E16*'I | Inflation'!F$76</f>
        <v>0</v>
      </c>
      <c r="F45" s="114">
        <f>F16*'I | Inflation'!G$76</f>
        <v>0</v>
      </c>
      <c r="G45" s="114">
        <f>G16*'I | Inflation'!H$76</f>
        <v>0</v>
      </c>
      <c r="H45" s="129">
        <f t="shared" ref="H45:H56" si="5">SUM(C45:G45)</f>
        <v>5.8833612864501914</v>
      </c>
    </row>
    <row r="46" spans="2:11" x14ac:dyDescent="0.3">
      <c r="B46" s="31" t="str">
        <f t="shared" si="4"/>
        <v>SCADA Hardware Lifecycle Management</v>
      </c>
      <c r="C46" s="114">
        <f>C17*'I | Inflation'!D$76</f>
        <v>0.93040170481942253</v>
      </c>
      <c r="D46" s="114">
        <f>D17*'I | Inflation'!E$76</f>
        <v>0</v>
      </c>
      <c r="E46" s="114">
        <f>E17*'I | Inflation'!F$76</f>
        <v>0</v>
      </c>
      <c r="F46" s="114">
        <f>F17*'I | Inflation'!G$76</f>
        <v>0</v>
      </c>
      <c r="G46" s="114">
        <f>G17*'I | Inflation'!H$76</f>
        <v>0</v>
      </c>
      <c r="H46" s="129">
        <f t="shared" si="5"/>
        <v>0.93040170481942253</v>
      </c>
    </row>
    <row r="47" spans="2:11" x14ac:dyDescent="0.3">
      <c r="B47" s="31" t="str">
        <f t="shared" si="4"/>
        <v>Battery Charger Replacement</v>
      </c>
      <c r="C47" s="114">
        <f>C18*'I | Inflation'!D$76</f>
        <v>0.31120423399713815</v>
      </c>
      <c r="D47" s="114">
        <f>D18*'I | Inflation'!E$76</f>
        <v>0</v>
      </c>
      <c r="E47" s="114">
        <f>E18*'I | Inflation'!F$76</f>
        <v>0</v>
      </c>
      <c r="F47" s="114">
        <f>F18*'I | Inflation'!G$76</f>
        <v>0</v>
      </c>
      <c r="G47" s="114">
        <f>G18*'I | Inflation'!H$76</f>
        <v>0</v>
      </c>
      <c r="H47" s="129">
        <f t="shared" si="5"/>
        <v>0.31120423399713815</v>
      </c>
    </row>
    <row r="48" spans="2:11" x14ac:dyDescent="0.3">
      <c r="B48" s="31" t="str">
        <f t="shared" si="4"/>
        <v>Liquids Removal</v>
      </c>
      <c r="C48" s="114">
        <f>C19*'I | Inflation'!D$76</f>
        <v>1.2968383322021193</v>
      </c>
      <c r="D48" s="114">
        <f>D19*'I | Inflation'!E$76</f>
        <v>0</v>
      </c>
      <c r="E48" s="114">
        <f>E19*'I | Inflation'!F$76</f>
        <v>0</v>
      </c>
      <c r="F48" s="114">
        <f>F19*'I | Inflation'!G$76</f>
        <v>0</v>
      </c>
      <c r="G48" s="114">
        <f>G19*'I | Inflation'!H$76</f>
        <v>0</v>
      </c>
      <c r="H48" s="129">
        <f t="shared" si="5"/>
        <v>1.2968383322021193</v>
      </c>
    </row>
    <row r="49" spans="1:11" x14ac:dyDescent="0.3">
      <c r="B49" s="31" t="str">
        <f t="shared" si="4"/>
        <v>Valve Upgrade</v>
      </c>
      <c r="C49" s="114">
        <f>C20*'I | Inflation'!D$76</f>
        <v>0.13823145214008389</v>
      </c>
      <c r="D49" s="114">
        <f>D20*'I | Inflation'!E$76</f>
        <v>0.16688569552401544</v>
      </c>
      <c r="E49" s="114">
        <f>E20*'I | Inflation'!F$76</f>
        <v>0</v>
      </c>
      <c r="F49" s="114">
        <f>F20*'I | Inflation'!G$76</f>
        <v>0</v>
      </c>
      <c r="G49" s="114">
        <f>G20*'I | Inflation'!H$76</f>
        <v>0</v>
      </c>
      <c r="H49" s="129">
        <f t="shared" si="5"/>
        <v>0.30511714766409936</v>
      </c>
    </row>
    <row r="50" spans="1:11" x14ac:dyDescent="0.3">
      <c r="B50" s="31" t="str">
        <f t="shared" si="4"/>
        <v>Dalby Communication Relocation</v>
      </c>
      <c r="C50" s="114">
        <f>C21*'I | Inflation'!D$76</f>
        <v>6.9142017884328513E-2</v>
      </c>
      <c r="D50" s="114">
        <f>D21*'I | Inflation'!E$76</f>
        <v>0</v>
      </c>
      <c r="E50" s="114">
        <f>E21*'I | Inflation'!F$76</f>
        <v>0</v>
      </c>
      <c r="F50" s="114">
        <f>F21*'I | Inflation'!G$76</f>
        <v>0</v>
      </c>
      <c r="G50" s="114">
        <f>G21*'I | Inflation'!H$76</f>
        <v>0</v>
      </c>
      <c r="H50" s="129">
        <f t="shared" si="5"/>
        <v>6.9142017884328513E-2</v>
      </c>
    </row>
    <row r="51" spans="1:11" x14ac:dyDescent="0.3">
      <c r="B51" s="31" t="str">
        <f t="shared" si="4"/>
        <v>Pipeline Relocation</v>
      </c>
      <c r="C51" s="114">
        <f>C22*'I | Inflation'!D$76</f>
        <v>0</v>
      </c>
      <c r="D51" s="114">
        <f>D22*'I | Inflation'!E$76</f>
        <v>0.41549045107299848</v>
      </c>
      <c r="E51" s="114">
        <f>E22*'I | Inflation'!F$76</f>
        <v>0</v>
      </c>
      <c r="F51" s="114">
        <f>F22*'I | Inflation'!G$76</f>
        <v>0</v>
      </c>
      <c r="G51" s="114">
        <f>G22*'I | Inflation'!H$76</f>
        <v>0</v>
      </c>
      <c r="H51" s="129">
        <f t="shared" si="5"/>
        <v>0.41549045107299848</v>
      </c>
    </row>
    <row r="52" spans="1:11" x14ac:dyDescent="0.3">
      <c r="B52" s="31" t="str">
        <f t="shared" si="4"/>
        <v>Minor Projects</v>
      </c>
      <c r="C52" s="114">
        <f>C23*'I | Inflation'!D$76</f>
        <v>0.49620759090296113</v>
      </c>
      <c r="D52" s="114">
        <f>D23*'I | Inflation'!E$76</f>
        <v>0.49804458262163537</v>
      </c>
      <c r="E52" s="114">
        <f>E23*'I | Inflation'!F$76</f>
        <v>0.50040504629472338</v>
      </c>
      <c r="F52" s="114">
        <f>F23*'I | Inflation'!G$76</f>
        <v>0.5002819664904572</v>
      </c>
      <c r="G52" s="114">
        <f>G23*'I | Inflation'!H$76</f>
        <v>0.50600822404421464</v>
      </c>
      <c r="H52" s="129">
        <f t="shared" si="5"/>
        <v>2.5009474103539917</v>
      </c>
    </row>
    <row r="53" spans="1:11" x14ac:dyDescent="0.3">
      <c r="B53" s="31" t="str">
        <f t="shared" si="4"/>
        <v>Group IT</v>
      </c>
      <c r="C53" s="114">
        <f>C24*'I | Inflation'!D$76</f>
        <v>4.4245944984740833</v>
      </c>
      <c r="D53" s="114">
        <f>D24*'I | Inflation'!E$76</f>
        <v>4.4522639711912166</v>
      </c>
      <c r="E53" s="114">
        <f>E24*'I | Inflation'!F$76</f>
        <v>3.0985208953272148</v>
      </c>
      <c r="F53" s="114">
        <f>F24*'I | Inflation'!G$76</f>
        <v>2.0989375211069139</v>
      </c>
      <c r="G53" s="114">
        <f>G24*'I | Inflation'!H$76</f>
        <v>1.1823392360095539</v>
      </c>
      <c r="H53" s="129">
        <f t="shared" si="5"/>
        <v>15.256656122108984</v>
      </c>
    </row>
    <row r="54" spans="1:11" x14ac:dyDescent="0.3">
      <c r="B54" s="31" t="str">
        <f t="shared" si="4"/>
        <v>Access Arrangement</v>
      </c>
      <c r="C54" s="114">
        <f>C25*'I | Inflation'!D$76</f>
        <v>0.90051502660306426</v>
      </c>
      <c r="D54" s="114">
        <f>D25*'I | Inflation'!E$76</f>
        <v>6.3011999506940003E-2</v>
      </c>
      <c r="E54" s="114">
        <f>E25*'I | Inflation'!F$76</f>
        <v>0</v>
      </c>
      <c r="F54" s="114">
        <f>F25*'I | Inflation'!G$76</f>
        <v>0</v>
      </c>
      <c r="G54" s="114">
        <f>G25*'I | Inflation'!H$76</f>
        <v>0</v>
      </c>
      <c r="H54" s="129">
        <f t="shared" si="5"/>
        <v>0.96352702611000429</v>
      </c>
    </row>
    <row r="55" spans="1:11" x14ac:dyDescent="0.3">
      <c r="B55" s="31" t="str">
        <f t="shared" si="4"/>
        <v>Property Leases</v>
      </c>
      <c r="C55" s="114">
        <f>C26*'I | Inflation'!D$76</f>
        <v>0</v>
      </c>
      <c r="D55" s="114">
        <f>D26*'I | Inflation'!E$76</f>
        <v>0</v>
      </c>
      <c r="E55" s="114">
        <f>E26*'I | Inflation'!F$76</f>
        <v>0.73272873410210659</v>
      </c>
      <c r="F55" s="114">
        <f>F26*'I | Inflation'!G$76</f>
        <v>0</v>
      </c>
      <c r="G55" s="114">
        <f>G26*'I | Inflation'!H$76</f>
        <v>1.8013002795174622</v>
      </c>
      <c r="H55" s="129">
        <f t="shared" si="5"/>
        <v>2.5340290136195689</v>
      </c>
    </row>
    <row r="56" spans="1:11" x14ac:dyDescent="0.3">
      <c r="B56" s="31" t="str">
        <f t="shared" si="4"/>
        <v>Vehicle Leases</v>
      </c>
      <c r="C56" s="114">
        <f>C27*'I | Inflation'!D$76</f>
        <v>0.14678885441176898</v>
      </c>
      <c r="D56" s="114">
        <f>D27*'I | Inflation'!E$76</f>
        <v>0.14698394334649889</v>
      </c>
      <c r="E56" s="114">
        <f>E27*'I | Inflation'!F$76</f>
        <v>0.14710149374203887</v>
      </c>
      <c r="F56" s="114">
        <f>F27*'I | Inflation'!G$76</f>
        <v>0.14629131132843398</v>
      </c>
      <c r="G56" s="114">
        <f>G27*'I | Inflation'!H$76</f>
        <v>0.1474958355851122</v>
      </c>
      <c r="H56" s="129">
        <f t="shared" si="5"/>
        <v>0.73466143841385301</v>
      </c>
    </row>
    <row r="57" spans="1:11" x14ac:dyDescent="0.3">
      <c r="B57" s="142" t="str">
        <f t="shared" si="4"/>
        <v>Total</v>
      </c>
      <c r="C57" s="143">
        <f>SUM(C44:C56)</f>
        <v>23.221322354875312</v>
      </c>
      <c r="D57" s="143">
        <f t="shared" ref="D57:H57" si="6">SUM(D44:D56)</f>
        <v>7.4078647814317389</v>
      </c>
      <c r="E57" s="143">
        <f t="shared" si="6"/>
        <v>5.8726298662861076</v>
      </c>
      <c r="F57" s="143">
        <f t="shared" si="6"/>
        <v>3.9992597384635529</v>
      </c>
      <c r="G57" s="143">
        <f t="shared" si="6"/>
        <v>6.9157544011963079</v>
      </c>
      <c r="H57" s="143">
        <f t="shared" si="6"/>
        <v>47.416831142253024</v>
      </c>
      <c r="K57" s="3" t="str">
        <f>IF(H57=SUMPRODUCT(C40:G40,'I | Inflation'!D76:H76),"OK","ERROR")</f>
        <v>OK</v>
      </c>
    </row>
    <row r="58" spans="1:11" x14ac:dyDescent="0.3">
      <c r="B58" s="2"/>
      <c r="D58" s="2"/>
      <c r="E58" s="2"/>
      <c r="F58" s="2"/>
      <c r="G58" s="2"/>
    </row>
    <row r="59" spans="1:11" ht="19.5" thickBot="1" x14ac:dyDescent="0.35">
      <c r="A59" s="229" t="s">
        <v>334</v>
      </c>
      <c r="B59" s="229"/>
      <c r="C59" s="229"/>
      <c r="D59" s="229"/>
      <c r="E59" s="229"/>
      <c r="F59" s="229"/>
      <c r="G59" s="229"/>
      <c r="H59" s="229"/>
    </row>
    <row r="60" spans="1:11" ht="17.25" thickTop="1" x14ac:dyDescent="0.3">
      <c r="B60" s="2"/>
    </row>
    <row r="61" spans="1:11" ht="18.75" x14ac:dyDescent="0.3">
      <c r="B61" s="110" t="s">
        <v>255</v>
      </c>
    </row>
    <row r="62" spans="1:11" x14ac:dyDescent="0.3">
      <c r="B62" s="11" t="s">
        <v>181</v>
      </c>
      <c r="C62" s="113" t="s">
        <v>56</v>
      </c>
      <c r="D62" s="113" t="s">
        <v>55</v>
      </c>
      <c r="E62" s="113" t="s">
        <v>54</v>
      </c>
      <c r="F62" s="113" t="s">
        <v>120</v>
      </c>
      <c r="G62" s="113" t="s">
        <v>119</v>
      </c>
      <c r="H62" s="91" t="s">
        <v>36</v>
      </c>
    </row>
    <row r="63" spans="1:11" x14ac:dyDescent="0.3">
      <c r="B63" s="31" t="str">
        <f>Mapping!L2</f>
        <v>Minor Projects</v>
      </c>
      <c r="C63" s="114">
        <f>SUMIF('I | Historic capex'!$D$11:$D$160,'O | Overview'!$B63,'I | Historic capex'!J$11:J$160)/10^6</f>
        <v>0.52845927870875953</v>
      </c>
      <c r="D63" s="114">
        <f>SUMIF('I | Historic capex'!$D$11:$D$160,'O | Overview'!$B63,'I | Historic capex'!K$11:K$160)/10^6</f>
        <v>0.64312576500032437</v>
      </c>
      <c r="E63" s="114">
        <f>SUMIF('I | Historic capex'!$D$11:$D$160,'O | Overview'!$B63,'I | Historic capex'!L$11:L$160)/10^6</f>
        <v>0.61496979117207129</v>
      </c>
      <c r="F63" s="114">
        <f>SUMIF('C | RFM escalation'!$C$11:$C$160,$B63,'C | RFM escalation'!AC$11:AC$160)/10^6</f>
        <v>0.35340657706077905</v>
      </c>
      <c r="G63" s="114">
        <f>SUMIF('C | RFM escalation'!$C$11:$C$160,$B63,'C | RFM escalation'!AD$11:AD$160)/10^6</f>
        <v>0.36754284014321026</v>
      </c>
      <c r="H63" s="129">
        <f t="shared" ref="H63:H72" si="7">SUM(C63:G63)</f>
        <v>2.5075042520851447</v>
      </c>
      <c r="I63" s="42" t="str">
        <f t="shared" ref="I63:I72" si="8">_xlfn.IFNA(IF(MATCH(B63,$B$15:$B$27,0)="N/A","New",""),"New")</f>
        <v/>
      </c>
    </row>
    <row r="64" spans="1:11" x14ac:dyDescent="0.3">
      <c r="B64" s="31" t="str">
        <f>Mapping!L3</f>
        <v>Pipeline Integrity</v>
      </c>
      <c r="C64" s="114">
        <f>SUMIF('I | Historic capex'!$D$11:$D$160,'O | Overview'!$B64,'I | Historic capex'!J$11:J$160)/10^6</f>
        <v>2.2997107699999995</v>
      </c>
      <c r="D64" s="114">
        <f>SUMIF('I | Historic capex'!$D$11:$D$160,'O | Overview'!$B64,'I | Historic capex'!K$11:K$160)/10^6</f>
        <v>1.3868257600000002</v>
      </c>
      <c r="E64" s="114">
        <f>SUMIF('I | Historic capex'!$D$11:$D$160,'O | Overview'!$B64,'I | Historic capex'!L$11:L$160)/10^6</f>
        <v>1.97491248</v>
      </c>
      <c r="F64" s="114">
        <f>SUMIF('C | RFM escalation'!$C$11:$C$160,$B64,'C | RFM escalation'!AC$11:AC$160)/10^6</f>
        <v>3.7319954100000001</v>
      </c>
      <c r="G64" s="114">
        <f>SUMIF('C | RFM escalation'!$C$11:$C$160,$B64,'C | RFM escalation'!AD$11:AD$160)/10^6</f>
        <v>5.3151010924960005</v>
      </c>
      <c r="H64" s="129">
        <f t="shared" si="7"/>
        <v>14.708545512496</v>
      </c>
      <c r="I64" s="42" t="str">
        <f t="shared" si="8"/>
        <v/>
      </c>
    </row>
    <row r="65" spans="2:11" x14ac:dyDescent="0.3">
      <c r="B65" s="31" t="str">
        <f>Mapping!L4</f>
        <v>DN250 Supply Security Project</v>
      </c>
      <c r="C65" s="114">
        <f>SUMIF('I | Historic capex'!$D$11:$D$160,'O | Overview'!$B65,'I | Historic capex'!J$11:J$160)/10^6</f>
        <v>5.84423899</v>
      </c>
      <c r="D65" s="114">
        <f>SUMIF('I | Historic capex'!$D$11:$D$160,'O | Overview'!$B65,'I | Historic capex'!K$11:K$160)/10^6</f>
        <v>8.0526886099999988</v>
      </c>
      <c r="E65" s="114">
        <f>SUMIF('I | Historic capex'!$D$11:$D$160,'O | Overview'!$B65,'I | Historic capex'!L$11:L$160)/10^6</f>
        <v>3.2949174800000001</v>
      </c>
      <c r="F65" s="114">
        <f>SUMIF('C | RFM escalation'!$C$11:$C$160,$B65,'C | RFM escalation'!AC$11:AC$160)/10^6</f>
        <v>1.0451432300000001</v>
      </c>
      <c r="G65" s="114">
        <f>SUMIF('C | RFM escalation'!$C$11:$C$160,$B65,'C | RFM escalation'!AD$11:AD$160)/10^6</f>
        <v>7.8931242368159991</v>
      </c>
      <c r="H65" s="129">
        <f t="shared" si="7"/>
        <v>26.130112546815997</v>
      </c>
      <c r="I65" s="42" t="str">
        <f t="shared" si="8"/>
        <v/>
      </c>
    </row>
    <row r="66" spans="2:11" x14ac:dyDescent="0.3">
      <c r="B66" s="31" t="str">
        <f>Mapping!L5</f>
        <v>Valve Upgrade</v>
      </c>
      <c r="C66" s="114">
        <f>SUMIF('I | Historic capex'!$D$11:$D$160,'O | Overview'!$B66,'I | Historic capex'!J$11:J$160)/10^6</f>
        <v>4.7970720000000001E-2</v>
      </c>
      <c r="D66" s="114">
        <f>SUMIF('I | Historic capex'!$D$11:$D$160,'O | Overview'!$B66,'I | Historic capex'!K$11:K$160)/10^6</f>
        <v>3.6418100000000002E-2</v>
      </c>
      <c r="E66" s="114">
        <f>SUMIF('I | Historic capex'!$D$11:$D$160,'O | Overview'!$B66,'I | Historic capex'!L$11:L$160)/10^6</f>
        <v>0.11512312999999999</v>
      </c>
      <c r="F66" s="114">
        <f>SUMIF('C | RFM escalation'!$C$11:$C$160,$B66,'C | RFM escalation'!AC$11:AC$160)/10^6</f>
        <v>0</v>
      </c>
      <c r="G66" s="114">
        <f>SUMIF('C | RFM escalation'!$C$11:$C$160,$B66,'C | RFM escalation'!AD$11:AD$160)/10^6</f>
        <v>0</v>
      </c>
      <c r="H66" s="129">
        <f t="shared" si="7"/>
        <v>0.19951194999999999</v>
      </c>
      <c r="I66" s="42" t="str">
        <f t="shared" si="8"/>
        <v/>
      </c>
    </row>
    <row r="67" spans="2:11" x14ac:dyDescent="0.3">
      <c r="B67" s="31" t="str">
        <f>Mapping!L6</f>
        <v>Bulimba Creek Strain</v>
      </c>
      <c r="C67" s="114">
        <f>SUMIF('I | Historic capex'!$D$11:$D$160,'O | Overview'!$B67,'I | Historic capex'!J$11:J$160)/10^6</f>
        <v>1.317245E-2</v>
      </c>
      <c r="D67" s="114">
        <f>SUMIF('I | Historic capex'!$D$11:$D$160,'O | Overview'!$B67,'I | Historic capex'!K$11:K$160)/10^6</f>
        <v>0.39894554999999998</v>
      </c>
      <c r="E67" s="114">
        <f>SUMIF('I | Historic capex'!$D$11:$D$160,'O | Overview'!$B67,'I | Historic capex'!L$11:L$160)/10^6</f>
        <v>0</v>
      </c>
      <c r="F67" s="114">
        <f>SUMIF('C | RFM escalation'!$C$11:$C$160,$B67,'C | RFM escalation'!AC$11:AC$160)/10^6</f>
        <v>0</v>
      </c>
      <c r="G67" s="114">
        <f>SUMIF('C | RFM escalation'!$C$11:$C$160,$B67,'C | RFM escalation'!AD$11:AD$160)/10^6</f>
        <v>0</v>
      </c>
      <c r="H67" s="129">
        <f t="shared" si="7"/>
        <v>0.41211799999999998</v>
      </c>
      <c r="I67" s="42" t="str">
        <f t="shared" si="8"/>
        <v>New</v>
      </c>
    </row>
    <row r="68" spans="2:11" x14ac:dyDescent="0.3">
      <c r="B68" s="31" t="str">
        <f>Mapping!L7</f>
        <v>Gowrie Creek</v>
      </c>
      <c r="C68" s="114">
        <f>SUMIF('I | Historic capex'!$D$11:$D$160,'O | Overview'!$B68,'I | Historic capex'!J$11:J$160)/10^6</f>
        <v>0.16388189</v>
      </c>
      <c r="D68" s="114">
        <f>SUMIF('I | Historic capex'!$D$11:$D$160,'O | Overview'!$B68,'I | Historic capex'!K$11:K$160)/10^6</f>
        <v>0.42714554999999998</v>
      </c>
      <c r="E68" s="114">
        <f>SUMIF('I | Historic capex'!$D$11:$D$160,'O | Overview'!$B68,'I | Historic capex'!L$11:L$160)/10^6</f>
        <v>1.2154565100000001</v>
      </c>
      <c r="F68" s="114">
        <f>SUMIF('C | RFM escalation'!$C$11:$C$160,$B68,'C | RFM escalation'!AC$11:AC$160)/10^6</f>
        <v>0</v>
      </c>
      <c r="G68" s="114">
        <f>SUMIF('C | RFM escalation'!$C$11:$C$160,$B68,'C | RFM escalation'!AD$11:AD$160)/10^6</f>
        <v>0</v>
      </c>
      <c r="H68" s="129">
        <f t="shared" si="7"/>
        <v>1.8064839500000001</v>
      </c>
      <c r="I68" s="42" t="str">
        <f t="shared" si="8"/>
        <v>New</v>
      </c>
    </row>
    <row r="69" spans="2:11" x14ac:dyDescent="0.3">
      <c r="B69" s="31" t="str">
        <f>Mapping!L8</f>
        <v>Pipeline Relocation</v>
      </c>
      <c r="C69" s="114">
        <f>SUMIF('I | Historic capex'!$D$11:$D$160,'O | Overview'!$B69,'I | Historic capex'!J$11:J$160)/10^6</f>
        <v>0</v>
      </c>
      <c r="D69" s="114">
        <f>SUMIF('I | Historic capex'!$D$11:$D$160,'O | Overview'!$B69,'I | Historic capex'!K$11:K$160)/10^6</f>
        <v>0.10457014000000001</v>
      </c>
      <c r="E69" s="114">
        <f>SUMIF('I | Historic capex'!$D$11:$D$160,'O | Overview'!$B69,'I | Historic capex'!L$11:L$160)/10^6</f>
        <v>2.7832600000000001E-3</v>
      </c>
      <c r="F69" s="114">
        <f>SUMIF('C | RFM escalation'!$C$11:$C$160,$B69,'C | RFM escalation'!AC$11:AC$160)/10^6</f>
        <v>0</v>
      </c>
      <c r="G69" s="114">
        <f>SUMIF('C | RFM escalation'!$C$11:$C$160,$B69,'C | RFM escalation'!AD$11:AD$160)/10^6</f>
        <v>0</v>
      </c>
      <c r="H69" s="129">
        <f t="shared" si="7"/>
        <v>0.1073534</v>
      </c>
      <c r="I69" s="42" t="str">
        <f t="shared" si="8"/>
        <v/>
      </c>
    </row>
    <row r="70" spans="2:11" x14ac:dyDescent="0.3">
      <c r="B70" s="31" t="str">
        <f>Mapping!L9</f>
        <v>Dalby Communication Relocation</v>
      </c>
      <c r="C70" s="114">
        <f>SUMIF('I | Historic capex'!$D$11:$D$160,'O | Overview'!$B70,'I | Historic capex'!J$11:J$160)/10^6</f>
        <v>0</v>
      </c>
      <c r="D70" s="114">
        <f>SUMIF('I | Historic capex'!$D$11:$D$160,'O | Overview'!$B70,'I | Historic capex'!K$11:K$160)/10^6</f>
        <v>2.5572099999999997E-2</v>
      </c>
      <c r="E70" s="114">
        <f>SUMIF('I | Historic capex'!$D$11:$D$160,'O | Overview'!$B70,'I | Historic capex'!L$11:L$160)/10^6</f>
        <v>-7.0909999999999997E-5</v>
      </c>
      <c r="F70" s="114">
        <f>SUMIF('C | RFM escalation'!$C$11:$C$160,$B70,'C | RFM escalation'!AC$11:AC$160)/10^6</f>
        <v>0</v>
      </c>
      <c r="G70" s="114">
        <f>SUMIF('C | RFM escalation'!$C$11:$C$160,$B70,'C | RFM escalation'!AD$11:AD$160)/10^6</f>
        <v>0</v>
      </c>
      <c r="H70" s="129">
        <f t="shared" si="7"/>
        <v>2.5501189999999996E-2</v>
      </c>
      <c r="I70" s="42" t="str">
        <f t="shared" si="8"/>
        <v/>
      </c>
    </row>
    <row r="71" spans="2:11" x14ac:dyDescent="0.3">
      <c r="B71" s="31" t="str">
        <f>Mapping!L10</f>
        <v>Access Arrangement</v>
      </c>
      <c r="C71" s="114">
        <f>SUMIF('I | Historic capex'!$D$11:$D$160,'O | Overview'!$B71,'I | Historic capex'!J$11:J$160)/10^6</f>
        <v>2.0015000000000002E-2</v>
      </c>
      <c r="D71" s="114">
        <f>SUMIF('I | Historic capex'!$D$11:$D$160,'O | Overview'!$B71,'I | Historic capex'!K$11:K$160)/10^6</f>
        <v>0</v>
      </c>
      <c r="E71" s="114">
        <f>SUMIF('I | Historic capex'!$D$11:$D$160,'O | Overview'!$B71,'I | Historic capex'!L$11:L$160)/10^6</f>
        <v>5.9396089999999999E-2</v>
      </c>
      <c r="F71" s="114">
        <f>SUMIF('C | RFM escalation'!$C$11:$C$160,$B71,'C | RFM escalation'!AC$11:AC$160)/10^6</f>
        <v>0.33701961538461539</v>
      </c>
      <c r="G71" s="114">
        <f>SUMIF('C | RFM escalation'!$C$11:$C$160,$B71,'C | RFM escalation'!AD$11:AD$160)/10^6</f>
        <v>6.5989515876851632E-2</v>
      </c>
      <c r="H71" s="129">
        <f t="shared" si="7"/>
        <v>0.48242022126146705</v>
      </c>
      <c r="I71" s="42" t="str">
        <f t="shared" si="8"/>
        <v/>
      </c>
    </row>
    <row r="72" spans="2:11" x14ac:dyDescent="0.3">
      <c r="B72" s="31" t="str">
        <f>Mapping!L11</f>
        <v>Property Leases</v>
      </c>
      <c r="C72" s="114">
        <f>SUMIF('I | Historic capex'!$D$11:$D$160,'O | Overview'!$B72,'I | Historic capex'!J$11:J$160)/10^6</f>
        <v>1.2226190255142626</v>
      </c>
      <c r="D72" s="114">
        <f>SUMIF('I | Historic capex'!$D$11:$D$160,'O | Overview'!$B72,'I | Historic capex'!K$11:K$160)/10^6</f>
        <v>0.41395186155411423</v>
      </c>
      <c r="E72" s="114">
        <f>SUMIF('I | Historic capex'!$D$11:$D$160,'O | Overview'!$B72,'I | Historic capex'!L$11:L$160)/10^6</f>
        <v>0.33510283666805041</v>
      </c>
      <c r="F72" s="114">
        <f>SUMIF('C | RFM escalation'!$C$11:$C$160,$B72,'C | RFM escalation'!AC$11:AC$160)/10^6</f>
        <v>0.20254806407701309</v>
      </c>
      <c r="G72" s="114">
        <f>SUMIF('C | RFM escalation'!$C$11:$C$160,$B72,'C | RFM escalation'!AD$11:AD$160)/10^6</f>
        <v>0.21064998664009363</v>
      </c>
      <c r="H72" s="129">
        <f t="shared" si="7"/>
        <v>2.3848717744535342</v>
      </c>
      <c r="I72" s="42" t="str">
        <f t="shared" si="8"/>
        <v/>
      </c>
    </row>
    <row r="73" spans="2:11" x14ac:dyDescent="0.3">
      <c r="B73" s="31" t="str">
        <f>Mapping!L12</f>
        <v>Vehicle Leases</v>
      </c>
      <c r="C73" s="114">
        <f>SUMIF('I | Historic capex'!$D$11:$D$160,'O | Overview'!$B73,'I | Historic capex'!J$11:J$160)/10^6</f>
        <v>0.13868691520659668</v>
      </c>
      <c r="D73" s="114">
        <f>SUMIF('I | Historic capex'!$D$11:$D$160,'O | Overview'!$B73,'I | Historic capex'!K$11:K$160)/10^6</f>
        <v>0.18160728679957305</v>
      </c>
      <c r="E73" s="114">
        <f>SUMIF('I | Historic capex'!$D$11:$D$160,'O | Overview'!$B73,'I | Historic capex'!L$11:L$160)/10^6</f>
        <v>0.30038010335949794</v>
      </c>
      <c r="F73" s="114">
        <f>SUMIF('C | RFM escalation'!$C$11:$C$160,$B73,'C | RFM escalation'!AC$11:AC$160)/10^6</f>
        <v>0.21683813873351854</v>
      </c>
      <c r="G73" s="114">
        <f>SUMIF('C | RFM escalation'!$C$11:$C$160,$B73,'C | RFM escalation'!AD$11:AD$160)/10^6</f>
        <v>0.22551166428285924</v>
      </c>
      <c r="H73" s="129">
        <f t="shared" ref="H73:H79" si="9">SUM(C73:G73)</f>
        <v>1.0630241083820455</v>
      </c>
      <c r="I73" s="42"/>
    </row>
    <row r="74" spans="2:11" x14ac:dyDescent="0.3">
      <c r="B74" s="31" t="str">
        <f>Mapping!L13</f>
        <v>Group IT</v>
      </c>
      <c r="C74" s="114">
        <f>SUMIF('I | Historic capex'!$D$11:$D$160,'O | Overview'!$B74,'I | Historic capex'!J$11:J$160)/10^6</f>
        <v>2.8933678569590402</v>
      </c>
      <c r="D74" s="114">
        <f>SUMIF('I | Historic capex'!$D$11:$D$160,'O | Overview'!$B74,'I | Historic capex'!K$11:K$160)/10^6</f>
        <v>2.3713162083379618</v>
      </c>
      <c r="E74" s="114">
        <f>SUMIF('I | Historic capex'!$D$11:$D$160,'O | Overview'!$B74,'I | Historic capex'!L$11:L$160)/10^6</f>
        <v>2.9476859974998972</v>
      </c>
      <c r="F74" s="114">
        <f>SUMIF('C | RFM escalation'!$C$11:$C$160,$B74,'C | RFM escalation'!AC$11:AC$160)/10^6</f>
        <v>3.8390648014272459</v>
      </c>
      <c r="G74" s="114">
        <f>SUMIF('C | RFM escalation'!$C$11:$C$160,$B74,'C | RFM escalation'!AD$11:AD$160)/10^6</f>
        <v>0.65287804858082821</v>
      </c>
      <c r="H74" s="129">
        <f t="shared" si="9"/>
        <v>12.704312912804973</v>
      </c>
      <c r="I74" s="42" t="str">
        <f t="shared" ref="I74:I79" si="10">_xlfn.IFNA(IF(MATCH(B74,$B$15:$B$27,0)="N/A","New",""),"New")</f>
        <v/>
      </c>
    </row>
    <row r="75" spans="2:11" x14ac:dyDescent="0.3">
      <c r="B75" s="31" t="str">
        <f>Mapping!L14</f>
        <v>Corporate</v>
      </c>
      <c r="C75" s="114">
        <f>SUMIF('I | Historic capex'!$D$11:$D$160,'O | Overview'!$B75,'I | Historic capex'!J$11:J$160)/10^6</f>
        <v>0</v>
      </c>
      <c r="D75" s="114">
        <f>SUMIF('I | Historic capex'!$D$11:$D$160,'O | Overview'!$B75,'I | Historic capex'!K$11:K$160)/10^6</f>
        <v>0</v>
      </c>
      <c r="E75" s="114">
        <f>SUMIF('I | Historic capex'!$D$11:$D$160,'O | Overview'!$B75,'I | Historic capex'!L$11:L$160)/10^6</f>
        <v>0</v>
      </c>
      <c r="F75" s="114">
        <f>SUMIF('C | RFM escalation'!$C$11:$C$160,$B75,'C | RFM escalation'!AC$11:AC$160)/10^6</f>
        <v>0.15348548725328523</v>
      </c>
      <c r="G75" s="114">
        <f>SUMIF('C | RFM escalation'!$C$11:$C$160,$B75,'C | RFM escalation'!AD$11:AD$160)/10^6</f>
        <v>0.15962490674341662</v>
      </c>
      <c r="H75" s="129">
        <f t="shared" si="9"/>
        <v>0.31311039399670182</v>
      </c>
      <c r="I75" s="42" t="str">
        <f t="shared" si="10"/>
        <v>New</v>
      </c>
    </row>
    <row r="76" spans="2:11" x14ac:dyDescent="0.3">
      <c r="B76" s="31" t="str">
        <f>Mapping!L15</f>
        <v>Main Switchboard Replacement</v>
      </c>
      <c r="C76" s="114">
        <f>SUMIF('I | Historic capex'!$D$11:$D$160,'O | Overview'!$B76,'I | Historic capex'!J$11:J$160)/10^6</f>
        <v>0</v>
      </c>
      <c r="D76" s="114">
        <f>SUMIF('I | Historic capex'!$D$11:$D$160,'O | Overview'!$B76,'I | Historic capex'!K$11:K$160)/10^6</f>
        <v>0</v>
      </c>
      <c r="E76" s="114">
        <f>SUMIF('I | Historic capex'!$D$11:$D$160,'O | Overview'!$B76,'I | Historic capex'!L$11:L$160)/10^6</f>
        <v>0</v>
      </c>
      <c r="F76" s="114">
        <f>SUMIF('C | RFM escalation'!$C$11:$C$160,$B76,'C | RFM escalation'!AC$11:AC$160)/10^6</f>
        <v>0.70850000000000002</v>
      </c>
      <c r="G76" s="114">
        <f>SUMIF('C | RFM escalation'!$C$11:$C$160,$B76,'C | RFM escalation'!AD$11:AD$160)/10^6</f>
        <v>0.303643182648</v>
      </c>
      <c r="H76" s="129">
        <f t="shared" si="9"/>
        <v>1.0121431826480001</v>
      </c>
      <c r="I76" s="42" t="str">
        <f t="shared" si="10"/>
        <v>New</v>
      </c>
    </row>
    <row r="77" spans="2:11" x14ac:dyDescent="0.3">
      <c r="B77" s="31" t="str">
        <f>Mapping!L16</f>
        <v>Environment</v>
      </c>
      <c r="C77" s="114">
        <f>SUMIF('I | Historic capex'!$D$11:$D$160,'O | Overview'!$B77,'I | Historic capex'!J$11:J$160)/10^6</f>
        <v>0</v>
      </c>
      <c r="D77" s="114">
        <f>SUMIF('I | Historic capex'!$D$11:$D$160,'O | Overview'!$B77,'I | Historic capex'!K$11:K$160)/10^6</f>
        <v>0</v>
      </c>
      <c r="E77" s="114">
        <f>SUMIF('I | Historic capex'!$D$11:$D$160,'O | Overview'!$B77,'I | Historic capex'!L$11:L$160)/10^6</f>
        <v>0</v>
      </c>
      <c r="F77" s="114">
        <f>SUMIF('C | RFM escalation'!$C$11:$C$160,$B77,'C | RFM escalation'!AC$11:AC$160)/10^6</f>
        <v>0.32700000000000001</v>
      </c>
      <c r="G77" s="114">
        <f>SUMIF('C | RFM escalation'!$C$11:$C$160,$B77,'C | RFM escalation'!AD$11:AD$160)/10^6</f>
        <v>0</v>
      </c>
      <c r="H77" s="129">
        <f t="shared" si="9"/>
        <v>0.32700000000000001</v>
      </c>
      <c r="I77" s="42" t="str">
        <f t="shared" si="10"/>
        <v>New</v>
      </c>
    </row>
    <row r="78" spans="2:11" x14ac:dyDescent="0.3">
      <c r="B78" s="31" t="str">
        <f>Mapping!L17</f>
        <v>PIG Trap</v>
      </c>
      <c r="C78" s="114">
        <f>SUMIF('I | Historic capex'!$D$11:$D$160,'O | Overview'!$B78,'I | Historic capex'!J$11:J$160)/10^6</f>
        <v>0</v>
      </c>
      <c r="D78" s="114">
        <f>SUMIF('I | Historic capex'!$D$11:$D$160,'O | Overview'!$B78,'I | Historic capex'!K$11:K$160)/10^6</f>
        <v>0</v>
      </c>
      <c r="E78" s="114">
        <f>SUMIF('I | Historic capex'!$D$11:$D$160,'O | Overview'!$B78,'I | Historic capex'!L$11:L$160)/10^6</f>
        <v>0</v>
      </c>
      <c r="F78" s="114">
        <f>SUMIF('C | RFM escalation'!$C$11:$C$160,$B78,'C | RFM escalation'!AC$11:AC$160)/10^6</f>
        <v>0</v>
      </c>
      <c r="G78" s="114">
        <f>SUMIF('C | RFM escalation'!$C$11:$C$160,$B78,'C | RFM escalation'!AD$11:AD$160)/10^6</f>
        <v>0.72550400000000004</v>
      </c>
      <c r="H78" s="129">
        <f t="shared" si="9"/>
        <v>0.72550400000000004</v>
      </c>
      <c r="I78" s="42" t="str">
        <f t="shared" si="10"/>
        <v>New</v>
      </c>
    </row>
    <row r="79" spans="2:11" x14ac:dyDescent="0.3">
      <c r="B79" s="31" t="str">
        <f>Mapping!L18</f>
        <v>Ellengrove Safety</v>
      </c>
      <c r="C79" s="114">
        <f>SUMIF('I | Historic capex'!$D$11:$D$160,'O | Overview'!$B79,'I | Historic capex'!J$11:J$160)/10^6</f>
        <v>0</v>
      </c>
      <c r="D79" s="114">
        <f>SUMIF('I | Historic capex'!$D$11:$D$160,'O | Overview'!$B79,'I | Historic capex'!K$11:K$160)/10^6</f>
        <v>0</v>
      </c>
      <c r="E79" s="114">
        <f>SUMIF('I | Historic capex'!$D$11:$D$160,'O | Overview'!$B79,'I | Historic capex'!L$11:L$160)/10^6</f>
        <v>0</v>
      </c>
      <c r="F79" s="114">
        <f>SUMIF('C | RFM escalation'!$C$11:$C$160,$B79,'C | RFM escalation'!AC$11:AC$160)/10^6</f>
        <v>0.59688399999999997</v>
      </c>
      <c r="G79" s="114">
        <f>SUMIF('C | RFM escalation'!$C$11:$C$160,$B79,'C | RFM escalation'!AD$11:AD$160)/10^6</f>
        <v>0</v>
      </c>
      <c r="H79" s="129">
        <f t="shared" si="9"/>
        <v>0.59688399999999997</v>
      </c>
      <c r="I79" s="42" t="str">
        <f t="shared" si="10"/>
        <v>New</v>
      </c>
    </row>
    <row r="80" spans="2:11" x14ac:dyDescent="0.3">
      <c r="B80" s="33" t="s">
        <v>36</v>
      </c>
      <c r="C80" s="126">
        <f t="shared" ref="C80:H80" si="11">SUM(C63:C79)</f>
        <v>13.172122896388661</v>
      </c>
      <c r="D80" s="126">
        <f t="shared" si="11"/>
        <v>14.042166931691973</v>
      </c>
      <c r="E80" s="126">
        <f t="shared" si="11"/>
        <v>10.860656768699517</v>
      </c>
      <c r="F80" s="126">
        <f t="shared" si="11"/>
        <v>11.511885323936456</v>
      </c>
      <c r="G80" s="126">
        <f t="shared" si="11"/>
        <v>15.919569474227261</v>
      </c>
      <c r="H80" s="126">
        <f t="shared" si="11"/>
        <v>65.506401394943865</v>
      </c>
      <c r="K80" s="3" t="str">
        <f>IF(ROUND(H80,3)=ROUND('O | RFM inputs'!$I$21-'O | RFM inputs'!$C$21,3),"OK","ERROR")</f>
        <v>OK</v>
      </c>
    </row>
    <row r="81" spans="2:13" x14ac:dyDescent="0.3">
      <c r="B81" s="38"/>
      <c r="C81" s="39"/>
      <c r="D81" s="39"/>
      <c r="E81" s="39"/>
      <c r="F81" s="39"/>
      <c r="G81" s="39"/>
      <c r="H81" s="37"/>
    </row>
    <row r="82" spans="2:13" ht="18.75" x14ac:dyDescent="0.3">
      <c r="B82" s="110" t="s">
        <v>201</v>
      </c>
    </row>
    <row r="83" spans="2:13" x14ac:dyDescent="0.3">
      <c r="B83" s="11" t="s">
        <v>226</v>
      </c>
      <c r="C83" s="91" t="s">
        <v>56</v>
      </c>
      <c r="D83" s="91" t="s">
        <v>55</v>
      </c>
      <c r="E83" s="91" t="s">
        <v>54</v>
      </c>
      <c r="F83" s="91" t="s">
        <v>120</v>
      </c>
      <c r="G83" s="91" t="s">
        <v>119</v>
      </c>
      <c r="H83" s="91" t="s">
        <v>36</v>
      </c>
    </row>
    <row r="84" spans="2:13" x14ac:dyDescent="0.3">
      <c r="B84" s="31" t="s">
        <v>2</v>
      </c>
      <c r="C84" s="114">
        <f>'O | RFM inputs'!D12</f>
        <v>8.3708548199999981</v>
      </c>
      <c r="D84" s="114">
        <f>'O | RFM inputs'!E12</f>
        <v>10.47018901</v>
      </c>
      <c r="E84" s="114">
        <f>'O | RFM inputs'!F12</f>
        <v>6.7062596799999996</v>
      </c>
      <c r="F84" s="114">
        <f>'O | RFM inputs'!G12</f>
        <v>5.1041386399999995</v>
      </c>
      <c r="G84" s="114">
        <f>'O | RFM inputs'!H12</f>
        <v>13.933729329312001</v>
      </c>
      <c r="H84" s="129">
        <f t="shared" ref="H84:H91" si="12">SUM(C84:G84)</f>
        <v>44.585171479311995</v>
      </c>
    </row>
    <row r="85" spans="2:13" x14ac:dyDescent="0.3">
      <c r="B85" s="31" t="s">
        <v>4</v>
      </c>
      <c r="C85" s="114">
        <f>'O | RFM inputs'!D13</f>
        <v>0.15473227000000001</v>
      </c>
      <c r="D85" s="114">
        <f>'O | RFM inputs'!E13</f>
        <v>0.14853204000000003</v>
      </c>
      <c r="E85" s="114">
        <f>'O | RFM inputs'!F13</f>
        <v>0.31094674</v>
      </c>
      <c r="F85" s="114">
        <f>'O | RFM inputs'!G13</f>
        <v>0</v>
      </c>
      <c r="G85" s="114">
        <f>'O | RFM inputs'!H13</f>
        <v>0</v>
      </c>
      <c r="H85" s="129">
        <f t="shared" si="12"/>
        <v>0.61421104999999998</v>
      </c>
    </row>
    <row r="86" spans="2:13" x14ac:dyDescent="0.3">
      <c r="B86" s="31" t="s">
        <v>69</v>
      </c>
      <c r="C86" s="114">
        <f>'O | RFM inputs'!D14</f>
        <v>0</v>
      </c>
      <c r="D86" s="114">
        <f>'O | RFM inputs'!E14</f>
        <v>1.6349999999999999E-4</v>
      </c>
      <c r="E86" s="114">
        <f>'O | RFM inputs'!F14</f>
        <v>0</v>
      </c>
      <c r="F86" s="114">
        <f>'O | RFM inputs'!G14</f>
        <v>0.59688399999999997</v>
      </c>
      <c r="G86" s="114">
        <f>'O | RFM inputs'!H14</f>
        <v>0</v>
      </c>
      <c r="H86" s="129">
        <f t="shared" si="12"/>
        <v>0.59704749999999995</v>
      </c>
    </row>
    <row r="87" spans="2:13" x14ac:dyDescent="0.3">
      <c r="B87" s="31" t="s">
        <v>70</v>
      </c>
      <c r="C87" s="114">
        <f>'O | RFM inputs'!D15</f>
        <v>0</v>
      </c>
      <c r="D87" s="114">
        <f>'O | RFM inputs'!E15</f>
        <v>0</v>
      </c>
      <c r="E87" s="114">
        <f>'O | RFM inputs'!F15</f>
        <v>0</v>
      </c>
      <c r="F87" s="114">
        <f>'O | RFM inputs'!G15</f>
        <v>0</v>
      </c>
      <c r="G87" s="114">
        <f>'O | RFM inputs'!H15</f>
        <v>0</v>
      </c>
      <c r="H87" s="129">
        <f t="shared" si="12"/>
        <v>0</v>
      </c>
    </row>
    <row r="88" spans="2:13" x14ac:dyDescent="0.3">
      <c r="B88" s="31" t="s">
        <v>71</v>
      </c>
      <c r="C88" s="114">
        <f>'O | RFM inputs'!D16</f>
        <v>0</v>
      </c>
      <c r="D88" s="114">
        <f>'O | RFM inputs'!E16</f>
        <v>0</v>
      </c>
      <c r="E88" s="114">
        <f>'O | RFM inputs'!F16</f>
        <v>0</v>
      </c>
      <c r="F88" s="114">
        <f>'O | RFM inputs'!G16</f>
        <v>0</v>
      </c>
      <c r="G88" s="114">
        <f>'O | RFM inputs'!H16</f>
        <v>0</v>
      </c>
      <c r="H88" s="129">
        <f t="shared" si="12"/>
        <v>0</v>
      </c>
    </row>
    <row r="89" spans="2:13" x14ac:dyDescent="0.3">
      <c r="B89" s="31" t="s">
        <v>72</v>
      </c>
      <c r="C89" s="114">
        <f>'O | RFM inputs'!D17</f>
        <v>2.0015000000000002E-2</v>
      </c>
      <c r="D89" s="114">
        <f>'O | RFM inputs'!E17</f>
        <v>0</v>
      </c>
      <c r="E89" s="114">
        <f>'O | RFM inputs'!F17</f>
        <v>5.9396089999999999E-2</v>
      </c>
      <c r="F89" s="114">
        <f>'O | RFM inputs'!G17</f>
        <v>0.33701961538461539</v>
      </c>
      <c r="G89" s="114">
        <f>'O | RFM inputs'!H17</f>
        <v>6.5989515876851632E-2</v>
      </c>
      <c r="H89" s="129">
        <f t="shared" si="12"/>
        <v>0.48242022126146705</v>
      </c>
    </row>
    <row r="90" spans="2:13" x14ac:dyDescent="0.3">
      <c r="B90" s="31" t="s">
        <v>73</v>
      </c>
      <c r="C90" s="114">
        <f>'O | RFM inputs'!D18</f>
        <v>2.9564656972738579</v>
      </c>
      <c r="D90" s="114">
        <f>'O | RFM inputs'!E18</f>
        <v>2.3445753037773773</v>
      </c>
      <c r="E90" s="114">
        <f>'O | RFM inputs'!F18</f>
        <v>2.9151338556565345</v>
      </c>
      <c r="F90" s="114">
        <f>'O | RFM inputs'!G18</f>
        <v>3.8390648014272459</v>
      </c>
      <c r="G90" s="114">
        <f>'O | RFM inputs'!H18</f>
        <v>0.65287804858082821</v>
      </c>
      <c r="H90" s="129">
        <f t="shared" si="12"/>
        <v>12.708117706715843</v>
      </c>
    </row>
    <row r="91" spans="2:13" x14ac:dyDescent="0.3">
      <c r="B91" s="31" t="s">
        <v>74</v>
      </c>
      <c r="C91" s="114">
        <f>'O | RFM inputs'!D19</f>
        <v>1.670055109114801</v>
      </c>
      <c r="D91" s="114">
        <f>'O | RFM inputs'!E19</f>
        <v>1.0787070779145957</v>
      </c>
      <c r="E91" s="114">
        <f>'O | RFM inputs'!F19</f>
        <v>0.86892040304298224</v>
      </c>
      <c r="F91" s="114">
        <f>'O | RFM inputs'!G19</f>
        <v>1.6347782671245961</v>
      </c>
      <c r="G91" s="114">
        <f>'O | RFM inputs'!H19</f>
        <v>1.2669725804575798</v>
      </c>
      <c r="H91" s="129">
        <f t="shared" si="12"/>
        <v>6.5194334376545546</v>
      </c>
    </row>
    <row r="92" spans="2:13" x14ac:dyDescent="0.3">
      <c r="B92" s="31" t="s">
        <v>205</v>
      </c>
      <c r="C92" s="114">
        <f>'O | RFM inputs'!D20</f>
        <v>0</v>
      </c>
      <c r="D92" s="114">
        <f>'O | RFM inputs'!E20</f>
        <v>0</v>
      </c>
      <c r="E92" s="114">
        <f>'O | RFM inputs'!F20</f>
        <v>0</v>
      </c>
      <c r="F92" s="114">
        <f>'O | RFM inputs'!G20</f>
        <v>0</v>
      </c>
      <c r="G92" s="114">
        <f>'O | RFM inputs'!H20</f>
        <v>0</v>
      </c>
      <c r="H92" s="129">
        <f t="shared" ref="H92" si="13">SUM(C92:G92)</f>
        <v>0</v>
      </c>
    </row>
    <row r="93" spans="2:13" x14ac:dyDescent="0.3">
      <c r="B93" s="33" t="s">
        <v>36</v>
      </c>
      <c r="C93" s="115">
        <f t="shared" ref="C93:G93" si="14">SUM(C84:C91)</f>
        <v>13.172122896388657</v>
      </c>
      <c r="D93" s="115">
        <f t="shared" si="14"/>
        <v>14.042166931691971</v>
      </c>
      <c r="E93" s="115">
        <f t="shared" si="14"/>
        <v>10.860656768699517</v>
      </c>
      <c r="F93" s="115">
        <f t="shared" si="14"/>
        <v>11.511885323936458</v>
      </c>
      <c r="G93" s="115">
        <f t="shared" si="14"/>
        <v>15.919569474227261</v>
      </c>
      <c r="H93" s="115">
        <f>SUM(H84:H92)</f>
        <v>65.506401394943865</v>
      </c>
      <c r="K93" s="3" t="str">
        <f>IF(ROUND(H93,3)=ROUND('O | RFM inputs'!$I$21-'O | RFM inputs'!$C$21,3),"OK","ERROR")</f>
        <v>OK</v>
      </c>
      <c r="M93" s="109"/>
    </row>
    <row r="95" spans="2:13" ht="18.75" x14ac:dyDescent="0.3">
      <c r="B95" s="110" t="s">
        <v>208</v>
      </c>
    </row>
    <row r="96" spans="2:13" x14ac:dyDescent="0.3">
      <c r="B96" s="11" t="s">
        <v>209</v>
      </c>
      <c r="C96" s="113" t="str">
        <f>C83</f>
        <v>2022-23</v>
      </c>
      <c r="D96" s="113" t="str">
        <f>D83</f>
        <v>2023-24</v>
      </c>
      <c r="E96" s="113" t="str">
        <f>E83</f>
        <v>2024-25</v>
      </c>
      <c r="F96" s="113" t="str">
        <f>F83</f>
        <v>2025-26</v>
      </c>
      <c r="G96" s="113" t="str">
        <f>G83</f>
        <v>2026-27</v>
      </c>
      <c r="H96" s="91" t="s">
        <v>36</v>
      </c>
    </row>
    <row r="97" spans="2:8" x14ac:dyDescent="0.3">
      <c r="B97" s="31" t="str">
        <f>B63</f>
        <v>Minor Projects</v>
      </c>
      <c r="C97" s="114">
        <f>C63*'I | Inflation'!$C$36/'I | Inflation'!$C$20</f>
        <v>0.60106965962591197</v>
      </c>
      <c r="D97" s="114">
        <f>D63*'I | Inflation'!$C$36/'I | Inflation'!$C$24</f>
        <v>0.70463230500625518</v>
      </c>
      <c r="E97" s="114">
        <f>E63*'I | Inflation'!$C$36/'I | Inflation'!$C$28</f>
        <v>0.6599560613358908</v>
      </c>
      <c r="F97" s="114">
        <f>F63*'I | Inflation'!$C$36/'I | Inflation'!$C$32</f>
        <v>0.36188833491023781</v>
      </c>
      <c r="G97" s="114">
        <f>G63</f>
        <v>0.36754284014321026</v>
      </c>
      <c r="H97" s="129">
        <f t="shared" ref="H97" si="15">SUM(C97:G97)</f>
        <v>2.695089201021506</v>
      </c>
    </row>
    <row r="98" spans="2:8" x14ac:dyDescent="0.3">
      <c r="B98" s="31" t="str">
        <f t="shared" ref="B98:B113" si="16">B64</f>
        <v>Pipeline Integrity</v>
      </c>
      <c r="C98" s="114">
        <f>C64*'I | Inflation'!$C$36/'I | Inflation'!$C$20</f>
        <v>2.6156913606275021</v>
      </c>
      <c r="D98" s="114">
        <f>D64*'I | Inflation'!$C$36/'I | Inflation'!$C$24</f>
        <v>1.5194574453262015</v>
      </c>
      <c r="E98" s="114">
        <f>E64*'I | Inflation'!$C$36/'I | Inflation'!$C$28</f>
        <v>2.1193812777369603</v>
      </c>
      <c r="F98" s="114">
        <f>F64*'I | Inflation'!$C$36/'I | Inflation'!$C$32</f>
        <v>3.8215632998400006</v>
      </c>
      <c r="G98" s="114">
        <f t="shared" ref="G98:G113" si="17">G64</f>
        <v>5.3151010924960005</v>
      </c>
      <c r="H98" s="129">
        <f t="shared" ref="H98:H112" si="18">SUM(C98:G98)</f>
        <v>15.391194476026666</v>
      </c>
    </row>
    <row r="99" spans="2:8" x14ac:dyDescent="0.3">
      <c r="B99" s="31" t="str">
        <f t="shared" si="16"/>
        <v>DN250 Supply Security Project</v>
      </c>
      <c r="C99" s="114">
        <f>C65*'I | Inflation'!$C$36/'I | Inflation'!$C$20</f>
        <v>6.6472382679607147</v>
      </c>
      <c r="D99" s="114">
        <f>D65*'I | Inflation'!$C$36/'I | Inflation'!$C$24</f>
        <v>8.8228226041590094</v>
      </c>
      <c r="E99" s="114">
        <f>E65*'I | Inflation'!$C$36/'I | Inflation'!$C$28</f>
        <v>3.5359472834969603</v>
      </c>
      <c r="F99" s="114">
        <f>F65*'I | Inflation'!$C$36/'I | Inflation'!$C$32</f>
        <v>1.0702266675200001</v>
      </c>
      <c r="G99" s="114">
        <f t="shared" si="17"/>
        <v>7.8931242368159991</v>
      </c>
      <c r="H99" s="129">
        <f t="shared" si="18"/>
        <v>27.969359059952684</v>
      </c>
    </row>
    <row r="100" spans="2:8" x14ac:dyDescent="0.3">
      <c r="B100" s="31" t="str">
        <f t="shared" si="16"/>
        <v>Valve Upgrade</v>
      </c>
      <c r="C100" s="114">
        <f>C66*'I | Inflation'!$C$36/'I | Inflation'!$C$20</f>
        <v>5.4561903828924091E-2</v>
      </c>
      <c r="D100" s="114">
        <f>D66*'I | Inflation'!$C$36/'I | Inflation'!$C$24</f>
        <v>3.9901013368567752E-2</v>
      </c>
      <c r="E100" s="114">
        <f>E66*'I | Inflation'!$C$36/'I | Inflation'!$C$28</f>
        <v>0.12354461720576</v>
      </c>
      <c r="F100" s="114">
        <f>F66*'I | Inflation'!$C$36/'I | Inflation'!$C$32</f>
        <v>0</v>
      </c>
      <c r="G100" s="114">
        <f t="shared" si="17"/>
        <v>0</v>
      </c>
      <c r="H100" s="129">
        <f t="shared" si="18"/>
        <v>0.21800753440325182</v>
      </c>
    </row>
    <row r="101" spans="2:8" x14ac:dyDescent="0.3">
      <c r="B101" s="31" t="str">
        <f t="shared" si="16"/>
        <v>Bulimba Creek Strain</v>
      </c>
      <c r="C101" s="114">
        <f>C67*'I | Inflation'!$C$36/'I | Inflation'!$C$20</f>
        <v>1.4982346524949201E-2</v>
      </c>
      <c r="D101" s="114">
        <f>D67*'I | Inflation'!$C$36/'I | Inflation'!$C$24</f>
        <v>0.43709945669545125</v>
      </c>
      <c r="E101" s="114">
        <f>E67*'I | Inflation'!$C$36/'I | Inflation'!$C$28</f>
        <v>0</v>
      </c>
      <c r="F101" s="114">
        <f>F67*'I | Inflation'!$C$36/'I | Inflation'!$C$32</f>
        <v>0</v>
      </c>
      <c r="G101" s="114">
        <f t="shared" si="17"/>
        <v>0</v>
      </c>
      <c r="H101" s="129">
        <f t="shared" si="18"/>
        <v>0.45208180322040042</v>
      </c>
    </row>
    <row r="102" spans="2:8" x14ac:dyDescent="0.3">
      <c r="B102" s="31" t="str">
        <f t="shared" si="16"/>
        <v>Gowrie Creek</v>
      </c>
      <c r="C102" s="114">
        <f>C68*'I | Inflation'!$C$36/'I | Inflation'!$C$20</f>
        <v>0.1863992852615578</v>
      </c>
      <c r="D102" s="114">
        <f>D68*'I | Inflation'!$C$36/'I | Inflation'!$C$24</f>
        <v>0.46799641664101704</v>
      </c>
      <c r="E102" s="114">
        <f>E68*'I | Inflation'!$C$36/'I | Inflation'!$C$28</f>
        <v>1.3043695846195202</v>
      </c>
      <c r="F102" s="114">
        <f>F68*'I | Inflation'!$C$36/'I | Inflation'!$C$32</f>
        <v>0</v>
      </c>
      <c r="G102" s="114">
        <f t="shared" si="17"/>
        <v>0</v>
      </c>
      <c r="H102" s="129">
        <f t="shared" si="18"/>
        <v>1.958765286522095</v>
      </c>
    </row>
    <row r="103" spans="2:8" x14ac:dyDescent="0.3">
      <c r="B103" s="31" t="str">
        <f t="shared" si="16"/>
        <v>Pipeline Relocation</v>
      </c>
      <c r="C103" s="114">
        <f>C69*'I | Inflation'!$C$36/'I | Inflation'!$C$20</f>
        <v>0</v>
      </c>
      <c r="D103" s="114">
        <f>D69*'I | Inflation'!$C$36/'I | Inflation'!$C$24</f>
        <v>0.11457090166958192</v>
      </c>
      <c r="E103" s="114">
        <f>E69*'I | Inflation'!$C$36/'I | Inflation'!$C$28</f>
        <v>2.9868610355200001E-3</v>
      </c>
      <c r="F103" s="114">
        <f>F69*'I | Inflation'!$C$36/'I | Inflation'!$C$32</f>
        <v>0</v>
      </c>
      <c r="G103" s="114">
        <f t="shared" si="17"/>
        <v>0</v>
      </c>
      <c r="H103" s="129">
        <f t="shared" si="18"/>
        <v>0.11755776270510192</v>
      </c>
    </row>
    <row r="104" spans="2:8" x14ac:dyDescent="0.3">
      <c r="B104" s="31" t="str">
        <f t="shared" si="16"/>
        <v>Dalby Communication Relocation</v>
      </c>
      <c r="C104" s="114">
        <f>C70*'I | Inflation'!$C$36/'I | Inflation'!$C$20</f>
        <v>0</v>
      </c>
      <c r="D104" s="114">
        <f>D70*'I | Inflation'!$C$36/'I | Inflation'!$C$24</f>
        <v>2.8017735795177433E-2</v>
      </c>
      <c r="E104" s="114">
        <f>E70*'I | Inflation'!$C$36/'I | Inflation'!$C$28</f>
        <v>-7.6097208320000004E-5</v>
      </c>
      <c r="F104" s="114">
        <f>F70*'I | Inflation'!$C$36/'I | Inflation'!$C$32</f>
        <v>0</v>
      </c>
      <c r="G104" s="114">
        <f t="shared" si="17"/>
        <v>0</v>
      </c>
      <c r="H104" s="129">
        <f t="shared" si="18"/>
        <v>2.7941638586857432E-2</v>
      </c>
    </row>
    <row r="105" spans="2:8" x14ac:dyDescent="0.3">
      <c r="B105" s="31" t="str">
        <f t="shared" si="16"/>
        <v>Access Arrangement</v>
      </c>
      <c r="C105" s="114">
        <f>C71*'I | Inflation'!$C$36/'I | Inflation'!$C$20</f>
        <v>2.2765063879297946E-2</v>
      </c>
      <c r="D105" s="114">
        <f>D71*'I | Inflation'!$C$36/'I | Inflation'!$C$24</f>
        <v>0</v>
      </c>
      <c r="E105" s="114">
        <f>E71*'I | Inflation'!$C$36/'I | Inflation'!$C$28</f>
        <v>6.3741032775680009E-2</v>
      </c>
      <c r="F105" s="114">
        <f>F71*'I | Inflation'!$C$36/'I | Inflation'!$C$32</f>
        <v>0.34510808615384619</v>
      </c>
      <c r="G105" s="114">
        <f t="shared" si="17"/>
        <v>6.5989515876851632E-2</v>
      </c>
      <c r="H105" s="129">
        <f t="shared" si="18"/>
        <v>0.49760369868567578</v>
      </c>
    </row>
    <row r="106" spans="2:8" x14ac:dyDescent="0.3">
      <c r="B106" s="31" t="str">
        <f t="shared" si="16"/>
        <v>Property Leases</v>
      </c>
      <c r="C106" s="114">
        <f>C72*'I | Inflation'!$C$36/'I | Inflation'!$C$20</f>
        <v>1.390607055502233</v>
      </c>
      <c r="D106" s="114">
        <f>D72*'I | Inflation'!$C$36/'I | Inflation'!$C$24</f>
        <v>0.45354092502942822</v>
      </c>
      <c r="E106" s="114">
        <f>E72*'I | Inflation'!$C$36/'I | Inflation'!$C$28</f>
        <v>0.35961627937599167</v>
      </c>
      <c r="F106" s="114">
        <f>F72*'I | Inflation'!$C$36/'I | Inflation'!$C$32</f>
        <v>0.20740921761486139</v>
      </c>
      <c r="G106" s="114">
        <f t="shared" si="17"/>
        <v>0.21064998664009363</v>
      </c>
      <c r="H106" s="129">
        <f t="shared" si="18"/>
        <v>2.6218234641626079</v>
      </c>
    </row>
    <row r="107" spans="2:8" x14ac:dyDescent="0.3">
      <c r="B107" s="31" t="str">
        <f t="shared" si="16"/>
        <v>Vehicle Leases</v>
      </c>
      <c r="C107" s="114">
        <f>C73*'I | Inflation'!$C$36/'I | Inflation'!$C$20</f>
        <v>0.15774251730706726</v>
      </c>
      <c r="D107" s="114">
        <f>D73*'I | Inflation'!$C$36/'I | Inflation'!$C$24</f>
        <v>0.19897564064075504</v>
      </c>
      <c r="E107" s="114">
        <f>E73*'I | Inflation'!$C$36/'I | Inflation'!$C$28</f>
        <v>0.32235350868045198</v>
      </c>
      <c r="F107" s="114">
        <f>F73*'I | Inflation'!$C$36/'I | Inflation'!$C$32</f>
        <v>0.222042254063123</v>
      </c>
      <c r="G107" s="114">
        <f t="shared" si="17"/>
        <v>0.22551166428285924</v>
      </c>
      <c r="H107" s="129">
        <f t="shared" si="18"/>
        <v>1.1266255849742566</v>
      </c>
    </row>
    <row r="108" spans="2:8" x14ac:dyDescent="0.3">
      <c r="B108" s="31" t="str">
        <f t="shared" si="16"/>
        <v>Group IT</v>
      </c>
      <c r="C108" s="114">
        <f>C74*'I | Inflation'!$C$36/'I | Inflation'!$C$20</f>
        <v>3.2909170167364454</v>
      </c>
      <c r="D108" s="114">
        <f>D74*'I | Inflation'!$C$36/'I | Inflation'!$C$24</f>
        <v>2.5981014860740785</v>
      </c>
      <c r="E108" s="114">
        <f>E74*'I | Inflation'!$C$36/'I | Inflation'!$C$28</f>
        <v>3.1633151235890105</v>
      </c>
      <c r="F108" s="114">
        <f>F74*'I | Inflation'!$C$36/'I | Inflation'!$C$32</f>
        <v>3.9312023566615002</v>
      </c>
      <c r="G108" s="114">
        <f t="shared" si="17"/>
        <v>0.65287804858082821</v>
      </c>
      <c r="H108" s="129">
        <f t="shared" si="18"/>
        <v>13.636414031641863</v>
      </c>
    </row>
    <row r="109" spans="2:8" x14ac:dyDescent="0.3">
      <c r="B109" s="31" t="str">
        <f t="shared" si="16"/>
        <v>Corporate</v>
      </c>
      <c r="C109" s="114">
        <f>C75*'I | Inflation'!$C$36/'I | Inflation'!$C$20</f>
        <v>0</v>
      </c>
      <c r="D109" s="114">
        <f>D75*'I | Inflation'!$C$36/'I | Inflation'!$C$24</f>
        <v>0</v>
      </c>
      <c r="E109" s="114">
        <f>E75*'I | Inflation'!$C$36/'I | Inflation'!$C$28</f>
        <v>0</v>
      </c>
      <c r="F109" s="114">
        <f>F75*'I | Inflation'!$C$36/'I | Inflation'!$C$32</f>
        <v>0.15716913894736409</v>
      </c>
      <c r="G109" s="114">
        <f t="shared" si="17"/>
        <v>0.15962490674341662</v>
      </c>
      <c r="H109" s="129">
        <f t="shared" si="18"/>
        <v>0.31679404569078073</v>
      </c>
    </row>
    <row r="110" spans="2:8" x14ac:dyDescent="0.3">
      <c r="B110" s="31" t="str">
        <f t="shared" si="16"/>
        <v>Main Switchboard Replacement</v>
      </c>
      <c r="C110" s="114">
        <f>C76*'I | Inflation'!$C$36/'I | Inflation'!$C$20</f>
        <v>0</v>
      </c>
      <c r="D110" s="114">
        <f>D76*'I | Inflation'!$C$36/'I | Inflation'!$C$24</f>
        <v>0</v>
      </c>
      <c r="E110" s="114">
        <f>E76*'I | Inflation'!$C$36/'I | Inflation'!$C$28</f>
        <v>0</v>
      </c>
      <c r="F110" s="114">
        <f>F76*'I | Inflation'!$C$36/'I | Inflation'!$C$32</f>
        <v>0.72550400000000004</v>
      </c>
      <c r="G110" s="114">
        <f t="shared" si="17"/>
        <v>0.303643182648</v>
      </c>
      <c r="H110" s="129">
        <f t="shared" si="18"/>
        <v>1.0291471826480001</v>
      </c>
    </row>
    <row r="111" spans="2:8" x14ac:dyDescent="0.3">
      <c r="B111" s="31" t="str">
        <f t="shared" si="16"/>
        <v>Environment</v>
      </c>
      <c r="C111" s="114">
        <f>C77*'I | Inflation'!$C$36/'I | Inflation'!$C$20</f>
        <v>0</v>
      </c>
      <c r="D111" s="114">
        <f>D77*'I | Inflation'!$C$36/'I | Inflation'!$C$24</f>
        <v>0</v>
      </c>
      <c r="E111" s="114">
        <f>E77*'I | Inflation'!$C$36/'I | Inflation'!$C$28</f>
        <v>0</v>
      </c>
      <c r="F111" s="114">
        <f>F77*'I | Inflation'!$C$36/'I | Inflation'!$C$32</f>
        <v>0.33484800000000003</v>
      </c>
      <c r="G111" s="114">
        <f t="shared" si="17"/>
        <v>0</v>
      </c>
      <c r="H111" s="129">
        <f t="shared" si="18"/>
        <v>0.33484800000000003</v>
      </c>
    </row>
    <row r="112" spans="2:8" x14ac:dyDescent="0.3">
      <c r="B112" s="31" t="str">
        <f t="shared" si="16"/>
        <v>PIG Trap</v>
      </c>
      <c r="C112" s="114">
        <f>C78*'I | Inflation'!$C$36/'I | Inflation'!$C$20</f>
        <v>0</v>
      </c>
      <c r="D112" s="114">
        <f>D78*'I | Inflation'!$C$36/'I | Inflation'!$C$24</f>
        <v>0</v>
      </c>
      <c r="E112" s="114">
        <f>E78*'I | Inflation'!$C$36/'I | Inflation'!$C$28</f>
        <v>0</v>
      </c>
      <c r="F112" s="114">
        <f>F78*'I | Inflation'!$C$36/'I | Inflation'!$C$32</f>
        <v>0</v>
      </c>
      <c r="G112" s="114">
        <f t="shared" si="17"/>
        <v>0.72550400000000004</v>
      </c>
      <c r="H112" s="129">
        <f t="shared" si="18"/>
        <v>0.72550400000000004</v>
      </c>
    </row>
    <row r="113" spans="1:11" x14ac:dyDescent="0.3">
      <c r="B113" s="31" t="str">
        <f t="shared" si="16"/>
        <v>Ellengrove Safety</v>
      </c>
      <c r="C113" s="114">
        <f>C79*'I | Inflation'!$C$36/'I | Inflation'!$C$20</f>
        <v>0</v>
      </c>
      <c r="D113" s="114">
        <f>D79*'I | Inflation'!$C$36/'I | Inflation'!$C$24</f>
        <v>0</v>
      </c>
      <c r="E113" s="114">
        <f>E79*'I | Inflation'!$C$36/'I | Inflation'!$C$28</f>
        <v>0</v>
      </c>
      <c r="F113" s="114">
        <f>F79*'I | Inflation'!$C$36/'I | Inflation'!$C$32</f>
        <v>0.611209216</v>
      </c>
      <c r="G113" s="114">
        <f t="shared" si="17"/>
        <v>0</v>
      </c>
      <c r="H113" s="129">
        <f t="shared" ref="H113" si="19">SUM(C113:G113)</f>
        <v>0.611209216</v>
      </c>
    </row>
    <row r="114" spans="1:11" x14ac:dyDescent="0.3">
      <c r="B114" s="33" t="s">
        <v>36</v>
      </c>
      <c r="C114" s="115">
        <f>SUM(C97:C113)</f>
        <v>14.981974477254603</v>
      </c>
      <c r="D114" s="115">
        <f t="shared" ref="D114:G114" si="20">SUM(D97:D113)</f>
        <v>15.385115930405522</v>
      </c>
      <c r="E114" s="115">
        <f t="shared" si="20"/>
        <v>11.655135532643426</v>
      </c>
      <c r="F114" s="115">
        <f t="shared" si="20"/>
        <v>11.788170571710934</v>
      </c>
      <c r="G114" s="115">
        <f t="shared" si="20"/>
        <v>15.919569474227261</v>
      </c>
      <c r="H114" s="115">
        <f>SUM(H97:H113)</f>
        <v>69.729965986241751</v>
      </c>
      <c r="K114" s="3" t="str">
        <f>IF(ROUND(H114,3)=ROUND(SUMPRODUCT(C93:G93,'I | Inflation'!D76:H76),3),"OK","ERROR")</f>
        <v>OK</v>
      </c>
    </row>
    <row r="115" spans="1:11" x14ac:dyDescent="0.3">
      <c r="B115" s="2"/>
      <c r="D115" s="2"/>
      <c r="E115" s="2"/>
      <c r="F115" s="2"/>
      <c r="G115" s="2"/>
    </row>
    <row r="116" spans="1:11" ht="18.75" x14ac:dyDescent="0.3">
      <c r="B116" s="110" t="s">
        <v>201</v>
      </c>
    </row>
    <row r="117" spans="1:11" x14ac:dyDescent="0.3">
      <c r="B117" s="11" t="s">
        <v>516</v>
      </c>
      <c r="C117" s="91" t="s">
        <v>56</v>
      </c>
      <c r="D117" s="91" t="s">
        <v>55</v>
      </c>
      <c r="E117" s="91" t="s">
        <v>54</v>
      </c>
      <c r="F117" s="91" t="s">
        <v>120</v>
      </c>
      <c r="G117" s="91" t="s">
        <v>119</v>
      </c>
      <c r="H117" s="91" t="s">
        <v>36</v>
      </c>
    </row>
    <row r="118" spans="1:11" x14ac:dyDescent="0.3">
      <c r="B118" s="31" t="s">
        <v>2</v>
      </c>
      <c r="C118" s="114">
        <f>C84*'I | Inflation'!$C$36/'I | Inflation'!$C$20</f>
        <v>9.521011476474099</v>
      </c>
      <c r="D118" s="114">
        <f>D84*'I | Inflation'!$C$36/'I | Inflation'!$C$24</f>
        <v>11.471525193775655</v>
      </c>
      <c r="E118" s="114">
        <f>E84*'I | Inflation'!$C$36/'I | Inflation'!$C$28</f>
        <v>7.1968359881113599</v>
      </c>
      <c r="F118" s="114">
        <f>F84*'I | Inflation'!$C$36/'I | Inflation'!$C$32</f>
        <v>5.2266379673599994</v>
      </c>
      <c r="G118" s="114">
        <f>G84</f>
        <v>13.933729329312001</v>
      </c>
      <c r="H118" s="129">
        <f t="shared" ref="H118:H126" si="21">SUM(C118:G118)</f>
        <v>47.349739955033115</v>
      </c>
    </row>
    <row r="119" spans="1:11" x14ac:dyDescent="0.3">
      <c r="B119" s="31" t="s">
        <v>4</v>
      </c>
      <c r="C119" s="114">
        <f>C85*'I | Inflation'!$C$36/'I | Inflation'!$C$20</f>
        <v>0.17599250615732087</v>
      </c>
      <c r="D119" s="114">
        <f>D85*'I | Inflation'!$C$36/'I | Inflation'!$C$24</f>
        <v>0.1627371805146518</v>
      </c>
      <c r="E119" s="114">
        <f>E85*'I | Inflation'!$C$36/'I | Inflation'!$C$28</f>
        <v>0.33369311592448003</v>
      </c>
      <c r="F119" s="114">
        <f>F85*'I | Inflation'!$C$36/'I | Inflation'!$C$32</f>
        <v>0</v>
      </c>
      <c r="G119" s="114">
        <f t="shared" ref="G119:G126" si="22">G85</f>
        <v>0</v>
      </c>
      <c r="H119" s="129">
        <f t="shared" si="21"/>
        <v>0.67242280259645271</v>
      </c>
    </row>
    <row r="120" spans="1:11" x14ac:dyDescent="0.3">
      <c r="B120" s="31" t="s">
        <v>69</v>
      </c>
      <c r="C120" s="114">
        <f>C86*'I | Inflation'!$C$36/'I | Inflation'!$C$20</f>
        <v>0</v>
      </c>
      <c r="D120" s="114">
        <f>D86*'I | Inflation'!$C$36/'I | Inflation'!$C$24</f>
        <v>1.791366294716316E-4</v>
      </c>
      <c r="E120" s="114">
        <f>E86*'I | Inflation'!$C$36/'I | Inflation'!$C$28</f>
        <v>0</v>
      </c>
      <c r="F120" s="114">
        <f>F86*'I | Inflation'!$C$36/'I | Inflation'!$C$32</f>
        <v>0.611209216</v>
      </c>
      <c r="G120" s="114">
        <f t="shared" si="22"/>
        <v>0</v>
      </c>
      <c r="H120" s="129">
        <f t="shared" si="21"/>
        <v>0.61138835262947167</v>
      </c>
    </row>
    <row r="121" spans="1:11" x14ac:dyDescent="0.3">
      <c r="B121" s="31" t="s">
        <v>70</v>
      </c>
      <c r="C121" s="114">
        <f>C87*'I | Inflation'!$C$36/'I | Inflation'!$C$20</f>
        <v>0</v>
      </c>
      <c r="D121" s="114">
        <f>D87*'I | Inflation'!$C$36/'I | Inflation'!$C$24</f>
        <v>0</v>
      </c>
      <c r="E121" s="114">
        <f>E87*'I | Inflation'!$C$36/'I | Inflation'!$C$28</f>
        <v>0</v>
      </c>
      <c r="F121" s="114">
        <f>F87*'I | Inflation'!$C$36/'I | Inflation'!$C$32</f>
        <v>0</v>
      </c>
      <c r="G121" s="114">
        <f t="shared" si="22"/>
        <v>0</v>
      </c>
      <c r="H121" s="129">
        <f t="shared" si="21"/>
        <v>0</v>
      </c>
    </row>
    <row r="122" spans="1:11" x14ac:dyDescent="0.3">
      <c r="B122" s="31" t="s">
        <v>71</v>
      </c>
      <c r="C122" s="114">
        <f>C88*'I | Inflation'!$C$36/'I | Inflation'!$C$20</f>
        <v>0</v>
      </c>
      <c r="D122" s="114">
        <f>D88*'I | Inflation'!$C$36/'I | Inflation'!$C$24</f>
        <v>0</v>
      </c>
      <c r="E122" s="114">
        <f>E88*'I | Inflation'!$C$36/'I | Inflation'!$C$28</f>
        <v>0</v>
      </c>
      <c r="F122" s="114">
        <f>F88*'I | Inflation'!$C$36/'I | Inflation'!$C$32</f>
        <v>0</v>
      </c>
      <c r="G122" s="114">
        <f t="shared" si="22"/>
        <v>0</v>
      </c>
      <c r="H122" s="129">
        <f t="shared" si="21"/>
        <v>0</v>
      </c>
    </row>
    <row r="123" spans="1:11" x14ac:dyDescent="0.3">
      <c r="B123" s="31" t="s">
        <v>72</v>
      </c>
      <c r="C123" s="114">
        <f>C89*'I | Inflation'!$C$36/'I | Inflation'!$C$20</f>
        <v>2.2765063879297946E-2</v>
      </c>
      <c r="D123" s="114">
        <f>D89*'I | Inflation'!$C$36/'I | Inflation'!$C$24</f>
        <v>0</v>
      </c>
      <c r="E123" s="114">
        <f>E89*'I | Inflation'!$C$36/'I | Inflation'!$C$28</f>
        <v>6.3741032775680009E-2</v>
      </c>
      <c r="F123" s="114">
        <f>F89*'I | Inflation'!$C$36/'I | Inflation'!$C$32</f>
        <v>0.34510808615384619</v>
      </c>
      <c r="G123" s="114">
        <f t="shared" si="22"/>
        <v>6.5989515876851632E-2</v>
      </c>
      <c r="H123" s="129">
        <f t="shared" si="21"/>
        <v>0.49760369868567578</v>
      </c>
    </row>
    <row r="124" spans="1:11" x14ac:dyDescent="0.3">
      <c r="B124" s="31" t="s">
        <v>73</v>
      </c>
      <c r="C124" s="114">
        <f>C90*'I | Inflation'!$C$36/'I | Inflation'!$C$20</f>
        <v>3.3626845093875857</v>
      </c>
      <c r="D124" s="114">
        <f>D90*'I | Inflation'!$C$36/'I | Inflation'!$C$24</f>
        <v>2.568803164899732</v>
      </c>
      <c r="E124" s="114">
        <f>E90*'I | Inflation'!$C$36/'I | Inflation'!$C$28</f>
        <v>3.1283817274655217</v>
      </c>
      <c r="F124" s="114">
        <f>F90*'I | Inflation'!$C$36/'I | Inflation'!$C$32</f>
        <v>3.9312023566615002</v>
      </c>
      <c r="G124" s="114">
        <f t="shared" si="22"/>
        <v>0.65287804858082821</v>
      </c>
      <c r="H124" s="129">
        <f t="shared" si="21"/>
        <v>13.643949806995167</v>
      </c>
    </row>
    <row r="125" spans="1:11" x14ac:dyDescent="0.3">
      <c r="B125" s="31" t="s">
        <v>74</v>
      </c>
      <c r="C125" s="114">
        <f>C91*'I | Inflation'!$C$36/'I | Inflation'!$C$20</f>
        <v>1.8995209213563</v>
      </c>
      <c r="D125" s="114">
        <f>D91*'I | Inflation'!$C$36/'I | Inflation'!$C$24</f>
        <v>1.1818712545860146</v>
      </c>
      <c r="E125" s="114">
        <f>E91*'I | Inflation'!$C$36/'I | Inflation'!$C$28</f>
        <v>0.93248366836638263</v>
      </c>
      <c r="F125" s="114">
        <f>F91*'I | Inflation'!$C$36/'I | Inflation'!$C$32</f>
        <v>1.6740129455355865</v>
      </c>
      <c r="G125" s="114">
        <f t="shared" si="22"/>
        <v>1.2669725804575798</v>
      </c>
      <c r="H125" s="129">
        <f t="shared" si="21"/>
        <v>6.9548613703018631</v>
      </c>
    </row>
    <row r="126" spans="1:11" x14ac:dyDescent="0.3">
      <c r="B126" s="31" t="s">
        <v>205</v>
      </c>
      <c r="C126" s="114">
        <f>C92*'I | Inflation'!$C$36/'I | Inflation'!$C$20</f>
        <v>0</v>
      </c>
      <c r="D126" s="114">
        <f>D92*'I | Inflation'!$C$36/'I | Inflation'!$C$24</f>
        <v>0</v>
      </c>
      <c r="E126" s="114">
        <f>E92*'I | Inflation'!$C$36/'I | Inflation'!$C$28</f>
        <v>0</v>
      </c>
      <c r="F126" s="114">
        <f>F92*'I | Inflation'!$C$36/'I | Inflation'!$C$32</f>
        <v>0</v>
      </c>
      <c r="G126" s="114">
        <f t="shared" si="22"/>
        <v>0</v>
      </c>
      <c r="H126" s="129">
        <f t="shared" si="21"/>
        <v>0</v>
      </c>
    </row>
    <row r="127" spans="1:11" x14ac:dyDescent="0.3">
      <c r="B127" s="33" t="s">
        <v>36</v>
      </c>
      <c r="C127" s="115">
        <f t="shared" ref="C127:G127" si="23">SUM(C118:C125)</f>
        <v>14.981974477254605</v>
      </c>
      <c r="D127" s="115">
        <f t="shared" si="23"/>
        <v>15.385115930405526</v>
      </c>
      <c r="E127" s="115">
        <f t="shared" si="23"/>
        <v>11.655135532643424</v>
      </c>
      <c r="F127" s="115">
        <f t="shared" si="23"/>
        <v>11.788170571710932</v>
      </c>
      <c r="G127" s="115">
        <f t="shared" si="23"/>
        <v>15.919569474227261</v>
      </c>
      <c r="H127" s="115">
        <f>SUM(H118:H126)</f>
        <v>69.729965986241737</v>
      </c>
      <c r="K127" s="3" t="str">
        <f>IF(ROUND(H127,3)=ROUND(H114,3),"OK","ERROR")</f>
        <v>OK</v>
      </c>
    </row>
    <row r="128" spans="1:11" x14ac:dyDescent="0.3">
      <c r="A128" s="3"/>
      <c r="C128" s="3"/>
      <c r="D128" s="3"/>
      <c r="E128" s="3"/>
      <c r="F128" s="3"/>
      <c r="H128" s="3"/>
      <c r="I128" s="3"/>
      <c r="J128" s="3"/>
      <c r="K128" s="3"/>
    </row>
    <row r="129" spans="1:8" ht="19.5" thickBot="1" x14ac:dyDescent="0.35">
      <c r="A129" s="229" t="s">
        <v>336</v>
      </c>
      <c r="B129" s="229"/>
      <c r="C129" s="229"/>
      <c r="D129" s="229"/>
      <c r="E129" s="229"/>
      <c r="F129" s="229"/>
      <c r="G129" s="229"/>
      <c r="H129" s="229"/>
    </row>
    <row r="130" spans="1:8" ht="17.25" thickTop="1" x14ac:dyDescent="0.3"/>
    <row r="131" spans="1:8" ht="18.75" x14ac:dyDescent="0.3">
      <c r="B131" s="110" t="s">
        <v>294</v>
      </c>
    </row>
    <row r="132" spans="1:8" x14ac:dyDescent="0.3">
      <c r="B132" s="11" t="s">
        <v>206</v>
      </c>
      <c r="C132" s="113" t="s">
        <v>53</v>
      </c>
      <c r="D132" s="113" t="s">
        <v>52</v>
      </c>
      <c r="E132" s="113" t="s">
        <v>51</v>
      </c>
      <c r="F132" s="113" t="s">
        <v>50</v>
      </c>
      <c r="G132" s="113" t="s">
        <v>49</v>
      </c>
      <c r="H132" s="91" t="s">
        <v>36</v>
      </c>
    </row>
    <row r="133" spans="1:8" x14ac:dyDescent="0.3">
      <c r="B133" s="31" t="str" cm="1">
        <f t="array" ref="B133:B149">_xlfn.UNIQUE('C | PTRM escalation'!C11:C72,FALSE,FALSE)</f>
        <v>SIB</v>
      </c>
      <c r="C133" s="114">
        <f>SUMIF('C | PTRM escalation'!$C$11:$C$160,'O | Overview'!$B133,'C | PTRM escalation'!BP$11:BP$160)/10^6</f>
        <v>0.36905973307839507</v>
      </c>
      <c r="D133" s="114">
        <f>SUMIF('C | PTRM escalation'!$C$11:$C$160,'O | Overview'!$B133,'C | PTRM escalation'!BQ$11:BQ$160)/10^6</f>
        <v>0.77342422968642233</v>
      </c>
      <c r="E133" s="114">
        <f>SUMIF('C | PTRM escalation'!$C$11:$C$160,'O | Overview'!$B133,'C | PTRM escalation'!BR$11:BR$160)/10^6</f>
        <v>0.54288470703302794</v>
      </c>
      <c r="F133" s="114">
        <f>SUMIF('C | PTRM escalation'!$C$11:$C$160,'O | Overview'!$B133,'C | PTRM escalation'!BS$11:BS$160)/10^6</f>
        <v>2.987094557461873</v>
      </c>
      <c r="G133" s="114">
        <f>SUMIF('C | PTRM escalation'!$C$11:$C$160,'O | Overview'!$B133,'C | PTRM escalation'!BT$11:BT$160)/10^6</f>
        <v>0.66067054248190271</v>
      </c>
      <c r="H133" s="129">
        <f t="shared" ref="H133" si="24">SUM(C133:G133)</f>
        <v>5.3331337697416208</v>
      </c>
    </row>
    <row r="134" spans="1:8" x14ac:dyDescent="0.3">
      <c r="B134" s="31" t="str">
        <v>Pipeline Integrity</v>
      </c>
      <c r="C134" s="114">
        <f>SUMIF('C | PTRM escalation'!$C$11:$C$160,'O | Overview'!$B134,'C | PTRM escalation'!BP$11:BP$160)/10^6</f>
        <v>8.243460322854677</v>
      </c>
      <c r="D134" s="114">
        <f>SUMIF('C | PTRM escalation'!$C$11:$C$160,'O | Overview'!$B134,'C | PTRM escalation'!BQ$11:BQ$160)/10^6</f>
        <v>10.692552617449406</v>
      </c>
      <c r="E134" s="114">
        <f>SUMIF('C | PTRM escalation'!$C$11:$C$160,'O | Overview'!$B134,'C | PTRM escalation'!BR$11:BR$160)/10^6</f>
        <v>9.9138176812125582</v>
      </c>
      <c r="F134" s="114">
        <f>SUMIF('C | PTRM escalation'!$C$11:$C$160,'O | Overview'!$B134,'C | PTRM escalation'!BS$11:BS$160)/10^6</f>
        <v>8.4941697720129401</v>
      </c>
      <c r="G134" s="114">
        <f>SUMIF('C | PTRM escalation'!$C$11:$C$160,'O | Overview'!$B134,'C | PTRM escalation'!BT$11:BT$160)/10^6</f>
        <v>4.8141316994050136</v>
      </c>
      <c r="H134" s="129">
        <f t="shared" ref="H134:H149" si="25">SUM(C134:G134)</f>
        <v>42.158132092934594</v>
      </c>
    </row>
    <row r="135" spans="1:8" x14ac:dyDescent="0.3">
      <c r="B135" s="31" t="str">
        <v>DN250 Supply Security Project</v>
      </c>
      <c r="C135" s="114">
        <f>SUMIF('C | PTRM escalation'!$C$11:$C$160,'O | Overview'!$B135,'C | PTRM escalation'!BP$11:BP$160)/10^6</f>
        <v>5.083094842410472</v>
      </c>
      <c r="D135" s="114">
        <f>SUMIF('C | PTRM escalation'!$C$11:$C$160,'O | Overview'!$B135,'C | PTRM escalation'!BQ$11:BQ$160)/10^6</f>
        <v>5.8134906013769498</v>
      </c>
      <c r="E135" s="114">
        <f>SUMIF('C | PTRM escalation'!$C$11:$C$160,'O | Overview'!$B135,'C | PTRM escalation'!BR$11:BR$160)/10^6</f>
        <v>1.4602618881991212</v>
      </c>
      <c r="F135" s="114">
        <f>SUMIF('C | PTRM escalation'!$C$11:$C$160,'O | Overview'!$B135,'C | PTRM escalation'!BS$11:BS$160)/10^6</f>
        <v>1.4461605484322435</v>
      </c>
      <c r="G135" s="114">
        <f>SUMIF('C | PTRM escalation'!$C$11:$C$160,'O | Overview'!$B135,'C | PTRM escalation'!BT$11:BT$160)/10^6</f>
        <v>2.5649246956001455</v>
      </c>
      <c r="H135" s="129">
        <f t="shared" si="25"/>
        <v>16.36793257601893</v>
      </c>
    </row>
    <row r="136" spans="1:8" x14ac:dyDescent="0.3">
      <c r="B136" s="31" t="str">
        <v>Environment</v>
      </c>
      <c r="C136" s="114">
        <f>SUMIF('C | PTRM escalation'!$C$11:$C$160,'O | Overview'!$B136,'C | PTRM escalation'!BP$11:BP$160)/10^6</f>
        <v>10.379012489134253</v>
      </c>
      <c r="D136" s="114">
        <f>SUMIF('C | PTRM escalation'!$C$11:$C$160,'O | Overview'!$B136,'C | PTRM escalation'!BQ$11:BQ$160)/10^6</f>
        <v>0</v>
      </c>
      <c r="E136" s="114">
        <f>SUMIF('C | PTRM escalation'!$C$11:$C$160,'O | Overview'!$B136,'C | PTRM escalation'!BR$11:BR$160)/10^6</f>
        <v>0</v>
      </c>
      <c r="F136" s="114">
        <f>SUMIF('C | PTRM escalation'!$C$11:$C$160,'O | Overview'!$B136,'C | PTRM escalation'!BS$11:BS$160)/10^6</f>
        <v>0</v>
      </c>
      <c r="G136" s="114">
        <f>SUMIF('C | PTRM escalation'!$C$11:$C$160,'O | Overview'!$B136,'C | PTRM escalation'!BT$11:BT$160)/10^6</f>
        <v>0</v>
      </c>
      <c r="H136" s="129">
        <f t="shared" si="25"/>
        <v>10.379012489134253</v>
      </c>
    </row>
    <row r="137" spans="1:8" x14ac:dyDescent="0.3">
      <c r="B137" s="31" t="str">
        <v>Site equipment</v>
      </c>
      <c r="C137" s="114">
        <f>SUMIF('C | PTRM escalation'!$C$11:$C$160,'O | Overview'!$B137,'C | PTRM escalation'!BP$11:BP$160)/10^6</f>
        <v>0.46128944396152238</v>
      </c>
      <c r="D137" s="114">
        <f>SUMIF('C | PTRM escalation'!$C$11:$C$160,'O | Overview'!$B137,'C | PTRM escalation'!BQ$11:BQ$160)/10^6</f>
        <v>0.46213085326631692</v>
      </c>
      <c r="E137" s="114">
        <f>SUMIF('C | PTRM escalation'!$C$11:$C$160,'O | Overview'!$B137,'C | PTRM escalation'!BR$11:BR$160)/10^6</f>
        <v>0.46353326387902088</v>
      </c>
      <c r="F137" s="114">
        <f>SUMIF('C | PTRM escalation'!$C$11:$C$160,'O | Overview'!$B137,'C | PTRM escalation'!BS$11:BS$160)/10^6</f>
        <v>0.46542841322372952</v>
      </c>
      <c r="G137" s="114">
        <f>SUMIF('C | PTRM escalation'!$C$11:$C$160,'O | Overview'!$B137,'C | PTRM escalation'!BT$11:BT$160)/10^6</f>
        <v>0.46657729504561229</v>
      </c>
      <c r="H137" s="129">
        <f t="shared" si="25"/>
        <v>2.3189592693762022</v>
      </c>
    </row>
    <row r="138" spans="1:8" x14ac:dyDescent="0.3">
      <c r="B138" s="31" t="str">
        <v>Gas Instruments</v>
      </c>
      <c r="C138" s="114">
        <f>SUMIF('C | PTRM escalation'!$C$11:$C$160,'O | Overview'!$B138,'C | PTRM escalation'!BP$11:BP$160)/10^6</f>
        <v>0.86491770742785445</v>
      </c>
      <c r="D138" s="114">
        <f>SUMIF('C | PTRM escalation'!$C$11:$C$160,'O | Overview'!$B138,'C | PTRM escalation'!BQ$11:BQ$160)/10^6</f>
        <v>0.86649534987434418</v>
      </c>
      <c r="E138" s="114">
        <f>SUMIF('C | PTRM escalation'!$C$11:$C$160,'O | Overview'!$B138,'C | PTRM escalation'!BR$11:BR$160)/10^6</f>
        <v>0.69529989581853124</v>
      </c>
      <c r="F138" s="114">
        <f>SUMIF('C | PTRM escalation'!$C$11:$C$160,'O | Overview'!$B138,'C | PTRM escalation'!BS$11:BS$160)/10^6</f>
        <v>0.63996406818262819</v>
      </c>
      <c r="G138" s="114">
        <f>SUMIF('C | PTRM escalation'!$C$11:$C$160,'O | Overview'!$B138,'C | PTRM escalation'!BT$11:BT$160)/10^6</f>
        <v>0.80484583395368137</v>
      </c>
      <c r="H138" s="129">
        <f t="shared" si="25"/>
        <v>3.87152285525704</v>
      </c>
    </row>
    <row r="139" spans="1:8" x14ac:dyDescent="0.3">
      <c r="B139" s="31" t="str">
        <v>Tools</v>
      </c>
      <c r="C139" s="114">
        <f>SUMIF('C | PTRM escalation'!$C$11:$C$160,'O | Overview'!$B139,'C | PTRM escalation'!BP$11:BP$160)/10^6</f>
        <v>5.7661180495190298E-2</v>
      </c>
      <c r="D139" s="114">
        <f>SUMIF('C | PTRM escalation'!$C$11:$C$160,'O | Overview'!$B139,'C | PTRM escalation'!BQ$11:BQ$160)/10^6</f>
        <v>0.12708598464823714</v>
      </c>
      <c r="E139" s="114">
        <f>SUMIF('C | PTRM escalation'!$C$11:$C$160,'O | Overview'!$B139,'C | PTRM escalation'!BR$11:BR$160)/10^6</f>
        <v>5.7941657984877611E-2</v>
      </c>
      <c r="F139" s="114">
        <f>SUMIF('C | PTRM escalation'!$C$11:$C$160,'O | Overview'!$B139,'C | PTRM escalation'!BS$11:BS$160)/10^6</f>
        <v>5.817855165296619E-2</v>
      </c>
      <c r="G139" s="114">
        <f>SUMIF('C | PTRM escalation'!$C$11:$C$160,'O | Overview'!$B139,'C | PTRM escalation'!BT$11:BT$160)/10^6</f>
        <v>5.8322161880701537E-2</v>
      </c>
      <c r="H139" s="129">
        <f t="shared" si="25"/>
        <v>0.35918953666197279</v>
      </c>
    </row>
    <row r="140" spans="1:8" x14ac:dyDescent="0.3">
      <c r="B140" s="31" t="str">
        <v>Corporate</v>
      </c>
      <c r="C140" s="114">
        <f>SUMIF('C | PTRM escalation'!$C$11:$C$160,'O | Overview'!$B140,'C | PTRM escalation'!BP$11:BP$160)/10^6</f>
        <v>0.16161010712943902</v>
      </c>
      <c r="D140" s="114">
        <f>SUMIF('C | PTRM escalation'!$C$11:$C$160,'O | Overview'!$B140,'C | PTRM escalation'!BQ$11:BQ$160)/10^6</f>
        <v>0.16161010712943902</v>
      </c>
      <c r="E140" s="114">
        <f>SUMIF('C | PTRM escalation'!$C$11:$C$160,'O | Overview'!$B140,'C | PTRM escalation'!BR$11:BR$160)/10^6</f>
        <v>0.16161010712943902</v>
      </c>
      <c r="F140" s="114">
        <f>SUMIF('C | PTRM escalation'!$C$11:$C$160,'O | Overview'!$B140,'C | PTRM escalation'!BS$11:BS$160)/10^6</f>
        <v>0.16161010712943902</v>
      </c>
      <c r="G140" s="114">
        <f>SUMIF('C | PTRM escalation'!$C$11:$C$160,'O | Overview'!$B140,'C | PTRM escalation'!BT$11:BT$160)/10^6</f>
        <v>0.16161010712943902</v>
      </c>
      <c r="H140" s="129">
        <f t="shared" si="25"/>
        <v>0.80805053564719509</v>
      </c>
    </row>
    <row r="141" spans="1:8" x14ac:dyDescent="0.3">
      <c r="B141" s="31" t="str">
        <v>Group IT</v>
      </c>
      <c r="C141" s="114">
        <f>SUMIF('C | PTRM escalation'!$C$11:$C$160,'O | Overview'!$B141,'C | PTRM escalation'!BP$11:BP$160)/10^6</f>
        <v>0.66099766963815831</v>
      </c>
      <c r="D141" s="114">
        <f>SUMIF('C | PTRM escalation'!$C$11:$C$160,'O | Overview'!$B141,'C | PTRM escalation'!BQ$11:BQ$160)/10^6</f>
        <v>0.66099766963815831</v>
      </c>
      <c r="E141" s="114">
        <f>SUMIF('C | PTRM escalation'!$C$11:$C$160,'O | Overview'!$B141,'C | PTRM escalation'!BR$11:BR$160)/10^6</f>
        <v>0.66099766963815831</v>
      </c>
      <c r="F141" s="114">
        <f>SUMIF('C | PTRM escalation'!$C$11:$C$160,'O | Overview'!$B141,'C | PTRM escalation'!BS$11:BS$160)/10^6</f>
        <v>0.66099766963815831</v>
      </c>
      <c r="G141" s="114">
        <f>SUMIF('C | PTRM escalation'!$C$11:$C$160,'O | Overview'!$B141,'C | PTRM escalation'!BT$11:BT$160)/10^6</f>
        <v>0.66099766963815831</v>
      </c>
      <c r="H141" s="129">
        <f t="shared" si="25"/>
        <v>3.3049883481907916</v>
      </c>
    </row>
    <row r="142" spans="1:8" x14ac:dyDescent="0.3">
      <c r="B142" s="31" t="str">
        <v>Property Leases</v>
      </c>
      <c r="C142" s="114">
        <f>SUMIF('C | PTRM escalation'!$C$11:$C$160,'O | Overview'!$B142,'C | PTRM escalation'!BP$11:BP$160)/10^6</f>
        <v>0.21326976849823259</v>
      </c>
      <c r="D142" s="114">
        <f>SUMIF('C | PTRM escalation'!$C$11:$C$160,'O | Overview'!$B142,'C | PTRM escalation'!BQ$11:BQ$160)/10^6</f>
        <v>0.21326976849823259</v>
      </c>
      <c r="E142" s="114">
        <f>SUMIF('C | PTRM escalation'!$C$11:$C$160,'O | Overview'!$B142,'C | PTRM escalation'!BR$11:BR$160)/10^6</f>
        <v>0.21326976849823259</v>
      </c>
      <c r="F142" s="114">
        <f>SUMIF('C | PTRM escalation'!$C$11:$C$160,'O | Overview'!$B142,'C | PTRM escalation'!BS$11:BS$160)/10^6</f>
        <v>0.21326976849823259</v>
      </c>
      <c r="G142" s="114">
        <f>SUMIF('C | PTRM escalation'!$C$11:$C$160,'O | Overview'!$B142,'C | PTRM escalation'!BT$11:BT$160)/10^6</f>
        <v>0.21326976849823259</v>
      </c>
      <c r="H142" s="129">
        <f t="shared" si="25"/>
        <v>1.0663488424911629</v>
      </c>
    </row>
    <row r="143" spans="1:8" x14ac:dyDescent="0.3">
      <c r="B143" s="31" t="str">
        <v>Vehicle Leases</v>
      </c>
      <c r="C143" s="114">
        <f>SUMIF('C | PTRM escalation'!$C$11:$C$160,'O | Overview'!$B143,'C | PTRM escalation'!BP$11:BP$160)/10^6</f>
        <v>0.22831627574431812</v>
      </c>
      <c r="D143" s="114">
        <f>SUMIF('C | PTRM escalation'!$C$11:$C$160,'O | Overview'!$B143,'C | PTRM escalation'!BQ$11:BQ$160)/10^6</f>
        <v>0.22831627574431812</v>
      </c>
      <c r="E143" s="114">
        <f>SUMIF('C | PTRM escalation'!$C$11:$C$160,'O | Overview'!$B143,'C | PTRM escalation'!BR$11:BR$160)/10^6</f>
        <v>0.22831627574431812</v>
      </c>
      <c r="F143" s="114">
        <f>SUMIF('C | PTRM escalation'!$C$11:$C$160,'O | Overview'!$B143,'C | PTRM escalation'!BS$11:BS$160)/10^6</f>
        <v>0.22831627574431812</v>
      </c>
      <c r="G143" s="114">
        <f>SUMIF('C | PTRM escalation'!$C$11:$C$160,'O | Overview'!$B143,'C | PTRM escalation'!BT$11:BT$160)/10^6</f>
        <v>0.22831627574431812</v>
      </c>
      <c r="H143" s="129">
        <f>SUM(C143:G143)</f>
        <v>1.1415813787215905</v>
      </c>
    </row>
    <row r="144" spans="1:8" x14ac:dyDescent="0.3">
      <c r="B144" s="31" t="str">
        <v>Access Arrangement</v>
      </c>
      <c r="C144" s="114">
        <f>SUMIF('C | PTRM escalation'!$C$11:$C$160,'O | Overview'!$B144,'C | PTRM escalation'!BP$11:BP$160)/10^6</f>
        <v>0</v>
      </c>
      <c r="D144" s="114">
        <f>SUMIF('C | PTRM escalation'!$C$11:$C$160,'O | Overview'!$B144,'C | PTRM escalation'!BQ$11:BQ$160)/10^6</f>
        <v>0</v>
      </c>
      <c r="E144" s="114">
        <f>SUMIF('C | PTRM escalation'!$C$11:$C$160,'O | Overview'!$B144,'C | PTRM escalation'!BR$11:BR$160)/10^6</f>
        <v>9.0045925020330445E-2</v>
      </c>
      <c r="F144" s="114">
        <f>SUMIF('C | PTRM escalation'!$C$11:$C$160,'O | Overview'!$B144,'C | PTRM escalation'!BS$11:BS$160)/10^6</f>
        <v>0.47324549780101316</v>
      </c>
      <c r="G144" s="114">
        <f>SUMIF('C | PTRM escalation'!$C$11:$C$160,'O | Overview'!$B144,'C | PTRM escalation'!BT$11:BT$160)/10^6</f>
        <v>8.6284622715569081E-2</v>
      </c>
      <c r="H144" s="129">
        <f t="shared" si="25"/>
        <v>0.64957604553691262</v>
      </c>
    </row>
    <row r="145" spans="2:11" x14ac:dyDescent="0.3">
      <c r="B145" s="31" t="str">
        <v>Main Switchboard Replacement</v>
      </c>
      <c r="C145" s="114">
        <f>SUMIF('C | PTRM escalation'!$C$11:$C$160,'O | Overview'!$B145,'C | PTRM escalation'!BP$11:BP$160)/10^6</f>
        <v>0</v>
      </c>
      <c r="D145" s="114">
        <f>SUMIF('C | PTRM escalation'!$C$11:$C$160,'O | Overview'!$B145,'C | PTRM escalation'!BQ$11:BQ$160)/10^6</f>
        <v>0</v>
      </c>
      <c r="E145" s="114">
        <f>SUMIF('C | PTRM escalation'!$C$11:$C$160,'O | Overview'!$B145,'C | PTRM escalation'!BR$11:BR$160)/10^6</f>
        <v>0</v>
      </c>
      <c r="F145" s="114">
        <f>SUMIF('C | PTRM escalation'!$C$11:$C$160,'O | Overview'!$B145,'C | PTRM escalation'!BS$11:BS$160)/10^6</f>
        <v>0</v>
      </c>
      <c r="G145" s="114">
        <f>SUMIF('C | PTRM escalation'!$C$11:$C$160,'O | Overview'!$B145,'C | PTRM escalation'!BT$11:BT$160)/10^6</f>
        <v>0</v>
      </c>
      <c r="H145" s="129">
        <f t="shared" si="25"/>
        <v>0</v>
      </c>
    </row>
    <row r="146" spans="2:11" x14ac:dyDescent="0.3">
      <c r="B146" s="31" t="str">
        <v>PIG Trap</v>
      </c>
      <c r="C146" s="114">
        <f>SUMIF('C | PTRM escalation'!$C$11:$C$160,'O | Overview'!$B146,'C | PTRM escalation'!BP$11:BP$160)/10^6</f>
        <v>0</v>
      </c>
      <c r="D146" s="114">
        <f>SUMIF('C | PTRM escalation'!$C$11:$C$160,'O | Overview'!$B146,'C | PTRM escalation'!BQ$11:BQ$160)/10^6</f>
        <v>0</v>
      </c>
      <c r="E146" s="114">
        <f>SUMIF('C | PTRM escalation'!$C$11:$C$160,'O | Overview'!$B146,'C | PTRM escalation'!BR$11:BR$160)/10^6</f>
        <v>0</v>
      </c>
      <c r="F146" s="114">
        <f>SUMIF('C | PTRM escalation'!$C$11:$C$160,'O | Overview'!$B146,'C | PTRM escalation'!BS$11:BS$160)/10^6</f>
        <v>0</v>
      </c>
      <c r="G146" s="114">
        <f>SUMIF('C | PTRM escalation'!$C$11:$C$160,'O | Overview'!$B146,'C | PTRM escalation'!BT$11:BT$160)/10^6</f>
        <v>0</v>
      </c>
      <c r="H146" s="129">
        <f t="shared" si="25"/>
        <v>0</v>
      </c>
    </row>
    <row r="147" spans="2:11" x14ac:dyDescent="0.3">
      <c r="B147" s="31" t="str">
        <v>Minor Projects</v>
      </c>
      <c r="C147" s="114">
        <f>SUMIF('C | PTRM escalation'!$C$11:$C$160,'O | Overview'!$B147,'C | PTRM escalation'!BP$11:BP$160)/10^6</f>
        <v>0</v>
      </c>
      <c r="D147" s="114">
        <f>SUMIF('C | PTRM escalation'!$C$11:$C$160,'O | Overview'!$B147,'C | PTRM escalation'!BQ$11:BQ$160)/10^6</f>
        <v>0</v>
      </c>
      <c r="E147" s="114">
        <f>SUMIF('C | PTRM escalation'!$C$11:$C$160,'O | Overview'!$B147,'C | PTRM escalation'!BR$11:BR$160)/10^6</f>
        <v>0</v>
      </c>
      <c r="F147" s="114">
        <f>SUMIF('C | PTRM escalation'!$C$11:$C$160,'O | Overview'!$B147,'C | PTRM escalation'!BS$11:BS$160)/10^6</f>
        <v>0</v>
      </c>
      <c r="G147" s="114">
        <f>SUMIF('C | PTRM escalation'!$C$11:$C$160,'O | Overview'!$B147,'C | PTRM escalation'!BT$11:BT$160)/10^6</f>
        <v>0</v>
      </c>
      <c r="H147" s="129">
        <f t="shared" si="25"/>
        <v>0</v>
      </c>
    </row>
    <row r="148" spans="2:11" x14ac:dyDescent="0.3">
      <c r="B148" s="31" t="str">
        <v>Ellengrove Safety</v>
      </c>
      <c r="C148" s="114">
        <f>SUMIF('C | PTRM escalation'!$C$11:$C$160,'O | Overview'!$B148,'C | PTRM escalation'!BP$11:BP$160)/10^6</f>
        <v>0</v>
      </c>
      <c r="D148" s="114">
        <f>SUMIF('C | PTRM escalation'!$C$11:$C$160,'O | Overview'!$B148,'C | PTRM escalation'!BQ$11:BQ$160)/10^6</f>
        <v>0</v>
      </c>
      <c r="E148" s="114">
        <f>SUMIF('C | PTRM escalation'!$C$11:$C$160,'O | Overview'!$B148,'C | PTRM escalation'!BR$11:BR$160)/10^6</f>
        <v>0</v>
      </c>
      <c r="F148" s="114">
        <f>SUMIF('C | PTRM escalation'!$C$11:$C$160,'O | Overview'!$B148,'C | PTRM escalation'!BS$11:BS$160)/10^6</f>
        <v>0</v>
      </c>
      <c r="G148" s="114">
        <f>SUMIF('C | PTRM escalation'!$C$11:$C$160,'O | Overview'!$B148,'C | PTRM escalation'!BT$11:BT$160)/10^6</f>
        <v>0</v>
      </c>
      <c r="H148" s="129">
        <f t="shared" si="25"/>
        <v>0</v>
      </c>
    </row>
    <row r="149" spans="2:11" x14ac:dyDescent="0.3">
      <c r="B149" s="31" t="str">
        <v/>
      </c>
      <c r="C149" s="114">
        <f>SUMIF('C | PTRM escalation'!$C$11:$C$160,'O | Overview'!$B149,'C | PTRM escalation'!BP$11:BP$160)/10^6</f>
        <v>0</v>
      </c>
      <c r="D149" s="114">
        <f>SUMIF('C | PTRM escalation'!$C$11:$C$160,'O | Overview'!$B149,'C | PTRM escalation'!BQ$11:BQ$160)/10^6</f>
        <v>0</v>
      </c>
      <c r="E149" s="114">
        <f>SUMIF('C | PTRM escalation'!$C$11:$C$160,'O | Overview'!$B149,'C | PTRM escalation'!BR$11:BR$160)/10^6</f>
        <v>0</v>
      </c>
      <c r="F149" s="114">
        <f>SUMIF('C | PTRM escalation'!$C$11:$C$160,'O | Overview'!$B149,'C | PTRM escalation'!BS$11:BS$160)/10^6</f>
        <v>0</v>
      </c>
      <c r="G149" s="114">
        <f>SUMIF('C | PTRM escalation'!$C$11:$C$160,'O | Overview'!$B149,'C | PTRM escalation'!BT$11:BT$160)/10^6</f>
        <v>0</v>
      </c>
      <c r="H149" s="129">
        <f t="shared" si="25"/>
        <v>0</v>
      </c>
    </row>
    <row r="150" spans="2:11" x14ac:dyDescent="0.3">
      <c r="B150" s="33" t="s">
        <v>36</v>
      </c>
      <c r="C150" s="115">
        <f t="shared" ref="C150:H150" si="26">SUM(C133:C149)</f>
        <v>26.72268954037251</v>
      </c>
      <c r="D150" s="115">
        <f t="shared" si="26"/>
        <v>19.999373457311822</v>
      </c>
      <c r="E150" s="115">
        <f t="shared" si="26"/>
        <v>14.487978840157615</v>
      </c>
      <c r="F150" s="115">
        <f t="shared" si="26"/>
        <v>15.828435229777543</v>
      </c>
      <c r="G150" s="115">
        <f t="shared" si="26"/>
        <v>10.719950672092773</v>
      </c>
      <c r="H150" s="115">
        <f t="shared" si="26"/>
        <v>87.758427739712289</v>
      </c>
      <c r="K150" s="3" t="str">
        <f>IF(ROUND(H150,3)=ROUND('O | PTRM inputs'!$H$23,3),"OK","ERROR")</f>
        <v>OK</v>
      </c>
    </row>
    <row r="151" spans="2:11" x14ac:dyDescent="0.3">
      <c r="K151" s="3"/>
    </row>
    <row r="152" spans="2:11" ht="18.75" x14ac:dyDescent="0.3">
      <c r="B152" s="110" t="s">
        <v>254</v>
      </c>
      <c r="J152" s="110" t="s">
        <v>230</v>
      </c>
      <c r="K152" s="3"/>
    </row>
    <row r="153" spans="2:11" x14ac:dyDescent="0.3">
      <c r="B153" s="11" t="s">
        <v>206</v>
      </c>
      <c r="C153" s="113" t="s">
        <v>53</v>
      </c>
      <c r="D153" s="113" t="s">
        <v>52</v>
      </c>
      <c r="E153" s="113" t="s">
        <v>51</v>
      </c>
      <c r="F153" s="113" t="s">
        <v>50</v>
      </c>
      <c r="G153" s="113" t="s">
        <v>49</v>
      </c>
      <c r="H153" s="91" t="s">
        <v>36</v>
      </c>
      <c r="J153" s="91" t="s">
        <v>231</v>
      </c>
      <c r="K153" s="3"/>
    </row>
    <row r="154" spans="2:11" x14ac:dyDescent="0.3">
      <c r="B154" s="31" t="str" cm="1">
        <f t="array" ref="B154">IF(H154=0,"",INDEX($B$133:$B$149,MATCH(H154,$H$133:$H$149,0),0))</f>
        <v>Pipeline Integrity</v>
      </c>
      <c r="C154" s="114">
        <f>SUMIF('C | PTRM escalation'!$C$11:$C$160,'O | Overview'!$B154,'C | PTRM escalation'!BP$11:BP$160)/10^6</f>
        <v>8.243460322854677</v>
      </c>
      <c r="D154" s="114">
        <f>SUMIF('C | PTRM escalation'!$C$11:$C$160,'O | Overview'!$B154,'C | PTRM escalation'!BQ$11:BQ$160)/10^6</f>
        <v>10.692552617449406</v>
      </c>
      <c r="E154" s="114">
        <f>SUMIF('C | PTRM escalation'!$C$11:$C$160,'O | Overview'!$B154,'C | PTRM escalation'!BR$11:BR$160)/10^6</f>
        <v>9.9138176812125582</v>
      </c>
      <c r="F154" s="114">
        <f>SUMIF('C | PTRM escalation'!$C$11:$C$160,'O | Overview'!$B154,'C | PTRM escalation'!BS$11:BS$160)/10^6</f>
        <v>8.4941697720129401</v>
      </c>
      <c r="G154" s="114">
        <f>SUMIF('C | PTRM escalation'!$C$11:$C$160,'O | Overview'!$B154,'C | PTRM escalation'!BT$11:BT$160)/10^6</f>
        <v>4.8141316994050136</v>
      </c>
      <c r="H154" s="129">
        <f t="shared" ref="H154:H165" si="27">LARGE($H$133:$H$149,J154)</f>
        <v>42.158132092934594</v>
      </c>
      <c r="J154" s="2">
        <v>1</v>
      </c>
      <c r="K154" s="3"/>
    </row>
    <row r="155" spans="2:11" x14ac:dyDescent="0.3">
      <c r="B155" s="31" t="str" cm="1">
        <f t="array" ref="B155">IF(H155=0,"",INDEX($B$133:$B$149,MATCH(H155,$H$133:$H$149,0),0))</f>
        <v>DN250 Supply Security Project</v>
      </c>
      <c r="C155" s="114">
        <f>SUMIF('C | PTRM escalation'!$C$11:$C$160,'O | Overview'!$B155,'C | PTRM escalation'!BP$11:BP$160)/10^6</f>
        <v>5.083094842410472</v>
      </c>
      <c r="D155" s="114">
        <f>SUMIF('C | PTRM escalation'!$C$11:$C$160,'O | Overview'!$B155,'C | PTRM escalation'!BQ$11:BQ$160)/10^6</f>
        <v>5.8134906013769498</v>
      </c>
      <c r="E155" s="114">
        <f>SUMIF('C | PTRM escalation'!$C$11:$C$160,'O | Overview'!$B155,'C | PTRM escalation'!BR$11:BR$160)/10^6</f>
        <v>1.4602618881991212</v>
      </c>
      <c r="F155" s="114">
        <f>SUMIF('C | PTRM escalation'!$C$11:$C$160,'O | Overview'!$B155,'C | PTRM escalation'!BS$11:BS$160)/10^6</f>
        <v>1.4461605484322435</v>
      </c>
      <c r="G155" s="114">
        <f>SUMIF('C | PTRM escalation'!$C$11:$C$160,'O | Overview'!$B155,'C | PTRM escalation'!BT$11:BT$160)/10^6</f>
        <v>2.5649246956001455</v>
      </c>
      <c r="H155" s="129">
        <f t="shared" si="27"/>
        <v>16.36793257601893</v>
      </c>
      <c r="J155" s="2">
        <f>J154+1</f>
        <v>2</v>
      </c>
      <c r="K155" s="3"/>
    </row>
    <row r="156" spans="2:11" x14ac:dyDescent="0.3">
      <c r="B156" s="31" t="str" cm="1">
        <f t="array" ref="B156">IF(H156=0,"",INDEX($B$133:$B$149,MATCH(H156,$H$133:$H$149,0),0))</f>
        <v>Environment</v>
      </c>
      <c r="C156" s="114">
        <f>SUMIF('C | PTRM escalation'!$C$11:$C$160,'O | Overview'!$B156,'C | PTRM escalation'!BP$11:BP$160)/10^6</f>
        <v>10.379012489134253</v>
      </c>
      <c r="D156" s="114">
        <f>SUMIF('C | PTRM escalation'!$C$11:$C$160,'O | Overview'!$B156,'C | PTRM escalation'!BQ$11:BQ$160)/10^6</f>
        <v>0</v>
      </c>
      <c r="E156" s="114">
        <f>SUMIF('C | PTRM escalation'!$C$11:$C$160,'O | Overview'!$B156,'C | PTRM escalation'!BR$11:BR$160)/10^6</f>
        <v>0</v>
      </c>
      <c r="F156" s="114">
        <f>SUMIF('C | PTRM escalation'!$C$11:$C$160,'O | Overview'!$B156,'C | PTRM escalation'!BS$11:BS$160)/10^6</f>
        <v>0</v>
      </c>
      <c r="G156" s="114">
        <f>SUMIF('C | PTRM escalation'!$C$11:$C$160,'O | Overview'!$B156,'C | PTRM escalation'!BT$11:BT$160)/10^6</f>
        <v>0</v>
      </c>
      <c r="H156" s="129">
        <f t="shared" si="27"/>
        <v>10.379012489134253</v>
      </c>
      <c r="J156" s="2">
        <f t="shared" ref="J156:J165" si="28">J155+1</f>
        <v>3</v>
      </c>
      <c r="K156" s="3"/>
    </row>
    <row r="157" spans="2:11" x14ac:dyDescent="0.3">
      <c r="B157" s="31" t="str" cm="1">
        <f t="array" ref="B157">IF(H157=0,"",INDEX($B$133:$B$149,MATCH(H157,$H$133:$H$149,0),0))</f>
        <v>SIB</v>
      </c>
      <c r="C157" s="114">
        <f>SUMIF('C | PTRM escalation'!$C$11:$C$160,'O | Overview'!$B157,'C | PTRM escalation'!BP$11:BP$160)/10^6</f>
        <v>0.36905973307839507</v>
      </c>
      <c r="D157" s="114">
        <f>SUMIF('C | PTRM escalation'!$C$11:$C$160,'O | Overview'!$B157,'C | PTRM escalation'!BQ$11:BQ$160)/10^6</f>
        <v>0.77342422968642233</v>
      </c>
      <c r="E157" s="114">
        <f>SUMIF('C | PTRM escalation'!$C$11:$C$160,'O | Overview'!$B157,'C | PTRM escalation'!BR$11:BR$160)/10^6</f>
        <v>0.54288470703302794</v>
      </c>
      <c r="F157" s="114">
        <f>SUMIF('C | PTRM escalation'!$C$11:$C$160,'O | Overview'!$B157,'C | PTRM escalation'!BS$11:BS$160)/10^6</f>
        <v>2.987094557461873</v>
      </c>
      <c r="G157" s="114">
        <f>SUMIF('C | PTRM escalation'!$C$11:$C$160,'O | Overview'!$B157,'C | PTRM escalation'!BT$11:BT$160)/10^6</f>
        <v>0.66067054248190271</v>
      </c>
      <c r="H157" s="129">
        <f t="shared" si="27"/>
        <v>5.3331337697416208</v>
      </c>
      <c r="J157" s="2">
        <f t="shared" si="28"/>
        <v>4</v>
      </c>
      <c r="K157" s="3"/>
    </row>
    <row r="158" spans="2:11" x14ac:dyDescent="0.3">
      <c r="B158" s="31" t="str" cm="1">
        <f t="array" ref="B158">IF(H158=0,"",INDEX($B$133:$B$149,MATCH(H158,$H$133:$H$149,0),0))</f>
        <v>Gas Instruments</v>
      </c>
      <c r="C158" s="114">
        <f>SUMIF('C | PTRM escalation'!$C$11:$C$160,'O | Overview'!$B158,'C | PTRM escalation'!BP$11:BP$160)/10^6</f>
        <v>0.86491770742785445</v>
      </c>
      <c r="D158" s="114">
        <f>SUMIF('C | PTRM escalation'!$C$11:$C$160,'O | Overview'!$B158,'C | PTRM escalation'!BQ$11:BQ$160)/10^6</f>
        <v>0.86649534987434418</v>
      </c>
      <c r="E158" s="114">
        <f>SUMIF('C | PTRM escalation'!$C$11:$C$160,'O | Overview'!$B158,'C | PTRM escalation'!BR$11:BR$160)/10^6</f>
        <v>0.69529989581853124</v>
      </c>
      <c r="F158" s="114">
        <f>SUMIF('C | PTRM escalation'!$C$11:$C$160,'O | Overview'!$B158,'C | PTRM escalation'!BS$11:BS$160)/10^6</f>
        <v>0.63996406818262819</v>
      </c>
      <c r="G158" s="114">
        <f>SUMIF('C | PTRM escalation'!$C$11:$C$160,'O | Overview'!$B158,'C | PTRM escalation'!BT$11:BT$160)/10^6</f>
        <v>0.80484583395368137</v>
      </c>
      <c r="H158" s="129">
        <f t="shared" si="27"/>
        <v>3.87152285525704</v>
      </c>
      <c r="J158" s="2">
        <f t="shared" si="28"/>
        <v>5</v>
      </c>
      <c r="K158" s="3"/>
    </row>
    <row r="159" spans="2:11" x14ac:dyDescent="0.3">
      <c r="B159" s="31" t="str" cm="1">
        <f t="array" ref="B159">IF(H159=0,"",INDEX($B$133:$B$149,MATCH(H159,$H$133:$H$149,0),0))</f>
        <v>Group IT</v>
      </c>
      <c r="C159" s="114">
        <f>SUMIF('C | PTRM escalation'!$C$11:$C$160,'O | Overview'!$B159,'C | PTRM escalation'!BP$11:BP$160)/10^6</f>
        <v>0.66099766963815831</v>
      </c>
      <c r="D159" s="114">
        <f>SUMIF('C | PTRM escalation'!$C$11:$C$160,'O | Overview'!$B159,'C | PTRM escalation'!BQ$11:BQ$160)/10^6</f>
        <v>0.66099766963815831</v>
      </c>
      <c r="E159" s="114">
        <f>SUMIF('C | PTRM escalation'!$C$11:$C$160,'O | Overview'!$B159,'C | PTRM escalation'!BR$11:BR$160)/10^6</f>
        <v>0.66099766963815831</v>
      </c>
      <c r="F159" s="114">
        <f>SUMIF('C | PTRM escalation'!$C$11:$C$160,'O | Overview'!$B159,'C | PTRM escalation'!BS$11:BS$160)/10^6</f>
        <v>0.66099766963815831</v>
      </c>
      <c r="G159" s="114">
        <f>SUMIF('C | PTRM escalation'!$C$11:$C$160,'O | Overview'!$B159,'C | PTRM escalation'!BT$11:BT$160)/10^6</f>
        <v>0.66099766963815831</v>
      </c>
      <c r="H159" s="129">
        <f t="shared" si="27"/>
        <v>3.3049883481907916</v>
      </c>
      <c r="J159" s="2">
        <f t="shared" si="28"/>
        <v>6</v>
      </c>
      <c r="K159" s="3"/>
    </row>
    <row r="160" spans="2:11" x14ac:dyDescent="0.3">
      <c r="B160" s="31" t="str" cm="1">
        <f t="array" ref="B160">IF(H160=0,"",INDEX($B$133:$B$149,MATCH(H160,$H$133:$H$149,0),0))</f>
        <v>Site equipment</v>
      </c>
      <c r="C160" s="114">
        <f>SUMIF('C | PTRM escalation'!$C$11:$C$160,'O | Overview'!$B160,'C | PTRM escalation'!BP$11:BP$160)/10^6</f>
        <v>0.46128944396152238</v>
      </c>
      <c r="D160" s="114">
        <f>SUMIF('C | PTRM escalation'!$C$11:$C$160,'O | Overview'!$B160,'C | PTRM escalation'!BQ$11:BQ$160)/10^6</f>
        <v>0.46213085326631692</v>
      </c>
      <c r="E160" s="114">
        <f>SUMIF('C | PTRM escalation'!$C$11:$C$160,'O | Overview'!$B160,'C | PTRM escalation'!BR$11:BR$160)/10^6</f>
        <v>0.46353326387902088</v>
      </c>
      <c r="F160" s="114">
        <f>SUMIF('C | PTRM escalation'!$C$11:$C$160,'O | Overview'!$B160,'C | PTRM escalation'!BS$11:BS$160)/10^6</f>
        <v>0.46542841322372952</v>
      </c>
      <c r="G160" s="114">
        <f>SUMIF('C | PTRM escalation'!$C$11:$C$160,'O | Overview'!$B160,'C | PTRM escalation'!BT$11:BT$160)/10^6</f>
        <v>0.46657729504561229</v>
      </c>
      <c r="H160" s="129">
        <f t="shared" si="27"/>
        <v>2.3189592693762022</v>
      </c>
      <c r="J160" s="2">
        <f t="shared" si="28"/>
        <v>7</v>
      </c>
      <c r="K160" s="3"/>
    </row>
    <row r="161" spans="2:12" x14ac:dyDescent="0.3">
      <c r="B161" s="31" t="str" cm="1">
        <f t="array" ref="B161">IF(H161=0,"",INDEX($B$133:$B$149,MATCH(H161,$H$133:$H$149,0),0))</f>
        <v>Vehicle Leases</v>
      </c>
      <c r="C161" s="114">
        <f>SUMIF('C | PTRM escalation'!$C$11:$C$160,'O | Overview'!$B161,'C | PTRM escalation'!BP$11:BP$160)/10^6</f>
        <v>0.22831627574431812</v>
      </c>
      <c r="D161" s="114">
        <f>SUMIF('C | PTRM escalation'!$C$11:$C$160,'O | Overview'!$B161,'C | PTRM escalation'!BQ$11:BQ$160)/10^6</f>
        <v>0.22831627574431812</v>
      </c>
      <c r="E161" s="114">
        <f>SUMIF('C | PTRM escalation'!$C$11:$C$160,'O | Overview'!$B161,'C | PTRM escalation'!BR$11:BR$160)/10^6</f>
        <v>0.22831627574431812</v>
      </c>
      <c r="F161" s="114">
        <f>SUMIF('C | PTRM escalation'!$C$11:$C$160,'O | Overview'!$B161,'C | PTRM escalation'!BS$11:BS$160)/10^6</f>
        <v>0.22831627574431812</v>
      </c>
      <c r="G161" s="114">
        <f>SUMIF('C | PTRM escalation'!$C$11:$C$160,'O | Overview'!$B161,'C | PTRM escalation'!BT$11:BT$160)/10^6</f>
        <v>0.22831627574431812</v>
      </c>
      <c r="H161" s="129">
        <f t="shared" si="27"/>
        <v>1.1415813787215905</v>
      </c>
      <c r="J161" s="2">
        <f t="shared" si="28"/>
        <v>8</v>
      </c>
      <c r="K161" s="3"/>
    </row>
    <row r="162" spans="2:12" x14ac:dyDescent="0.3">
      <c r="B162" s="31" t="str" cm="1">
        <f t="array" ref="B162">IF(H162=0,"",INDEX($B$133:$B$149,MATCH(H162,$H$133:$H$149,0),0))</f>
        <v>Property Leases</v>
      </c>
      <c r="C162" s="114">
        <f>SUMIF('C | PTRM escalation'!$C$11:$C$160,'O | Overview'!$B162,'C | PTRM escalation'!BP$11:BP$160)/10^6</f>
        <v>0.21326976849823259</v>
      </c>
      <c r="D162" s="114">
        <f>SUMIF('C | PTRM escalation'!$C$11:$C$160,'O | Overview'!$B162,'C | PTRM escalation'!BQ$11:BQ$160)/10^6</f>
        <v>0.21326976849823259</v>
      </c>
      <c r="E162" s="114">
        <f>SUMIF('C | PTRM escalation'!$C$11:$C$160,'O | Overview'!$B162,'C | PTRM escalation'!BR$11:BR$160)/10^6</f>
        <v>0.21326976849823259</v>
      </c>
      <c r="F162" s="114">
        <f>SUMIF('C | PTRM escalation'!$C$11:$C$160,'O | Overview'!$B162,'C | PTRM escalation'!BS$11:BS$160)/10^6</f>
        <v>0.21326976849823259</v>
      </c>
      <c r="G162" s="114">
        <f>SUMIF('C | PTRM escalation'!$C$11:$C$160,'O | Overview'!$B162,'C | PTRM escalation'!BT$11:BT$160)/10^6</f>
        <v>0.21326976849823259</v>
      </c>
      <c r="H162" s="129">
        <f t="shared" si="27"/>
        <v>1.0663488424911629</v>
      </c>
      <c r="J162" s="2">
        <f t="shared" si="28"/>
        <v>9</v>
      </c>
      <c r="K162" s="3"/>
    </row>
    <row r="163" spans="2:12" x14ac:dyDescent="0.3">
      <c r="B163" s="31" t="str" cm="1">
        <f t="array" ref="B163">IF(H163=0,"",INDEX($B$133:$B$149,MATCH(H163,$H$133:$H$149,0),0))</f>
        <v>Corporate</v>
      </c>
      <c r="C163" s="114">
        <f>SUMIF('C | PTRM escalation'!$C$11:$C$160,'O | Overview'!$B163,'C | PTRM escalation'!BP$11:BP$160)/10^6</f>
        <v>0.16161010712943902</v>
      </c>
      <c r="D163" s="114">
        <f>SUMIF('C | PTRM escalation'!$C$11:$C$160,'O | Overview'!$B163,'C | PTRM escalation'!BQ$11:BQ$160)/10^6</f>
        <v>0.16161010712943902</v>
      </c>
      <c r="E163" s="114">
        <f>SUMIF('C | PTRM escalation'!$C$11:$C$160,'O | Overview'!$B163,'C | PTRM escalation'!BR$11:BR$160)/10^6</f>
        <v>0.16161010712943902</v>
      </c>
      <c r="F163" s="114">
        <f>SUMIF('C | PTRM escalation'!$C$11:$C$160,'O | Overview'!$B163,'C | PTRM escalation'!BS$11:BS$160)/10^6</f>
        <v>0.16161010712943902</v>
      </c>
      <c r="G163" s="114">
        <f>SUMIF('C | PTRM escalation'!$C$11:$C$160,'O | Overview'!$B163,'C | PTRM escalation'!BT$11:BT$160)/10^6</f>
        <v>0.16161010712943902</v>
      </c>
      <c r="H163" s="129">
        <f t="shared" si="27"/>
        <v>0.80805053564719509</v>
      </c>
      <c r="J163" s="2">
        <f t="shared" si="28"/>
        <v>10</v>
      </c>
      <c r="K163" s="3"/>
    </row>
    <row r="164" spans="2:12" x14ac:dyDescent="0.3">
      <c r="B164" s="31" t="str" cm="1">
        <f t="array" ref="B164">IF(H164=0,"",INDEX($B$133:$B$149,MATCH(H164,$H$133:$H$149,0),0))</f>
        <v>Access Arrangement</v>
      </c>
      <c r="C164" s="114">
        <f>SUMIF('C | PTRM escalation'!$C$11:$C$160,'O | Overview'!$B164,'C | PTRM escalation'!BP$11:BP$160)/10^6</f>
        <v>0</v>
      </c>
      <c r="D164" s="114">
        <f>SUMIF('C | PTRM escalation'!$C$11:$C$160,'O | Overview'!$B164,'C | PTRM escalation'!BQ$11:BQ$160)/10^6</f>
        <v>0</v>
      </c>
      <c r="E164" s="114">
        <f>SUMIF('C | PTRM escalation'!$C$11:$C$160,'O | Overview'!$B164,'C | PTRM escalation'!BR$11:BR$160)/10^6</f>
        <v>9.0045925020330445E-2</v>
      </c>
      <c r="F164" s="114">
        <f>SUMIF('C | PTRM escalation'!$C$11:$C$160,'O | Overview'!$B164,'C | PTRM escalation'!BS$11:BS$160)/10^6</f>
        <v>0.47324549780101316</v>
      </c>
      <c r="G164" s="114">
        <f>SUMIF('C | PTRM escalation'!$C$11:$C$160,'O | Overview'!$B164,'C | PTRM escalation'!BT$11:BT$160)/10^6</f>
        <v>8.6284622715569081E-2</v>
      </c>
      <c r="H164" s="129">
        <f t="shared" si="27"/>
        <v>0.64957604553691262</v>
      </c>
      <c r="J164" s="2">
        <f t="shared" si="28"/>
        <v>11</v>
      </c>
      <c r="K164" s="3"/>
    </row>
    <row r="165" spans="2:12" x14ac:dyDescent="0.3">
      <c r="B165" s="31" t="str" cm="1">
        <f t="array" ref="B165">IF(H165=0,"",INDEX($B$133:$B$149,MATCH(H165,$H$133:$H$149,0),0))</f>
        <v>Tools</v>
      </c>
      <c r="C165" s="114">
        <f>SUMIF('C | PTRM escalation'!$C$11:$C$160,'O | Overview'!$B165,'C | PTRM escalation'!BP$11:BP$160)/10^6</f>
        <v>5.7661180495190298E-2</v>
      </c>
      <c r="D165" s="114">
        <f>SUMIF('C | PTRM escalation'!$C$11:$C$160,'O | Overview'!$B165,'C | PTRM escalation'!BQ$11:BQ$160)/10^6</f>
        <v>0.12708598464823714</v>
      </c>
      <c r="E165" s="114">
        <f>SUMIF('C | PTRM escalation'!$C$11:$C$160,'O | Overview'!$B165,'C | PTRM escalation'!BR$11:BR$160)/10^6</f>
        <v>5.7941657984877611E-2</v>
      </c>
      <c r="F165" s="114">
        <f>SUMIF('C | PTRM escalation'!$C$11:$C$160,'O | Overview'!$B165,'C | PTRM escalation'!BS$11:BS$160)/10^6</f>
        <v>5.817855165296619E-2</v>
      </c>
      <c r="G165" s="114">
        <f>SUMIF('C | PTRM escalation'!$C$11:$C$160,'O | Overview'!$B165,'C | PTRM escalation'!BT$11:BT$160)/10^6</f>
        <v>5.8322161880701537E-2</v>
      </c>
      <c r="H165" s="129">
        <f t="shared" si="27"/>
        <v>0.35918953666197279</v>
      </c>
      <c r="J165" s="2">
        <f t="shared" si="28"/>
        <v>12</v>
      </c>
      <c r="K165" s="3"/>
    </row>
    <row r="166" spans="2:12" x14ac:dyDescent="0.3">
      <c r="B166" s="33" t="s">
        <v>36</v>
      </c>
      <c r="C166" s="115">
        <f t="shared" ref="C166:H166" si="29">SUM(C154:C165)</f>
        <v>26.722689540372514</v>
      </c>
      <c r="D166" s="115">
        <f t="shared" si="29"/>
        <v>19.999373457311822</v>
      </c>
      <c r="E166" s="115">
        <f t="shared" si="29"/>
        <v>14.487978840157615</v>
      </c>
      <c r="F166" s="115">
        <f t="shared" si="29"/>
        <v>15.828435229777543</v>
      </c>
      <c r="G166" s="115">
        <f t="shared" si="29"/>
        <v>10.719950672092773</v>
      </c>
      <c r="H166" s="115">
        <f t="shared" si="29"/>
        <v>87.758427739712289</v>
      </c>
      <c r="K166" s="3" t="str">
        <f>IF(ROUND(H166,3)=ROUND('O | PTRM inputs'!$H$23,3),"OK","ERROR")</f>
        <v>OK</v>
      </c>
    </row>
    <row r="167" spans="2:12" x14ac:dyDescent="0.3">
      <c r="B167" s="38"/>
      <c r="C167" s="232">
        <f>C166-C150</f>
        <v>0</v>
      </c>
      <c r="D167" s="232">
        <f t="shared" ref="D167:H167" si="30">D166-D150</f>
        <v>0</v>
      </c>
      <c r="E167" s="232">
        <f t="shared" si="30"/>
        <v>0</v>
      </c>
      <c r="F167" s="232">
        <f t="shared" si="30"/>
        <v>0</v>
      </c>
      <c r="G167" s="232">
        <f t="shared" si="30"/>
        <v>0</v>
      </c>
      <c r="H167" s="232">
        <f t="shared" si="30"/>
        <v>0</v>
      </c>
    </row>
    <row r="168" spans="2:12" ht="18.75" x14ac:dyDescent="0.3">
      <c r="B168" s="110" t="s">
        <v>253</v>
      </c>
      <c r="J168" s="110" t="s">
        <v>230</v>
      </c>
    </row>
    <row r="169" spans="2:12" x14ac:dyDescent="0.3">
      <c r="B169" s="11" t="s">
        <v>206</v>
      </c>
      <c r="C169" s="113" t="s">
        <v>53</v>
      </c>
      <c r="D169" s="113" t="s">
        <v>52</v>
      </c>
      <c r="E169" s="113" t="s">
        <v>51</v>
      </c>
      <c r="F169" s="113" t="s">
        <v>50</v>
      </c>
      <c r="G169" s="113" t="s">
        <v>49</v>
      </c>
      <c r="H169" s="91" t="s">
        <v>36</v>
      </c>
      <c r="J169" s="91" t="s">
        <v>231</v>
      </c>
      <c r="K169" s="91" t="s">
        <v>36</v>
      </c>
      <c r="L169" s="91" t="s">
        <v>232</v>
      </c>
    </row>
    <row r="170" spans="2:12" x14ac:dyDescent="0.3">
      <c r="B170" s="31" t="str" cm="1">
        <f t="array" ref="B170:B194">_xlfn.UNIQUE('C | PTRM escalation'!$D$11:$D$60,FALSE,FALSE)</f>
        <v>Valve replacement</v>
      </c>
      <c r="C170" s="114">
        <f>SUMIF('C | PTRM escalation'!$D$11:$D$160,$B170,'C | PTRM escalation'!BP$11:BP$160)/10^6</f>
        <v>0</v>
      </c>
      <c r="D170" s="114">
        <f>SUMIF('C | PTRM escalation'!$D$11:$D$160,$B170,'C | PTRM escalation'!BQ$11:BQ$160)/10^6</f>
        <v>0</v>
      </c>
      <c r="E170" s="114">
        <f>SUMIF('C | PTRM escalation'!$D$11:$D$160,$B170,'C | PTRM escalation'!BR$11:BR$160)/10^6</f>
        <v>0</v>
      </c>
      <c r="F170" s="114">
        <f>SUMIF('C | PTRM escalation'!$D$11:$D$160,$B170,'C | PTRM escalation'!BS$11:BS$160)/10^6</f>
        <v>0.11635710330593238</v>
      </c>
      <c r="G170" s="114">
        <f>SUMIF('C | PTRM escalation'!$D$11:$D$160,$B170,'C | PTRM escalation'!BT$11:BT$160)/10^6</f>
        <v>0.11664432376140307</v>
      </c>
      <c r="H170" s="129">
        <f t="shared" ref="H170:H194" si="31">SUM(C170:G170)</f>
        <v>0.23300142706733545</v>
      </c>
      <c r="J170" s="2">
        <v>1</v>
      </c>
      <c r="K170" s="114">
        <f t="shared" ref="K170:K187" si="32">LARGE($H$170:$H$194,J170)</f>
        <v>13.33401579891316</v>
      </c>
      <c r="L170" s="31" t="str" cm="1">
        <f t="array" ref="L170">INDEX($B$170:$B$194,MATCH(K170,$H$170:$H$194,0),0)</f>
        <v>CP</v>
      </c>
    </row>
    <row r="171" spans="2:12" x14ac:dyDescent="0.3">
      <c r="B171" s="31" t="str">
        <v>ILI</v>
      </c>
      <c r="C171" s="114">
        <f>SUMIF('C | PTRM escalation'!$D$11:$D$160,$B171,'C | PTRM escalation'!BP$11:BP$160)/10^6</f>
        <v>2.1025446001169099</v>
      </c>
      <c r="D171" s="114">
        <f>SUMIF('C | PTRM escalation'!$D$11:$D$160,$B171,'C | PTRM escalation'!BQ$11:BQ$160)/10^6</f>
        <v>1.2708598464823715</v>
      </c>
      <c r="E171" s="114">
        <f>SUMIF('C | PTRM escalation'!$D$11:$D$160,$B171,'C | PTRM escalation'!BR$11:BR$160)/10^6</f>
        <v>9.2706652775804158E-2</v>
      </c>
      <c r="F171" s="114">
        <f>SUMIF('C | PTRM escalation'!$D$11:$D$160,$B171,'C | PTRM escalation'!BS$11:BS$160)/10^6</f>
        <v>1.6581899527894124</v>
      </c>
      <c r="G171" s="114">
        <f>SUMIF('C | PTRM escalation'!$D$11:$D$160,$B171,'C | PTRM escalation'!BT$11:BT$160)/10^6</f>
        <v>0.87738577245766014</v>
      </c>
      <c r="H171" s="129">
        <f t="shared" si="31"/>
        <v>6.0016868246221575</v>
      </c>
      <c r="J171" s="2">
        <f>J170+1</f>
        <v>2</v>
      </c>
      <c r="K171" s="114">
        <f t="shared" si="32"/>
        <v>10.379012489134253</v>
      </c>
      <c r="L171" s="31" t="str" cm="1">
        <f t="array" ref="L171">INDEX($B$170:$B$194,MATCH(K171,$H$170:$H$194,0),0)</f>
        <v>Gowrie Creek</v>
      </c>
    </row>
    <row r="172" spans="2:12" x14ac:dyDescent="0.3">
      <c r="B172" s="31" t="str">
        <v>Validation dig</v>
      </c>
      <c r="C172" s="114">
        <f>SUMIF('C | PTRM escalation'!$D$11:$D$160,$B172,'C | PTRM escalation'!BP$11:BP$160)/10^6</f>
        <v>2.7677366637691345</v>
      </c>
      <c r="D172" s="114">
        <f>SUMIF('C | PTRM escalation'!$D$11:$D$160,$B172,'C | PTRM escalation'!BQ$11:BQ$160)/10^6</f>
        <v>1.9640561263818468</v>
      </c>
      <c r="E172" s="114">
        <f>SUMIF('C | PTRM escalation'!$D$11:$D$160,$B172,'C | PTRM escalation'!BR$11:BR$160)/10^6</f>
        <v>3.0129662152136354</v>
      </c>
      <c r="F172" s="114">
        <f>SUMIF('C | PTRM escalation'!$D$11:$D$160,$B172,'C | PTRM escalation'!BS$11:BS$160)/10^6</f>
        <v>1.9780707562008504</v>
      </c>
      <c r="G172" s="114">
        <f>SUMIF('C | PTRM escalation'!$D$11:$D$160,$B172,'C | PTRM escalation'!BT$11:BT$160)/10^6</f>
        <v>0.52489945692631379</v>
      </c>
      <c r="H172" s="129">
        <f t="shared" si="31"/>
        <v>10.247729218491781</v>
      </c>
      <c r="J172" s="2">
        <f t="shared" ref="J172" si="33">J171+1</f>
        <v>3</v>
      </c>
      <c r="K172" s="114">
        <f t="shared" si="32"/>
        <v>10.247729218491781</v>
      </c>
      <c r="L172" s="31" t="str" cm="1">
        <f t="array" ref="L172">INDEX($B$170:$B$194,MATCH(K172,$H$170:$H$194,0),0)</f>
        <v>Validation dig</v>
      </c>
    </row>
    <row r="173" spans="2:12" x14ac:dyDescent="0.3">
      <c r="B173" s="31" t="str">
        <v>CP</v>
      </c>
      <c r="C173" s="114">
        <f>SUMIF('C | PTRM escalation'!$D$11:$D$160,$B173,'C | PTRM escalation'!BP$11:BP$160)/10^6</f>
        <v>2.6524143027787535</v>
      </c>
      <c r="D173" s="114">
        <f>SUMIF('C | PTRM escalation'!$D$11:$D$160,$B173,'C | PTRM escalation'!BQ$11:BQ$160)/10^6</f>
        <v>2.6572524062813221</v>
      </c>
      <c r="E173" s="114">
        <f>SUMIF('C | PTRM escalation'!$D$11:$D$160,$B173,'C | PTRM escalation'!BR$11:BR$160)/10^6</f>
        <v>2.6653162673043695</v>
      </c>
      <c r="F173" s="114">
        <f>SUMIF('C | PTRM escalation'!$D$11:$D$160,$B173,'C | PTRM escalation'!BS$11:BS$160)/10^6</f>
        <v>2.6762133760364448</v>
      </c>
      <c r="G173" s="114">
        <f>SUMIF('C | PTRM escalation'!$D$11:$D$160,$B173,'C | PTRM escalation'!BT$11:BT$160)/10^6</f>
        <v>2.6828194465122706</v>
      </c>
      <c r="H173" s="129">
        <f t="shared" ref="H173:H182" si="34">SUM(C173:G173)</f>
        <v>13.33401579891316</v>
      </c>
      <c r="J173" s="2">
        <f t="shared" ref="J173" si="35">J172+1</f>
        <v>4</v>
      </c>
      <c r="K173" s="114">
        <f t="shared" si="32"/>
        <v>7.9028591487255104</v>
      </c>
      <c r="L173" s="31" t="str" cm="1">
        <f t="array" ref="L173">INDEX($B$170:$B$194,MATCH(K173,$H$170:$H$194,0),0)</f>
        <v>Security</v>
      </c>
    </row>
    <row r="174" spans="2:12" x14ac:dyDescent="0.3">
      <c r="B174" s="31" t="str">
        <v>Security</v>
      </c>
      <c r="C174" s="114">
        <f>SUMIF('C | PTRM escalation'!$D$11:$D$160,$B174,'C | PTRM escalation'!BP$11:BP$160)/10^6</f>
        <v>3.5875956183108269</v>
      </c>
      <c r="D174" s="114">
        <f>SUMIF('C | PTRM escalation'!$D$11:$D$160,$B174,'C | PTRM escalation'!BQ$11:BQ$160)/10^6</f>
        <v>4.3152635304146836</v>
      </c>
      <c r="E174" s="114">
        <f>SUMIF('C | PTRM escalation'!$D$11:$D$160,$B174,'C | PTRM escalation'!BR$11:BR$160)/10^6</f>
        <v>0</v>
      </c>
      <c r="F174" s="114">
        <f>SUMIF('C | PTRM escalation'!$D$11:$D$160,$B174,'C | PTRM escalation'!BS$11:BS$160)/10^6</f>
        <v>0</v>
      </c>
      <c r="G174" s="114">
        <f>SUMIF('C | PTRM escalation'!$D$11:$D$160,$B174,'C | PTRM escalation'!BT$11:BT$160)/10^6</f>
        <v>0</v>
      </c>
      <c r="H174" s="129">
        <f t="shared" ref="H174:H179" si="36">SUM(C174:G174)</f>
        <v>7.9028591487255104</v>
      </c>
      <c r="J174" s="2">
        <f t="shared" ref="J174:J194" si="37">J173+1</f>
        <v>5</v>
      </c>
      <c r="K174" s="114">
        <f t="shared" si="32"/>
        <v>7.5633686979702164</v>
      </c>
      <c r="L174" s="31" t="str" cm="1">
        <f t="array" ref="L174">INDEX($B$170:$B$194,MATCH(K174,$H$170:$H$194,0),0)</f>
        <v>Safety digs</v>
      </c>
    </row>
    <row r="175" spans="2:12" x14ac:dyDescent="0.3">
      <c r="B175" s="31" t="str">
        <v>ILI upgrade</v>
      </c>
      <c r="C175" s="114">
        <f>SUMIF('C | PTRM escalation'!$D$11:$D$160,$B175,'C | PTRM escalation'!BP$11:BP$160)/10^6</f>
        <v>0</v>
      </c>
      <c r="D175" s="114">
        <f>SUMIF('C | PTRM escalation'!$D$11:$D$160,$B175,'C | PTRM escalation'!BQ$11:BQ$160)/10^6</f>
        <v>2.1142486536933998</v>
      </c>
      <c r="E175" s="114">
        <f>SUMIF('C | PTRM escalation'!$D$11:$D$160,$B175,'C | PTRM escalation'!BR$11:BR$160)/10^6</f>
        <v>0</v>
      </c>
      <c r="F175" s="114">
        <f>SUMIF('C | PTRM escalation'!$D$11:$D$160,$B175,'C | PTRM escalation'!BS$11:BS$160)/10^6</f>
        <v>0</v>
      </c>
      <c r="G175" s="114">
        <f>SUMIF('C | PTRM escalation'!$D$11:$D$160,$B175,'C | PTRM escalation'!BT$11:BT$160)/10^6</f>
        <v>0</v>
      </c>
      <c r="H175" s="129">
        <f t="shared" si="36"/>
        <v>2.1142486536933998</v>
      </c>
      <c r="J175" s="2">
        <f t="shared" si="37"/>
        <v>6</v>
      </c>
      <c r="K175" s="114">
        <f t="shared" si="32"/>
        <v>7.0157238839332958</v>
      </c>
      <c r="L175" s="31" t="str" cm="1">
        <f t="array" ref="L175">INDEX($B$170:$B$194,MATCH(K175,$H$170:$H$194,0),0)</f>
        <v>DN250 Supply Security</v>
      </c>
    </row>
    <row r="176" spans="2:12" x14ac:dyDescent="0.3">
      <c r="B176" s="31" t="str">
        <v>AC mitigation</v>
      </c>
      <c r="C176" s="114">
        <f>SUMIF('C | PTRM escalation'!$D$11:$D$160,$B176,'C | PTRM escalation'!BP$11:BP$160)/10^6</f>
        <v>0.28830590247595145</v>
      </c>
      <c r="D176" s="114">
        <f>SUMIF('C | PTRM escalation'!$D$11:$D$160,$B176,'C | PTRM escalation'!BQ$11:BQ$160)/10^6</f>
        <v>0.28883178329144804</v>
      </c>
      <c r="E176" s="114">
        <f>SUMIF('C | PTRM escalation'!$D$11:$D$160,$B176,'C | PTRM escalation'!BR$11:BR$160)/10^6</f>
        <v>0.28970828992438807</v>
      </c>
      <c r="F176" s="114">
        <f>SUMIF('C | PTRM escalation'!$D$11:$D$160,$B176,'C | PTRM escalation'!BS$11:BS$160)/10^6</f>
        <v>0.29089275826483091</v>
      </c>
      <c r="G176" s="114">
        <f>SUMIF('C | PTRM escalation'!$D$11:$D$160,$B176,'C | PTRM escalation'!BT$11:BT$160)/10^6</f>
        <v>0.29161080940350775</v>
      </c>
      <c r="H176" s="129">
        <f t="shared" si="36"/>
        <v>1.4493495433601262</v>
      </c>
      <c r="J176" s="2">
        <f t="shared" si="37"/>
        <v>7</v>
      </c>
      <c r="K176" s="114">
        <f t="shared" si="32"/>
        <v>6.0016868246221575</v>
      </c>
      <c r="L176" s="31" t="str" cm="1">
        <f t="array" ref="L176">INDEX($B$170:$B$194,MATCH(K176,$H$170:$H$194,0),0)</f>
        <v>ILI</v>
      </c>
    </row>
    <row r="177" spans="2:12" x14ac:dyDescent="0.3">
      <c r="B177" s="31" t="str">
        <v>DN250 Supply Security</v>
      </c>
      <c r="C177" s="114">
        <f>SUMIF('C | PTRM escalation'!$D$11:$D$160,$B177,'C | PTRM escalation'!BP$11:BP$160)/10^6</f>
        <v>1.2071933216236941</v>
      </c>
      <c r="D177" s="114">
        <f>SUMIF('C | PTRM escalation'!$D$11:$D$160,$B177,'C | PTRM escalation'!BQ$11:BQ$160)/10^6</f>
        <v>1.2093952876708181</v>
      </c>
      <c r="E177" s="114">
        <f>SUMIF('C | PTRM escalation'!$D$11:$D$160,$B177,'C | PTRM escalation'!BR$11:BR$160)/10^6</f>
        <v>1.1705535982747333</v>
      </c>
      <c r="F177" s="114">
        <f>SUMIF('C | PTRM escalation'!$D$11:$D$160,$B177,'C | PTRM escalation'!BS$11:BS$160)/10^6</f>
        <v>1.1552677901674124</v>
      </c>
      <c r="G177" s="114">
        <f>SUMIF('C | PTRM escalation'!$D$11:$D$160,$B177,'C | PTRM escalation'!BT$11:BT$160)/10^6</f>
        <v>2.2733138861966373</v>
      </c>
      <c r="H177" s="129">
        <f t="shared" si="36"/>
        <v>7.0157238839332958</v>
      </c>
      <c r="J177" s="2">
        <f t="shared" si="37"/>
        <v>8</v>
      </c>
      <c r="K177" s="114">
        <f t="shared" si="32"/>
        <v>3.3049883481907916</v>
      </c>
      <c r="L177" s="31" t="str" cm="1">
        <f t="array" ref="L177">INDEX($B$170:$B$194,MATCH(K177,$H$170:$H$194,0),0)</f>
        <v>Group IT</v>
      </c>
    </row>
    <row r="178" spans="2:12" x14ac:dyDescent="0.3">
      <c r="B178" s="31" t="str">
        <v>Gowrie Creek</v>
      </c>
      <c r="C178" s="114">
        <f>SUMIF('C | PTRM escalation'!$D$11:$D$160,$B178,'C | PTRM escalation'!BP$11:BP$160)/10^6</f>
        <v>10.379012489134253</v>
      </c>
      <c r="D178" s="114">
        <f>SUMIF('C | PTRM escalation'!$D$11:$D$160,$B178,'C | PTRM escalation'!BQ$11:BQ$160)/10^6</f>
        <v>0</v>
      </c>
      <c r="E178" s="114">
        <f>SUMIF('C | PTRM escalation'!$D$11:$D$160,$B178,'C | PTRM escalation'!BR$11:BR$160)/10^6</f>
        <v>0</v>
      </c>
      <c r="F178" s="114">
        <f>SUMIF('C | PTRM escalation'!$D$11:$D$160,$B178,'C | PTRM escalation'!BS$11:BS$160)/10^6</f>
        <v>0</v>
      </c>
      <c r="G178" s="114">
        <f>SUMIF('C | PTRM escalation'!$D$11:$D$160,$B178,'C | PTRM escalation'!BT$11:BT$160)/10^6</f>
        <v>0</v>
      </c>
      <c r="H178" s="129">
        <f t="shared" si="36"/>
        <v>10.379012489134253</v>
      </c>
      <c r="J178" s="2">
        <f t="shared" si="37"/>
        <v>9</v>
      </c>
      <c r="K178" s="114">
        <f t="shared" si="32"/>
        <v>2.89708289924388</v>
      </c>
      <c r="L178" s="31" t="str" cm="1">
        <f t="array" ref="L178">INDEX($B$170:$B$194,MATCH(K178,$H$170:$H$194,0),0)</f>
        <v>Enhanced Methane Survey</v>
      </c>
    </row>
    <row r="179" spans="2:12" x14ac:dyDescent="0.3">
      <c r="B179" s="31" t="str">
        <v>Station painting</v>
      </c>
      <c r="C179" s="114">
        <f>SUMIF('C | PTRM escalation'!$D$11:$D$160,$B179,'C | PTRM escalation'!BP$11:BP$160)/10^6</f>
        <v>0.23064472198076119</v>
      </c>
      <c r="D179" s="114">
        <f>SUMIF('C | PTRM escalation'!$D$11:$D$160,$B179,'C | PTRM escalation'!BQ$11:BQ$160)/10^6</f>
        <v>0.23106542663315846</v>
      </c>
      <c r="E179" s="114">
        <f>SUMIF('C | PTRM escalation'!$D$11:$D$160,$B179,'C | PTRM escalation'!BR$11:BR$160)/10^6</f>
        <v>0.23176663193951044</v>
      </c>
      <c r="F179" s="114">
        <f>SUMIF('C | PTRM escalation'!$D$11:$D$160,$B179,'C | PTRM escalation'!BS$11:BS$160)/10^6</f>
        <v>0.23271420661186476</v>
      </c>
      <c r="G179" s="114">
        <f>SUMIF('C | PTRM escalation'!$D$11:$D$160,$B179,'C | PTRM escalation'!BT$11:BT$160)/10^6</f>
        <v>0.23328864752280615</v>
      </c>
      <c r="H179" s="129">
        <f t="shared" si="36"/>
        <v>1.1594796346881011</v>
      </c>
      <c r="J179" s="2">
        <f t="shared" si="37"/>
        <v>10</v>
      </c>
      <c r="K179" s="114">
        <f t="shared" si="32"/>
        <v>2.7729902765556385</v>
      </c>
      <c r="L179" s="31" t="str" cm="1">
        <f t="array" ref="L179">INDEX($B$170:$B$194,MATCH(K179,$H$170:$H$194,0),0)</f>
        <v>SIB</v>
      </c>
    </row>
    <row r="180" spans="2:12" x14ac:dyDescent="0.3">
      <c r="B180" s="31" t="str">
        <v>SIB</v>
      </c>
      <c r="C180" s="114">
        <f>SUMIF('C | PTRM escalation'!$D$11:$D$160,$B180,'C | PTRM escalation'!BP$11:BP$160)/10^6</f>
        <v>0.36905973307839507</v>
      </c>
      <c r="D180" s="114">
        <f>SUMIF('C | PTRM escalation'!$D$11:$D$160,$B180,'C | PTRM escalation'!BQ$11:BQ$160)/10^6</f>
        <v>0.77342422968642233</v>
      </c>
      <c r="E180" s="114">
        <f>SUMIF('C | PTRM escalation'!$D$11:$D$160,$B180,'C | PTRM escalation'!BR$11:BR$160)/10^6</f>
        <v>0.54288470703302794</v>
      </c>
      <c r="F180" s="114">
        <f>SUMIF('C | PTRM escalation'!$D$11:$D$160,$B180,'C | PTRM escalation'!BS$11:BS$160)/10^6</f>
        <v>0.54359538803729368</v>
      </c>
      <c r="G180" s="114">
        <f>SUMIF('C | PTRM escalation'!$D$11:$D$160,$B180,'C | PTRM escalation'!BT$11:BT$160)/10^6</f>
        <v>0.54402621872049961</v>
      </c>
      <c r="H180" s="129">
        <f t="shared" si="34"/>
        <v>2.7729902765556385</v>
      </c>
      <c r="J180" s="2">
        <f t="shared" si="37"/>
        <v>11</v>
      </c>
      <c r="K180" s="114">
        <f t="shared" si="32"/>
        <v>2.3271420661186473</v>
      </c>
      <c r="L180" s="31" t="str" cm="1">
        <f t="array" ref="L180">INDEX($B$170:$B$194,MATCH(K180,$H$170:$H$194,0),0)</f>
        <v>Ellengrove Reliability</v>
      </c>
    </row>
    <row r="181" spans="2:12" x14ac:dyDescent="0.3">
      <c r="B181" s="31" t="str">
        <v>Flow computer &amp; RTU upgrades</v>
      </c>
      <c r="C181" s="114">
        <f>SUMIF('C | PTRM escalation'!$D$11:$D$160,$B181,'C | PTRM escalation'!BP$11:BP$160)/10^6</f>
        <v>0.40362826346633213</v>
      </c>
      <c r="D181" s="114">
        <f>SUMIF('C | PTRM escalation'!$D$11:$D$160,$B181,'C | PTRM escalation'!BQ$11:BQ$160)/10^6</f>
        <v>0.40436449660802731</v>
      </c>
      <c r="E181" s="114">
        <f>SUMIF('C | PTRM escalation'!$D$11:$D$160,$B181,'C | PTRM escalation'!BR$11:BR$160)/10^6</f>
        <v>0.40559160589414328</v>
      </c>
      <c r="F181" s="114">
        <f>SUMIF('C | PTRM escalation'!$D$11:$D$160,$B181,'C | PTRM escalation'!BS$11:BS$160)/10^6</f>
        <v>0.40724986157076332</v>
      </c>
      <c r="G181" s="114">
        <f>SUMIF('C | PTRM escalation'!$D$11:$D$160,$B181,'C | PTRM escalation'!BT$11:BT$160)/10^6</f>
        <v>0.40825513316491086</v>
      </c>
      <c r="H181" s="129">
        <f t="shared" si="34"/>
        <v>2.0290893607041771</v>
      </c>
      <c r="J181" s="2">
        <f t="shared" si="37"/>
        <v>12</v>
      </c>
      <c r="K181" s="114">
        <f t="shared" si="32"/>
        <v>2.1142486536933998</v>
      </c>
      <c r="L181" s="31" t="str" cm="1">
        <f t="array" ref="L181">INDEX($B$170:$B$194,MATCH(K181,$H$170:$H$194,0),0)</f>
        <v>ILI upgrade</v>
      </c>
    </row>
    <row r="182" spans="2:12" x14ac:dyDescent="0.3">
      <c r="B182" s="31" t="str">
        <v>Earthing upgrades</v>
      </c>
      <c r="C182" s="114">
        <f>SUMIF('C | PTRM escalation'!$D$11:$D$160,$B182,'C | PTRM escalation'!BP$11:BP$160)/10^6</f>
        <v>0.23064472198076119</v>
      </c>
      <c r="D182" s="114">
        <f>SUMIF('C | PTRM escalation'!$D$11:$D$160,$B182,'C | PTRM escalation'!BQ$11:BQ$160)/10^6</f>
        <v>0.23106542663315846</v>
      </c>
      <c r="E182" s="114">
        <f>SUMIF('C | PTRM escalation'!$D$11:$D$160,$B182,'C | PTRM escalation'!BR$11:BR$160)/10^6</f>
        <v>0.23176663193951044</v>
      </c>
      <c r="F182" s="114">
        <f>SUMIF('C | PTRM escalation'!$D$11:$D$160,$B182,'C | PTRM escalation'!BS$11:BS$160)/10^6</f>
        <v>0.23271420661186476</v>
      </c>
      <c r="G182" s="114">
        <f>SUMIF('C | PTRM escalation'!$D$11:$D$160,$B182,'C | PTRM escalation'!BT$11:BT$160)/10^6</f>
        <v>0.23328864752280615</v>
      </c>
      <c r="H182" s="129">
        <f t="shared" si="34"/>
        <v>1.1594796346881011</v>
      </c>
      <c r="J182" s="2">
        <f t="shared" si="37"/>
        <v>13</v>
      </c>
      <c r="K182" s="114">
        <f t="shared" si="32"/>
        <v>2.0290893607041771</v>
      </c>
      <c r="L182" s="31" t="str" cm="1">
        <f t="array" ref="L182">INDEX($B$170:$B$194,MATCH(K182,$H$170:$H$194,0),0)</f>
        <v>Flow computer &amp; RTU upgrades</v>
      </c>
    </row>
    <row r="183" spans="2:12" x14ac:dyDescent="0.3">
      <c r="B183" s="31" t="str">
        <v>Gas specification metering</v>
      </c>
      <c r="C183" s="114">
        <f>SUMIF('C | PTRM escalation'!$D$11:$D$160,$B183,'C | PTRM escalation'!BP$11:BP$160)/10^6</f>
        <v>0.46128944396152238</v>
      </c>
      <c r="D183" s="114">
        <f>SUMIF('C | PTRM escalation'!$D$11:$D$160,$B183,'C | PTRM escalation'!BQ$11:BQ$160)/10^6</f>
        <v>0.46213085326631692</v>
      </c>
      <c r="E183" s="114">
        <f>SUMIF('C | PTRM escalation'!$D$11:$D$160,$B183,'C | PTRM escalation'!BR$11:BR$160)/10^6</f>
        <v>0.28970828992438807</v>
      </c>
      <c r="F183" s="114">
        <f>SUMIF('C | PTRM escalation'!$D$11:$D$160,$B183,'C | PTRM escalation'!BS$11:BS$160)/10^6</f>
        <v>0.23271420661186476</v>
      </c>
      <c r="G183" s="114">
        <f>SUMIF('C | PTRM escalation'!$D$11:$D$160,$B183,'C | PTRM escalation'!BT$11:BT$160)/10^6</f>
        <v>0</v>
      </c>
      <c r="H183" s="129">
        <f t="shared" si="31"/>
        <v>1.4458427937640923</v>
      </c>
      <c r="J183" s="2">
        <f t="shared" si="37"/>
        <v>14</v>
      </c>
      <c r="K183" s="114">
        <f t="shared" si="32"/>
        <v>1.4493495433601262</v>
      </c>
      <c r="L183" s="31" t="str" cm="1">
        <f t="array" ref="L183">INDEX($B$170:$B$194,MATCH(K183,$H$170:$H$194,0),0)</f>
        <v>AC mitigation</v>
      </c>
    </row>
    <row r="184" spans="2:12" x14ac:dyDescent="0.3">
      <c r="B184" s="31" t="str">
        <v>Turbine meter upgrade</v>
      </c>
      <c r="C184" s="114">
        <f>SUMIF('C | PTRM escalation'!$D$11:$D$160,$B184,'C | PTRM escalation'!BP$11:BP$160)/10^6</f>
        <v>0</v>
      </c>
      <c r="D184" s="114">
        <f>SUMIF('C | PTRM escalation'!$D$11:$D$160,$B184,'C | PTRM escalation'!BQ$11:BQ$160)/10^6</f>
        <v>0</v>
      </c>
      <c r="E184" s="114">
        <f>SUMIF('C | PTRM escalation'!$D$11:$D$160,$B184,'C | PTRM escalation'!BR$11:BR$160)/10^6</f>
        <v>0</v>
      </c>
      <c r="F184" s="114">
        <f>SUMIF('C | PTRM escalation'!$D$11:$D$160,$B184,'C | PTRM escalation'!BS$11:BS$160)/10^6</f>
        <v>0</v>
      </c>
      <c r="G184" s="114">
        <f>SUMIF('C | PTRM escalation'!$D$11:$D$160,$B184,'C | PTRM escalation'!BT$11:BT$160)/10^6</f>
        <v>0.39659070078877046</v>
      </c>
      <c r="H184" s="129">
        <f t="shared" si="31"/>
        <v>0.39659070078877046</v>
      </c>
      <c r="J184" s="2">
        <f t="shared" si="37"/>
        <v>15</v>
      </c>
      <c r="K184" s="114">
        <f t="shared" si="32"/>
        <v>1.4458427937640923</v>
      </c>
      <c r="L184" s="31" t="str" cm="1">
        <f t="array" ref="L184">INDEX($B$170:$B$194,MATCH(K184,$H$170:$H$194,0),0)</f>
        <v>Gas specification metering</v>
      </c>
    </row>
    <row r="185" spans="2:12" x14ac:dyDescent="0.3">
      <c r="B185" s="31" t="str">
        <v>Calibrators</v>
      </c>
      <c r="C185" s="114">
        <f>SUMIF('C | PTRM escalation'!$D$11:$D$160,$B185,'C | PTRM escalation'!BP$11:BP$160)/10^6</f>
        <v>5.7661180495190298E-2</v>
      </c>
      <c r="D185" s="114">
        <f>SUMIF('C | PTRM escalation'!$D$11:$D$160,$B185,'C | PTRM escalation'!BQ$11:BQ$160)/10^6</f>
        <v>0.12708598464823714</v>
      </c>
      <c r="E185" s="114">
        <f>SUMIF('C | PTRM escalation'!$D$11:$D$160,$B185,'C | PTRM escalation'!BR$11:BR$160)/10^6</f>
        <v>5.7941657984877611E-2</v>
      </c>
      <c r="F185" s="114">
        <f>SUMIF('C | PTRM escalation'!$D$11:$D$160,$B185,'C | PTRM escalation'!BS$11:BS$160)/10^6</f>
        <v>5.817855165296619E-2</v>
      </c>
      <c r="G185" s="114">
        <f>SUMIF('C | PTRM escalation'!$D$11:$D$160,$B185,'C | PTRM escalation'!BT$11:BT$160)/10^6</f>
        <v>5.8322161880701537E-2</v>
      </c>
      <c r="H185" s="129">
        <f t="shared" si="31"/>
        <v>0.35918953666197279</v>
      </c>
      <c r="J185" s="2">
        <f t="shared" si="37"/>
        <v>16</v>
      </c>
      <c r="K185" s="114">
        <f t="shared" si="32"/>
        <v>1.1594796346881011</v>
      </c>
      <c r="L185" s="31" t="str" cm="1">
        <f t="array" ref="L185">INDEX($B$170:$B$194,MATCH(K185,$H$170:$H$194,0),0)</f>
        <v>Station painting</v>
      </c>
    </row>
    <row r="186" spans="2:12" x14ac:dyDescent="0.3">
      <c r="B186" s="31" t="str">
        <v>Safety digs</v>
      </c>
      <c r="C186" s="114">
        <f>SUMIF('C | PTRM escalation'!$D$11:$D$160,$B186,'C | PTRM escalation'!BP$11:BP$160)/10^6</f>
        <v>0.72076475618987867</v>
      </c>
      <c r="D186" s="114">
        <f>SUMIF('C | PTRM escalation'!$D$11:$D$160,$B186,'C | PTRM escalation'!BQ$11:BQ$160)/10^6</f>
        <v>2.6861355846104669</v>
      </c>
      <c r="E186" s="114">
        <f>SUMIF('C | PTRM escalation'!$D$11:$D$160,$B186,'C | PTRM escalation'!BR$11:BR$160)/10^6</f>
        <v>1.2457456466748686</v>
      </c>
      <c r="F186" s="114">
        <f>SUMIF('C | PTRM escalation'!$D$11:$D$160,$B186,'C | PTRM escalation'!BS$11:BS$160)/10^6</f>
        <v>2.1816956869862323</v>
      </c>
      <c r="G186" s="114">
        <f>SUMIF('C | PTRM escalation'!$D$11:$D$160,$B186,'C | PTRM escalation'!BT$11:BT$160)/10^6</f>
        <v>0.72902702350876925</v>
      </c>
      <c r="H186" s="129">
        <f t="shared" si="31"/>
        <v>7.5633686979702164</v>
      </c>
      <c r="J186" s="2">
        <f t="shared" si="37"/>
        <v>17</v>
      </c>
      <c r="K186" s="114">
        <f t="shared" si="32"/>
        <v>1.1594796346881011</v>
      </c>
      <c r="L186" s="31" t="str" cm="1">
        <f t="array" ref="L186">INDEX($B$170:$B$194,MATCH(K186,$H$170:$H$194,0),0)</f>
        <v>Station painting</v>
      </c>
    </row>
    <row r="187" spans="2:12" x14ac:dyDescent="0.3">
      <c r="B187" s="31" t="str">
        <v>Ellengrove Reliability</v>
      </c>
      <c r="C187" s="114">
        <f>SUMIF('C | PTRM escalation'!$D$11:$D$160,$B187,'C | PTRM escalation'!BP$11:BP$160)/10^6</f>
        <v>0</v>
      </c>
      <c r="D187" s="114">
        <f>SUMIF('C | PTRM escalation'!$D$11:$D$160,$B187,'C | PTRM escalation'!BQ$11:BQ$160)/10^6</f>
        <v>0</v>
      </c>
      <c r="E187" s="114">
        <f>SUMIF('C | PTRM escalation'!$D$11:$D$160,$B187,'C | PTRM escalation'!BR$11:BR$160)/10^6</f>
        <v>0</v>
      </c>
      <c r="F187" s="114">
        <f>SUMIF('C | PTRM escalation'!$D$11:$D$160,$B187,'C | PTRM escalation'!BS$11:BS$160)/10^6</f>
        <v>2.3271420661186473</v>
      </c>
      <c r="G187" s="114">
        <f>SUMIF('C | PTRM escalation'!$D$11:$D$160,$B187,'C | PTRM escalation'!BT$11:BT$160)/10^6</f>
        <v>0</v>
      </c>
      <c r="H187" s="129">
        <f t="shared" si="31"/>
        <v>2.3271420661186473</v>
      </c>
      <c r="J187" s="2">
        <f t="shared" si="37"/>
        <v>18</v>
      </c>
      <c r="K187" s="114">
        <f t="shared" si="32"/>
        <v>1.1415813787215905</v>
      </c>
      <c r="L187" s="31" t="str" cm="1">
        <f t="array" ref="L187">INDEX($B$170:$B$194,MATCH(K187,$H$170:$H$194,0),0)</f>
        <v>Vehicle Leases</v>
      </c>
    </row>
    <row r="188" spans="2:12" x14ac:dyDescent="0.3">
      <c r="B188" s="31" t="str">
        <v>Enhanced Methane Survey</v>
      </c>
      <c r="C188" s="114">
        <f>SUMIF('C | PTRM escalation'!$D$11:$D$160,$B188,'C | PTRM escalation'!BP$11:BP$160)/10^6</f>
        <v>0</v>
      </c>
      <c r="D188" s="114">
        <f>SUMIF('C | PTRM escalation'!$D$11:$D$160,$B188,'C | PTRM escalation'!BQ$11:BQ$160)/10^6</f>
        <v>0</v>
      </c>
      <c r="E188" s="114">
        <f>SUMIF('C | PTRM escalation'!$D$11:$D$160,$B188,'C | PTRM escalation'!BR$11:BR$160)/10^6</f>
        <v>2.89708289924388</v>
      </c>
      <c r="F188" s="114">
        <f>SUMIF('C | PTRM escalation'!$D$11:$D$160,$B188,'C | PTRM escalation'!BS$11:BS$160)/10^6</f>
        <v>0</v>
      </c>
      <c r="G188" s="114">
        <f>SUMIF('C | PTRM escalation'!$D$11:$D$160,$B188,'C | PTRM escalation'!BT$11:BT$160)/10^6</f>
        <v>0</v>
      </c>
      <c r="H188" s="129">
        <f t="shared" ref="H188" si="38">SUM(C188:G188)</f>
        <v>2.89708289924388</v>
      </c>
      <c r="J188" s="2">
        <f t="shared" si="37"/>
        <v>19</v>
      </c>
      <c r="K188" s="114">
        <f t="shared" ref="K188:K189" si="39">LARGE($H$170:$H$194,J188)</f>
        <v>1.0663488424911629</v>
      </c>
      <c r="L188" s="31" t="str" cm="1">
        <f t="array" ref="L188">INDEX($B$170:$B$194,MATCH(K188,$H$170:$H$194,0),0)</f>
        <v>Property Leases</v>
      </c>
    </row>
    <row r="189" spans="2:12" x14ac:dyDescent="0.3">
      <c r="B189" s="31" t="str">
        <v>Corporate</v>
      </c>
      <c r="C189" s="114">
        <f>SUMIF('C | PTRM escalation'!$D$11:$D$160,$B189,'C | PTRM escalation'!BP$11:BP$160)/10^6</f>
        <v>0.16161010712943902</v>
      </c>
      <c r="D189" s="114">
        <f>SUMIF('C | PTRM escalation'!$D$11:$D$160,$B189,'C | PTRM escalation'!BQ$11:BQ$160)/10^6</f>
        <v>0.16161010712943902</v>
      </c>
      <c r="E189" s="114">
        <f>SUMIF('C | PTRM escalation'!$D$11:$D$160,$B189,'C | PTRM escalation'!BR$11:BR$160)/10^6</f>
        <v>0.16161010712943902</v>
      </c>
      <c r="F189" s="114">
        <f>SUMIF('C | PTRM escalation'!$D$11:$D$160,$B189,'C | PTRM escalation'!BS$11:BS$160)/10^6</f>
        <v>0.16161010712943902</v>
      </c>
      <c r="G189" s="114">
        <f>SUMIF('C | PTRM escalation'!$D$11:$D$160,$B189,'C | PTRM escalation'!BT$11:BT$160)/10^6</f>
        <v>0.16161010712943902</v>
      </c>
      <c r="H189" s="129">
        <f t="shared" si="31"/>
        <v>0.80805053564719509</v>
      </c>
      <c r="J189" s="2">
        <f t="shared" si="37"/>
        <v>20</v>
      </c>
      <c r="K189" s="114">
        <f t="shared" si="39"/>
        <v>0.80805053564719509</v>
      </c>
      <c r="L189" s="31" t="str" cm="1">
        <f t="array" ref="L189">INDEX($B$170:$B$194,MATCH(K189,$H$170:$H$194,0),0)</f>
        <v>Corporate</v>
      </c>
    </row>
    <row r="190" spans="2:12" x14ac:dyDescent="0.3">
      <c r="B190" s="31" t="str">
        <v>Group IT</v>
      </c>
      <c r="C190" s="114">
        <f>SUMIF('C | PTRM escalation'!$D$11:$D$160,$B190,'C | PTRM escalation'!BP$11:BP$160)/10^6</f>
        <v>0.66099766963815831</v>
      </c>
      <c r="D190" s="114">
        <f>SUMIF('C | PTRM escalation'!$D$11:$D$160,$B190,'C | PTRM escalation'!BQ$11:BQ$160)/10^6</f>
        <v>0.66099766963815831</v>
      </c>
      <c r="E190" s="114">
        <f>SUMIF('C | PTRM escalation'!$D$11:$D$160,$B190,'C | PTRM escalation'!BR$11:BR$160)/10^6</f>
        <v>0.66099766963815831</v>
      </c>
      <c r="F190" s="114">
        <f>SUMIF('C | PTRM escalation'!$D$11:$D$160,$B190,'C | PTRM escalation'!BS$11:BS$160)/10^6</f>
        <v>0.66099766963815831</v>
      </c>
      <c r="G190" s="114">
        <f>SUMIF('C | PTRM escalation'!$D$11:$D$160,$B190,'C | PTRM escalation'!BT$11:BT$160)/10^6</f>
        <v>0.66099766963815831</v>
      </c>
      <c r="H190" s="129">
        <f t="shared" si="31"/>
        <v>3.3049883481907916</v>
      </c>
      <c r="J190" s="2">
        <f t="shared" si="37"/>
        <v>21</v>
      </c>
      <c r="K190" s="114">
        <f t="shared" ref="K190:K194" si="40">LARGE($H$170:$H$194,J190)</f>
        <v>0.64957604553691262</v>
      </c>
      <c r="L190" s="31" t="str" cm="1">
        <f t="array" ref="L190">INDEX($B$170:$B$194,MATCH(K190,$H$170:$H$194,0),0)</f>
        <v>Access Arrangement</v>
      </c>
    </row>
    <row r="191" spans="2:12" x14ac:dyDescent="0.3">
      <c r="B191" s="31" t="str">
        <v>Property Leases</v>
      </c>
      <c r="C191" s="114">
        <f>SUMIF('C | PTRM escalation'!$D$11:$D$160,$B191,'C | PTRM escalation'!BP$11:BP$160)/10^6</f>
        <v>0.21326976849823259</v>
      </c>
      <c r="D191" s="114">
        <f>SUMIF('C | PTRM escalation'!$D$11:$D$160,$B191,'C | PTRM escalation'!BQ$11:BQ$160)/10^6</f>
        <v>0.21326976849823259</v>
      </c>
      <c r="E191" s="114">
        <f>SUMIF('C | PTRM escalation'!$D$11:$D$160,$B191,'C | PTRM escalation'!BR$11:BR$160)/10^6</f>
        <v>0.21326976849823259</v>
      </c>
      <c r="F191" s="114">
        <f>SUMIF('C | PTRM escalation'!$D$11:$D$160,$B191,'C | PTRM escalation'!BS$11:BS$160)/10^6</f>
        <v>0.21326976849823259</v>
      </c>
      <c r="G191" s="114">
        <f>SUMIF('C | PTRM escalation'!$D$11:$D$160,$B191,'C | PTRM escalation'!BT$11:BT$160)/10^6</f>
        <v>0.21326976849823259</v>
      </c>
      <c r="H191" s="129">
        <f t="shared" si="31"/>
        <v>1.0663488424911629</v>
      </c>
      <c r="J191" s="2">
        <f t="shared" si="37"/>
        <v>22</v>
      </c>
      <c r="K191" s="114">
        <f t="shared" si="40"/>
        <v>0.39659070078877046</v>
      </c>
      <c r="L191" s="31" t="str" cm="1">
        <f t="array" ref="L191">INDEX($B$170:$B$194,MATCH(K191,$H$170:$H$194,0),0)</f>
        <v>Turbine meter upgrade</v>
      </c>
    </row>
    <row r="192" spans="2:12" x14ac:dyDescent="0.3">
      <c r="B192" s="31" t="str">
        <v>Vehicle Leases</v>
      </c>
      <c r="C192" s="114">
        <f>SUMIF('C | PTRM escalation'!$D$11:$D$160,$B192,'C | PTRM escalation'!BP$11:BP$160)/10^6</f>
        <v>0.22831627574431812</v>
      </c>
      <c r="D192" s="114">
        <f>SUMIF('C | PTRM escalation'!$D$11:$D$160,$B192,'C | PTRM escalation'!BQ$11:BQ$160)/10^6</f>
        <v>0.22831627574431812</v>
      </c>
      <c r="E192" s="114">
        <f>SUMIF('C | PTRM escalation'!$D$11:$D$160,$B192,'C | PTRM escalation'!BR$11:BR$160)/10^6</f>
        <v>0.22831627574431812</v>
      </c>
      <c r="F192" s="114">
        <f>SUMIF('C | PTRM escalation'!$D$11:$D$160,$B192,'C | PTRM escalation'!BS$11:BS$160)/10^6</f>
        <v>0.22831627574431812</v>
      </c>
      <c r="G192" s="114">
        <f>SUMIF('C | PTRM escalation'!$D$11:$D$160,$B192,'C | PTRM escalation'!BT$11:BT$160)/10^6</f>
        <v>0.22831627574431812</v>
      </c>
      <c r="H192" s="129">
        <f t="shared" si="31"/>
        <v>1.1415813787215905</v>
      </c>
      <c r="J192" s="2">
        <f t="shared" si="37"/>
        <v>23</v>
      </c>
      <c r="K192" s="114">
        <f t="shared" si="40"/>
        <v>0.35918953666197279</v>
      </c>
      <c r="L192" s="31" t="str" cm="1">
        <f t="array" ref="L192">INDEX($B$170:$B$194,MATCH(K192,$H$170:$H$194,0),0)</f>
        <v>Calibrators</v>
      </c>
    </row>
    <row r="193" spans="2:12" x14ac:dyDescent="0.3">
      <c r="B193" s="31" t="str">
        <v>Access Arrangement</v>
      </c>
      <c r="C193" s="114">
        <f>SUMIF('C | PTRM escalation'!$D$11:$D$160,$B193,'C | PTRM escalation'!BP$11:BP$160)/10^6</f>
        <v>0</v>
      </c>
      <c r="D193" s="114">
        <f>SUMIF('C | PTRM escalation'!$D$11:$D$160,$B193,'C | PTRM escalation'!BQ$11:BQ$160)/10^6</f>
        <v>0</v>
      </c>
      <c r="E193" s="114">
        <f>SUMIF('C | PTRM escalation'!$D$11:$D$160,$B193,'C | PTRM escalation'!BR$11:BR$160)/10^6</f>
        <v>9.0045925020330445E-2</v>
      </c>
      <c r="F193" s="114">
        <f>SUMIF('C | PTRM escalation'!$D$11:$D$160,$B193,'C | PTRM escalation'!BS$11:BS$160)/10^6</f>
        <v>0.47324549780101316</v>
      </c>
      <c r="G193" s="114">
        <f>SUMIF('C | PTRM escalation'!$D$11:$D$160,$B193,'C | PTRM escalation'!BT$11:BT$160)/10^6</f>
        <v>8.6284622715569081E-2</v>
      </c>
      <c r="H193" s="129">
        <f t="shared" si="31"/>
        <v>0.64957604553691262</v>
      </c>
      <c r="J193" s="2">
        <f t="shared" si="37"/>
        <v>24</v>
      </c>
      <c r="K193" s="114">
        <f t="shared" si="40"/>
        <v>0.23300142706733545</v>
      </c>
      <c r="L193" s="31" t="str" cm="1">
        <f t="array" ref="L193">INDEX($B$170:$B$194,MATCH(K193,$H$170:$H$194,0),0)</f>
        <v>Valve replacement</v>
      </c>
    </row>
    <row r="194" spans="2:12" x14ac:dyDescent="0.3">
      <c r="B194" s="31" t="str">
        <v/>
      </c>
      <c r="C194" s="114">
        <f>SUMIF('C | PTRM escalation'!$D$11:$D$160,$B194,'C | PTRM escalation'!BP$11:BP$160)/10^6</f>
        <v>0</v>
      </c>
      <c r="D194" s="114">
        <f>SUMIF('C | PTRM escalation'!$D$11:$D$160,$B194,'C | PTRM escalation'!BQ$11:BQ$160)/10^6</f>
        <v>0</v>
      </c>
      <c r="E194" s="114">
        <f>SUMIF('C | PTRM escalation'!$D$11:$D$160,$B194,'C | PTRM escalation'!BR$11:BR$160)/10^6</f>
        <v>0</v>
      </c>
      <c r="F194" s="114">
        <f>SUMIF('C | PTRM escalation'!$D$11:$D$160,$B194,'C | PTRM escalation'!BS$11:BS$160)/10^6</f>
        <v>0</v>
      </c>
      <c r="G194" s="114">
        <f>SUMIF('C | PTRM escalation'!$D$11:$D$160,$B194,'C | PTRM escalation'!BT$11:BT$160)/10^6</f>
        <v>0</v>
      </c>
      <c r="H194" s="129">
        <f t="shared" si="31"/>
        <v>0</v>
      </c>
      <c r="J194" s="2">
        <f t="shared" si="37"/>
        <v>25</v>
      </c>
      <c r="K194" s="114">
        <f t="shared" si="40"/>
        <v>0</v>
      </c>
      <c r="L194" s="31" t="str" cm="1">
        <f t="array" ref="L194">INDEX($B$170:$B$194,MATCH(K194,$H$170:$H$194,0),0)</f>
        <v/>
      </c>
    </row>
    <row r="195" spans="2:12" x14ac:dyDescent="0.3">
      <c r="B195" s="33" t="s">
        <v>36</v>
      </c>
      <c r="C195" s="115">
        <f t="shared" ref="C195:H195" si="41">SUM(C170:C194)</f>
        <v>26.72268954037251</v>
      </c>
      <c r="D195" s="115">
        <f t="shared" si="41"/>
        <v>19.999373457311822</v>
      </c>
      <c r="E195" s="115">
        <f t="shared" si="41"/>
        <v>14.487978840157615</v>
      </c>
      <c r="F195" s="115">
        <f t="shared" si="41"/>
        <v>15.828435229777543</v>
      </c>
      <c r="G195" s="115">
        <f t="shared" si="41"/>
        <v>10.719950672092773</v>
      </c>
      <c r="H195" s="115">
        <f t="shared" si="41"/>
        <v>87.758427739712289</v>
      </c>
      <c r="K195" s="3" t="str">
        <f>IF(ROUND(H195,3)=ROUND('O | PTRM inputs'!$H$23,3),"OK","ERROR")</f>
        <v>OK</v>
      </c>
    </row>
    <row r="196" spans="2:12" x14ac:dyDescent="0.3">
      <c r="B196" s="38"/>
      <c r="C196" s="232">
        <f>C195-C166</f>
        <v>0</v>
      </c>
      <c r="D196" s="232">
        <f t="shared" ref="D196:H196" si="42">D195-D166</f>
        <v>0</v>
      </c>
      <c r="E196" s="232">
        <f t="shared" si="42"/>
        <v>0</v>
      </c>
      <c r="F196" s="232">
        <f t="shared" si="42"/>
        <v>0</v>
      </c>
      <c r="G196" s="232">
        <f t="shared" si="42"/>
        <v>0</v>
      </c>
      <c r="H196" s="232">
        <f t="shared" si="42"/>
        <v>0</v>
      </c>
      <c r="I196" s="109">
        <f>H195-H184</f>
        <v>87.361837038923525</v>
      </c>
    </row>
    <row r="197" spans="2:12" ht="18.75" x14ac:dyDescent="0.3">
      <c r="B197" s="110" t="s">
        <v>207</v>
      </c>
    </row>
    <row r="198" spans="2:12" x14ac:dyDescent="0.3">
      <c r="B198" s="11" t="s">
        <v>206</v>
      </c>
      <c r="C198" s="113" t="s">
        <v>53</v>
      </c>
      <c r="D198" s="113" t="s">
        <v>52</v>
      </c>
      <c r="E198" s="113" t="s">
        <v>51</v>
      </c>
      <c r="F198" s="113" t="s">
        <v>50</v>
      </c>
      <c r="G198" s="113" t="s">
        <v>49</v>
      </c>
      <c r="H198" s="91" t="s">
        <v>36</v>
      </c>
    </row>
    <row r="199" spans="2:12" x14ac:dyDescent="0.3">
      <c r="B199" s="31" t="s">
        <v>2</v>
      </c>
      <c r="C199" s="114">
        <f>'O | PTRM inputs'!C12</f>
        <v>18.835286390513357</v>
      </c>
      <c r="D199" s="114">
        <f>'O | PTRM inputs'!D12</f>
        <v>13.271127245962139</v>
      </c>
      <c r="E199" s="114">
        <f>'O | PTRM inputs'!E12</f>
        <v>8.26840670142224</v>
      </c>
      <c r="F199" s="114">
        <f>'O | PTRM inputs'!F12</f>
        <v>8.7475687808794991</v>
      </c>
      <c r="G199" s="114">
        <f>'O | PTRM inputs'!G12</f>
        <v>6.093415489382588</v>
      </c>
      <c r="H199" s="129">
        <f t="shared" ref="H199:H207" si="43">SUM(C199:G199)</f>
        <v>55.215804608159814</v>
      </c>
    </row>
    <row r="200" spans="2:12" x14ac:dyDescent="0.3">
      <c r="B200" s="31" t="s">
        <v>4</v>
      </c>
      <c r="C200" s="114">
        <f>'O | PTRM inputs'!C13</f>
        <v>0.23064472198076119</v>
      </c>
      <c r="D200" s="114">
        <f>'O | PTRM inputs'!D13</f>
        <v>0.3465981399497377</v>
      </c>
      <c r="E200" s="114">
        <f>'O | PTRM inputs'!E13</f>
        <v>0.23176663193951044</v>
      </c>
      <c r="F200" s="114">
        <f>'O | PTRM inputs'!F13</f>
        <v>0.23271420661186476</v>
      </c>
      <c r="G200" s="114">
        <f>'O | PTRM inputs'!G13</f>
        <v>0.23328864752280615</v>
      </c>
      <c r="H200" s="129">
        <f t="shared" si="43"/>
        <v>1.2750123480046802</v>
      </c>
    </row>
    <row r="201" spans="2:12" x14ac:dyDescent="0.3">
      <c r="B201" s="31" t="s">
        <v>69</v>
      </c>
      <c r="C201" s="114">
        <f>'O | PTRM inputs'!C14</f>
        <v>0.86491770742785445</v>
      </c>
      <c r="D201" s="114">
        <f>'O | PTRM inputs'!D14</f>
        <v>0.86649534987434418</v>
      </c>
      <c r="E201" s="114">
        <f>'O | PTRM inputs'!E14</f>
        <v>0.69529989581853124</v>
      </c>
      <c r="F201" s="114">
        <f>'O | PTRM inputs'!F14</f>
        <v>0.63996406818262819</v>
      </c>
      <c r="G201" s="114">
        <f>'O | PTRM inputs'!G14</f>
        <v>0.80484583395368137</v>
      </c>
      <c r="H201" s="129">
        <f t="shared" si="43"/>
        <v>3.87152285525704</v>
      </c>
    </row>
    <row r="202" spans="2:12" x14ac:dyDescent="0.3">
      <c r="B202" s="31" t="s">
        <v>70</v>
      </c>
      <c r="C202" s="114">
        <f>'O | PTRM inputs'!C15</f>
        <v>0</v>
      </c>
      <c r="D202" s="114">
        <f>'O | PTRM inputs'!D15</f>
        <v>0</v>
      </c>
      <c r="E202" s="114">
        <f>'O | PTRM inputs'!E15</f>
        <v>0</v>
      </c>
      <c r="F202" s="114">
        <f>'O | PTRM inputs'!F15</f>
        <v>0</v>
      </c>
      <c r="G202" s="114">
        <f>'O | PTRM inputs'!G15</f>
        <v>0</v>
      </c>
      <c r="H202" s="129">
        <f t="shared" si="43"/>
        <v>0</v>
      </c>
    </row>
    <row r="203" spans="2:12" x14ac:dyDescent="0.3">
      <c r="B203" s="31" t="s">
        <v>71</v>
      </c>
      <c r="C203" s="114">
        <f>'O | PTRM inputs'!C16</f>
        <v>0</v>
      </c>
      <c r="D203" s="114">
        <f>'O | PTRM inputs'!D16</f>
        <v>0</v>
      </c>
      <c r="E203" s="114">
        <f>'O | PTRM inputs'!E16</f>
        <v>0</v>
      </c>
      <c r="F203" s="114">
        <f>'O | PTRM inputs'!F16</f>
        <v>0</v>
      </c>
      <c r="G203" s="114">
        <f>'O | PTRM inputs'!G16</f>
        <v>0</v>
      </c>
      <c r="H203" s="129">
        <f t="shared" si="43"/>
        <v>0</v>
      </c>
    </row>
    <row r="204" spans="2:12" x14ac:dyDescent="0.3">
      <c r="B204" s="31" t="s">
        <v>72</v>
      </c>
      <c r="C204" s="114">
        <f>'O | PTRM inputs'!C17</f>
        <v>0</v>
      </c>
      <c r="D204" s="114">
        <f>'O | PTRM inputs'!D17</f>
        <v>0</v>
      </c>
      <c r="E204" s="114">
        <f>'O | PTRM inputs'!E17</f>
        <v>9.0045925020330445E-2</v>
      </c>
      <c r="F204" s="114">
        <f>'O | PTRM inputs'!F17</f>
        <v>0.47324549780101316</v>
      </c>
      <c r="G204" s="114">
        <f>'O | PTRM inputs'!G17</f>
        <v>8.6284622715569081E-2</v>
      </c>
      <c r="H204" s="129">
        <f t="shared" si="43"/>
        <v>0.64957604553691262</v>
      </c>
    </row>
    <row r="205" spans="2:12" x14ac:dyDescent="0.3">
      <c r="B205" s="31" t="s">
        <v>73</v>
      </c>
      <c r="C205" s="114">
        <f>'O | PTRM inputs'!C18</f>
        <v>0.66099766963815831</v>
      </c>
      <c r="D205" s="114">
        <f>'O | PTRM inputs'!D18</f>
        <v>0.66099766963815831</v>
      </c>
      <c r="E205" s="114">
        <f>'O | PTRM inputs'!E18</f>
        <v>0.66099766963815831</v>
      </c>
      <c r="F205" s="114">
        <f>'O | PTRM inputs'!F18</f>
        <v>0.66099766963815831</v>
      </c>
      <c r="G205" s="114">
        <f>'O | PTRM inputs'!G18</f>
        <v>0.66099766963815831</v>
      </c>
      <c r="H205" s="129">
        <f t="shared" si="43"/>
        <v>3.3049883481907916</v>
      </c>
    </row>
    <row r="206" spans="2:12" x14ac:dyDescent="0.3">
      <c r="B206" s="31" t="s">
        <v>74</v>
      </c>
      <c r="C206" s="114">
        <f>'O | PTRM inputs'!C19</f>
        <v>1.2605617869263361</v>
      </c>
      <c r="D206" s="114">
        <f>'O | PTRM inputs'!D19</f>
        <v>1.6192390790232283</v>
      </c>
      <c r="E206" s="114">
        <f>'O | PTRM inputs'!E19</f>
        <v>1.4357891483294056</v>
      </c>
      <c r="F206" s="114">
        <f>'O | PTRM inputs'!F19</f>
        <v>1.4376842976741144</v>
      </c>
      <c r="G206" s="114">
        <f>'O | PTRM inputs'!G19</f>
        <v>1.438833179495997</v>
      </c>
      <c r="H206" s="129">
        <f t="shared" si="43"/>
        <v>7.1921074914490823</v>
      </c>
    </row>
    <row r="207" spans="2:12" x14ac:dyDescent="0.3">
      <c r="B207" s="31" t="s">
        <v>205</v>
      </c>
      <c r="C207" s="114">
        <f>'O | PTRM inputs'!C20</f>
        <v>4.8702812638860449</v>
      </c>
      <c r="D207" s="114">
        <f>'O | PTRM inputs'!D20</f>
        <v>3.2349159728642185</v>
      </c>
      <c r="E207" s="114">
        <f>'O | PTRM inputs'!E20</f>
        <v>3.1056728679894396</v>
      </c>
      <c r="F207" s="114">
        <f>'O | PTRM inputs'!F20</f>
        <v>3.636260708990263</v>
      </c>
      <c r="G207" s="114">
        <f>'O | PTRM inputs'!G20</f>
        <v>1.4022852293839738</v>
      </c>
      <c r="H207" s="129">
        <f t="shared" si="43"/>
        <v>16.249416043113943</v>
      </c>
    </row>
    <row r="208" spans="2:12" x14ac:dyDescent="0.3">
      <c r="B208" s="33" t="s">
        <v>36</v>
      </c>
      <c r="C208" s="115">
        <f>SUM(C199:C207)</f>
        <v>26.722689540372507</v>
      </c>
      <c r="D208" s="115">
        <f t="shared" ref="D208:G208" si="44">SUM(D199:D207)</f>
        <v>19.999373457311826</v>
      </c>
      <c r="E208" s="115">
        <f t="shared" si="44"/>
        <v>14.487978840157616</v>
      </c>
      <c r="F208" s="115">
        <f t="shared" si="44"/>
        <v>15.82843522977754</v>
      </c>
      <c r="G208" s="115">
        <f t="shared" si="44"/>
        <v>10.719950672092773</v>
      </c>
      <c r="H208" s="115">
        <f>SUM(H199:H207)</f>
        <v>87.758427739712261</v>
      </c>
      <c r="K208" s="3" t="str">
        <f>IF(ROUND(H208,3)=ROUND('O | PTRM inputs'!$H$23,3),"OK","ERROR")</f>
        <v>OK</v>
      </c>
    </row>
    <row r="210" spans="2:11" x14ac:dyDescent="0.3">
      <c r="B210" s="5" t="s">
        <v>210</v>
      </c>
      <c r="H210" s="130">
        <f>H150-H114</f>
        <v>18.028461753470538</v>
      </c>
    </row>
    <row r="211" spans="2:11" x14ac:dyDescent="0.3">
      <c r="B211" s="5" t="s">
        <v>169</v>
      </c>
      <c r="H211" s="109">
        <f>H133-H97</f>
        <v>2.6380445687201148</v>
      </c>
    </row>
    <row r="212" spans="2:11" x14ac:dyDescent="0.3">
      <c r="B212" s="5" t="s">
        <v>211</v>
      </c>
      <c r="H212" s="109">
        <f>H134-H98</f>
        <v>26.766937616907928</v>
      </c>
    </row>
    <row r="214" spans="2:11" ht="18.75" x14ac:dyDescent="0.3">
      <c r="B214" s="139" t="s">
        <v>252</v>
      </c>
    </row>
    <row r="215" spans="2:11" x14ac:dyDescent="0.3">
      <c r="B215" s="140" t="s">
        <v>206</v>
      </c>
      <c r="C215" s="141" t="str">
        <f t="shared" ref="C215:H215" si="45">C198</f>
        <v>2027-28</v>
      </c>
      <c r="D215" s="141" t="str">
        <f t="shared" si="45"/>
        <v>2028-29</v>
      </c>
      <c r="E215" s="141" t="str">
        <f t="shared" si="45"/>
        <v>2029-30</v>
      </c>
      <c r="F215" s="141" t="str">
        <f t="shared" si="45"/>
        <v>2030-31</v>
      </c>
      <c r="G215" s="141" t="str">
        <f t="shared" si="45"/>
        <v>2031-32</v>
      </c>
      <c r="H215" s="141" t="str">
        <f t="shared" si="45"/>
        <v>Total</v>
      </c>
    </row>
    <row r="216" spans="2:11" x14ac:dyDescent="0.3">
      <c r="B216" s="147" t="s">
        <v>82</v>
      </c>
      <c r="C216" s="148">
        <f>SUMIF('C | PTRM escalation'!$D$11:$D$161,$B216,'C | PTRM escalation'!BP$11:BP$161)/1000000</f>
        <v>2.1025446001169099</v>
      </c>
      <c r="D216" s="148">
        <f>SUMIF('C | PTRM escalation'!$D$11:$D$161,$B216,'C | PTRM escalation'!BQ$11:BQ$161)/1000000</f>
        <v>1.2708598464823715</v>
      </c>
      <c r="E216" s="148">
        <f>SUMIF('C | PTRM escalation'!$D$11:$D$161,$B216,'C | PTRM escalation'!BR$11:BR$161)/1000000</f>
        <v>9.2706652775804158E-2</v>
      </c>
      <c r="F216" s="148">
        <f>SUMIF('C | PTRM escalation'!$D$11:$D$161,$B216,'C | PTRM escalation'!BS$11:BS$161)/1000000</f>
        <v>1.6581899527894124</v>
      </c>
      <c r="G216" s="148">
        <f>SUMIF('C | PTRM escalation'!$D$11:$D$161,$B216,'C | PTRM escalation'!BT$11:BT$161)/1000000</f>
        <v>0.87738577245766014</v>
      </c>
      <c r="H216" s="148">
        <f t="shared" ref="H216:H221" si="46">SUM(C216:G216)</f>
        <v>6.0016868246221575</v>
      </c>
    </row>
    <row r="217" spans="2:11" x14ac:dyDescent="0.3">
      <c r="B217" s="147" t="s">
        <v>83</v>
      </c>
      <c r="C217" s="148">
        <f>SUMIF('C | PTRM escalation'!$D$11:$D$161,$B217,'C | PTRM escalation'!BP$11:BP$161)/1000000</f>
        <v>2.7677366637691345</v>
      </c>
      <c r="D217" s="148">
        <f>SUMIF('C | PTRM escalation'!$D$11:$D$161,$B217,'C | PTRM escalation'!BQ$11:BQ$161)/1000000</f>
        <v>1.9640561263818468</v>
      </c>
      <c r="E217" s="148">
        <f>SUMIF('C | PTRM escalation'!$D$11:$D$161,$B217,'C | PTRM escalation'!BR$11:BR$161)/1000000</f>
        <v>3.0129662152136354</v>
      </c>
      <c r="F217" s="148">
        <f>SUMIF('C | PTRM escalation'!$D$11:$D$161,$B217,'C | PTRM escalation'!BS$11:BS$161)/1000000</f>
        <v>1.9780707562008504</v>
      </c>
      <c r="G217" s="148">
        <f>SUMIF('C | PTRM escalation'!$D$11:$D$161,$B217,'C | PTRM escalation'!BT$11:BT$161)/1000000</f>
        <v>0.52489945692631379</v>
      </c>
      <c r="H217" s="148">
        <f t="shared" si="46"/>
        <v>10.247729218491781</v>
      </c>
    </row>
    <row r="218" spans="2:11" x14ac:dyDescent="0.3">
      <c r="B218" s="147" t="s">
        <v>84</v>
      </c>
      <c r="C218" s="148">
        <f>SUMIF('C | PTRM escalation'!$D$11:$D$161,$B218,'C | PTRM escalation'!BP$11:BP$161)/1000000</f>
        <v>2.6524143027787535</v>
      </c>
      <c r="D218" s="148">
        <f>SUMIF('C | PTRM escalation'!$D$11:$D$161,$B218,'C | PTRM escalation'!BQ$11:BQ$161)/1000000</f>
        <v>2.6572524062813221</v>
      </c>
      <c r="E218" s="148">
        <f>SUMIF('C | PTRM escalation'!$D$11:$D$161,$B218,'C | PTRM escalation'!BR$11:BR$161)/1000000</f>
        <v>2.6653162673043695</v>
      </c>
      <c r="F218" s="148">
        <f>SUMIF('C | PTRM escalation'!$D$11:$D$161,$B218,'C | PTRM escalation'!BS$11:BS$161)/1000000</f>
        <v>2.6762133760364448</v>
      </c>
      <c r="G218" s="148">
        <f>SUMIF('C | PTRM escalation'!$D$11:$D$161,$B218,'C | PTRM escalation'!BT$11:BT$161)/1000000</f>
        <v>2.6828194465122706</v>
      </c>
      <c r="H218" s="148">
        <f t="shared" si="46"/>
        <v>13.33401579891316</v>
      </c>
    </row>
    <row r="219" spans="2:11" x14ac:dyDescent="0.3">
      <c r="B219" s="147" t="s">
        <v>225</v>
      </c>
      <c r="C219" s="148">
        <f>SUMIF('C | PTRM escalation'!$D$11:$D$161,$B219,'C | PTRM escalation'!BP$11:BP$161)/1000000</f>
        <v>0.72076475618987867</v>
      </c>
      <c r="D219" s="148">
        <f>SUMIF('C | PTRM escalation'!$D$11:$D$161,$B219,'C | PTRM escalation'!BQ$11:BQ$161)/1000000</f>
        <v>2.6861355846104669</v>
      </c>
      <c r="E219" s="148">
        <f>SUMIF('C | PTRM escalation'!$D$11:$D$161,$B219,'C | PTRM escalation'!BR$11:BR$161)/1000000</f>
        <v>1.2457456466748686</v>
      </c>
      <c r="F219" s="148">
        <f>SUMIF('C | PTRM escalation'!$D$11:$D$161,$B219,'C | PTRM escalation'!BS$11:BS$161)/1000000</f>
        <v>2.1816956869862323</v>
      </c>
      <c r="G219" s="148">
        <f>SUMIF('C | PTRM escalation'!$D$11:$D$161,$B219,'C | PTRM escalation'!BT$11:BT$161)/1000000</f>
        <v>0.72902702350876925</v>
      </c>
      <c r="H219" s="148">
        <f t="shared" si="46"/>
        <v>7.5633686979702164</v>
      </c>
    </row>
    <row r="220" spans="2:11" x14ac:dyDescent="0.3">
      <c r="B220" s="147" t="s">
        <v>86</v>
      </c>
      <c r="C220" s="148">
        <f>SUMIF('C | PTRM escalation'!$D$11:$D$161,$B220,'C | PTRM escalation'!BP$11:BP$161)/1000000</f>
        <v>0</v>
      </c>
      <c r="D220" s="148">
        <f>SUMIF('C | PTRM escalation'!$D$11:$D$161,$B220,'C | PTRM escalation'!BQ$11:BQ$161)/1000000</f>
        <v>2.1142486536933998</v>
      </c>
      <c r="E220" s="148">
        <f>SUMIF('C | PTRM escalation'!$D$11:$D$161,$B220,'C | PTRM escalation'!BR$11:BR$161)/1000000</f>
        <v>0</v>
      </c>
      <c r="F220" s="148">
        <f>SUMIF('C | PTRM escalation'!$D$11:$D$161,$B220,'C | PTRM escalation'!BS$11:BS$161)/1000000</f>
        <v>0</v>
      </c>
      <c r="G220" s="148">
        <f>SUMIF('C | PTRM escalation'!$D$11:$D$161,$B220,'C | PTRM escalation'!BT$11:BT$161)/1000000</f>
        <v>0</v>
      </c>
      <c r="H220" s="148">
        <f t="shared" si="46"/>
        <v>2.1142486536933998</v>
      </c>
    </row>
    <row r="221" spans="2:11" x14ac:dyDescent="0.3">
      <c r="B221" s="147" t="s">
        <v>67</v>
      </c>
      <c r="C221" s="148">
        <f>SUMIF('C | PTRM escalation'!$D$11:$D$161,$B221,'C | PTRM escalation'!BP$11:BP$161)/1000000</f>
        <v>0</v>
      </c>
      <c r="D221" s="148">
        <f>SUMIF('C | PTRM escalation'!$D$11:$D$161,$B221,'C | PTRM escalation'!BQ$11:BQ$161)/1000000</f>
        <v>0</v>
      </c>
      <c r="E221" s="148">
        <f>SUMIF('C | PTRM escalation'!$D$11:$D$161,$B221,'C | PTRM escalation'!BR$11:BR$161)/1000000</f>
        <v>2.89708289924388</v>
      </c>
      <c r="F221" s="148">
        <f>SUMIF('C | PTRM escalation'!$D$11:$D$161,$B221,'C | PTRM escalation'!BS$11:BS$161)/1000000</f>
        <v>0</v>
      </c>
      <c r="G221" s="148">
        <f>SUMIF('C | PTRM escalation'!$D$11:$D$161,$B221,'C | PTRM escalation'!BT$11:BT$161)/1000000</f>
        <v>0</v>
      </c>
      <c r="H221" s="148">
        <f t="shared" si="46"/>
        <v>2.89708289924388</v>
      </c>
    </row>
    <row r="222" spans="2:11" x14ac:dyDescent="0.3">
      <c r="B222" s="142" t="s">
        <v>36</v>
      </c>
      <c r="C222" s="143">
        <f t="shared" ref="C222:H222" si="47">SUM(C216:C221)</f>
        <v>8.243460322854677</v>
      </c>
      <c r="D222" s="143">
        <f t="shared" si="47"/>
        <v>10.692552617449406</v>
      </c>
      <c r="E222" s="143">
        <f t="shared" si="47"/>
        <v>9.9138176812125582</v>
      </c>
      <c r="F222" s="143">
        <f t="shared" si="47"/>
        <v>8.4941697720129401</v>
      </c>
      <c r="G222" s="143">
        <f t="shared" si="47"/>
        <v>4.8141316994050145</v>
      </c>
      <c r="H222" s="143">
        <f t="shared" si="47"/>
        <v>42.158132092934594</v>
      </c>
      <c r="K222" s="3" t="str">
        <f>IF(ROUND(H222,3)=ROUND(H154,3),"OK","ERROR")</f>
        <v>OK</v>
      </c>
    </row>
    <row r="224" spans="2:11" ht="18.75" x14ac:dyDescent="0.3">
      <c r="B224" s="139" t="s">
        <v>250</v>
      </c>
    </row>
    <row r="225" spans="2:6" x14ac:dyDescent="0.3">
      <c r="B225" s="140" t="s">
        <v>206</v>
      </c>
      <c r="C225" s="141" t="s">
        <v>338</v>
      </c>
      <c r="D225" s="141" t="s">
        <v>233</v>
      </c>
      <c r="E225" s="141"/>
      <c r="F225" s="141" t="s">
        <v>36</v>
      </c>
    </row>
    <row r="226" spans="2:6" x14ac:dyDescent="0.3">
      <c r="B226" s="147" t="str" cm="1">
        <f t="array" ref="B226">INDEX('C | PTRM escalation'!$B$11:$B$160,MATCH(F226,'C | PTRM escalation'!$CB$11:$CB$160,0),0)</f>
        <v>Gowrie Creek flood protection</v>
      </c>
      <c r="C226" s="148">
        <f>LARGE('C | PTRM escalation'!$CB$11:$CB$160,D226)/1000000</f>
        <v>10.379012489134253</v>
      </c>
      <c r="D226" s="149">
        <v>1</v>
      </c>
      <c r="F226" s="230">
        <f>LARGE('C | PTRM escalation'!$CB$11:$CB$160,D226)</f>
        <v>10379012.489134252</v>
      </c>
    </row>
    <row r="227" spans="2:6" x14ac:dyDescent="0.3">
      <c r="B227" s="147" t="str" cm="1">
        <f t="array" ref="B227">INDEX('C | PTRM escalation'!$B$11:$B$160,MATCH(F227,'C | PTRM escalation'!$CB$11:$CB$160,0),0)</f>
        <v>CP Program</v>
      </c>
      <c r="C227" s="148">
        <f>LARGE('C | PTRM escalation'!$CB$11:$CB$160,D227)/1000000</f>
        <v>8.6960972601607551</v>
      </c>
      <c r="D227" s="149">
        <f>D226+1</f>
        <v>2</v>
      </c>
      <c r="F227" s="230">
        <f>LARGE('C | PTRM escalation'!$CB$11:$CB$160,D227)</f>
        <v>8696097.2601607554</v>
      </c>
    </row>
    <row r="228" spans="2:6" x14ac:dyDescent="0.3">
      <c r="B228" s="147" t="str" cm="1">
        <f t="array" ref="B228">INDEX('C | PTRM escalation'!$B$11:$B$160,MATCH(F228,'C | PTRM escalation'!$CB$11:$CB$160,0),0)</f>
        <v>DN250 Supply Security - Phase 2a</v>
      </c>
      <c r="C228" s="148">
        <f>LARGE('C | PTRM escalation'!$CB$11:$CB$160,D228)/1000000</f>
        <v>7.9028591487255104</v>
      </c>
      <c r="D228" s="149">
        <f t="shared" ref="D228:D240" si="48">D227+1</f>
        <v>3</v>
      </c>
      <c r="F228" s="230">
        <f>LARGE('C | PTRM escalation'!$CB$11:$CB$160,D228)</f>
        <v>7902859.1487255106</v>
      </c>
    </row>
    <row r="229" spans="2:6" x14ac:dyDescent="0.3">
      <c r="B229" s="147" t="str" cm="1">
        <f t="array" ref="B229">INDEX('C | PTRM escalation'!$B$11:$B$160,MATCH(F229,'C | PTRM escalation'!$CB$11:$CB$160,0),0)</f>
        <v>DN250 Suspension - Phase 3</v>
      </c>
      <c r="C229" s="148">
        <f>LARGE('C | PTRM escalation'!$CB$11:$CB$160,D229)/1000000</f>
        <v>7.0157238839332958</v>
      </c>
      <c r="D229" s="149">
        <f t="shared" si="48"/>
        <v>4</v>
      </c>
      <c r="F229" s="230">
        <f>LARGE('C | PTRM escalation'!$CB$11:$CB$160,D229)</f>
        <v>7015723.8839332955</v>
      </c>
    </row>
    <row r="230" spans="2:6" x14ac:dyDescent="0.3">
      <c r="B230" s="147" t="str" cm="1">
        <f t="array" ref="B230">INDEX('C | PTRM escalation'!$B$11:$B$160,MATCH(F230,'C | PTRM escalation'!$CB$11:$CB$160,0),0)</f>
        <v>CP Interference (DN250) and Registration</v>
      </c>
      <c r="C230" s="148">
        <f>LARGE('C | PTRM escalation'!$CB$11:$CB$160,D230)/1000000</f>
        <v>4.6379185387524045</v>
      </c>
      <c r="D230" s="149">
        <f t="shared" si="48"/>
        <v>5</v>
      </c>
      <c r="F230" s="230">
        <f>LARGE('C | PTRM escalation'!$CB$11:$CB$160,D230)</f>
        <v>4637918.538752404</v>
      </c>
    </row>
    <row r="231" spans="2:6" x14ac:dyDescent="0.3">
      <c r="B231" s="147" t="str" cm="1">
        <f t="array" ref="B231">INDEX('C | PTRM escalation'!$B$11:$B$160,MATCH(F231,'C | PTRM escalation'!$CB$11:$CB$160,0),0)</f>
        <v>Safety Critical Digs (Complex)</v>
      </c>
      <c r="C231" s="148">
        <f>LARGE('C | PTRM escalation'!$CB$11:$CB$160,D231)/1000000</f>
        <v>4.1740778023562957</v>
      </c>
      <c r="D231" s="149">
        <f t="shared" si="48"/>
        <v>6</v>
      </c>
      <c r="F231" s="230">
        <f>LARGE('C | PTRM escalation'!$CB$11:$CB$160,D231)</f>
        <v>4174077.8023562953</v>
      </c>
    </row>
    <row r="232" spans="2:6" x14ac:dyDescent="0.3">
      <c r="B232" s="147" t="str" cm="1">
        <f t="array" ref="B232">INDEX('C | PTRM escalation'!$B$11:$B$160,MATCH(F232,'C | PTRM escalation'!$CB$11:$CB$160,0),0)</f>
        <v>Safety Critical Digs (Non-complex)</v>
      </c>
      <c r="C232" s="148">
        <f>LARGE('C | PTRM escalation'!$CB$11:$CB$160,D232)/1000000</f>
        <v>3.3892908956139207</v>
      </c>
      <c r="D232" s="149">
        <f t="shared" si="48"/>
        <v>7</v>
      </c>
      <c r="F232" s="230">
        <f>LARGE('C | PTRM escalation'!$CB$11:$CB$160,D232)</f>
        <v>3389290.8956139209</v>
      </c>
    </row>
    <row r="233" spans="2:6" x14ac:dyDescent="0.3">
      <c r="B233" s="147" t="str" cm="1">
        <f t="array" ref="B233">INDEX('C | PTRM escalation'!$B$11:$B$160,MATCH(F233,'C | PTRM escalation'!$CB$11:$CB$160,0),0)</f>
        <v>Group IT</v>
      </c>
      <c r="C233" s="148">
        <f>LARGE('C | PTRM escalation'!$CB$11:$CB$160,D233)/1000000</f>
        <v>3.3049883481907916</v>
      </c>
      <c r="D233" s="149">
        <f t="shared" si="48"/>
        <v>8</v>
      </c>
      <c r="F233" s="230">
        <f>LARGE('C | PTRM escalation'!$CB$11:$CB$160,D233)</f>
        <v>3304988.3481907914</v>
      </c>
    </row>
    <row r="234" spans="2:6" x14ac:dyDescent="0.3">
      <c r="B234" s="147" t="str" cm="1">
        <f t="array" ref="B234">INDEX('C | PTRM escalation'!$B$11:$B$160,MATCH(F234,'C | PTRM escalation'!$CB$11:$CB$160,0),0)</f>
        <v>DN400 - Validation Dig ILI (3 sections)</v>
      </c>
      <c r="C234" s="148">
        <f>LARGE('C | PTRM escalation'!$CB$11:$CB$160,D234)/1000000</f>
        <v>3.2185213554974252</v>
      </c>
      <c r="D234" s="149">
        <f t="shared" si="48"/>
        <v>9</v>
      </c>
      <c r="F234" s="230">
        <f>LARGE('C | PTRM escalation'!$CB$11:$CB$160,D234)</f>
        <v>3218521.3554974254</v>
      </c>
    </row>
    <row r="235" spans="2:6" x14ac:dyDescent="0.3">
      <c r="B235" s="147" t="str" cm="1">
        <f t="array" ref="B235">INDEX('C | PTRM escalation'!$B$11:$B$160,MATCH(F235,'C | PTRM escalation'!$CB$11:$CB$160,0),0)</f>
        <v>DN400 - Validation Dig ILI (3 sections)</v>
      </c>
      <c r="C235" s="148">
        <f>LARGE('C | PTRM escalation'!$CB$11:$CB$160,D235)/1000000</f>
        <v>3.2185213554974252</v>
      </c>
      <c r="D235" s="149">
        <f t="shared" si="48"/>
        <v>10</v>
      </c>
      <c r="F235" s="230">
        <f>LARGE('C | PTRM escalation'!$CB$11:$CB$160,D235)</f>
        <v>3218521.3554974254</v>
      </c>
    </row>
    <row r="236" spans="2:6" x14ac:dyDescent="0.3">
      <c r="B236" s="147" t="str" cm="1">
        <f t="array" ref="B236">INDEX('C | PTRM escalation'!$B$11:$B$160,MATCH(F236,'C | PTRM escalation'!$CB$11:$CB$160,0),0)</f>
        <v>Enhanced Methane Survey</v>
      </c>
      <c r="C236" s="148">
        <f>LARGE('C | PTRM escalation'!$CB$11:$CB$160,D236)/1000000</f>
        <v>2.89708289924388</v>
      </c>
      <c r="D236" s="149">
        <f t="shared" si="48"/>
        <v>11</v>
      </c>
      <c r="F236" s="230">
        <f>LARGE('C | PTRM escalation'!$CB$11:$CB$160,D236)</f>
        <v>2897082.8992438801</v>
      </c>
    </row>
    <row r="237" spans="2:6" x14ac:dyDescent="0.3">
      <c r="B237" s="147" t="str" cm="1">
        <f t="array" ref="B237">INDEX('C | PTRM escalation'!$B$11:$B$160,MATCH(F237,'C | PTRM escalation'!$CB$11:$CB$160,0),0)</f>
        <v>DN300 Metro - ILI - MFL + EMAT</v>
      </c>
      <c r="C237" s="148">
        <f>LARGE('C | PTRM escalation'!$CB$11:$CB$160,D237)/1000000</f>
        <v>2.6282823780228766</v>
      </c>
      <c r="D237" s="149">
        <f t="shared" si="48"/>
        <v>12</v>
      </c>
      <c r="F237" s="230">
        <f>LARGE('C | PTRM escalation'!$CB$11:$CB$160,D237)</f>
        <v>2628282.3780228766</v>
      </c>
    </row>
    <row r="238" spans="2:6" x14ac:dyDescent="0.3">
      <c r="B238" s="147" t="str" cm="1">
        <f t="array" ref="B238">INDEX('C | PTRM escalation'!$B$11:$B$160,MATCH(F238,'C | PTRM escalation'!$CB$11:$CB$160,0),0)</f>
        <v xml:space="preserve">Ellengrove Reliability </v>
      </c>
      <c r="C238" s="148">
        <f>LARGE('C | PTRM escalation'!$CB$11:$CB$160,D238)/1000000</f>
        <v>2.3271420661186473</v>
      </c>
      <c r="D238" s="149">
        <f t="shared" si="48"/>
        <v>13</v>
      </c>
      <c r="F238" s="230">
        <f>LARGE('C | PTRM escalation'!$CB$11:$CB$160,D238)</f>
        <v>2327142.0661186473</v>
      </c>
    </row>
    <row r="239" spans="2:6" x14ac:dyDescent="0.3">
      <c r="B239" s="147" t="str" cm="1">
        <f t="array" ref="B239">INDEX('C | PTRM escalation'!$B$11:$B$160,MATCH(F239,'C | PTRM escalation'!$CB$11:$CB$160,0),0)</f>
        <v>DN300 Pig Receiver Safety Upgrades (SEA Compound)​</v>
      </c>
      <c r="C239" s="148">
        <f>LARGE('C | PTRM escalation'!$CB$11:$CB$160,D239)/1000000</f>
        <v>2.1142486536933998</v>
      </c>
      <c r="D239" s="149">
        <f t="shared" si="48"/>
        <v>14</v>
      </c>
      <c r="F239" s="230">
        <f>LARGE('C | PTRM escalation'!$CB$11:$CB$160,D239)</f>
        <v>2114248.6536933999</v>
      </c>
    </row>
    <row r="240" spans="2:6" x14ac:dyDescent="0.3">
      <c r="B240" s="147" t="str" cm="1">
        <f t="array" ref="B240">INDEX('C | PTRM escalation'!$B$11:$B$160,MATCH(F240,'C | PTRM escalation'!$CB$11:$CB$160,0),0)</f>
        <v>Controlwave Micro RTUs &amp; Flow Computer end of Life replacement</v>
      </c>
      <c r="C240" s="148">
        <f>LARGE('C | PTRM escalation'!$CB$11:$CB$160,D240)/1000000</f>
        <v>2.0290893607041767</v>
      </c>
      <c r="D240" s="149">
        <f t="shared" si="48"/>
        <v>15</v>
      </c>
      <c r="F240" s="230">
        <f>LARGE('C | PTRM escalation'!$CB$11:$CB$160,D240)</f>
        <v>2029089.3607041768</v>
      </c>
    </row>
    <row r="241" spans="1:8" x14ac:dyDescent="0.3">
      <c r="C241" s="5"/>
    </row>
    <row r="243" spans="1:8" ht="19.5" thickBot="1" x14ac:dyDescent="0.35">
      <c r="A243" s="229" t="s">
        <v>337</v>
      </c>
      <c r="B243" s="229"/>
      <c r="C243" s="229"/>
      <c r="D243" s="229"/>
      <c r="E243" s="229"/>
      <c r="F243" s="229"/>
      <c r="G243" s="229"/>
      <c r="H243" s="229"/>
    </row>
    <row r="244" spans="1:8" ht="17.25" thickTop="1" x14ac:dyDescent="0.3">
      <c r="B244" s="2"/>
      <c r="D244" s="2"/>
      <c r="E244" s="2"/>
      <c r="F244" s="2"/>
      <c r="G244" s="2"/>
    </row>
    <row r="245" spans="1:8" ht="18.75" x14ac:dyDescent="0.3">
      <c r="B245" s="110" t="s">
        <v>340</v>
      </c>
      <c r="D245" s="2"/>
      <c r="E245" s="2"/>
      <c r="F245" s="2"/>
      <c r="G245" s="2"/>
    </row>
    <row r="246" spans="1:8" x14ac:dyDescent="0.3">
      <c r="B246" s="140" t="s">
        <v>341</v>
      </c>
      <c r="C246" s="140" t="s">
        <v>339</v>
      </c>
      <c r="D246" s="141" t="s">
        <v>212</v>
      </c>
      <c r="E246" s="141" t="s">
        <v>213</v>
      </c>
      <c r="F246" s="141" t="s">
        <v>228</v>
      </c>
    </row>
    <row r="247" spans="1:8" x14ac:dyDescent="0.3">
      <c r="B247" s="147" t="str" cm="1">
        <f t="array" ref="B247">_xlfn.IFNA(INDEX($B$97:$B$113,MATCH(B154,$B$97:$B$113,0),0),"")</f>
        <v>Pipeline Integrity</v>
      </c>
      <c r="C247" s="147" t="str" cm="1">
        <f t="array" ref="C247:C255">_xlfn.UNIQUE($B$247:$B$262,FALSE,FALSE)</f>
        <v>Pipeline Integrity</v>
      </c>
      <c r="D247" s="148" cm="1">
        <f t="array" ref="D247">_xlfn.IFNA(INDEX($H$97:$H$113,MATCH($C247,$B$97:$B$113,0),0),0)</f>
        <v>15.391194476026666</v>
      </c>
      <c r="E247" s="148" cm="1">
        <f t="array" ref="E247">_xlfn.IFNA(INDEX($H$133:$H$149,MATCH($C247,$B$133:$B$149,0),0),0)</f>
        <v>42.158132092934594</v>
      </c>
      <c r="F247" s="148">
        <f>E247-D247</f>
        <v>26.766937616907928</v>
      </c>
      <c r="G247" s="231"/>
    </row>
    <row r="248" spans="1:8" x14ac:dyDescent="0.3">
      <c r="B248" s="147" t="str" cm="1">
        <f t="array" ref="B248">_xlfn.IFNA(INDEX($B$97:$B$113,MATCH(B155,$B$97:$B$113,0),0),"")</f>
        <v>DN250 Supply Security Project</v>
      </c>
      <c r="C248" s="147" t="str">
        <v>DN250 Supply Security Project</v>
      </c>
      <c r="D248" s="148" cm="1">
        <f t="array" ref="D248">_xlfn.IFNA(INDEX($H$97:$H$113,MATCH($C248,$B$97:$B$113,0),0),0)</f>
        <v>27.969359059952684</v>
      </c>
      <c r="E248" s="148" cm="1">
        <f t="array" ref="E248">_xlfn.IFNA(INDEX($H$133:$H$149,MATCH($C248,$B$133:$B$149,0),0),0)</f>
        <v>16.36793257601893</v>
      </c>
      <c r="F248" s="148">
        <f t="shared" ref="F248:F262" si="49">E248-D248</f>
        <v>-11.601426483933754</v>
      </c>
      <c r="G248" s="231"/>
    </row>
    <row r="249" spans="1:8" x14ac:dyDescent="0.3">
      <c r="B249" s="147" t="str" cm="1">
        <f t="array" ref="B249">_xlfn.IFNA(INDEX($B$97:$B$113,MATCH(B156,$B$97:$B$113,0),0),"")</f>
        <v>Environment</v>
      </c>
      <c r="C249" s="147" t="str">
        <v>Environment</v>
      </c>
      <c r="D249" s="148" cm="1">
        <f t="array" ref="D249">_xlfn.IFNA(INDEX($H$97:$H$113,MATCH($C249,$B$97:$B$113,0),0),0)</f>
        <v>0.33484800000000003</v>
      </c>
      <c r="E249" s="148" cm="1">
        <f t="array" ref="E249">_xlfn.IFNA(INDEX($H$133:$H$149,MATCH($C249,$B$133:$B$149,0),0),0)</f>
        <v>10.379012489134253</v>
      </c>
      <c r="F249" s="148">
        <f t="shared" si="49"/>
        <v>10.044164489134253</v>
      </c>
      <c r="G249" s="231"/>
    </row>
    <row r="250" spans="1:8" x14ac:dyDescent="0.3">
      <c r="B250" s="147" t="str" cm="1">
        <f t="array" ref="B250">_xlfn.IFNA(INDEX($B$97:$B$113,MATCH(B157,$B$97:$B$113,0),0),"")</f>
        <v/>
      </c>
      <c r="C250" s="147" t="str">
        <v/>
      </c>
      <c r="D250" s="148" cm="1">
        <f t="array" ref="D250">_xlfn.IFNA(INDEX($H$97:$H$113,MATCH($C250,$B$97:$B$113,0),0),0)</f>
        <v>0</v>
      </c>
      <c r="E250" s="148" cm="1">
        <f t="array" ref="E250">_xlfn.IFNA(INDEX($H$133:$H$149,MATCH($C250,$B$133:$B$149,0),0),0)</f>
        <v>0</v>
      </c>
      <c r="F250" s="148">
        <f t="shared" si="49"/>
        <v>0</v>
      </c>
      <c r="G250" s="231"/>
    </row>
    <row r="251" spans="1:8" x14ac:dyDescent="0.3">
      <c r="B251" s="147" t="str" cm="1">
        <f t="array" ref="B251">_xlfn.IFNA(INDEX($B$97:$B$113,MATCH(B158,$B$97:$B$113,0),0),"")</f>
        <v/>
      </c>
      <c r="C251" s="147" t="str">
        <v>Group IT</v>
      </c>
      <c r="D251" s="148" cm="1">
        <f t="array" ref="D251">_xlfn.IFNA(INDEX($H$97:$H$113,MATCH($C251,$B$97:$B$113,0),0),0)</f>
        <v>13.636414031641863</v>
      </c>
      <c r="E251" s="148" cm="1">
        <f t="array" ref="E251">_xlfn.IFNA(INDEX($H$133:$H$149,MATCH($C251,$B$133:$B$149,0),0),0)</f>
        <v>3.3049883481907916</v>
      </c>
      <c r="F251" s="148">
        <f t="shared" si="49"/>
        <v>-10.331425683451071</v>
      </c>
      <c r="G251" s="231"/>
    </row>
    <row r="252" spans="1:8" x14ac:dyDescent="0.3">
      <c r="B252" s="147" t="str" cm="1">
        <f t="array" ref="B252">_xlfn.IFNA(INDEX($B$97:$B$113,MATCH(B159,$B$97:$B$113,0),0),"")</f>
        <v>Group IT</v>
      </c>
      <c r="C252" s="147" t="str">
        <v>Vehicle Leases</v>
      </c>
      <c r="D252" s="148" cm="1">
        <f t="array" ref="D252">_xlfn.IFNA(INDEX($H$97:$H$113,MATCH($C252,$B$97:$B$113,0),0),0)</f>
        <v>1.1266255849742566</v>
      </c>
      <c r="E252" s="148" cm="1">
        <f t="array" ref="E252">_xlfn.IFNA(INDEX($H$133:$H$149,MATCH($C252,$B$133:$B$149,0),0),0)</f>
        <v>1.1415813787215905</v>
      </c>
      <c r="F252" s="148">
        <f t="shared" si="49"/>
        <v>1.4955793747333912E-2</v>
      </c>
      <c r="G252" s="231"/>
    </row>
    <row r="253" spans="1:8" x14ac:dyDescent="0.3">
      <c r="B253" s="147" t="str" cm="1">
        <f t="array" ref="B253">_xlfn.IFNA(INDEX($B$97:$B$113,MATCH(B160,$B$97:$B$113,0),0),"")</f>
        <v/>
      </c>
      <c r="C253" s="147" t="str">
        <v>Property Leases</v>
      </c>
      <c r="D253" s="148" cm="1">
        <f t="array" ref="D253">_xlfn.IFNA(INDEX($H$97:$H$113,MATCH($C253,$B$97:$B$113,0),0),0)</f>
        <v>2.6218234641626079</v>
      </c>
      <c r="E253" s="148" cm="1">
        <f t="array" ref="E253">_xlfn.IFNA(INDEX($H$133:$H$149,MATCH($C253,$B$133:$B$149,0),0),0)</f>
        <v>1.0663488424911629</v>
      </c>
      <c r="F253" s="148">
        <f t="shared" si="49"/>
        <v>-1.555474621671445</v>
      </c>
      <c r="G253" s="231"/>
    </row>
    <row r="254" spans="1:8" x14ac:dyDescent="0.3">
      <c r="B254" s="147" t="str" cm="1">
        <f t="array" ref="B254">_xlfn.IFNA(INDEX($B$97:$B$113,MATCH(B161,$B$97:$B$113,0),0),"")</f>
        <v>Vehicle Leases</v>
      </c>
      <c r="C254" s="147" t="str">
        <v>Corporate</v>
      </c>
      <c r="D254" s="148" cm="1">
        <f t="array" ref="D254">_xlfn.IFNA(INDEX($H$97:$H$113,MATCH($C254,$B$97:$B$113,0),0),0)</f>
        <v>0.31679404569078073</v>
      </c>
      <c r="E254" s="148" cm="1">
        <f t="array" ref="E254">_xlfn.IFNA(INDEX($H$133:$H$149,MATCH($C254,$B$133:$B$149,0),0),0)</f>
        <v>0.80805053564719509</v>
      </c>
      <c r="F254" s="148">
        <f t="shared" si="49"/>
        <v>0.49125648995641436</v>
      </c>
      <c r="G254" s="231"/>
    </row>
    <row r="255" spans="1:8" x14ac:dyDescent="0.3">
      <c r="B255" s="147" t="str" cm="1">
        <f t="array" ref="B255">_xlfn.IFNA(INDEX($B$97:$B$113,MATCH(B162,$B$97:$B$113,0),0),"")</f>
        <v>Property Leases</v>
      </c>
      <c r="C255" s="147" t="str">
        <v>Access Arrangement</v>
      </c>
      <c r="D255" s="148" cm="1">
        <f t="array" ref="D255">_xlfn.IFNA(INDEX($H$97:$H$113,MATCH($C255,$B$97:$B$113,0),0),0)</f>
        <v>0.49760369868567578</v>
      </c>
      <c r="E255" s="148" cm="1">
        <f t="array" ref="E255">_xlfn.IFNA(INDEX($H$133:$H$149,MATCH($C255,$B$133:$B$149,0),0),0)</f>
        <v>0.64957604553691262</v>
      </c>
      <c r="F255" s="148">
        <f t="shared" si="49"/>
        <v>0.15197234685123684</v>
      </c>
      <c r="G255" s="231"/>
    </row>
    <row r="256" spans="1:8" x14ac:dyDescent="0.3">
      <c r="B256" s="147" t="str" cm="1">
        <f t="array" ref="B256">_xlfn.IFNA(INDEX($B$97:$B$113,MATCH(B163,$B$97:$B$113,0),0),"")</f>
        <v>Corporate</v>
      </c>
      <c r="C256" s="147"/>
      <c r="D256" s="148" cm="1">
        <f t="array" ref="D256">_xlfn.IFNA(INDEX($H$97:$H$113,MATCH($C256,$B$97:$B$113,0),0),0)</f>
        <v>0</v>
      </c>
      <c r="E256" s="148" cm="1">
        <f t="array" ref="E256">_xlfn.IFNA(INDEX($H$133:$H$149,MATCH($C256,$B$133:$B$149,0),0),0)</f>
        <v>0</v>
      </c>
      <c r="F256" s="148">
        <f t="shared" si="49"/>
        <v>0</v>
      </c>
      <c r="G256" s="231"/>
    </row>
    <row r="257" spans="2:7" x14ac:dyDescent="0.3">
      <c r="B257" s="147" t="str" cm="1">
        <f t="array" ref="B257">_xlfn.IFNA(INDEX($B$97:$B$113,MATCH(B164,$B$97:$B$113,0),0),"")</f>
        <v>Access Arrangement</v>
      </c>
      <c r="C257" s="147"/>
      <c r="D257" s="148" cm="1">
        <f t="array" ref="D257">_xlfn.IFNA(INDEX($H$97:$H$113,MATCH($C257,$B$97:$B$113,0),0),0)</f>
        <v>0</v>
      </c>
      <c r="E257" s="148" cm="1">
        <f t="array" ref="E257">_xlfn.IFNA(INDEX($H$133:$H$149,MATCH($C257,$B$133:$B$149,0),0),0)</f>
        <v>0</v>
      </c>
      <c r="F257" s="148">
        <f t="shared" si="49"/>
        <v>0</v>
      </c>
      <c r="G257" s="231"/>
    </row>
    <row r="258" spans="2:7" x14ac:dyDescent="0.3">
      <c r="B258" s="147" t="str" cm="1">
        <f t="array" ref="B258">_xlfn.IFNA(INDEX($B$97:$B$113,MATCH(B165,$B$97:$B$113,0),0),"")</f>
        <v/>
      </c>
      <c r="C258" s="147"/>
      <c r="D258" s="148" cm="1">
        <f t="array" ref="D258">_xlfn.IFNA(INDEX($H$97:$H$113,MATCH($C258,$B$97:$B$113,0),0),0)</f>
        <v>0</v>
      </c>
      <c r="E258" s="148" cm="1">
        <f t="array" ref="E258">_xlfn.IFNA(INDEX($H$133:$H$149,MATCH($C258,$B$133:$B$149,0),0),0)</f>
        <v>0</v>
      </c>
      <c r="F258" s="148">
        <f t="shared" si="49"/>
        <v>0</v>
      </c>
      <c r="G258" s="231"/>
    </row>
    <row r="259" spans="2:7" x14ac:dyDescent="0.3">
      <c r="B259" s="147" t="str" cm="1">
        <f t="array" ref="B259">_xlfn.IFNA(INDEX($B$97:$B$113,MATCH(B166,$B$97:$B$113,0),0),"")</f>
        <v/>
      </c>
      <c r="C259" s="147"/>
      <c r="D259" s="148" cm="1">
        <f t="array" ref="D259">_xlfn.IFNA(INDEX($H$97:$H$113,MATCH($C259,$B$97:$B$113,0),0),0)</f>
        <v>0</v>
      </c>
      <c r="E259" s="148" cm="1">
        <f t="array" ref="E259">_xlfn.IFNA(INDEX($H$133:$H$149,MATCH($C259,$B$133:$B$149,0),0),0)</f>
        <v>0</v>
      </c>
      <c r="F259" s="148">
        <f t="shared" si="49"/>
        <v>0</v>
      </c>
      <c r="G259" s="231"/>
    </row>
    <row r="260" spans="2:7" x14ac:dyDescent="0.3">
      <c r="B260" s="147" t="str" cm="1">
        <f t="array" ref="B260">_xlfn.IFNA(INDEX($B$97:$B$113,MATCH(B167,$B$97:$B$113,0),0),"")</f>
        <v/>
      </c>
      <c r="C260" s="147"/>
      <c r="D260" s="148" cm="1">
        <f t="array" ref="D260">_xlfn.IFNA(INDEX($H$97:$H$113,MATCH($C260,$B$97:$B$113,0),0),0)</f>
        <v>0</v>
      </c>
      <c r="E260" s="148" cm="1">
        <f t="array" ref="E260">_xlfn.IFNA(INDEX($H$133:$H$149,MATCH($C260,$B$133:$B$149,0),0),0)</f>
        <v>0</v>
      </c>
      <c r="F260" s="148">
        <f t="shared" si="49"/>
        <v>0</v>
      </c>
      <c r="G260" s="231"/>
    </row>
    <row r="261" spans="2:7" x14ac:dyDescent="0.3">
      <c r="B261" s="147" t="str" cm="1">
        <f t="array" ref="B261">_xlfn.IFNA(INDEX($B$97:$B$113,MATCH(B168,$B$97:$B$113,0),0),"")</f>
        <v/>
      </c>
      <c r="C261" s="147"/>
      <c r="D261" s="148" cm="1">
        <f t="array" ref="D261">_xlfn.IFNA(INDEX($H$97:$H$113,MATCH($C261,$B$97:$B$113,0),0),0)</f>
        <v>0</v>
      </c>
      <c r="E261" s="148" cm="1">
        <f t="array" ref="E261">_xlfn.IFNA(INDEX($H$133:$H$149,MATCH($C261,$B$133:$B$149,0),0),0)</f>
        <v>0</v>
      </c>
      <c r="F261" s="148">
        <f t="shared" si="49"/>
        <v>0</v>
      </c>
      <c r="G261" s="231"/>
    </row>
    <row r="262" spans="2:7" x14ac:dyDescent="0.3">
      <c r="B262" s="147" t="str" cm="1">
        <f t="array" ref="B262">_xlfn.IFNA(INDEX($B$97:$B$113,MATCH(B169,$B$97:$B$113,0),0),"")</f>
        <v/>
      </c>
      <c r="C262" s="147"/>
      <c r="D262" s="148" cm="1">
        <f t="array" ref="D262">_xlfn.IFNA(INDEX($H$97:$H$113,MATCH($C262,$B$97:$B$113,0),0),0)</f>
        <v>0</v>
      </c>
      <c r="E262" s="148" cm="1">
        <f t="array" ref="E262">_xlfn.IFNA(INDEX($H$133:$H$149,MATCH($C262,$B$133:$B$149,0),0),0)</f>
        <v>0</v>
      </c>
      <c r="F262" s="148">
        <f t="shared" si="49"/>
        <v>0</v>
      </c>
      <c r="G262" s="231"/>
    </row>
    <row r="263" spans="2:7" x14ac:dyDescent="0.3">
      <c r="B263" s="2"/>
    </row>
    <row r="264" spans="2:7" ht="18.75" x14ac:dyDescent="0.3">
      <c r="B264" s="110" t="s">
        <v>342</v>
      </c>
      <c r="D264" s="2"/>
      <c r="E264" s="2"/>
      <c r="F264" s="2"/>
    </row>
    <row r="265" spans="2:7" x14ac:dyDescent="0.3">
      <c r="B265" s="11" t="s">
        <v>341</v>
      </c>
      <c r="C265" s="11" t="s">
        <v>339</v>
      </c>
      <c r="D265" s="113" t="s">
        <v>212</v>
      </c>
      <c r="E265" s="113" t="s">
        <v>213</v>
      </c>
      <c r="F265" s="113" t="s">
        <v>228</v>
      </c>
    </row>
    <row r="266" spans="2:7" x14ac:dyDescent="0.3">
      <c r="B266" s="147" t="str" cm="1">
        <f t="array" ref="B266">_xlfn.IFNA(INDEX($B$97:$B$113,MATCH(B15,$B$97:$B$113,0),0),"")</f>
        <v>Pipeline Integrity</v>
      </c>
      <c r="C266" s="147" t="str" cm="1">
        <f t="array" ref="C266:C274">_xlfn.UNIQUE($B$247:$B$262,FALSE,FALSE)</f>
        <v>Pipeline Integrity</v>
      </c>
      <c r="D266" s="148" cm="1">
        <f t="array" ref="D266">_xlfn.IFNA(INDEX($H$97:$H$113,MATCH($C266,$B$97:$B$113,0),0),0)</f>
        <v>15.391194476026666</v>
      </c>
      <c r="E266" s="148" cm="1">
        <f t="array" ref="E266">_xlfn.IFNA(INDEX($H$133:$H$149,MATCH($C266,$B$133:$B$149,0),0),0)</f>
        <v>42.158132092934594</v>
      </c>
      <c r="F266" s="148">
        <f t="shared" ref="F266:F281" si="50">E266-D266</f>
        <v>26.766937616907928</v>
      </c>
    </row>
    <row r="267" spans="2:7" x14ac:dyDescent="0.3">
      <c r="B267" s="147" t="str" cm="1">
        <f t="array" ref="B267">_xlfn.IFNA(INDEX($B$97:$B$113,MATCH(B174,$B$97:$B$113,0),0),"")</f>
        <v/>
      </c>
      <c r="C267" s="147" t="str">
        <v>DN250 Supply Security Project</v>
      </c>
      <c r="D267" s="148" cm="1">
        <f t="array" ref="D267">_xlfn.IFNA(INDEX($H$97:$H$113,MATCH($C267,$B$97:$B$113,0),0),0)</f>
        <v>27.969359059952684</v>
      </c>
      <c r="E267" s="148" cm="1">
        <f t="array" ref="E267">_xlfn.IFNA(INDEX($H$133:$H$149,MATCH($C267,$B$133:$B$149,0),0),0)</f>
        <v>16.36793257601893</v>
      </c>
      <c r="F267" s="148">
        <f t="shared" si="50"/>
        <v>-11.601426483933754</v>
      </c>
    </row>
    <row r="268" spans="2:7" x14ac:dyDescent="0.3">
      <c r="B268" s="147" t="str" cm="1">
        <f t="array" ref="B268">_xlfn.IFNA(INDEX($B$97:$B$113,MATCH(B175,$B$97:$B$113,0),0),"")</f>
        <v/>
      </c>
      <c r="C268" s="147" t="str">
        <v>Environment</v>
      </c>
      <c r="D268" s="148" cm="1">
        <f t="array" ref="D268">_xlfn.IFNA(INDEX($H$97:$H$113,MATCH($C268,$B$97:$B$113,0),0),0)</f>
        <v>0.33484800000000003</v>
      </c>
      <c r="E268" s="148" cm="1">
        <f t="array" ref="E268">_xlfn.IFNA(INDEX($H$133:$H$149,MATCH($C268,$B$133:$B$149,0),0),0)</f>
        <v>10.379012489134253</v>
      </c>
      <c r="F268" s="148">
        <f t="shared" si="50"/>
        <v>10.044164489134253</v>
      </c>
    </row>
    <row r="269" spans="2:7" x14ac:dyDescent="0.3">
      <c r="B269" s="147" t="str" cm="1">
        <f t="array" ref="B269">_xlfn.IFNA(INDEX($B$97:$B$113,MATCH(B176,$B$97:$B$113,0),0),"")</f>
        <v/>
      </c>
      <c r="C269" s="147" t="str">
        <v/>
      </c>
      <c r="D269" s="148" cm="1">
        <f t="array" ref="D269">_xlfn.IFNA(INDEX($H$97:$H$113,MATCH($C269,$B$97:$B$113,0),0),0)</f>
        <v>0</v>
      </c>
      <c r="E269" s="148" cm="1">
        <f t="array" ref="E269">_xlfn.IFNA(INDEX($H$133:$H$149,MATCH($C269,$B$133:$B$149,0),0),0)</f>
        <v>0</v>
      </c>
      <c r="F269" s="148">
        <f t="shared" si="50"/>
        <v>0</v>
      </c>
    </row>
    <row r="270" spans="2:7" x14ac:dyDescent="0.3">
      <c r="B270" s="147" t="str" cm="1">
        <f t="array" ref="B270">_xlfn.IFNA(INDEX($B$97:$B$113,MATCH(B177,$B$97:$B$113,0),0),"")</f>
        <v/>
      </c>
      <c r="C270" s="147" t="str">
        <v>Group IT</v>
      </c>
      <c r="D270" s="148" cm="1">
        <f t="array" ref="D270">_xlfn.IFNA(INDEX($H$97:$H$113,MATCH($C270,$B$97:$B$113,0),0),0)</f>
        <v>13.636414031641863</v>
      </c>
      <c r="E270" s="148" cm="1">
        <f t="array" ref="E270">_xlfn.IFNA(INDEX($H$133:$H$149,MATCH($C270,$B$133:$B$149,0),0),0)</f>
        <v>3.3049883481907916</v>
      </c>
      <c r="F270" s="148">
        <f t="shared" si="50"/>
        <v>-10.331425683451071</v>
      </c>
    </row>
    <row r="271" spans="2:7" x14ac:dyDescent="0.3">
      <c r="B271" s="147" t="str" cm="1">
        <f t="array" ref="B271">_xlfn.IFNA(INDEX($B$97:$B$113,MATCH(B178,$B$97:$B$113,0),0),"")</f>
        <v>Gowrie Creek</v>
      </c>
      <c r="C271" s="147" t="str">
        <v>Vehicle Leases</v>
      </c>
      <c r="D271" s="148" cm="1">
        <f t="array" ref="D271">_xlfn.IFNA(INDEX($H$97:$H$113,MATCH($C271,$B$97:$B$113,0),0),0)</f>
        <v>1.1266255849742566</v>
      </c>
      <c r="E271" s="148" cm="1">
        <f t="array" ref="E271">_xlfn.IFNA(INDEX($H$133:$H$149,MATCH($C271,$B$133:$B$149,0),0),0)</f>
        <v>1.1415813787215905</v>
      </c>
      <c r="F271" s="148">
        <f t="shared" si="50"/>
        <v>1.4955793747333912E-2</v>
      </c>
    </row>
    <row r="272" spans="2:7" x14ac:dyDescent="0.3">
      <c r="B272" s="147" t="str" cm="1">
        <f t="array" ref="B272">_xlfn.IFNA(INDEX($B$97:$B$113,MATCH(B179,$B$97:$B$113,0),0),"")</f>
        <v/>
      </c>
      <c r="C272" s="147" t="str">
        <v>Property Leases</v>
      </c>
      <c r="D272" s="148" cm="1">
        <f t="array" ref="D272">_xlfn.IFNA(INDEX($H$97:$H$113,MATCH($C272,$B$97:$B$113,0),0),0)</f>
        <v>2.6218234641626079</v>
      </c>
      <c r="E272" s="148" cm="1">
        <f t="array" ref="E272">_xlfn.IFNA(INDEX($H$133:$H$149,MATCH($C272,$B$133:$B$149,0),0),0)</f>
        <v>1.0663488424911629</v>
      </c>
      <c r="F272" s="148">
        <f t="shared" si="50"/>
        <v>-1.555474621671445</v>
      </c>
    </row>
    <row r="273" spans="2:11" x14ac:dyDescent="0.3">
      <c r="B273" s="147" t="str" cm="1">
        <f t="array" ref="B273">_xlfn.IFNA(INDEX($B$97:$B$113,MATCH(B180,$B$97:$B$113,0),0),"")</f>
        <v/>
      </c>
      <c r="C273" s="147" t="str">
        <v>Corporate</v>
      </c>
      <c r="D273" s="148" cm="1">
        <f t="array" ref="D273">_xlfn.IFNA(INDEX($H$97:$H$113,MATCH($C273,$B$97:$B$113,0),0),0)</f>
        <v>0.31679404569078073</v>
      </c>
      <c r="E273" s="148" cm="1">
        <f t="array" ref="E273">_xlfn.IFNA(INDEX($H$133:$H$149,MATCH($C273,$B$133:$B$149,0),0),0)</f>
        <v>0.80805053564719509</v>
      </c>
      <c r="F273" s="148">
        <f t="shared" si="50"/>
        <v>0.49125648995641436</v>
      </c>
    </row>
    <row r="274" spans="2:11" x14ac:dyDescent="0.3">
      <c r="B274" s="147" t="str" cm="1">
        <f t="array" ref="B274">_xlfn.IFNA(INDEX($B$97:$B$113,MATCH(B181,$B$97:$B$113,0),0),"")</f>
        <v/>
      </c>
      <c r="C274" s="147" t="str">
        <v>Access Arrangement</v>
      </c>
      <c r="D274" s="148" cm="1">
        <f t="array" ref="D274">_xlfn.IFNA(INDEX($H$97:$H$113,MATCH($C274,$B$97:$B$113,0),0),0)</f>
        <v>0.49760369868567578</v>
      </c>
      <c r="E274" s="148" cm="1">
        <f t="array" ref="E274">_xlfn.IFNA(INDEX($H$133:$H$149,MATCH($C274,$B$133:$B$149,0),0),0)</f>
        <v>0.64957604553691262</v>
      </c>
      <c r="F274" s="148">
        <f t="shared" si="50"/>
        <v>0.15197234685123684</v>
      </c>
    </row>
    <row r="275" spans="2:11" x14ac:dyDescent="0.3">
      <c r="B275" s="147" t="str" cm="1">
        <f t="array" ref="B275">_xlfn.IFNA(INDEX($B$97:$B$113,MATCH(B182,$B$97:$B$113,0),0),"")</f>
        <v/>
      </c>
      <c r="C275" s="147"/>
      <c r="D275" s="148" cm="1">
        <f t="array" ref="D275">_xlfn.IFNA(INDEX($H$97:$H$113,MATCH($C275,$B$97:$B$113,0),0),0)</f>
        <v>0</v>
      </c>
      <c r="E275" s="148" cm="1">
        <f t="array" ref="E275">_xlfn.IFNA(INDEX($H$133:$H$149,MATCH($C275,$B$133:$B$149,0),0),0)</f>
        <v>0</v>
      </c>
      <c r="F275" s="148">
        <f t="shared" si="50"/>
        <v>0</v>
      </c>
    </row>
    <row r="276" spans="2:11" x14ac:dyDescent="0.3">
      <c r="B276" s="147" t="str" cm="1">
        <f t="array" ref="B276">_xlfn.IFNA(INDEX($B$97:$B$113,MATCH(B183,$B$97:$B$113,0),0),"")</f>
        <v/>
      </c>
      <c r="C276" s="147"/>
      <c r="D276" s="148" cm="1">
        <f t="array" ref="D276">_xlfn.IFNA(INDEX($H$97:$H$113,MATCH($C276,$B$97:$B$113,0),0),0)</f>
        <v>0</v>
      </c>
      <c r="E276" s="148" cm="1">
        <f t="array" ref="E276">_xlfn.IFNA(INDEX($H$133:$H$149,MATCH($C276,$B$133:$B$149,0),0),0)</f>
        <v>0</v>
      </c>
      <c r="F276" s="148">
        <f t="shared" si="50"/>
        <v>0</v>
      </c>
    </row>
    <row r="277" spans="2:11" x14ac:dyDescent="0.3">
      <c r="B277" s="147" t="str" cm="1">
        <f t="array" ref="B277">_xlfn.IFNA(INDEX($B$97:$B$113,MATCH(B184,$B$97:$B$113,0),0),"")</f>
        <v/>
      </c>
      <c r="C277" s="147"/>
      <c r="D277" s="148" cm="1">
        <f t="array" ref="D277">_xlfn.IFNA(INDEX($H$97:$H$113,MATCH($C277,$B$97:$B$113,0),0),0)</f>
        <v>0</v>
      </c>
      <c r="E277" s="148" cm="1">
        <f t="array" ref="E277">_xlfn.IFNA(INDEX($H$133:$H$149,MATCH($C277,$B$133:$B$149,0),0),0)</f>
        <v>0</v>
      </c>
      <c r="F277" s="148">
        <f t="shared" si="50"/>
        <v>0</v>
      </c>
    </row>
    <row r="278" spans="2:11" x14ac:dyDescent="0.3">
      <c r="B278" s="147" t="str" cm="1">
        <f t="array" ref="B278">_xlfn.IFNA(INDEX($B$97:$B$113,MATCH(B185,$B$97:$B$113,0),0),"")</f>
        <v/>
      </c>
      <c r="C278" s="147"/>
      <c r="D278" s="148" cm="1">
        <f t="array" ref="D278">_xlfn.IFNA(INDEX($H$97:$H$113,MATCH($C278,$B$97:$B$113,0),0),0)</f>
        <v>0</v>
      </c>
      <c r="E278" s="148" cm="1">
        <f t="array" ref="E278">_xlfn.IFNA(INDEX($H$133:$H$149,MATCH($C278,$B$133:$B$149,0),0),0)</f>
        <v>0</v>
      </c>
      <c r="F278" s="148">
        <f t="shared" si="50"/>
        <v>0</v>
      </c>
    </row>
    <row r="279" spans="2:11" x14ac:dyDescent="0.3">
      <c r="B279" s="147" t="str" cm="1">
        <f t="array" ref="B279">_xlfn.IFNA(INDEX($B$97:$B$113,MATCH(B186,$B$97:$B$113,0),0),"")</f>
        <v/>
      </c>
      <c r="C279" s="147"/>
      <c r="D279" s="148" cm="1">
        <f t="array" ref="D279">_xlfn.IFNA(INDEX($H$97:$H$113,MATCH($C279,$B$97:$B$113,0),0),0)</f>
        <v>0</v>
      </c>
      <c r="E279" s="148" cm="1">
        <f t="array" ref="E279">_xlfn.IFNA(INDEX($H$133:$H$149,MATCH($C279,$B$133:$B$149,0),0),0)</f>
        <v>0</v>
      </c>
      <c r="F279" s="148">
        <f t="shared" si="50"/>
        <v>0</v>
      </c>
    </row>
    <row r="280" spans="2:11" x14ac:dyDescent="0.3">
      <c r="B280" s="147" t="str" cm="1">
        <f t="array" ref="B280">_xlfn.IFNA(INDEX($B$97:$B$113,MATCH(B187,$B$97:$B$113,0),0),"")</f>
        <v/>
      </c>
      <c r="C280" s="147"/>
      <c r="D280" s="148" cm="1">
        <f t="array" ref="D280">_xlfn.IFNA(INDEX($H$97:$H$113,MATCH($C280,$B$97:$B$113,0),0),0)</f>
        <v>0</v>
      </c>
      <c r="E280" s="148" cm="1">
        <f t="array" ref="E280">_xlfn.IFNA(INDEX($H$133:$H$149,MATCH($C280,$B$133:$B$149,0),0),0)</f>
        <v>0</v>
      </c>
      <c r="F280" s="148">
        <f t="shared" si="50"/>
        <v>0</v>
      </c>
    </row>
    <row r="281" spans="2:11" x14ac:dyDescent="0.3">
      <c r="B281" s="147" t="str" cm="1">
        <f t="array" ref="B281">_xlfn.IFNA(INDEX($B$97:$B$113,MATCH(B188,$B$97:$B$113,0),0),"")</f>
        <v/>
      </c>
      <c r="C281" s="147"/>
      <c r="D281" s="148" cm="1">
        <f t="array" ref="D281">_xlfn.IFNA(INDEX($H$97:$H$113,MATCH($C281,$B$97:$B$113,0),0),0)</f>
        <v>0</v>
      </c>
      <c r="E281" s="148" cm="1">
        <f t="array" ref="E281">_xlfn.IFNA(INDEX($H$133:$H$149,MATCH($C281,$B$133:$B$149,0),0),0)</f>
        <v>0</v>
      </c>
      <c r="F281" s="148">
        <f t="shared" si="50"/>
        <v>0</v>
      </c>
    </row>
    <row r="283" spans="2:11" ht="18.75" x14ac:dyDescent="0.3">
      <c r="B283" s="110" t="s">
        <v>343</v>
      </c>
    </row>
    <row r="284" spans="2:11" x14ac:dyDescent="0.3">
      <c r="B284" s="11" t="str">
        <f>B43</f>
        <v>Approved forecast capital expenditure – As incurred ($m Real 2026-27)</v>
      </c>
      <c r="C284" s="11" t="str">
        <f>C14</f>
        <v>2022-23</v>
      </c>
      <c r="D284" s="11" t="str">
        <f t="shared" ref="D284:H284" si="51">D14</f>
        <v>2023-24</v>
      </c>
      <c r="E284" s="11" t="str">
        <f t="shared" si="51"/>
        <v>2024-25</v>
      </c>
      <c r="F284" s="11" t="str">
        <f t="shared" si="51"/>
        <v>2025-26</v>
      </c>
      <c r="G284" s="11" t="str">
        <f t="shared" si="51"/>
        <v>2026-27</v>
      </c>
      <c r="H284" s="11" t="str">
        <f t="shared" si="51"/>
        <v>Total</v>
      </c>
    </row>
    <row r="285" spans="2:11" x14ac:dyDescent="0.3">
      <c r="B285" s="147" t="str">
        <f>B117</f>
        <v>Actual capital expenditure – As incurred ($m 2027-28)</v>
      </c>
      <c r="C285" s="148">
        <f>C127</f>
        <v>14.981974477254605</v>
      </c>
      <c r="D285" s="148">
        <f t="shared" ref="D285:G285" si="52">D127</f>
        <v>15.385115930405526</v>
      </c>
      <c r="E285" s="148">
        <f t="shared" si="52"/>
        <v>11.655135532643424</v>
      </c>
      <c r="F285" s="148">
        <f t="shared" si="52"/>
        <v>11.788170571710932</v>
      </c>
      <c r="G285" s="148">
        <f t="shared" si="52"/>
        <v>15.919569474227261</v>
      </c>
      <c r="H285" s="148">
        <f>SUM(C285:G285)</f>
        <v>69.729965986241751</v>
      </c>
      <c r="K285" s="109">
        <f>H285-H127</f>
        <v>0</v>
      </c>
    </row>
    <row r="286" spans="2:11" x14ac:dyDescent="0.3">
      <c r="B286" s="147" t="str">
        <f>B42</f>
        <v>AER approved forecast, by project (2023-27)</v>
      </c>
      <c r="C286" s="148">
        <f>C57</f>
        <v>23.221322354875312</v>
      </c>
      <c r="D286" s="148">
        <f t="shared" ref="D286:G286" si="53">D57</f>
        <v>7.4078647814317389</v>
      </c>
      <c r="E286" s="148">
        <f t="shared" si="53"/>
        <v>5.8726298662861076</v>
      </c>
      <c r="F286" s="148">
        <f t="shared" si="53"/>
        <v>3.9992597384635529</v>
      </c>
      <c r="G286" s="148">
        <f t="shared" si="53"/>
        <v>6.9157544011963079</v>
      </c>
      <c r="H286" s="148">
        <f>SUM(C286:G286)</f>
        <v>47.416831142253017</v>
      </c>
      <c r="K286" s="109">
        <f>H286-H57</f>
        <v>0</v>
      </c>
    </row>
    <row r="287" spans="2:11" x14ac:dyDescent="0.3">
      <c r="B287" s="142" t="s">
        <v>228</v>
      </c>
      <c r="C287" s="143">
        <f>C285-C286</f>
        <v>-8.2393478776207072</v>
      </c>
      <c r="D287" s="143">
        <f t="shared" ref="D287:H287" si="54">D285-D286</f>
        <v>7.977251148973787</v>
      </c>
      <c r="E287" s="143">
        <f t="shared" si="54"/>
        <v>5.7825056663573164</v>
      </c>
      <c r="F287" s="143">
        <f t="shared" si="54"/>
        <v>7.7889108332473791</v>
      </c>
      <c r="G287" s="143">
        <f t="shared" si="54"/>
        <v>9.0038150730309532</v>
      </c>
      <c r="H287" s="143">
        <f t="shared" si="54"/>
        <v>22.313134843988735</v>
      </c>
      <c r="K287" s="3" t="str">
        <f>IF(AND(ROUND(H285,1)=ROUND(H127,1),H286=H57),"OK","Error")</f>
        <v>OK</v>
      </c>
    </row>
    <row r="288" spans="2:11" x14ac:dyDescent="0.3">
      <c r="B288" s="2"/>
    </row>
    <row r="289" spans="2:7" ht="18.75" x14ac:dyDescent="0.3">
      <c r="B289" s="110" t="s">
        <v>343</v>
      </c>
    </row>
    <row r="290" spans="2:7" x14ac:dyDescent="0.3">
      <c r="B290" s="11" t="str">
        <f>B284</f>
        <v>Approved forecast capital expenditure – As incurred ($m Real 2026-27)</v>
      </c>
      <c r="C290" s="11" t="s">
        <v>344</v>
      </c>
      <c r="D290" s="11" t="s">
        <v>213</v>
      </c>
      <c r="E290" s="11" t="s">
        <v>228</v>
      </c>
      <c r="F290" s="3"/>
    </row>
    <row r="291" spans="2:7" x14ac:dyDescent="0.3">
      <c r="B291" s="147" t="str">
        <f>B15</f>
        <v>Pipeline Integrity</v>
      </c>
      <c r="C291" s="148">
        <f>_xlfn.IFNA(VLOOKUP(B291,$B$97:$H$113,7,FALSE),0)</f>
        <v>15.391194476026666</v>
      </c>
      <c r="D291" s="148">
        <f>VLOOKUP(B291,$B$44:$H$56,7,FALSE)</f>
        <v>16.215454957556322</v>
      </c>
      <c r="E291" s="233">
        <f>C291-D291</f>
        <v>-0.82426048152965592</v>
      </c>
      <c r="G291" s="234" t="str">
        <f>IF(I63="New",B63,"")</f>
        <v/>
      </c>
    </row>
    <row r="292" spans="2:7" x14ac:dyDescent="0.3">
      <c r="B292" s="147" t="str">
        <f t="shared" ref="B292:B303" si="55">B16</f>
        <v>DN250 Supply Security Project</v>
      </c>
      <c r="C292" s="148">
        <f t="shared" ref="C292:C303" si="56">_xlfn.IFNA(VLOOKUP(B292,$B$97:$H$113,7,FALSE),0)</f>
        <v>27.969359059952684</v>
      </c>
      <c r="D292" s="148">
        <f t="shared" ref="D292:D303" si="57">VLOOKUP(B292,$B$44:$H$56,7,FALSE)</f>
        <v>5.8833612864501914</v>
      </c>
      <c r="E292" s="233">
        <f t="shared" ref="E292:E305" si="58">C292-D292</f>
        <v>22.085997773502491</v>
      </c>
      <c r="G292" s="234" t="str">
        <f t="shared" ref="G292:G306" si="59">IF(I64="New",B64,"")</f>
        <v/>
      </c>
    </row>
    <row r="293" spans="2:7" x14ac:dyDescent="0.3">
      <c r="B293" s="147" t="str">
        <f t="shared" si="55"/>
        <v>SCADA Hardware Lifecycle Management</v>
      </c>
      <c r="C293" s="148">
        <f t="shared" si="56"/>
        <v>0</v>
      </c>
      <c r="D293" s="148">
        <f t="shared" si="57"/>
        <v>0.93040170481942253</v>
      </c>
      <c r="E293" s="233">
        <f t="shared" si="58"/>
        <v>-0.93040170481942253</v>
      </c>
      <c r="G293" s="234" t="str">
        <f t="shared" si="59"/>
        <v/>
      </c>
    </row>
    <row r="294" spans="2:7" x14ac:dyDescent="0.3">
      <c r="B294" s="147" t="str">
        <f t="shared" si="55"/>
        <v>Battery Charger Replacement</v>
      </c>
      <c r="C294" s="148">
        <f t="shared" si="56"/>
        <v>0</v>
      </c>
      <c r="D294" s="148">
        <f t="shared" si="57"/>
        <v>0.31120423399713815</v>
      </c>
      <c r="E294" s="233">
        <f t="shared" si="58"/>
        <v>-0.31120423399713815</v>
      </c>
      <c r="G294" s="234" t="str">
        <f t="shared" si="59"/>
        <v/>
      </c>
    </row>
    <row r="295" spans="2:7" x14ac:dyDescent="0.3">
      <c r="B295" s="147" t="str">
        <f t="shared" si="55"/>
        <v>Liquids Removal</v>
      </c>
      <c r="C295" s="148">
        <f t="shared" si="56"/>
        <v>0</v>
      </c>
      <c r="D295" s="148">
        <f t="shared" si="57"/>
        <v>1.2968383322021193</v>
      </c>
      <c r="E295" s="233">
        <f t="shared" si="58"/>
        <v>-1.2968383322021193</v>
      </c>
      <c r="G295" s="234" t="str">
        <f t="shared" si="59"/>
        <v>Bulimba Creek Strain</v>
      </c>
    </row>
    <row r="296" spans="2:7" x14ac:dyDescent="0.3">
      <c r="B296" s="147" t="str">
        <f t="shared" si="55"/>
        <v>Valve Upgrade</v>
      </c>
      <c r="C296" s="148">
        <f t="shared" si="56"/>
        <v>0.21800753440325182</v>
      </c>
      <c r="D296" s="148">
        <f t="shared" si="57"/>
        <v>0.30511714766409936</v>
      </c>
      <c r="E296" s="233">
        <f t="shared" si="58"/>
        <v>-8.710961326084754E-2</v>
      </c>
      <c r="G296" s="234" t="str">
        <f t="shared" si="59"/>
        <v>Gowrie Creek</v>
      </c>
    </row>
    <row r="297" spans="2:7" x14ac:dyDescent="0.3">
      <c r="B297" s="147" t="str">
        <f t="shared" si="55"/>
        <v>Dalby Communication Relocation</v>
      </c>
      <c r="C297" s="148">
        <f t="shared" si="56"/>
        <v>2.7941638586857432E-2</v>
      </c>
      <c r="D297" s="148">
        <f t="shared" si="57"/>
        <v>6.9142017884328513E-2</v>
      </c>
      <c r="E297" s="233">
        <f t="shared" si="58"/>
        <v>-4.1200379297471085E-2</v>
      </c>
      <c r="G297" s="234" t="str">
        <f t="shared" si="59"/>
        <v/>
      </c>
    </row>
    <row r="298" spans="2:7" x14ac:dyDescent="0.3">
      <c r="B298" s="147" t="str">
        <f t="shared" si="55"/>
        <v>Pipeline Relocation</v>
      </c>
      <c r="C298" s="148">
        <f t="shared" si="56"/>
        <v>0.11755776270510192</v>
      </c>
      <c r="D298" s="148">
        <f t="shared" si="57"/>
        <v>0.41549045107299848</v>
      </c>
      <c r="E298" s="233">
        <f t="shared" si="58"/>
        <v>-0.29793268836789655</v>
      </c>
      <c r="G298" s="234" t="str">
        <f t="shared" si="59"/>
        <v/>
      </c>
    </row>
    <row r="299" spans="2:7" x14ac:dyDescent="0.3">
      <c r="B299" s="147" t="str">
        <f t="shared" si="55"/>
        <v>Minor Projects</v>
      </c>
      <c r="C299" s="148">
        <f t="shared" si="56"/>
        <v>2.695089201021506</v>
      </c>
      <c r="D299" s="148">
        <f t="shared" si="57"/>
        <v>2.5009474103539917</v>
      </c>
      <c r="E299" s="233">
        <f t="shared" si="58"/>
        <v>0.19414179066751425</v>
      </c>
      <c r="G299" s="234" t="str">
        <f t="shared" si="59"/>
        <v/>
      </c>
    </row>
    <row r="300" spans="2:7" x14ac:dyDescent="0.3">
      <c r="B300" s="147" t="str">
        <f t="shared" si="55"/>
        <v>Group IT</v>
      </c>
      <c r="C300" s="148">
        <f t="shared" si="56"/>
        <v>13.636414031641863</v>
      </c>
      <c r="D300" s="148">
        <f t="shared" si="57"/>
        <v>15.256656122108984</v>
      </c>
      <c r="E300" s="233">
        <f t="shared" si="58"/>
        <v>-1.6202420904671211</v>
      </c>
      <c r="G300" s="234" t="str">
        <f t="shared" si="59"/>
        <v/>
      </c>
    </row>
    <row r="301" spans="2:7" x14ac:dyDescent="0.3">
      <c r="B301" s="147" t="str">
        <f t="shared" si="55"/>
        <v>Access Arrangement</v>
      </c>
      <c r="C301" s="148">
        <f t="shared" si="56"/>
        <v>0.49760369868567578</v>
      </c>
      <c r="D301" s="148">
        <f t="shared" si="57"/>
        <v>0.96352702611000429</v>
      </c>
      <c r="E301" s="233">
        <f t="shared" si="58"/>
        <v>-0.46592332742432852</v>
      </c>
      <c r="G301" s="234" t="str">
        <f t="shared" si="59"/>
        <v/>
      </c>
    </row>
    <row r="302" spans="2:7" x14ac:dyDescent="0.3">
      <c r="B302" s="147" t="str">
        <f t="shared" si="55"/>
        <v>Property Leases</v>
      </c>
      <c r="C302" s="148">
        <f t="shared" si="56"/>
        <v>2.6218234641626079</v>
      </c>
      <c r="D302" s="148">
        <f t="shared" si="57"/>
        <v>2.5340290136195689</v>
      </c>
      <c r="E302" s="233">
        <f t="shared" si="58"/>
        <v>8.7794450543039027E-2</v>
      </c>
      <c r="G302" s="234" t="str">
        <f t="shared" si="59"/>
        <v/>
      </c>
    </row>
    <row r="303" spans="2:7" x14ac:dyDescent="0.3">
      <c r="B303" s="147" t="str">
        <f t="shared" si="55"/>
        <v>Vehicle Leases</v>
      </c>
      <c r="C303" s="148">
        <f t="shared" si="56"/>
        <v>1.1266255849742566</v>
      </c>
      <c r="D303" s="148">
        <f t="shared" si="57"/>
        <v>0.73466143841385301</v>
      </c>
      <c r="E303" s="233">
        <f t="shared" si="58"/>
        <v>0.39196414656040357</v>
      </c>
      <c r="G303" s="234" t="str">
        <f t="shared" si="59"/>
        <v>Corporate</v>
      </c>
    </row>
    <row r="304" spans="2:7" x14ac:dyDescent="0.3">
      <c r="B304" s="11" t="s">
        <v>345</v>
      </c>
      <c r="C304" s="235">
        <f>SUM(C291:C303)</f>
        <v>64.301616452160474</v>
      </c>
      <c r="D304" s="235">
        <f>SUM(D291:D303)</f>
        <v>47.416831142253024</v>
      </c>
      <c r="E304" s="235">
        <f>SUM(E291:E303)</f>
        <v>16.884785309907446</v>
      </c>
      <c r="G304" s="234" t="str">
        <f t="shared" si="59"/>
        <v>Main Switchboard Replacement</v>
      </c>
    </row>
    <row r="305" spans="2:11" x14ac:dyDescent="0.3">
      <c r="B305" s="147" t="str" cm="1">
        <f t="array" ref="B305:B311">_xlfn.UNIQUE(_xlfn._xlws.FILTER(G291:G307, (G291:G307&lt;&gt;"") * (ISTEXT(G291:G307))))</f>
        <v>Bulimba Creek Strain</v>
      </c>
      <c r="C305" s="148">
        <f t="shared" ref="C305:C311" si="60">VLOOKUP(B305,$B$97:$H$113,7,FALSE)</f>
        <v>0.45208180322040042</v>
      </c>
      <c r="D305" s="148">
        <v>0</v>
      </c>
      <c r="E305" s="233">
        <f t="shared" si="58"/>
        <v>0.45208180322040042</v>
      </c>
      <c r="G305" s="234" t="str">
        <f t="shared" si="59"/>
        <v>Environment</v>
      </c>
    </row>
    <row r="306" spans="2:11" x14ac:dyDescent="0.3">
      <c r="B306" s="147" t="str">
        <v>Gowrie Creek</v>
      </c>
      <c r="C306" s="148">
        <f t="shared" si="60"/>
        <v>1.958765286522095</v>
      </c>
      <c r="D306" s="148">
        <v>0</v>
      </c>
      <c r="E306" s="233">
        <f t="shared" ref="E306:E311" si="61">C306-D306</f>
        <v>1.958765286522095</v>
      </c>
      <c r="G306" s="234" t="str">
        <f t="shared" si="59"/>
        <v>PIG Trap</v>
      </c>
    </row>
    <row r="307" spans="2:11" x14ac:dyDescent="0.3">
      <c r="B307" s="147" t="str">
        <v>Corporate</v>
      </c>
      <c r="C307" s="148">
        <f t="shared" si="60"/>
        <v>0.31679404569078073</v>
      </c>
      <c r="D307" s="148">
        <v>0</v>
      </c>
      <c r="E307" s="233">
        <f t="shared" si="61"/>
        <v>0.31679404569078073</v>
      </c>
      <c r="G307" s="234" t="str">
        <f>IF(I79="New",B79,"")</f>
        <v>Ellengrove Safety</v>
      </c>
    </row>
    <row r="308" spans="2:11" x14ac:dyDescent="0.3">
      <c r="B308" s="147" t="str">
        <v>Main Switchboard Replacement</v>
      </c>
      <c r="C308" s="148">
        <f t="shared" si="60"/>
        <v>1.0291471826480001</v>
      </c>
      <c r="D308" s="148">
        <v>0</v>
      </c>
      <c r="E308" s="233">
        <f t="shared" si="61"/>
        <v>1.0291471826480001</v>
      </c>
    </row>
    <row r="309" spans="2:11" x14ac:dyDescent="0.3">
      <c r="B309" s="147" t="str">
        <v>Environment</v>
      </c>
      <c r="C309" s="148">
        <f t="shared" si="60"/>
        <v>0.33484800000000003</v>
      </c>
      <c r="D309" s="148">
        <v>0</v>
      </c>
      <c r="E309" s="233">
        <f t="shared" si="61"/>
        <v>0.33484800000000003</v>
      </c>
    </row>
    <row r="310" spans="2:11" x14ac:dyDescent="0.3">
      <c r="B310" s="147" t="str">
        <v>PIG Trap</v>
      </c>
      <c r="C310" s="148">
        <f t="shared" si="60"/>
        <v>0.72550400000000004</v>
      </c>
      <c r="D310" s="148">
        <v>0</v>
      </c>
      <c r="E310" s="233">
        <f t="shared" si="61"/>
        <v>0.72550400000000004</v>
      </c>
    </row>
    <row r="311" spans="2:11" x14ac:dyDescent="0.3">
      <c r="B311" s="147" t="str">
        <v>Ellengrove Safety</v>
      </c>
      <c r="C311" s="148">
        <f t="shared" si="60"/>
        <v>0.611209216</v>
      </c>
      <c r="D311" s="148">
        <v>0</v>
      </c>
      <c r="E311" s="233">
        <f t="shared" si="61"/>
        <v>0.611209216</v>
      </c>
    </row>
    <row r="312" spans="2:11" x14ac:dyDescent="0.3">
      <c r="B312" s="142" t="s">
        <v>36</v>
      </c>
      <c r="C312" s="143">
        <f>SUM(C304:C311)</f>
        <v>69.729965986241751</v>
      </c>
      <c r="D312" s="143">
        <f>SUM(D304:D311)</f>
        <v>47.416831142253024</v>
      </c>
      <c r="E312" s="143">
        <f>SUM(E304:E311)</f>
        <v>22.313134843988724</v>
      </c>
      <c r="K312" s="3" t="str">
        <f>IF(AND(C312=H285,D312=H286),"OK","Error")</f>
        <v>OK</v>
      </c>
    </row>
  </sheetData>
  <conditionalFormatting sqref="K2">
    <cfRule type="cellIs" dxfId="21" priority="22" operator="equal">
      <formula>"ERROR"</formula>
    </cfRule>
    <cfRule type="cellIs" dxfId="20" priority="23" operator="equal">
      <formula>"OK"</formula>
    </cfRule>
  </conditionalFormatting>
  <conditionalFormatting sqref="K28">
    <cfRule type="cellIs" dxfId="19" priority="26" operator="equal">
      <formula>"ERROR"</formula>
    </cfRule>
    <cfRule type="cellIs" dxfId="18" priority="27" operator="equal">
      <formula>"OK"</formula>
    </cfRule>
  </conditionalFormatting>
  <conditionalFormatting sqref="K40:K60">
    <cfRule type="cellIs" dxfId="17" priority="24" operator="equal">
      <formula>"ERROR"</formula>
    </cfRule>
    <cfRule type="cellIs" dxfId="16" priority="25" operator="equal">
      <formula>"OK"</formula>
    </cfRule>
  </conditionalFormatting>
  <conditionalFormatting sqref="K80">
    <cfRule type="cellIs" dxfId="15" priority="20" operator="equal">
      <formula>"ERROR"</formula>
    </cfRule>
    <cfRule type="cellIs" dxfId="14" priority="21" operator="equal">
      <formula>"OK"</formula>
    </cfRule>
  </conditionalFormatting>
  <conditionalFormatting sqref="K93:K115 K127:K129 A128:J128">
    <cfRule type="cellIs" dxfId="13" priority="16" operator="equal">
      <formula>"ERROR"</formula>
    </cfRule>
    <cfRule type="cellIs" dxfId="12" priority="17" operator="equal">
      <formula>"OK"</formula>
    </cfRule>
  </conditionalFormatting>
  <conditionalFormatting sqref="K150:K166">
    <cfRule type="cellIs" dxfId="11" priority="13" operator="equal">
      <formula>"ERROR"</formula>
    </cfRule>
    <cfRule type="cellIs" dxfId="10" priority="14" operator="equal">
      <formula>"OK"</formula>
    </cfRule>
  </conditionalFormatting>
  <conditionalFormatting sqref="K195">
    <cfRule type="cellIs" dxfId="9" priority="9" operator="equal">
      <formula>"ERROR"</formula>
    </cfRule>
    <cfRule type="cellIs" dxfId="8" priority="10" operator="equal">
      <formula>"OK"</formula>
    </cfRule>
  </conditionalFormatting>
  <conditionalFormatting sqref="K208">
    <cfRule type="cellIs" dxfId="7" priority="11" operator="equal">
      <formula>"ERROR"</formula>
    </cfRule>
    <cfRule type="cellIs" dxfId="6" priority="12" operator="equal">
      <formula>"OK"</formula>
    </cfRule>
  </conditionalFormatting>
  <conditionalFormatting sqref="K222">
    <cfRule type="cellIs" dxfId="5" priority="5" operator="equal">
      <formula>"ERROR"</formula>
    </cfRule>
    <cfRule type="cellIs" dxfId="4" priority="6" operator="equal">
      <formula>"OK"</formula>
    </cfRule>
  </conditionalFormatting>
  <conditionalFormatting sqref="K287">
    <cfRule type="cellIs" dxfId="3" priority="3" operator="equal">
      <formula>"ERROR"</formula>
    </cfRule>
    <cfRule type="cellIs" dxfId="2" priority="4" operator="equal">
      <formula>"OK"</formula>
    </cfRule>
  </conditionalFormatting>
  <conditionalFormatting sqref="K312">
    <cfRule type="cellIs" dxfId="1" priority="1" operator="equal">
      <formula>"ERROR"</formula>
    </cfRule>
    <cfRule type="cellIs" dxfId="0" priority="2" operator="equal">
      <formula>"OK"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CE7FC-C3DE-4C0E-A8BB-830D4FE308F3}">
  <sheetPr>
    <tabColor theme="4"/>
  </sheetPr>
  <dimension ref="A1:P142"/>
  <sheetViews>
    <sheetView topLeftCell="B75" zoomScale="130" zoomScaleNormal="130" workbookViewId="0">
      <selection activeCell="L98" sqref="L98"/>
    </sheetView>
  </sheetViews>
  <sheetFormatPr defaultRowHeight="14.25" x14ac:dyDescent="0.2"/>
  <cols>
    <col min="2" max="2" width="55.375" customWidth="1"/>
  </cols>
  <sheetData>
    <row r="1" spans="1:12" ht="18.75" thickBot="1" x14ac:dyDescent="0.3">
      <c r="A1" s="200" t="s">
        <v>260</v>
      </c>
      <c r="L1" s="190"/>
    </row>
    <row r="2" spans="1:12" ht="26.25" thickTop="1" x14ac:dyDescent="0.2">
      <c r="B2" s="165" t="s">
        <v>256</v>
      </c>
      <c r="L2" s="190"/>
    </row>
    <row r="3" spans="1:12" ht="30.75" thickBot="1" x14ac:dyDescent="0.25">
      <c r="B3" s="166" t="s">
        <v>257</v>
      </c>
      <c r="C3" s="166" t="s">
        <v>236</v>
      </c>
      <c r="D3" s="166" t="s">
        <v>237</v>
      </c>
      <c r="E3" s="166" t="s">
        <v>238</v>
      </c>
      <c r="F3" s="166" t="s">
        <v>239</v>
      </c>
      <c r="G3" s="166" t="s">
        <v>240</v>
      </c>
      <c r="H3" s="167" t="s">
        <v>258</v>
      </c>
      <c r="L3" s="190"/>
    </row>
    <row r="4" spans="1:12" ht="15.75" thickBot="1" x14ac:dyDescent="0.25">
      <c r="B4" s="168" t="str">
        <f>'O | Overview'!B216</f>
        <v>ILI</v>
      </c>
      <c r="C4" s="158" cm="1">
        <f t="array" ref="C4">INDEX('O | Overview'!C$216:C$221,MATCH($B4,'O | Overview'!$B$216:$B$221,0),0)*1000</f>
        <v>2102.5446001169098</v>
      </c>
      <c r="D4" s="158" cm="1">
        <f t="array" ref="D4">INDEX('O | Overview'!D$216:D$221,MATCH($B4,'O | Overview'!$B$216:$B$221,0),0)*1000</f>
        <v>1270.8598464823715</v>
      </c>
      <c r="E4" s="158" cm="1">
        <f t="array" ref="E4">INDEX('O | Overview'!E$216:E$221,MATCH($B4,'O | Overview'!$B$216:$B$221,0),0)*1000</f>
        <v>92.706652775804159</v>
      </c>
      <c r="F4" s="158" cm="1">
        <f t="array" ref="F4">INDEX('O | Overview'!F$216:F$221,MATCH($B4,'O | Overview'!$B$216:$B$221,0),0)*1000</f>
        <v>1658.1899527894125</v>
      </c>
      <c r="G4" s="158" cm="1">
        <f t="array" ref="G4">INDEX('O | Overview'!G$216:G$221,MATCH($B4,'O | Overview'!$B$216:$B$221,0),0)*1000</f>
        <v>877.3857724576601</v>
      </c>
      <c r="H4" s="169">
        <f>SUM(C4:G4)</f>
        <v>6001.6868246221575</v>
      </c>
      <c r="L4" s="190"/>
    </row>
    <row r="5" spans="1:12" ht="15.75" thickBot="1" x14ac:dyDescent="0.25">
      <c r="B5" s="168" t="str">
        <f>'O | Overview'!B217</f>
        <v>Validation dig</v>
      </c>
      <c r="C5" s="185" cm="1">
        <f t="array" ref="C5">INDEX('O | Overview'!C$216:C$221,MATCH($B5,'O | Overview'!$B$216:$B$221,0),0)*1000</f>
        <v>2767.7366637691343</v>
      </c>
      <c r="D5" s="185" cm="1">
        <f t="array" ref="D5">INDEX('O | Overview'!D$216:D$221,MATCH($B5,'O | Overview'!$B$216:$B$221,0),0)*1000</f>
        <v>1964.0561263818468</v>
      </c>
      <c r="E5" s="185" cm="1">
        <f t="array" ref="E5">INDEX('O | Overview'!E$216:E$221,MATCH($B5,'O | Overview'!$B$216:$B$221,0),0)*1000</f>
        <v>3012.9662152136352</v>
      </c>
      <c r="F5" s="185" cm="1">
        <f t="array" ref="F5">INDEX('O | Overview'!F$216:F$221,MATCH($B5,'O | Overview'!$B$216:$B$221,0),0)*1000</f>
        <v>1978.0707562008504</v>
      </c>
      <c r="G5" s="185" cm="1">
        <f t="array" ref="G5">INDEX('O | Overview'!G$216:G$221,MATCH($B5,'O | Overview'!$B$216:$B$221,0),0)*1000</f>
        <v>524.89945692631375</v>
      </c>
      <c r="H5" s="169">
        <f t="shared" ref="H5:H8" si="0">SUM(C5:G5)</f>
        <v>10247.729218491781</v>
      </c>
      <c r="L5" s="190"/>
    </row>
    <row r="6" spans="1:12" ht="15.75" thickBot="1" x14ac:dyDescent="0.25">
      <c r="B6" s="168" t="str">
        <f>'O | Overview'!B218</f>
        <v>CP</v>
      </c>
      <c r="C6" s="186" cm="1">
        <f t="array" ref="C6">INDEX('O | Overview'!C$216:C$221,MATCH($B6,'O | Overview'!$B$216:$B$221,0),0)*1000</f>
        <v>2652.4143027787536</v>
      </c>
      <c r="D6" s="186" cm="1">
        <f t="array" ref="D6">INDEX('O | Overview'!D$216:D$221,MATCH($B6,'O | Overview'!$B$216:$B$221,0),0)*1000</f>
        <v>2657.2524062813222</v>
      </c>
      <c r="E6" s="186" cm="1">
        <f t="array" ref="E6">INDEX('O | Overview'!E$216:E$221,MATCH($B6,'O | Overview'!$B$216:$B$221,0),0)*1000</f>
        <v>2665.3162673043694</v>
      </c>
      <c r="F6" s="186" cm="1">
        <f t="array" ref="F6">INDEX('O | Overview'!F$216:F$221,MATCH($B6,'O | Overview'!$B$216:$B$221,0),0)*1000</f>
        <v>2676.213376036445</v>
      </c>
      <c r="G6" s="186" cm="1">
        <f t="array" ref="G6">INDEX('O | Overview'!G$216:G$221,MATCH($B6,'O | Overview'!$B$216:$B$221,0),0)*1000</f>
        <v>2682.8194465122706</v>
      </c>
      <c r="H6" s="169">
        <f t="shared" si="0"/>
        <v>13334.01579891316</v>
      </c>
      <c r="L6" s="190"/>
    </row>
    <row r="7" spans="1:12" ht="15.75" thickBot="1" x14ac:dyDescent="0.25">
      <c r="B7" s="168" t="str">
        <f>'O | Overview'!B219</f>
        <v>Safety Digs</v>
      </c>
      <c r="C7" s="185" cm="1">
        <f t="array" ref="C7">INDEX('O | Overview'!C$216:C$221,MATCH($B7,'O | Overview'!$B$216:$B$221,0),0)*1000</f>
        <v>720.76475618987865</v>
      </c>
      <c r="D7" s="185" cm="1">
        <f t="array" ref="D7">INDEX('O | Overview'!D$216:D$221,MATCH($B7,'O | Overview'!$B$216:$B$221,0),0)*1000</f>
        <v>2686.135584610467</v>
      </c>
      <c r="E7" s="185" cm="1">
        <f t="array" ref="E7">INDEX('O | Overview'!E$216:E$221,MATCH($B7,'O | Overview'!$B$216:$B$221,0),0)*1000</f>
        <v>1245.7456466748686</v>
      </c>
      <c r="F7" s="185" cm="1">
        <f t="array" ref="F7">INDEX('O | Overview'!F$216:F$221,MATCH($B7,'O | Overview'!$B$216:$B$221,0),0)*1000</f>
        <v>2181.6956869862324</v>
      </c>
      <c r="G7" s="185" cm="1">
        <f t="array" ref="G7">INDEX('O | Overview'!G$216:G$221,MATCH($B7,'O | Overview'!$B$216:$B$221,0),0)*1000</f>
        <v>729.02702350876928</v>
      </c>
      <c r="H7" s="169">
        <f t="shared" si="0"/>
        <v>7563.3686979702161</v>
      </c>
    </row>
    <row r="8" spans="1:12" ht="15.75" thickBot="1" x14ac:dyDescent="0.25">
      <c r="B8" s="168" t="str">
        <f>'O | Overview'!B220</f>
        <v>ILI upgrade</v>
      </c>
      <c r="C8" s="187" cm="1">
        <f t="array" ref="C8">INDEX('O | Overview'!C$216:C$221,MATCH($B8,'O | Overview'!$B$216:$B$221,0),0)*1000</f>
        <v>0</v>
      </c>
      <c r="D8" s="186" cm="1">
        <f t="array" ref="D8">INDEX('O | Overview'!D$216:D$221,MATCH($B8,'O | Overview'!$B$216:$B$221,0),0)*1000</f>
        <v>2114.2486536933998</v>
      </c>
      <c r="E8" s="187" cm="1">
        <f t="array" ref="E8">INDEX('O | Overview'!E$216:E$221,MATCH($B8,'O | Overview'!$B$216:$B$221,0),0)*1000</f>
        <v>0</v>
      </c>
      <c r="F8" s="187" cm="1">
        <f t="array" ref="F8">INDEX('O | Overview'!F$216:F$221,MATCH($B8,'O | Overview'!$B$216:$B$221,0),0)*1000</f>
        <v>0</v>
      </c>
      <c r="G8" s="187" cm="1">
        <f t="array" ref="G8">INDEX('O | Overview'!G$216:G$221,MATCH($B8,'O | Overview'!$B$216:$B$221,0),0)*1000</f>
        <v>0</v>
      </c>
      <c r="H8" s="169">
        <f t="shared" si="0"/>
        <v>2114.2486536933998</v>
      </c>
    </row>
    <row r="9" spans="1:12" ht="15.75" thickBot="1" x14ac:dyDescent="0.25">
      <c r="B9" s="156" t="s">
        <v>241</v>
      </c>
      <c r="C9" s="175">
        <f t="shared" ref="C9:H9" si="1">SUM(C4:C8)</f>
        <v>8243.4603228546766</v>
      </c>
      <c r="D9" s="172">
        <f t="shared" si="1"/>
        <v>10692.552617449406</v>
      </c>
      <c r="E9" s="172">
        <f t="shared" si="1"/>
        <v>7016.7347819686765</v>
      </c>
      <c r="F9" s="172">
        <f t="shared" si="1"/>
        <v>8494.1697720129414</v>
      </c>
      <c r="G9" s="172">
        <f t="shared" si="1"/>
        <v>4814.1316994050139</v>
      </c>
      <c r="H9" s="172">
        <f t="shared" si="1"/>
        <v>39261.04919369072</v>
      </c>
    </row>
    <row r="11" spans="1:12" ht="25.5" x14ac:dyDescent="0.2">
      <c r="B11" s="165" t="s">
        <v>259</v>
      </c>
    </row>
    <row r="12" spans="1:12" ht="15" thickBot="1" x14ac:dyDescent="0.25">
      <c r="B12" s="173" t="s">
        <v>235</v>
      </c>
      <c r="C12" s="173" t="s">
        <v>236</v>
      </c>
      <c r="D12" s="173" t="s">
        <v>237</v>
      </c>
      <c r="E12" s="173" t="s">
        <v>238</v>
      </c>
      <c r="F12" s="173" t="s">
        <v>239</v>
      </c>
      <c r="G12" s="173" t="s">
        <v>240</v>
      </c>
      <c r="H12" s="173" t="s">
        <v>36</v>
      </c>
    </row>
    <row r="13" spans="1:12" ht="15.75" thickBot="1" x14ac:dyDescent="0.25">
      <c r="B13" s="174" t="str">
        <f>'C | PTRM escalation'!B12</f>
        <v>DN200 Lytton Lateral - ILI - MFL</v>
      </c>
      <c r="C13" s="176" cm="1">
        <f t="array" ref="C13">INDEX('C | PTRM escalation'!BP$11:BP$161,MATCH($B13,'C | PTRM escalation'!$B$11:$B$161,0),0)/1000</f>
        <v>576.61180495190297</v>
      </c>
      <c r="D13" s="176" cm="1">
        <f t="array" ref="D13">INDEX('C | PTRM escalation'!BQ$11:BQ$161,MATCH($B13,'C | PTRM escalation'!$B$11:$B$161,0),0)/1000</f>
        <v>0</v>
      </c>
      <c r="E13" s="176" cm="1">
        <f t="array" ref="E13">INDEX('C | PTRM escalation'!BR$11:BR$161,MATCH($B13,'C | PTRM escalation'!$B$11:$B$161,0),0)/1000</f>
        <v>0</v>
      </c>
      <c r="F13" s="176" cm="1">
        <f t="array" ref="F13">INDEX('C | PTRM escalation'!BS$11:BS$161,MATCH($B13,'C | PTRM escalation'!$B$11:$B$161,0),0)/1000</f>
        <v>0</v>
      </c>
      <c r="G13" s="176" cm="1">
        <f t="array" ref="G13">INDEX('C | PTRM escalation'!BT$11:BT$161,MATCH($B13,'C | PTRM escalation'!$B$11:$B$161,0),0)/1000</f>
        <v>0</v>
      </c>
      <c r="H13" s="169">
        <f t="shared" ref="H13:H17" si="2">SUM(C13:G13)</f>
        <v>576.61180495190297</v>
      </c>
    </row>
    <row r="14" spans="1:12" ht="15.75" thickBot="1" x14ac:dyDescent="0.25">
      <c r="B14" s="174" t="str">
        <f>'C | PTRM escalation'!B13</f>
        <v>DN250 Peat Lateral - ILI</v>
      </c>
      <c r="C14" s="177" cm="1">
        <f t="array" ref="C14">INDEX('C | PTRM escalation'!BP$11:BP$161,MATCH($B14,'C | PTRM escalation'!$B$11:$B$161,0),0)/1000</f>
        <v>0</v>
      </c>
      <c r="D14" s="178" cm="1">
        <f t="array" ref="D14">INDEX('C | PTRM escalation'!BQ$11:BQ$161,MATCH($B14,'C | PTRM escalation'!$B$11:$B$161,0),0)/1000</f>
        <v>693.19627989947537</v>
      </c>
      <c r="E14" s="177" cm="1">
        <f t="array" ref="E14">INDEX('C | PTRM escalation'!BR$11:BR$161,MATCH($B14,'C | PTRM escalation'!$B$11:$B$161,0),0)/1000</f>
        <v>0</v>
      </c>
      <c r="F14" s="177" cm="1">
        <f t="array" ref="F14">INDEX('C | PTRM escalation'!BS$11:BS$161,MATCH($B14,'C | PTRM escalation'!$B$11:$B$161,0),0)/1000</f>
        <v>0</v>
      </c>
      <c r="G14" s="177" cm="1">
        <f t="array" ref="G14">INDEX('C | PTRM escalation'!BT$11:BT$161,MATCH($B14,'C | PTRM escalation'!$B$11:$B$161,0),0)/1000</f>
        <v>0</v>
      </c>
      <c r="H14" s="169">
        <f t="shared" si="2"/>
        <v>693.19627989947537</v>
      </c>
    </row>
    <row r="15" spans="1:12" ht="15.75" thickBot="1" x14ac:dyDescent="0.25">
      <c r="B15" s="174" t="str">
        <f>'C | PTRM escalation'!B15</f>
        <v>DN300 Metro - ILI - MFL + EMAT</v>
      </c>
      <c r="C15" s="179" cm="1">
        <f t="array" ref="C15">INDEX('C | PTRM escalation'!BP$11:BP$161,MATCH($B15,'C | PTRM escalation'!$B$11:$B$161,0),0)/1000</f>
        <v>0</v>
      </c>
      <c r="D15" s="179" cm="1">
        <f t="array" ref="D15">INDEX('C | PTRM escalation'!BQ$11:BQ$161,MATCH($B15,'C | PTRM escalation'!$B$11:$B$161,0),0)/1000</f>
        <v>0</v>
      </c>
      <c r="E15" s="180" cm="1">
        <f t="array" ref="E15">INDEX('C | PTRM escalation'!BR$11:BR$161,MATCH($B15,'C | PTRM escalation'!$B$11:$B$161,0),0)/1000</f>
        <v>92.706652775804159</v>
      </c>
      <c r="F15" s="180" cm="1">
        <f t="array" ref="F15">INDEX('C | PTRM escalation'!BS$11:BS$161,MATCH($B15,'C | PTRM escalation'!$B$11:$B$161,0),0)/1000</f>
        <v>1658.1899527894122</v>
      </c>
      <c r="G15" s="180" cm="1">
        <f t="array" ref="G15">INDEX('C | PTRM escalation'!BT$11:BT$161,MATCH($B15,'C | PTRM escalation'!$B$11:$B$161,0),0)/1000</f>
        <v>877.38577245766021</v>
      </c>
      <c r="H15" s="169">
        <f t="shared" si="2"/>
        <v>2628.2823780228764</v>
      </c>
    </row>
    <row r="16" spans="1:12" ht="15.75" thickBot="1" x14ac:dyDescent="0.25">
      <c r="B16" s="174" t="str">
        <f>'C | PTRM escalation'!B17</f>
        <v>DN400 - MFL Campaign (3 sections) FY28-30</v>
      </c>
      <c r="C16" s="181" cm="1">
        <f t="array" ref="C16">INDEX('C | PTRM escalation'!BP$11:BP$161,MATCH($B16,'C | PTRM escalation'!$B$11:$B$161,0),0)/1000</f>
        <v>1153.2236099038059</v>
      </c>
      <c r="D16" s="181" cm="1">
        <f t="array" ref="D16">INDEX('C | PTRM escalation'!BQ$11:BQ$161,MATCH($B16,'C | PTRM escalation'!$B$11:$B$161,0),0)/1000</f>
        <v>577.66356658289601</v>
      </c>
      <c r="E16" s="182" cm="1">
        <f t="array" ref="E16">INDEX('C | PTRM escalation'!BR$11:BR$161,MATCH($B16,'C | PTRM escalation'!$B$11:$B$161,0),0)/1000</f>
        <v>0</v>
      </c>
      <c r="F16" s="182" cm="1">
        <f t="array" ref="F16">INDEX('C | PTRM escalation'!BS$11:BS$161,MATCH($B16,'C | PTRM escalation'!$B$11:$B$161,0),0)/1000</f>
        <v>0</v>
      </c>
      <c r="G16" s="182" cm="1">
        <f t="array" ref="G16">INDEX('C | PTRM escalation'!BT$11:BT$161,MATCH($B16,'C | PTRM escalation'!$B$11:$B$161,0),0)/1000</f>
        <v>0</v>
      </c>
      <c r="H16" s="169">
        <f t="shared" si="2"/>
        <v>1730.8871764867019</v>
      </c>
    </row>
    <row r="17" spans="2:8" ht="15.75" thickBot="1" x14ac:dyDescent="0.25">
      <c r="B17" s="174" t="str">
        <f>'C | PTRM escalation'!B18</f>
        <v>DN400 - MFL Campaign (5 sections) FY26-28</v>
      </c>
      <c r="C17" s="183" cm="1">
        <f t="array" ref="C17">INDEX('C | PTRM escalation'!BP$11:BP$161,MATCH($B17,'C | PTRM escalation'!$B$11:$B$161,0),0)/1000</f>
        <v>372.70918526120107</v>
      </c>
      <c r="D17" s="184" cm="1">
        <f t="array" ref="D17">INDEX('C | PTRM escalation'!BQ$11:BQ$161,MATCH($B17,'C | PTRM escalation'!$B$11:$B$161,0),0)/1000</f>
        <v>0</v>
      </c>
      <c r="E17" s="184" cm="1">
        <f t="array" ref="E17">INDEX('C | PTRM escalation'!BR$11:BR$161,MATCH($B17,'C | PTRM escalation'!$B$11:$B$161,0),0)/1000</f>
        <v>0</v>
      </c>
      <c r="F17" s="184" cm="1">
        <f t="array" ref="F17">INDEX('C | PTRM escalation'!BS$11:BS$161,MATCH($B17,'C | PTRM escalation'!$B$11:$B$161,0),0)/1000</f>
        <v>0</v>
      </c>
      <c r="G17" s="184" cm="1">
        <f t="array" ref="G17">INDEX('C | PTRM escalation'!BT$11:BT$161,MATCH($B17,'C | PTRM escalation'!$B$11:$B$161,0),0)/1000</f>
        <v>0</v>
      </c>
      <c r="H17" s="169">
        <f t="shared" si="2"/>
        <v>372.70918526120107</v>
      </c>
    </row>
    <row r="18" spans="2:8" ht="15.75" thickBot="1" x14ac:dyDescent="0.25">
      <c r="B18" s="156" t="s">
        <v>241</v>
      </c>
      <c r="C18" s="171">
        <f t="shared" ref="C18:G18" si="3">SUM(C13:C17)</f>
        <v>2102.5446001169098</v>
      </c>
      <c r="D18" s="171">
        <f t="shared" si="3"/>
        <v>1270.8598464823713</v>
      </c>
      <c r="E18" s="171">
        <f t="shared" si="3"/>
        <v>92.706652775804159</v>
      </c>
      <c r="F18" s="171">
        <f t="shared" si="3"/>
        <v>1658.1899527894122</v>
      </c>
      <c r="G18" s="171">
        <f t="shared" si="3"/>
        <v>877.38577245766021</v>
      </c>
      <c r="H18" s="171">
        <f>SUM(H13:H17)</f>
        <v>6001.6868246221575</v>
      </c>
    </row>
    <row r="20" spans="2:8" x14ac:dyDescent="0.2">
      <c r="B20" s="201" t="s">
        <v>273</v>
      </c>
    </row>
    <row r="21" spans="2:8" ht="15" thickBot="1" x14ac:dyDescent="0.25">
      <c r="B21" s="173" t="s">
        <v>235</v>
      </c>
      <c r="C21" s="173" t="s">
        <v>236</v>
      </c>
      <c r="D21" s="173" t="s">
        <v>237</v>
      </c>
      <c r="E21" s="173" t="s">
        <v>238</v>
      </c>
      <c r="F21" s="173" t="s">
        <v>239</v>
      </c>
      <c r="G21" s="173" t="s">
        <v>240</v>
      </c>
      <c r="H21" s="173" t="s">
        <v>36</v>
      </c>
    </row>
    <row r="22" spans="2:8" ht="15" thickBot="1" x14ac:dyDescent="0.25">
      <c r="B22" s="188" t="str">
        <f>'C | PTRM escalation'!B14</f>
        <v>DN250 Peat Lateral - Validation Dig ILI</v>
      </c>
      <c r="C22" s="202" cm="1">
        <f t="array" ref="C22">INDEX('C | PTRM escalation'!BP$11:BP$161,MATCH($B22,'C | PTRM escalation'!$B$11:$B$161,0),0)/1000</f>
        <v>0</v>
      </c>
      <c r="D22" s="202" cm="1">
        <f t="array" ref="D22">INDEX('C | PTRM escalation'!BQ$11:BQ$161,MATCH($B22,'C | PTRM escalation'!$B$11:$B$161,0),0)/1000</f>
        <v>0</v>
      </c>
      <c r="E22" s="203" cm="1">
        <f t="array" ref="E22">INDEX('C | PTRM escalation'!BR$11:BR$161,MATCH($B22,'C | PTRM escalation'!$B$11:$B$161,0),0)/1000</f>
        <v>1042.9498437277969</v>
      </c>
      <c r="F22" s="203" cm="1">
        <f t="array" ref="F22">INDEX('C | PTRM escalation'!BS$11:BS$161,MATCH($B22,'C | PTRM escalation'!$B$11:$B$161,0),0)/1000</f>
        <v>0</v>
      </c>
      <c r="G22" s="203" cm="1">
        <f t="array" ref="G22">INDEX('C | PTRM escalation'!BT$11:BT$161,MATCH($B22,'C | PTRM escalation'!$B$11:$B$161,0),0)/1000</f>
        <v>0</v>
      </c>
      <c r="H22" s="204">
        <f>SUM(C22:G22)</f>
        <v>1042.9498437277969</v>
      </c>
    </row>
    <row r="23" spans="2:8" ht="15" thickBot="1" x14ac:dyDescent="0.25">
      <c r="B23" s="174" t="str">
        <f>'C | PTRM escalation'!B16</f>
        <v>DN300 Metro - Validation dig ILI</v>
      </c>
      <c r="C23" s="205" cm="1">
        <f t="array" ref="C23">INDEX('C | PTRM escalation'!BP$11:BP$161,MATCH($B23,'C | PTRM escalation'!$B$11:$B$161,0),0)/1000</f>
        <v>1845.1577758460894</v>
      </c>
      <c r="D23" s="205" cm="1">
        <f t="array" ref="D23">INDEX('C | PTRM escalation'!BQ$11:BQ$161,MATCH($B23,'C | PTRM escalation'!$B$11:$B$161,0),0)/1000</f>
        <v>0</v>
      </c>
      <c r="E23" s="205" cm="1">
        <f t="array" ref="E23">INDEX('C | PTRM escalation'!BR$11:BR$161,MATCH($B23,'C | PTRM escalation'!$B$11:$B$161,0),0)/1000</f>
        <v>0</v>
      </c>
      <c r="F23" s="205" cm="1">
        <f t="array" ref="F23">INDEX('C | PTRM escalation'!BS$11:BS$161,MATCH($B23,'C | PTRM escalation'!$B$11:$B$161,0),0)/1000</f>
        <v>0</v>
      </c>
      <c r="G23" s="205" cm="1">
        <f t="array" ref="G23">INDEX('C | PTRM escalation'!BT$11:BT$161,MATCH($B23,'C | PTRM escalation'!$B$11:$B$161,0),0)/1000</f>
        <v>0</v>
      </c>
      <c r="H23" s="204">
        <f t="shared" ref="H23:H26" si="4">SUM(C23:G23)</f>
        <v>1845.1577758460894</v>
      </c>
    </row>
    <row r="24" spans="2:8" ht="15" thickBot="1" x14ac:dyDescent="0.25">
      <c r="B24" s="174" t="str">
        <f>'C | PTRM escalation'!B19</f>
        <v>DN400 - Validation Dig ILI (3 sections)</v>
      </c>
      <c r="C24" s="202" cm="1">
        <f t="array" ref="C24">INDEX('C | PTRM escalation'!BP$11:BP$161,MATCH($B24,'C | PTRM escalation'!$B$11:$B$161,0),0)/1000</f>
        <v>0</v>
      </c>
      <c r="D24" s="202" cm="1">
        <f t="array" ref="D24">INDEX('C | PTRM escalation'!BQ$11:BQ$161,MATCH($B24,'C | PTRM escalation'!$B$11:$B$161,0),0)/1000</f>
        <v>982.02806319092338</v>
      </c>
      <c r="E24" s="203" cm="1">
        <f t="array" ref="E24">INDEX('C | PTRM escalation'!BR$11:BR$161,MATCH($B24,'C | PTRM escalation'!$B$11:$B$161,0),0)/1000</f>
        <v>985.0081857429193</v>
      </c>
      <c r="F24" s="203" cm="1">
        <f t="array" ref="F24">INDEX('C | PTRM escalation'!BS$11:BS$161,MATCH($B24,'C | PTRM escalation'!$B$11:$B$161,0),0)/1000</f>
        <v>989.03537810042519</v>
      </c>
      <c r="G24" s="203" cm="1">
        <f t="array" ref="G24">INDEX('C | PTRM escalation'!BT$11:BT$161,MATCH($B24,'C | PTRM escalation'!$B$11:$B$161,0),0)/1000</f>
        <v>262.44972846315693</v>
      </c>
      <c r="H24" s="204">
        <f t="shared" si="4"/>
        <v>3218.5213554974248</v>
      </c>
    </row>
    <row r="25" spans="2:8" ht="15" thickBot="1" x14ac:dyDescent="0.25">
      <c r="B25" s="174" t="str">
        <f>'C | PTRM escalation'!B20</f>
        <v>DN400 - Validation Dig ILI (5 sections)</v>
      </c>
      <c r="C25" s="205" cm="1">
        <f t="array" ref="C25">INDEX('C | PTRM escalation'!BP$11:BP$161,MATCH($B25,'C | PTRM escalation'!$B$11:$B$161,0),0)/1000</f>
        <v>0</v>
      </c>
      <c r="D25" s="205" cm="1">
        <f t="array" ref="D25">INDEX('C | PTRM escalation'!BQ$11:BQ$161,MATCH($B25,'C | PTRM escalation'!$B$11:$B$161,0),0)/1000</f>
        <v>982.02806319092338</v>
      </c>
      <c r="E25" s="205" cm="1">
        <f t="array" ref="E25">INDEX('C | PTRM escalation'!BR$11:BR$161,MATCH($B25,'C | PTRM escalation'!$B$11:$B$161,0),0)/1000</f>
        <v>985.0081857429193</v>
      </c>
      <c r="F25" s="205" cm="1">
        <f t="array" ref="F25">INDEX('C | PTRM escalation'!BS$11:BS$161,MATCH($B25,'C | PTRM escalation'!$B$11:$B$161,0),0)/1000</f>
        <v>989.03537810042519</v>
      </c>
      <c r="G25" s="205" cm="1">
        <f t="array" ref="G25">INDEX('C | PTRM escalation'!BT$11:BT$161,MATCH($B25,'C | PTRM escalation'!$B$11:$B$161,0),0)/1000</f>
        <v>262.44972846315693</v>
      </c>
      <c r="H25" s="204">
        <f t="shared" si="4"/>
        <v>3218.5213554974248</v>
      </c>
    </row>
    <row r="26" spans="2:8" ht="15" thickBot="1" x14ac:dyDescent="0.25">
      <c r="B26" s="174" t="str">
        <f>'C | PTRM escalation'!B23</f>
        <v>DN200 Lytton Lateral - Validation Dig ILI</v>
      </c>
      <c r="C26" s="205" cm="1">
        <f t="array" ref="C26">INDEX('C | PTRM escalation'!BP$11:BP$161,MATCH($B26,'C | PTRM escalation'!$B$11:$B$161,0),0)/1000</f>
        <v>922.5788879230447</v>
      </c>
      <c r="D26" s="205" cm="1">
        <f t="array" ref="D26">INDEX('C | PTRM escalation'!BQ$11:BQ$161,MATCH($B26,'C | PTRM escalation'!$B$11:$B$161,0),0)/1000</f>
        <v>0</v>
      </c>
      <c r="E26" s="205" cm="1">
        <f t="array" ref="E26">INDEX('C | PTRM escalation'!BR$11:BR$161,MATCH($B26,'C | PTRM escalation'!$B$11:$B$161,0),0)/1000</f>
        <v>0</v>
      </c>
      <c r="F26" s="205" cm="1">
        <f t="array" ref="F26">INDEX('C | PTRM escalation'!BS$11:BS$161,MATCH($B26,'C | PTRM escalation'!$B$11:$B$161,0),0)/1000</f>
        <v>0</v>
      </c>
      <c r="G26" s="205" cm="1">
        <f t="array" ref="G26">INDEX('C | PTRM escalation'!BT$11:BT$161,MATCH($B26,'C | PTRM escalation'!$B$11:$B$161,0),0)/1000</f>
        <v>0</v>
      </c>
      <c r="H26" s="204">
        <f t="shared" si="4"/>
        <v>922.5788879230447</v>
      </c>
    </row>
    <row r="27" spans="2:8" ht="15.75" thickBot="1" x14ac:dyDescent="0.25">
      <c r="B27" s="156" t="s">
        <v>241</v>
      </c>
      <c r="C27" s="171">
        <f>SUM(C22:C26)</f>
        <v>2767.7366637691339</v>
      </c>
      <c r="D27" s="171">
        <f t="shared" ref="D27:H27" si="5">SUM(D22:D26)</f>
        <v>1964.0561263818468</v>
      </c>
      <c r="E27" s="171">
        <f t="shared" si="5"/>
        <v>3012.9662152136352</v>
      </c>
      <c r="F27" s="171">
        <f t="shared" si="5"/>
        <v>1978.0707562008504</v>
      </c>
      <c r="G27" s="171">
        <f t="shared" si="5"/>
        <v>524.89945692631386</v>
      </c>
      <c r="H27" s="171">
        <f t="shared" si="5"/>
        <v>10247.729218491781</v>
      </c>
    </row>
    <row r="28" spans="2:8" ht="25.5" x14ac:dyDescent="0.2">
      <c r="B28" s="165" t="s">
        <v>266</v>
      </c>
    </row>
    <row r="29" spans="2:8" ht="15.75" thickBot="1" x14ac:dyDescent="0.25">
      <c r="B29" s="150" t="s">
        <v>235</v>
      </c>
      <c r="C29" s="150" t="s">
        <v>236</v>
      </c>
      <c r="D29" s="150" t="s">
        <v>237</v>
      </c>
      <c r="E29" s="150" t="s">
        <v>238</v>
      </c>
      <c r="F29" s="150" t="s">
        <v>239</v>
      </c>
      <c r="G29" s="150" t="s">
        <v>240</v>
      </c>
      <c r="H29" s="150" t="s">
        <v>36</v>
      </c>
    </row>
    <row r="30" spans="2:8" ht="15.75" thickBot="1" x14ac:dyDescent="0.25">
      <c r="B30" s="168" t="s">
        <v>67</v>
      </c>
      <c r="C30" s="194" cm="1">
        <f t="array" ref="C30">INDEX('C | PTRM escalation'!BP$11:BP$161,MATCH($B30,'C | PTRM escalation'!$B$11:$B$161,0),0)/1000</f>
        <v>0</v>
      </c>
      <c r="D30" s="194" cm="1">
        <f t="array" ref="D30">INDEX('C | PTRM escalation'!BQ$11:BQ$161,MATCH($B30,'C | PTRM escalation'!$B$11:$B$161,0),0)/1000</f>
        <v>0</v>
      </c>
      <c r="E30" s="194" cm="1">
        <f t="array" ref="E30">INDEX('C | PTRM escalation'!BR$11:BR$161,MATCH($B30,'C | PTRM escalation'!$B$11:$B$161,0),0)/1000</f>
        <v>2897.0828992438801</v>
      </c>
      <c r="F30" s="194" cm="1">
        <f t="array" ref="F30">INDEX('C | PTRM escalation'!BS$11:BS$161,MATCH($B30,'C | PTRM escalation'!$B$11:$B$161,0),0)/1000</f>
        <v>0</v>
      </c>
      <c r="G30" s="194" cm="1">
        <f t="array" ref="G30">INDEX('C | PTRM escalation'!BT$11:BT$161,MATCH($B30,'C | PTRM escalation'!$B$11:$B$161,0),0)/1000</f>
        <v>0</v>
      </c>
      <c r="H30" s="169">
        <f>SUM(C30:G30)</f>
        <v>2897.0828992438801</v>
      </c>
    </row>
    <row r="32" spans="2:8" x14ac:dyDescent="0.2">
      <c r="B32" s="165" t="s">
        <v>265</v>
      </c>
    </row>
    <row r="33" spans="1:12" ht="15" thickBot="1" x14ac:dyDescent="0.25">
      <c r="B33" s="173" t="s">
        <v>235</v>
      </c>
      <c r="C33" s="173" t="s">
        <v>236</v>
      </c>
      <c r="D33" s="173" t="s">
        <v>237</v>
      </c>
      <c r="E33" s="173" t="s">
        <v>238</v>
      </c>
      <c r="F33" s="173" t="s">
        <v>239</v>
      </c>
      <c r="G33" s="173" t="s">
        <v>240</v>
      </c>
      <c r="H33" s="173" t="s">
        <v>36</v>
      </c>
    </row>
    <row r="34" spans="1:12" ht="15.75" thickBot="1" x14ac:dyDescent="0.25">
      <c r="B34" s="188" t="str">
        <f>'C | PTRM escalation'!B25</f>
        <v>DN300 Pig Receiver Safety Upgrades (SEA Compound)​</v>
      </c>
      <c r="C34" s="194" cm="1">
        <f t="array" ref="C34">INDEX('C | PTRM escalation'!BP$11:BP$161,MATCH($B34,'C | PTRM escalation'!$B$11:$B$161,0),0)/1000</f>
        <v>0</v>
      </c>
      <c r="D34" s="194" cm="1">
        <f t="array" ref="D34">INDEX('C | PTRM escalation'!BQ$11:BQ$161,MATCH($B34,'C | PTRM escalation'!$B$11:$B$161,0),0)/1000</f>
        <v>2114.2486536933998</v>
      </c>
      <c r="E34" s="194" cm="1">
        <f t="array" ref="E34">INDEX('C | PTRM escalation'!BR$11:BR$161,MATCH($B34,'C | PTRM escalation'!$B$11:$B$161,0),0)/1000</f>
        <v>0</v>
      </c>
      <c r="F34" s="194" cm="1">
        <f t="array" ref="F34">INDEX('C | PTRM escalation'!BS$11:BS$161,MATCH($B34,'C | PTRM escalation'!$B$11:$B$161,0),0)/1000</f>
        <v>0</v>
      </c>
      <c r="G34" s="194" cm="1">
        <f t="array" ref="G34">INDEX('C | PTRM escalation'!BT$11:BT$161,MATCH($B34,'C | PTRM escalation'!$B$11:$B$161,0),0)/1000</f>
        <v>0</v>
      </c>
      <c r="H34" s="169">
        <f>SUM(C34:G34)</f>
        <v>2114.2486536933998</v>
      </c>
    </row>
    <row r="36" spans="1:12" ht="25.5" x14ac:dyDescent="0.2">
      <c r="B36" s="165" t="s">
        <v>264</v>
      </c>
    </row>
    <row r="37" spans="1:12" ht="15" thickBot="1" x14ac:dyDescent="0.25">
      <c r="B37" s="173" t="s">
        <v>235</v>
      </c>
      <c r="C37" s="173" t="s">
        <v>236</v>
      </c>
      <c r="D37" s="173" t="s">
        <v>237</v>
      </c>
      <c r="E37" s="173" t="s">
        <v>238</v>
      </c>
      <c r="F37" s="173" t="s">
        <v>239</v>
      </c>
      <c r="G37" s="173" t="s">
        <v>240</v>
      </c>
      <c r="H37" s="173" t="s">
        <v>36</v>
      </c>
    </row>
    <row r="38" spans="1:12" ht="15.75" thickBot="1" x14ac:dyDescent="0.25">
      <c r="B38" s="168" t="str">
        <f>'C | PTRM escalation'!B21</f>
        <v>CP Program</v>
      </c>
      <c r="C38" s="194" cm="1">
        <f t="array" ref="C38">INDEX('C | PTRM escalation'!BP$11:BP$161,MATCH($B38,'C | PTRM escalation'!$B$11:$B$161,0),0)/1000</f>
        <v>1729.8354148557087</v>
      </c>
      <c r="D38" s="194" cm="1">
        <f t="array" ref="D38">INDEX('C | PTRM escalation'!BQ$11:BQ$161,MATCH($B38,'C | PTRM escalation'!$B$11:$B$161,0),0)/1000</f>
        <v>1732.9906997486885</v>
      </c>
      <c r="E38" s="194" cm="1">
        <f t="array" ref="E38">INDEX('C | PTRM escalation'!BR$11:BR$161,MATCH($B38,'C | PTRM escalation'!$B$11:$B$161,0),0)/1000</f>
        <v>1738.2497395463281</v>
      </c>
      <c r="F38" s="194" cm="1">
        <f t="array" ref="F38">INDEX('C | PTRM escalation'!BS$11:BS$161,MATCH($B38,'C | PTRM escalation'!$B$11:$B$161,0),0)/1000</f>
        <v>1745.3565495889854</v>
      </c>
      <c r="G38" s="194" cm="1">
        <f t="array" ref="G38">INDEX('C | PTRM escalation'!BT$11:BT$161,MATCH($B38,'C | PTRM escalation'!$B$11:$B$161,0),0)/1000</f>
        <v>1749.6648564210459</v>
      </c>
      <c r="H38" s="169">
        <f>SUM(C38:G38)</f>
        <v>8696.0972601607555</v>
      </c>
    </row>
    <row r="39" spans="1:12" ht="15.75" thickBot="1" x14ac:dyDescent="0.25">
      <c r="B39" s="170" t="str">
        <f>'C | PTRM escalation'!B22</f>
        <v>CP Interference (DN250) and Registration</v>
      </c>
      <c r="C39" s="195" cm="1">
        <f t="array" ref="C39">INDEX('C | PTRM escalation'!BP$11:BP$161,MATCH($B39,'C | PTRM escalation'!$B$11:$B$161,0),0)/1000</f>
        <v>922.5788879230447</v>
      </c>
      <c r="D39" s="195" cm="1">
        <f t="array" ref="D39">INDEX('C | PTRM escalation'!BQ$11:BQ$161,MATCH($B39,'C | PTRM escalation'!$B$11:$B$161,0),0)/1000</f>
        <v>924.26170653263387</v>
      </c>
      <c r="E39" s="195" cm="1">
        <f t="array" ref="E39">INDEX('C | PTRM escalation'!BR$11:BR$161,MATCH($B39,'C | PTRM escalation'!$B$11:$B$161,0),0)/1000</f>
        <v>927.06652775804173</v>
      </c>
      <c r="F39" s="195" cm="1">
        <f t="array" ref="F39">INDEX('C | PTRM escalation'!BS$11:BS$161,MATCH($B39,'C | PTRM escalation'!$B$11:$B$161,0),0)/1000</f>
        <v>930.85682644745907</v>
      </c>
      <c r="G39" s="195" cm="1">
        <f t="array" ref="G39">INDEX('C | PTRM escalation'!BT$11:BT$161,MATCH($B39,'C | PTRM escalation'!$B$11:$B$161,0),0)/1000</f>
        <v>933.15459009122469</v>
      </c>
      <c r="H39" s="169">
        <f>SUM(C39:G39)</f>
        <v>4637.918538752403</v>
      </c>
    </row>
    <row r="40" spans="1:12" ht="15.75" thickBot="1" x14ac:dyDescent="0.25">
      <c r="B40" s="170" t="s">
        <v>241</v>
      </c>
      <c r="C40" s="175">
        <f t="shared" ref="C40:H40" si="6">SUM(C38:C39)</f>
        <v>2652.4143027787532</v>
      </c>
      <c r="D40" s="175">
        <f t="shared" si="6"/>
        <v>2657.2524062813222</v>
      </c>
      <c r="E40" s="175">
        <f t="shared" si="6"/>
        <v>2665.3162673043698</v>
      </c>
      <c r="F40" s="175">
        <f t="shared" si="6"/>
        <v>2676.2133760364445</v>
      </c>
      <c r="G40" s="175">
        <f t="shared" si="6"/>
        <v>2682.8194465122706</v>
      </c>
      <c r="H40" s="175">
        <f t="shared" si="6"/>
        <v>13334.015798913159</v>
      </c>
    </row>
    <row r="41" spans="1:12" x14ac:dyDescent="0.2">
      <c r="B41" s="191"/>
      <c r="C41" s="192"/>
      <c r="D41" s="192"/>
      <c r="E41" s="192"/>
      <c r="F41" s="192"/>
      <c r="G41" s="192"/>
      <c r="H41" s="193"/>
    </row>
    <row r="42" spans="1:12" x14ac:dyDescent="0.2">
      <c r="B42" s="153" t="s">
        <v>261</v>
      </c>
    </row>
    <row r="43" spans="1:12" ht="15" thickBot="1" x14ac:dyDescent="0.25">
      <c r="B43" s="173" t="s">
        <v>235</v>
      </c>
      <c r="C43" s="173" t="s">
        <v>236</v>
      </c>
      <c r="D43" s="173" t="s">
        <v>237</v>
      </c>
      <c r="E43" s="173" t="s">
        <v>238</v>
      </c>
      <c r="F43" s="173" t="s">
        <v>239</v>
      </c>
      <c r="G43" s="173" t="s">
        <v>240</v>
      </c>
      <c r="H43" s="173" t="s">
        <v>36</v>
      </c>
    </row>
    <row r="44" spans="1:12" ht="15.75" thickBot="1" x14ac:dyDescent="0.25">
      <c r="B44" s="168" t="s">
        <v>262</v>
      </c>
      <c r="C44" s="194" cm="1">
        <f t="array" ref="C44">INDEX('C | PTRM escalation'!BP$11:BP$161,MATCH($B44,'C | PTRM escalation'!$B$11:$B$161,0),0)/1000</f>
        <v>461.28944396152235</v>
      </c>
      <c r="D44" s="194" cm="1">
        <f t="array" ref="D44">INDEX('C | PTRM escalation'!BQ$11:BQ$161,MATCH($B44,'C | PTRM escalation'!$B$11:$B$161,0),0)/1000</f>
        <v>1386.3925597989507</v>
      </c>
      <c r="E44" s="194" cm="1">
        <f t="array" ref="E44">INDEX('C | PTRM escalation'!BR$11:BR$161,MATCH($B44,'C | PTRM escalation'!$B$11:$B$161,0),0)/1000</f>
        <v>463.53326387902086</v>
      </c>
      <c r="F44" s="194" cm="1">
        <f t="array" ref="F44">INDEX('C | PTRM escalation'!BS$11:BS$161,MATCH($B44,'C | PTRM escalation'!$B$11:$B$161,0),0)/1000</f>
        <v>1396.2852396711887</v>
      </c>
      <c r="G44" s="194" cm="1">
        <f t="array" ref="G44">INDEX('C | PTRM escalation'!BT$11:BT$161,MATCH($B44,'C | PTRM escalation'!$B$11:$B$161,0),0)/1000</f>
        <v>466.57729504561235</v>
      </c>
      <c r="H44" s="169">
        <f>SUM(C44:G44)</f>
        <v>4174.0778023562953</v>
      </c>
    </row>
    <row r="45" spans="1:12" ht="15.75" thickBot="1" x14ac:dyDescent="0.25">
      <c r="B45" s="170" t="s">
        <v>263</v>
      </c>
      <c r="C45" s="195" cm="1">
        <f t="array" ref="C45">INDEX('C | PTRM escalation'!BP$11:BP$161,MATCH($B45,'C | PTRM escalation'!$B$11:$B$161,0),0)/1000</f>
        <v>259.4753122283563</v>
      </c>
      <c r="D45" s="195" cm="1">
        <f t="array" ref="D45">INDEX('C | PTRM escalation'!BQ$11:BQ$161,MATCH($B45,'C | PTRM escalation'!$B$11:$B$161,0),0)/1000</f>
        <v>1299.7430248115163</v>
      </c>
      <c r="E45" s="195" cm="1">
        <f t="array" ref="E45">INDEX('C | PTRM escalation'!BR$11:BR$161,MATCH($B45,'C | PTRM escalation'!$B$11:$B$161,0),0)/1000</f>
        <v>782.2123827958477</v>
      </c>
      <c r="F45" s="195" cm="1">
        <f t="array" ref="F45">INDEX('C | PTRM escalation'!BS$11:BS$161,MATCH($B45,'C | PTRM escalation'!$B$11:$B$161,0),0)/1000</f>
        <v>785.41044731504348</v>
      </c>
      <c r="G45" s="195" cm="1">
        <f t="array" ref="G45">INDEX('C | PTRM escalation'!BT$11:BT$161,MATCH($B45,'C | PTRM escalation'!$B$11:$B$161,0),0)/1000</f>
        <v>262.44972846315693</v>
      </c>
      <c r="H45" s="169">
        <f>SUM(C45:G45)</f>
        <v>3389.2908956139208</v>
      </c>
    </row>
    <row r="46" spans="1:12" ht="15.75" thickBot="1" x14ac:dyDescent="0.25">
      <c r="B46" s="170" t="s">
        <v>241</v>
      </c>
      <c r="C46" s="175">
        <f>SUM(C44:C45)</f>
        <v>720.76475618987865</v>
      </c>
      <c r="D46" s="175">
        <f t="shared" ref="D46:H46" si="7">SUM(D44:D45)</f>
        <v>2686.135584610467</v>
      </c>
      <c r="E46" s="175">
        <f t="shared" si="7"/>
        <v>1245.7456466748686</v>
      </c>
      <c r="F46" s="175">
        <f t="shared" si="7"/>
        <v>2181.6956869862324</v>
      </c>
      <c r="G46" s="175">
        <f t="shared" si="7"/>
        <v>729.02702350876928</v>
      </c>
      <c r="H46" s="175">
        <f t="shared" si="7"/>
        <v>7563.3686979702161</v>
      </c>
      <c r="L46" s="190"/>
    </row>
    <row r="47" spans="1:12" x14ac:dyDescent="0.2">
      <c r="L47" s="190"/>
    </row>
    <row r="48" spans="1:12" ht="18.75" thickBot="1" x14ac:dyDescent="0.3">
      <c r="A48" s="200" t="s">
        <v>272</v>
      </c>
      <c r="B48" s="153" t="s">
        <v>267</v>
      </c>
      <c r="L48" s="190"/>
    </row>
    <row r="49" spans="1:12" ht="15.75" thickTop="1" thickBot="1" x14ac:dyDescent="0.25">
      <c r="B49" s="196" t="s">
        <v>235</v>
      </c>
      <c r="C49" s="196" t="s">
        <v>236</v>
      </c>
      <c r="D49" s="196" t="s">
        <v>237</v>
      </c>
      <c r="E49" s="196" t="s">
        <v>238</v>
      </c>
      <c r="F49" s="196" t="s">
        <v>239</v>
      </c>
      <c r="G49" s="196" t="s">
        <v>240</v>
      </c>
      <c r="H49" s="196" t="s">
        <v>36</v>
      </c>
      <c r="L49" s="190"/>
    </row>
    <row r="50" spans="1:12" ht="15.75" thickBot="1" x14ac:dyDescent="0.25">
      <c r="B50" s="197" t="s">
        <v>268</v>
      </c>
      <c r="C50" s="207">
        <f>C58</f>
        <v>4794.7889399345213</v>
      </c>
      <c r="D50" s="207">
        <f t="shared" ref="D50:G50" si="8">D58</f>
        <v>5524.6588180855015</v>
      </c>
      <c r="E50" s="207">
        <f t="shared" si="8"/>
        <v>1170.5535982747331</v>
      </c>
      <c r="F50" s="207">
        <f t="shared" si="8"/>
        <v>1155.2677901674124</v>
      </c>
      <c r="G50" s="207">
        <f t="shared" si="8"/>
        <v>2273.3138861966377</v>
      </c>
      <c r="H50" s="169">
        <f>SUM(C50:G50)</f>
        <v>14918.583032658806</v>
      </c>
      <c r="L50" s="190"/>
    </row>
    <row r="51" spans="1:12" ht="15.75" thickBot="1" x14ac:dyDescent="0.25">
      <c r="B51" s="198" t="s">
        <v>269</v>
      </c>
      <c r="C51" s="195">
        <f>C62</f>
        <v>288.30590247595148</v>
      </c>
      <c r="D51" s="195">
        <f t="shared" ref="D51:G51" si="9">D62</f>
        <v>288.83178329144801</v>
      </c>
      <c r="E51" s="195">
        <f t="shared" si="9"/>
        <v>289.70828992438805</v>
      </c>
      <c r="F51" s="195">
        <f t="shared" si="9"/>
        <v>290.89275826483095</v>
      </c>
      <c r="G51" s="195">
        <f t="shared" si="9"/>
        <v>291.61080940350774</v>
      </c>
      <c r="H51" s="169">
        <f>SUM(C51:G51)</f>
        <v>1449.3495433601263</v>
      </c>
      <c r="L51" s="190"/>
    </row>
    <row r="52" spans="1:12" ht="15.75" thickBot="1" x14ac:dyDescent="0.25">
      <c r="B52" s="199" t="s">
        <v>241</v>
      </c>
      <c r="C52" s="175">
        <f t="shared" ref="C52" si="10">SUM(C50:C51)</f>
        <v>5083.0948424104727</v>
      </c>
      <c r="D52" s="175">
        <f t="shared" ref="D52" si="11">SUM(D50:D51)</f>
        <v>5813.4906013769496</v>
      </c>
      <c r="E52" s="175">
        <f t="shared" ref="E52" si="12">SUM(E50:E51)</f>
        <v>1460.2618881991211</v>
      </c>
      <c r="F52" s="175">
        <f t="shared" ref="F52" si="13">SUM(F50:F51)</f>
        <v>1446.1605484322433</v>
      </c>
      <c r="G52" s="175">
        <f t="shared" ref="G52" si="14">SUM(G50:G51)</f>
        <v>2564.9246956001452</v>
      </c>
      <c r="H52" s="175">
        <f t="shared" ref="H52" si="15">SUM(H50:H51)</f>
        <v>16367.932576018931</v>
      </c>
      <c r="L52" s="190"/>
    </row>
    <row r="53" spans="1:12" x14ac:dyDescent="0.2">
      <c r="L53" s="190"/>
    </row>
    <row r="54" spans="1:12" x14ac:dyDescent="0.2">
      <c r="B54" s="153" t="s">
        <v>270</v>
      </c>
      <c r="L54" s="190"/>
    </row>
    <row r="55" spans="1:12" ht="15" thickBot="1" x14ac:dyDescent="0.25">
      <c r="B55" s="206" t="s">
        <v>235</v>
      </c>
      <c r="C55" s="206" t="s">
        <v>236</v>
      </c>
      <c r="D55" s="206" t="s">
        <v>237</v>
      </c>
      <c r="E55" s="206" t="s">
        <v>238</v>
      </c>
      <c r="F55" s="206" t="s">
        <v>239</v>
      </c>
      <c r="G55" s="206" t="s">
        <v>240</v>
      </c>
      <c r="H55" s="206" t="s">
        <v>36</v>
      </c>
      <c r="L55" s="190"/>
    </row>
    <row r="56" spans="1:12" ht="15" thickBot="1" x14ac:dyDescent="0.25">
      <c r="B56" s="206" t="str">
        <f>'C | PTRM escalation'!B24</f>
        <v>DN250 Supply Security - Phase 2a</v>
      </c>
      <c r="C56" s="207" cm="1">
        <f t="array" ref="C56">INDEX('C | PTRM escalation'!BP$11:BP$161,MATCH($B56,'C | PTRM escalation'!$B$11:$B$161,0),0)/1000</f>
        <v>3587.5956183108269</v>
      </c>
      <c r="D56" s="207" cm="1">
        <f t="array" ref="D56">INDEX('C | PTRM escalation'!BQ$11:BQ$161,MATCH($B56,'C | PTRM escalation'!$B$11:$B$161,0),0)/1000</f>
        <v>4315.2635304146834</v>
      </c>
      <c r="E56" s="207" cm="1">
        <f t="array" ref="E56">INDEX('C | PTRM escalation'!BR$11:BR$161,MATCH($B56,'C | PTRM escalation'!$B$11:$B$161,0),0)/1000</f>
        <v>0</v>
      </c>
      <c r="F56" s="207" cm="1">
        <f t="array" ref="F56">INDEX('C | PTRM escalation'!BS$11:BS$161,MATCH($B56,'C | PTRM escalation'!$B$11:$B$161,0),0)/1000</f>
        <v>0</v>
      </c>
      <c r="G56" s="207" cm="1">
        <f t="array" ref="G56">INDEX('C | PTRM escalation'!BT$11:BT$161,MATCH($B56,'C | PTRM escalation'!$B$11:$B$161,0),0)/1000</f>
        <v>0</v>
      </c>
      <c r="H56" s="204">
        <f>SUM(C56:G56)</f>
        <v>7902.8591487255107</v>
      </c>
      <c r="L56" s="190"/>
    </row>
    <row r="57" spans="1:12" ht="15" thickBot="1" x14ac:dyDescent="0.25">
      <c r="B57" s="206" t="str">
        <f>'C | PTRM escalation'!B27</f>
        <v>DN250 Suspension - Phase 3</v>
      </c>
      <c r="C57" s="205" cm="1">
        <f t="array" ref="C57">INDEX('C | PTRM escalation'!BP$11:BP$161,MATCH($B57,'C | PTRM escalation'!$B$11:$B$161,0),0)/1000</f>
        <v>1207.1933216236941</v>
      </c>
      <c r="D57" s="205" cm="1">
        <f t="array" ref="D57">INDEX('C | PTRM escalation'!BQ$11:BQ$161,MATCH($B57,'C | PTRM escalation'!$B$11:$B$161,0),0)/1000</f>
        <v>1209.3952876708181</v>
      </c>
      <c r="E57" s="205" cm="1">
        <f t="array" ref="E57">INDEX('C | PTRM escalation'!BR$11:BR$161,MATCH($B57,'C | PTRM escalation'!$B$11:$B$161,0),0)/1000</f>
        <v>1170.5535982747331</v>
      </c>
      <c r="F57" s="205" cm="1">
        <f t="array" ref="F57">INDEX('C | PTRM escalation'!BS$11:BS$161,MATCH($B57,'C | PTRM escalation'!$B$11:$B$161,0),0)/1000</f>
        <v>1155.2677901674124</v>
      </c>
      <c r="G57" s="205" cm="1">
        <f t="array" ref="G57">INDEX('C | PTRM escalation'!BT$11:BT$161,MATCH($B57,'C | PTRM escalation'!$B$11:$B$161,0),0)/1000</f>
        <v>2273.3138861966377</v>
      </c>
      <c r="H57" s="204">
        <f>SUM(C57:G57)</f>
        <v>7015.7238839332949</v>
      </c>
      <c r="L57" s="190"/>
    </row>
    <row r="58" spans="1:12" ht="15" thickBot="1" x14ac:dyDescent="0.25">
      <c r="B58" s="206" t="s">
        <v>241</v>
      </c>
      <c r="C58" s="208">
        <f>SUM(C56:C57)</f>
        <v>4794.7889399345213</v>
      </c>
      <c r="D58" s="208">
        <f t="shared" ref="D58:H58" si="16">SUM(D56:D57)</f>
        <v>5524.6588180855015</v>
      </c>
      <c r="E58" s="208">
        <f t="shared" si="16"/>
        <v>1170.5535982747331</v>
      </c>
      <c r="F58" s="208">
        <f t="shared" si="16"/>
        <v>1155.2677901674124</v>
      </c>
      <c r="G58" s="208">
        <f t="shared" si="16"/>
        <v>2273.3138861966377</v>
      </c>
      <c r="H58" s="208">
        <f t="shared" si="16"/>
        <v>14918.583032658806</v>
      </c>
      <c r="L58" s="190"/>
    </row>
    <row r="59" spans="1:12" x14ac:dyDescent="0.2">
      <c r="L59" s="190"/>
    </row>
    <row r="60" spans="1:12" x14ac:dyDescent="0.2">
      <c r="B60" s="153" t="s">
        <v>271</v>
      </c>
      <c r="L60" s="190"/>
    </row>
    <row r="61" spans="1:12" ht="15" thickBot="1" x14ac:dyDescent="0.25">
      <c r="B61" s="206" t="s">
        <v>235</v>
      </c>
      <c r="C61" s="206" t="s">
        <v>236</v>
      </c>
      <c r="D61" s="206" t="s">
        <v>237</v>
      </c>
      <c r="E61" s="206" t="s">
        <v>238</v>
      </c>
      <c r="F61" s="206" t="s">
        <v>239</v>
      </c>
      <c r="G61" s="206" t="s">
        <v>240</v>
      </c>
      <c r="H61" s="206" t="s">
        <v>36</v>
      </c>
      <c r="L61" s="190"/>
    </row>
    <row r="62" spans="1:12" ht="15" thickBot="1" x14ac:dyDescent="0.25">
      <c r="B62" s="206" t="str">
        <f>'C | PTRM escalation'!B26</f>
        <v>DN250 AC Mitigation (Oakey to Bellbird Park)</v>
      </c>
      <c r="C62" s="207" cm="1">
        <f t="array" ref="C62">INDEX('C | PTRM escalation'!BP$11:BP$161,MATCH($B62,'C | PTRM escalation'!$B$11:$B$161,0),0)/1000</f>
        <v>288.30590247595148</v>
      </c>
      <c r="D62" s="207" cm="1">
        <f t="array" ref="D62">INDEX('C | PTRM escalation'!BQ$11:BQ$161,MATCH($B62,'C | PTRM escalation'!$B$11:$B$161,0),0)/1000</f>
        <v>288.83178329144801</v>
      </c>
      <c r="E62" s="207" cm="1">
        <f t="array" ref="E62">INDEX('C | PTRM escalation'!BR$11:BR$161,MATCH($B62,'C | PTRM escalation'!$B$11:$B$161,0),0)/1000</f>
        <v>289.70828992438805</v>
      </c>
      <c r="F62" s="207" cm="1">
        <f t="array" ref="F62">INDEX('C | PTRM escalation'!BS$11:BS$161,MATCH($B62,'C | PTRM escalation'!$B$11:$B$161,0),0)/1000</f>
        <v>290.89275826483095</v>
      </c>
      <c r="G62" s="207" cm="1">
        <f t="array" ref="G62">INDEX('C | PTRM escalation'!BT$11:BT$161,MATCH($B62,'C | PTRM escalation'!$B$11:$B$161,0),0)/1000</f>
        <v>291.61080940350774</v>
      </c>
      <c r="H62" s="204">
        <f>SUM(C62:G62)</f>
        <v>1449.3495433601263</v>
      </c>
      <c r="L62" s="190"/>
    </row>
    <row r="63" spans="1:12" x14ac:dyDescent="0.2">
      <c r="L63" s="190"/>
    </row>
    <row r="64" spans="1:12" ht="18.75" thickBot="1" x14ac:dyDescent="0.3">
      <c r="A64" s="200" t="s">
        <v>275</v>
      </c>
    </row>
    <row r="65" spans="1:16" ht="26.25" thickTop="1" x14ac:dyDescent="0.2">
      <c r="B65" s="165" t="s">
        <v>274</v>
      </c>
    </row>
    <row r="66" spans="1:16" ht="15" thickBot="1" x14ac:dyDescent="0.25">
      <c r="B66" s="206" t="s">
        <v>235</v>
      </c>
      <c r="C66" s="206" t="s">
        <v>236</v>
      </c>
      <c r="D66" s="206" t="s">
        <v>237</v>
      </c>
      <c r="E66" s="206" t="s">
        <v>238</v>
      </c>
      <c r="F66" s="206" t="s">
        <v>239</v>
      </c>
      <c r="G66" s="206" t="s">
        <v>240</v>
      </c>
      <c r="H66" s="206" t="s">
        <v>36</v>
      </c>
    </row>
    <row r="67" spans="1:16" ht="15" thickBot="1" x14ac:dyDescent="0.25">
      <c r="B67" s="206" t="str">
        <f>'C | PTRM escalation'!B28</f>
        <v>Gowrie Creek flood protection</v>
      </c>
      <c r="C67" s="207" cm="1">
        <f t="array" ref="C67">INDEX('C | PTRM escalation'!BP$11:BP$161,MATCH($B67,'C | PTRM escalation'!$B$11:$B$161,0),0)/1000</f>
        <v>10379.012489134253</v>
      </c>
      <c r="D67" s="207" cm="1">
        <f t="array" ref="D67">INDEX('C | PTRM escalation'!BQ$11:BQ$161,MATCH($B67,'C | PTRM escalation'!$B$11:$B$161,0),0)/1000</f>
        <v>0</v>
      </c>
      <c r="E67" s="207" cm="1">
        <f t="array" ref="E67">INDEX('C | PTRM escalation'!BR$11:BR$161,MATCH($B67,'C | PTRM escalation'!$B$11:$B$161,0),0)/1000</f>
        <v>0</v>
      </c>
      <c r="F67" s="207" cm="1">
        <f t="array" ref="F67">INDEX('C | PTRM escalation'!BS$11:BS$161,MATCH($B67,'C | PTRM escalation'!$B$11:$B$161,0),0)/1000</f>
        <v>0</v>
      </c>
      <c r="G67" s="207" cm="1">
        <f t="array" ref="G67">INDEX('C | PTRM escalation'!BT$11:BT$161,MATCH($B67,'C | PTRM escalation'!$B$11:$B$161,0),0)/1000</f>
        <v>0</v>
      </c>
      <c r="H67" s="204">
        <f>SUM(C67:G67)</f>
        <v>10379.012489134253</v>
      </c>
    </row>
    <row r="69" spans="1:16" ht="18.75" thickBot="1" x14ac:dyDescent="0.3">
      <c r="A69" s="200" t="s">
        <v>234</v>
      </c>
    </row>
    <row r="70" spans="1:16" ht="46.5" thickTop="1" thickBot="1" x14ac:dyDescent="0.25">
      <c r="B70" s="150" t="s">
        <v>235</v>
      </c>
      <c r="C70" s="150" t="s">
        <v>236</v>
      </c>
      <c r="D70" s="150" t="s">
        <v>237</v>
      </c>
      <c r="E70" s="150" t="s">
        <v>238</v>
      </c>
      <c r="F70" s="150" t="s">
        <v>239</v>
      </c>
      <c r="G70" s="150" t="s">
        <v>240</v>
      </c>
      <c r="H70" s="150" t="s">
        <v>36</v>
      </c>
      <c r="J70" s="150" t="s">
        <v>242</v>
      </c>
    </row>
    <row r="71" spans="1:16" ht="15.75" thickBot="1" x14ac:dyDescent="0.25">
      <c r="B71" s="151" t="s">
        <v>61</v>
      </c>
      <c r="C71" s="207" cm="1">
        <f t="array" ref="C71">INDEX('C | PTRM escalation'!BP$11:BP$161,MATCH($J71,'C | PTRM escalation'!$B$11:$B$161,0),0)/1000</f>
        <v>461.28944396152235</v>
      </c>
      <c r="D71" s="207" cm="1">
        <f t="array" ref="D71">INDEX('C | PTRM escalation'!BQ$11:BQ$161,MATCH($J71,'C | PTRM escalation'!$B$11:$B$161,0),0)/1000</f>
        <v>0</v>
      </c>
      <c r="E71" s="207" cm="1">
        <f t="array" ref="E71">INDEX('C | PTRM escalation'!BR$11:BR$161,MATCH($J71,'C | PTRM escalation'!$B$11:$B$161,0),0)/1000</f>
        <v>0</v>
      </c>
      <c r="F71" s="207" cm="1">
        <f t="array" ref="F71">INDEX('C | PTRM escalation'!BS$11:BS$161,MATCH($J71,'C | PTRM escalation'!$B$11:$B$161,0),0)/1000</f>
        <v>0</v>
      </c>
      <c r="G71" s="207" cm="1">
        <f t="array" ref="G71">INDEX('C | PTRM escalation'!BT$11:BT$161,MATCH($J71,'C | PTRM escalation'!$B$11:$B$161,0),0)/1000</f>
        <v>0</v>
      </c>
      <c r="H71" s="210">
        <f>SUM(C71:G71)</f>
        <v>461.28944396152235</v>
      </c>
      <c r="J71" t="str">
        <f>B71</f>
        <v>Woodroyd - GC &amp; Moisture Analyser</v>
      </c>
    </row>
    <row r="72" spans="1:16" ht="15.75" thickBot="1" x14ac:dyDescent="0.25">
      <c r="B72" s="152" t="s">
        <v>62</v>
      </c>
      <c r="C72" s="205" cm="1">
        <f t="array" ref="C72">INDEX('C | PTRM escalation'!BP$11:BP$161,MATCH($J72,'C | PTRM escalation'!$B$11:$B$161,0),0)/1000</f>
        <v>0</v>
      </c>
      <c r="D72" s="205" cm="1">
        <f t="array" ref="D72">INDEX('C | PTRM escalation'!BQ$11:BQ$161,MATCH($J72,'C | PTRM escalation'!$B$11:$B$161,0),0)/1000</f>
        <v>462.13085326631693</v>
      </c>
      <c r="E72" s="205" cm="1">
        <f t="array" ref="E72">INDEX('C | PTRM escalation'!BR$11:BR$161,MATCH($J72,'C | PTRM escalation'!$B$11:$B$161,0),0)/1000</f>
        <v>0</v>
      </c>
      <c r="F72" s="205" cm="1">
        <f t="array" ref="F72">INDEX('C | PTRM escalation'!BS$11:BS$161,MATCH($J72,'C | PTRM escalation'!$B$11:$B$161,0),0)/1000</f>
        <v>0</v>
      </c>
      <c r="G72" s="205" cm="1">
        <f t="array" ref="G72">INDEX('C | PTRM escalation'!BT$11:BT$161,MATCH($J72,'C | PTRM escalation'!$B$11:$B$161,0),0)/1000</f>
        <v>0</v>
      </c>
      <c r="H72" s="210">
        <f t="shared" ref="H72:H77" si="17">SUM(C72:G72)</f>
        <v>462.13085326631693</v>
      </c>
      <c r="J72" t="str">
        <f t="shared" ref="J72:J76" si="18">B72</f>
        <v>Scotia - GC &amp; Moisture Analyser</v>
      </c>
    </row>
    <row r="73" spans="1:16" ht="15.75" thickBot="1" x14ac:dyDescent="0.25">
      <c r="B73" s="152" t="s">
        <v>63</v>
      </c>
      <c r="C73" s="207" cm="1">
        <f t="array" ref="C73">INDEX('C | PTRM escalation'!BP$11:BP$161,MATCH($J73,'C | PTRM escalation'!$B$11:$B$161,0),0)/1000</f>
        <v>0</v>
      </c>
      <c r="D73" s="207" cm="1">
        <f t="array" ref="D73">INDEX('C | PTRM escalation'!BQ$11:BQ$161,MATCH($J73,'C | PTRM escalation'!$B$11:$B$161,0),0)/1000</f>
        <v>0</v>
      </c>
      <c r="E73" s="207" cm="1">
        <f t="array" ref="E73">INDEX('C | PTRM escalation'!BR$11:BR$161,MATCH($J73,'C | PTRM escalation'!$B$11:$B$161,0),0)/1000</f>
        <v>289.70828992438805</v>
      </c>
      <c r="F73" s="207" cm="1">
        <f t="array" ref="F73">INDEX('C | PTRM escalation'!BS$11:BS$161,MATCH($J73,'C | PTRM escalation'!$B$11:$B$161,0),0)/1000</f>
        <v>0</v>
      </c>
      <c r="G73" s="207" cm="1">
        <f t="array" ref="G73">INDEX('C | PTRM escalation'!BT$11:BT$161,MATCH($J73,'C | PTRM escalation'!$B$11:$B$161,0),0)/1000</f>
        <v>0</v>
      </c>
      <c r="H73" s="210">
        <f t="shared" si="17"/>
        <v>289.70828992438805</v>
      </c>
      <c r="J73" t="str">
        <f t="shared" si="18"/>
        <v>Ellengrove GC Upgrade</v>
      </c>
    </row>
    <row r="74" spans="1:16" ht="15.75" thickBot="1" x14ac:dyDescent="0.25">
      <c r="B74" s="152" t="s">
        <v>64</v>
      </c>
      <c r="C74" s="205" cm="1">
        <f t="array" ref="C74">INDEX('C | PTRM escalation'!BP$11:BP$161,MATCH($J74,'C | PTRM escalation'!$B$11:$B$161,0),0)/1000</f>
        <v>0</v>
      </c>
      <c r="D74" s="205" cm="1">
        <f t="array" ref="D74">INDEX('C | PTRM escalation'!BQ$11:BQ$161,MATCH($J74,'C | PTRM escalation'!$B$11:$B$161,0),0)/1000</f>
        <v>0</v>
      </c>
      <c r="E74" s="205" cm="1">
        <f t="array" ref="E74">INDEX('C | PTRM escalation'!BR$11:BR$161,MATCH($J74,'C | PTRM escalation'!$B$11:$B$161,0),0)/1000</f>
        <v>0</v>
      </c>
      <c r="F74" s="205" cm="1">
        <f t="array" ref="F74">INDEX('C | PTRM escalation'!BS$11:BS$161,MATCH($J74,'C | PTRM escalation'!$B$11:$B$161,0),0)/1000</f>
        <v>232.71420661186477</v>
      </c>
      <c r="G74" s="205" cm="1">
        <f t="array" ref="G74">INDEX('C | PTRM escalation'!BT$11:BT$161,MATCH($J74,'C | PTRM escalation'!$B$11:$B$161,0),0)/1000</f>
        <v>0</v>
      </c>
      <c r="H74" s="210">
        <f t="shared" si="17"/>
        <v>232.71420661186477</v>
      </c>
      <c r="J74" t="str">
        <f t="shared" si="18"/>
        <v>Brightview GC Upgrade</v>
      </c>
    </row>
    <row r="75" spans="1:16" ht="15.75" thickBot="1" x14ac:dyDescent="0.25">
      <c r="B75" s="152" t="s">
        <v>65</v>
      </c>
      <c r="C75" s="207" cm="1">
        <f t="array" ref="C75">INDEX('C | PTRM escalation'!BP$11:BP$161,MATCH($J75,'C | PTRM escalation'!$B$11:$B$161,0),0)/1000</f>
        <v>0</v>
      </c>
      <c r="D75" s="207" cm="1">
        <f t="array" ref="D75">INDEX('C | PTRM escalation'!BQ$11:BQ$161,MATCH($J75,'C | PTRM escalation'!$B$11:$B$161,0),0)/1000</f>
        <v>0</v>
      </c>
      <c r="E75" s="207" cm="1">
        <f t="array" ref="E75">INDEX('C | PTRM escalation'!BR$11:BR$161,MATCH($J75,'C | PTRM escalation'!$B$11:$B$161,0),0)/1000</f>
        <v>0</v>
      </c>
      <c r="F75" s="207" cm="1">
        <f t="array" ref="F75">INDEX('C | PTRM escalation'!BS$11:BS$161,MATCH($J75,'C | PTRM escalation'!$B$11:$B$161,0),0)/1000</f>
        <v>0</v>
      </c>
      <c r="G75" s="207" cm="1">
        <f t="array" ref="G75">INDEX('C | PTRM escalation'!BT$11:BT$161,MATCH($J75,'C | PTRM escalation'!$B$11:$B$161,0),0)/1000</f>
        <v>163.30205326596433</v>
      </c>
      <c r="H75" s="210">
        <f t="shared" si="17"/>
        <v>163.30205326596433</v>
      </c>
      <c r="J75" t="str">
        <f t="shared" si="18"/>
        <v>Redbank Plains - Turbine Meter Upgrade</v>
      </c>
      <c r="P75" s="209"/>
    </row>
    <row r="76" spans="1:16" ht="15.75" thickBot="1" x14ac:dyDescent="0.25">
      <c r="B76" s="152" t="s">
        <v>66</v>
      </c>
      <c r="C76" s="205" cm="1">
        <f t="array" ref="C76">INDEX('C | PTRM escalation'!BP$11:BP$161,MATCH($J76,'C | PTRM escalation'!$B$11:$B$161,0),0)/1000</f>
        <v>0</v>
      </c>
      <c r="D76" s="205" cm="1">
        <f t="array" ref="D76">INDEX('C | PTRM escalation'!BQ$11:BQ$161,MATCH($J76,'C | PTRM escalation'!$B$11:$B$161,0),0)/1000</f>
        <v>0</v>
      </c>
      <c r="E76" s="205" cm="1">
        <f t="array" ref="E76">INDEX('C | PTRM escalation'!BR$11:BR$161,MATCH($J76,'C | PTRM escalation'!$B$11:$B$161,0),0)/1000</f>
        <v>0</v>
      </c>
      <c r="F76" s="205" cm="1">
        <f t="array" ref="F76">INDEX('C | PTRM escalation'!BS$11:BS$161,MATCH($J76,'C | PTRM escalation'!$B$11:$B$161,0),0)/1000</f>
        <v>0</v>
      </c>
      <c r="G76" s="205" cm="1">
        <f t="array" ref="G76">INDEX('C | PTRM escalation'!BT$11:BT$161,MATCH($J76,'C | PTRM escalation'!$B$11:$B$161,0),0)/1000</f>
        <v>233.28864752280617</v>
      </c>
      <c r="H76" s="210">
        <f t="shared" si="17"/>
        <v>233.28864752280617</v>
      </c>
      <c r="J76" t="str">
        <f t="shared" si="18"/>
        <v>Toowoomba - Turbine Meter Upgrade</v>
      </c>
      <c r="P76" s="209"/>
    </row>
    <row r="77" spans="1:16" ht="15.75" thickBot="1" x14ac:dyDescent="0.25">
      <c r="B77" s="152" t="s">
        <v>60</v>
      </c>
      <c r="C77" s="194" cm="1">
        <f t="array" ref="C77">INDEX('C | PTRM escalation'!BP$11:BP$161,MATCH($J77,'C | PTRM escalation'!$B$11:$B$161,0),0)/1000</f>
        <v>403.6282634663321</v>
      </c>
      <c r="D77" s="194" cm="1">
        <f t="array" ref="D77">INDEX('C | PTRM escalation'!BQ$11:BQ$161,MATCH($J77,'C | PTRM escalation'!$B$11:$B$161,0),0)/1000</f>
        <v>404.36449660802731</v>
      </c>
      <c r="E77" s="194" cm="1">
        <f t="array" ref="E77">INDEX('C | PTRM escalation'!BR$11:BR$161,MATCH($J77,'C | PTRM escalation'!$B$11:$B$161,0),0)/1000</f>
        <v>405.5916058941433</v>
      </c>
      <c r="F77" s="194" cm="1">
        <f t="array" ref="F77">INDEX('C | PTRM escalation'!BS$11:BS$161,MATCH($J77,'C | PTRM escalation'!$B$11:$B$161,0),0)/1000</f>
        <v>407.24986157076336</v>
      </c>
      <c r="G77" s="194" cm="1">
        <f t="array" ref="G77">INDEX('C | PTRM escalation'!BT$11:BT$161,MATCH($J77,'C | PTRM escalation'!$B$11:$B$161,0),0)/1000</f>
        <v>408.25513316491083</v>
      </c>
      <c r="H77" s="169">
        <f t="shared" si="17"/>
        <v>2029.0893607041771</v>
      </c>
      <c r="J77" t="s">
        <v>60</v>
      </c>
      <c r="P77" s="209"/>
    </row>
    <row r="78" spans="1:16" ht="15.75" thickBot="1" x14ac:dyDescent="0.25">
      <c r="B78" s="152" t="s">
        <v>241</v>
      </c>
      <c r="C78" s="159">
        <f>SUM(C71:C77)</f>
        <v>864.91770742785445</v>
      </c>
      <c r="D78" s="159">
        <v>750</v>
      </c>
      <c r="E78" s="159">
        <v>600</v>
      </c>
      <c r="F78" s="159">
        <v>550</v>
      </c>
      <c r="G78" s="159">
        <v>690</v>
      </c>
      <c r="H78" s="160">
        <f>SUM(H71:H77)</f>
        <v>3871.5228552570397</v>
      </c>
      <c r="P78" s="209"/>
    </row>
    <row r="80" spans="1:16" ht="18.75" thickBot="1" x14ac:dyDescent="0.3">
      <c r="A80" s="200" t="s">
        <v>243</v>
      </c>
    </row>
    <row r="81" spans="1:15" ht="15" thickTop="1" x14ac:dyDescent="0.2">
      <c r="B81" s="153" t="s">
        <v>244</v>
      </c>
    </row>
    <row r="82" spans="1:15" ht="15.75" thickBot="1" x14ac:dyDescent="0.25">
      <c r="B82" s="150" t="s">
        <v>235</v>
      </c>
      <c r="C82" s="150" t="s">
        <v>236</v>
      </c>
      <c r="D82" s="150" t="s">
        <v>237</v>
      </c>
      <c r="E82" s="150" t="s">
        <v>238</v>
      </c>
      <c r="F82" s="150" t="s">
        <v>239</v>
      </c>
      <c r="G82" s="150" t="s">
        <v>240</v>
      </c>
      <c r="H82" s="150" t="s">
        <v>36</v>
      </c>
    </row>
    <row r="83" spans="1:15" ht="15.75" thickBot="1" x14ac:dyDescent="0.25">
      <c r="B83" s="154" t="s">
        <v>93</v>
      </c>
      <c r="C83" s="207" cm="1">
        <f t="array" ref="C83">INDEX('C | PTRM escalation'!BP$11:BP$161,MATCH($J83,'C | PTRM escalation'!$B$11:$B$161,0),0)/1000</f>
        <v>230.64472198076118</v>
      </c>
      <c r="D83" s="207" cm="1">
        <f t="array" ref="D83">INDEX('C | PTRM escalation'!BQ$11:BQ$161,MATCH($J83,'C | PTRM escalation'!$B$11:$B$161,0),0)/1000</f>
        <v>231.06542663315847</v>
      </c>
      <c r="E83" s="207" cm="1">
        <f t="array" ref="E83">INDEX('C | PTRM escalation'!BR$11:BR$161,MATCH($J83,'C | PTRM escalation'!$B$11:$B$161,0),0)/1000</f>
        <v>231.76663193951043</v>
      </c>
      <c r="F83" s="207" cm="1">
        <f t="array" ref="F83">INDEX('C | PTRM escalation'!BS$11:BS$161,MATCH($J83,'C | PTRM escalation'!$B$11:$B$161,0),0)/1000</f>
        <v>232.71420661186477</v>
      </c>
      <c r="G83" s="207" cm="1">
        <f t="array" ref="G83">INDEX('C | PTRM escalation'!BT$11:BT$161,MATCH($J83,'C | PTRM escalation'!$B$11:$B$161,0),0)/1000</f>
        <v>233.28864752280617</v>
      </c>
      <c r="H83" s="210">
        <f>SUM(C83:G83)</f>
        <v>1159.4796346881008</v>
      </c>
      <c r="J83" t="str">
        <f>B83</f>
        <v>Earthing upgrades</v>
      </c>
    </row>
    <row r="84" spans="1:15" ht="15.75" thickBot="1" x14ac:dyDescent="0.25">
      <c r="B84" s="156" t="s">
        <v>59</v>
      </c>
      <c r="C84" s="205" cm="1">
        <f t="array" ref="C84">INDEX('C | PTRM escalation'!BP$11:BP$161,MATCH($J84,'C | PTRM escalation'!$B$11:$B$161,0),0)/1000</f>
        <v>230.64472198076118</v>
      </c>
      <c r="D84" s="205" cm="1">
        <f t="array" ref="D84">INDEX('C | PTRM escalation'!BQ$11:BQ$161,MATCH($J84,'C | PTRM escalation'!$B$11:$B$161,0),0)/1000</f>
        <v>231.06542663315847</v>
      </c>
      <c r="E84" s="205" cm="1">
        <f t="array" ref="E84">INDEX('C | PTRM escalation'!BR$11:BR$161,MATCH($J84,'C | PTRM escalation'!$B$11:$B$161,0),0)/1000</f>
        <v>231.76663193951043</v>
      </c>
      <c r="F84" s="205" cm="1">
        <f t="array" ref="F84">INDEX('C | PTRM escalation'!BS$11:BS$161,MATCH($J84,'C | PTRM escalation'!$B$11:$B$161,0),0)/1000</f>
        <v>232.71420661186477</v>
      </c>
      <c r="G84" s="205" cm="1">
        <f t="array" ref="G84">INDEX('C | PTRM escalation'!BT$11:BT$161,MATCH($J84,'C | PTRM escalation'!$B$11:$B$161,0),0)/1000</f>
        <v>233.28864752280617</v>
      </c>
      <c r="H84" s="210">
        <f>SUM(C84:G84)</f>
        <v>1159.4796346881008</v>
      </c>
      <c r="J84" t="str">
        <f>B84</f>
        <v>Station Painting</v>
      </c>
    </row>
    <row r="85" spans="1:15" ht="15.75" thickBot="1" x14ac:dyDescent="0.25">
      <c r="B85" s="157" t="s">
        <v>241</v>
      </c>
      <c r="C85" s="159">
        <f>SUM(C83:C84)</f>
        <v>461.28944396152235</v>
      </c>
      <c r="D85" s="159">
        <f t="shared" ref="D85:G85" si="19">SUM(D83:D84)</f>
        <v>462.13085326631693</v>
      </c>
      <c r="E85" s="159">
        <f t="shared" si="19"/>
        <v>463.53326387902086</v>
      </c>
      <c r="F85" s="159">
        <f t="shared" si="19"/>
        <v>465.42841322372954</v>
      </c>
      <c r="G85" s="159">
        <f t="shared" si="19"/>
        <v>466.57729504561235</v>
      </c>
      <c r="H85" s="160">
        <f>SUM(C85:G85)</f>
        <v>2318.9592693762015</v>
      </c>
    </row>
    <row r="87" spans="1:15" x14ac:dyDescent="0.2">
      <c r="B87" s="153" t="s">
        <v>245</v>
      </c>
    </row>
    <row r="88" spans="1:15" ht="15.75" thickBot="1" x14ac:dyDescent="0.25">
      <c r="B88" s="150" t="s">
        <v>235</v>
      </c>
      <c r="C88" s="150" t="s">
        <v>236</v>
      </c>
      <c r="D88" s="150" t="s">
        <v>237</v>
      </c>
      <c r="E88" s="150" t="s">
        <v>238</v>
      </c>
      <c r="F88" s="150" t="s">
        <v>239</v>
      </c>
      <c r="G88" s="150" t="s">
        <v>240</v>
      </c>
      <c r="H88" s="150" t="s">
        <v>36</v>
      </c>
    </row>
    <row r="89" spans="1:15" ht="15.75" thickBot="1" x14ac:dyDescent="0.25">
      <c r="B89" s="161" t="s">
        <v>93</v>
      </c>
      <c r="C89" s="158" cm="1">
        <f t="array" ref="C89">INDEX('C | PTRM escalation'!BP$11:BP$161,MATCH($J89,'C | PTRM escalation'!$B$11:$B$161,0),0)/1000</f>
        <v>230.64472198076118</v>
      </c>
      <c r="D89" s="158" cm="1">
        <f t="array" ref="D89">INDEX('C | PTRM escalation'!BQ$11:BQ$161,MATCH($J89,'C | PTRM escalation'!$B$11:$B$161,0),0)/1000</f>
        <v>231.06542663315847</v>
      </c>
      <c r="E89" s="158" cm="1">
        <f t="array" ref="E89">INDEX('C | PTRM escalation'!BR$11:BR$161,MATCH($J89,'C | PTRM escalation'!$B$11:$B$161,0),0)/1000</f>
        <v>231.76663193951043</v>
      </c>
      <c r="F89" s="158" cm="1">
        <f t="array" ref="F89">INDEX('C | PTRM escalation'!BS$11:BS$161,MATCH($J89,'C | PTRM escalation'!$B$11:$B$161,0),0)/1000</f>
        <v>232.71420661186477</v>
      </c>
      <c r="G89" s="158" cm="1">
        <f t="array" ref="G89">INDEX('C | PTRM escalation'!BT$11:BT$161,MATCH($J89,'C | PTRM escalation'!$B$11:$B$161,0),0)/1000</f>
        <v>233.28864752280617</v>
      </c>
      <c r="H89" s="155">
        <f>SUM(C89:G89)</f>
        <v>1159.4796346881008</v>
      </c>
      <c r="J89" t="s">
        <v>93</v>
      </c>
      <c r="O89" s="189"/>
    </row>
    <row r="91" spans="1:15" x14ac:dyDescent="0.2">
      <c r="B91" s="153" t="s">
        <v>246</v>
      </c>
    </row>
    <row r="92" spans="1:15" ht="15.75" thickBot="1" x14ac:dyDescent="0.25">
      <c r="B92" s="150" t="s">
        <v>235</v>
      </c>
      <c r="C92" s="150" t="s">
        <v>236</v>
      </c>
      <c r="D92" s="150" t="s">
        <v>237</v>
      </c>
      <c r="E92" s="150" t="s">
        <v>238</v>
      </c>
      <c r="F92" s="150" t="s">
        <v>239</v>
      </c>
      <c r="G92" s="150" t="s">
        <v>240</v>
      </c>
      <c r="H92" s="150" t="s">
        <v>36</v>
      </c>
    </row>
    <row r="93" spans="1:15" ht="15.75" thickBot="1" x14ac:dyDescent="0.25">
      <c r="B93" s="162" t="s">
        <v>59</v>
      </c>
      <c r="C93" s="158" cm="1">
        <f t="array" ref="C93">INDEX('C | PTRM escalation'!BP$11:BP$161,MATCH($J93,'C | PTRM escalation'!$B$11:$B$161,0),0)/1000</f>
        <v>230.64472198076118</v>
      </c>
      <c r="D93" s="158" cm="1">
        <f t="array" ref="D93">INDEX('C | PTRM escalation'!BQ$11:BQ$161,MATCH($J93,'C | PTRM escalation'!$B$11:$B$161,0),0)/1000</f>
        <v>231.06542663315847</v>
      </c>
      <c r="E93" s="158" cm="1">
        <f t="array" ref="E93">INDEX('C | PTRM escalation'!BR$11:BR$161,MATCH($J93,'C | PTRM escalation'!$B$11:$B$161,0),0)/1000</f>
        <v>231.76663193951043</v>
      </c>
      <c r="F93" s="158" cm="1">
        <f t="array" ref="F93">INDEX('C | PTRM escalation'!BS$11:BS$161,MATCH($J93,'C | PTRM escalation'!$B$11:$B$161,0),0)/1000</f>
        <v>232.71420661186477</v>
      </c>
      <c r="G93" s="158" cm="1">
        <f t="array" ref="G93">INDEX('C | PTRM escalation'!BT$11:BT$161,MATCH($J93,'C | PTRM escalation'!$B$11:$B$161,0),0)/1000</f>
        <v>233.28864752280617</v>
      </c>
      <c r="H93" s="155">
        <f>SUM(C93:G93)</f>
        <v>1159.4796346881008</v>
      </c>
      <c r="J93" t="str">
        <f>B93</f>
        <v>Station Painting</v>
      </c>
    </row>
    <row r="95" spans="1:15" ht="18.75" thickBot="1" x14ac:dyDescent="0.3">
      <c r="A95" s="200" t="s">
        <v>243</v>
      </c>
    </row>
    <row r="96" spans="1:15" ht="15" thickTop="1" x14ac:dyDescent="0.2">
      <c r="B96" s="153" t="s">
        <v>276</v>
      </c>
    </row>
    <row r="97" spans="2:8" ht="15" thickBot="1" x14ac:dyDescent="0.25">
      <c r="B97" s="211" t="s">
        <v>235</v>
      </c>
      <c r="C97" s="211" t="s">
        <v>236</v>
      </c>
      <c r="D97" s="211" t="s">
        <v>237</v>
      </c>
      <c r="E97" s="211" t="s">
        <v>238</v>
      </c>
      <c r="F97" s="211" t="s">
        <v>239</v>
      </c>
      <c r="G97" s="211" t="s">
        <v>240</v>
      </c>
      <c r="H97" s="211" t="s">
        <v>36</v>
      </c>
    </row>
    <row r="98" spans="2:8" ht="15" thickBot="1" x14ac:dyDescent="0.25">
      <c r="B98" s="212" t="str">
        <f>B109</f>
        <v>Lytton Valve replacement DN300 &amp; DN200</v>
      </c>
      <c r="C98" s="207">
        <f>C109</f>
        <v>0</v>
      </c>
      <c r="D98" s="207">
        <f t="shared" ref="D98:G98" si="20">D109</f>
        <v>0</v>
      </c>
      <c r="E98" s="207">
        <f t="shared" si="20"/>
        <v>0</v>
      </c>
      <c r="F98" s="207">
        <f t="shared" si="20"/>
        <v>116.35710330593238</v>
      </c>
      <c r="G98" s="207">
        <f t="shared" si="20"/>
        <v>116.64432376140309</v>
      </c>
      <c r="H98" s="204">
        <f>SUM(C98:G98)</f>
        <v>233.00142706733547</v>
      </c>
    </row>
    <row r="99" spans="2:8" ht="15" thickBot="1" x14ac:dyDescent="0.25">
      <c r="B99" s="206" t="str">
        <f>B113</f>
        <v>Replacement for Crane truck</v>
      </c>
      <c r="C99" s="205">
        <f>C113</f>
        <v>0</v>
      </c>
      <c r="D99" s="205">
        <f t="shared" ref="D99:G99" si="21">D113</f>
        <v>288.83178329144801</v>
      </c>
      <c r="E99" s="205">
        <f t="shared" si="21"/>
        <v>0</v>
      </c>
      <c r="F99" s="205">
        <f t="shared" si="21"/>
        <v>0</v>
      </c>
      <c r="G99" s="205">
        <f t="shared" si="21"/>
        <v>0</v>
      </c>
      <c r="H99" s="204">
        <f t="shared" ref="H99:H104" si="22">SUM(C99:G99)</f>
        <v>288.83178329144801</v>
      </c>
    </row>
    <row r="100" spans="2:8" ht="15" thickBot="1" x14ac:dyDescent="0.25">
      <c r="B100" s="213" t="str">
        <f>B117</f>
        <v>Generator Upgrades</v>
      </c>
      <c r="C100" s="207">
        <f>C117</f>
        <v>0</v>
      </c>
      <c r="D100" s="207">
        <f t="shared" ref="D100:G100" si="23">D117</f>
        <v>0</v>
      </c>
      <c r="E100" s="207">
        <f t="shared" si="23"/>
        <v>0</v>
      </c>
      <c r="F100" s="207">
        <f t="shared" si="23"/>
        <v>116.35710330593238</v>
      </c>
      <c r="G100" s="207">
        <f t="shared" si="23"/>
        <v>116.64432376140309</v>
      </c>
      <c r="H100" s="204">
        <f t="shared" si="22"/>
        <v>233.00142706733547</v>
      </c>
    </row>
    <row r="101" spans="2:8" ht="15" thickBot="1" x14ac:dyDescent="0.25">
      <c r="B101" s="213" t="str">
        <f>B121</f>
        <v>SDV at Condamine</v>
      </c>
      <c r="C101" s="205">
        <f>C121</f>
        <v>0</v>
      </c>
      <c r="D101" s="205">
        <f t="shared" ref="D101:G101" si="24">D121</f>
        <v>0</v>
      </c>
      <c r="E101" s="205">
        <f t="shared" si="24"/>
        <v>115.88331596975522</v>
      </c>
      <c r="F101" s="205">
        <f t="shared" si="24"/>
        <v>0</v>
      </c>
      <c r="G101" s="205">
        <f t="shared" si="24"/>
        <v>0</v>
      </c>
      <c r="H101" s="204">
        <f t="shared" si="22"/>
        <v>115.88331596975522</v>
      </c>
    </row>
    <row r="102" spans="2:8" ht="15" thickBot="1" x14ac:dyDescent="0.25">
      <c r="B102" s="213" t="str">
        <f>B125</f>
        <v>Woodroy, Arubial &amp; Scotia Actuators</v>
      </c>
      <c r="C102" s="207">
        <f>C125</f>
        <v>0</v>
      </c>
      <c r="D102" s="207">
        <f t="shared" ref="D102:G102" si="25">D125</f>
        <v>0</v>
      </c>
      <c r="E102" s="207">
        <f t="shared" si="25"/>
        <v>57.941657984877608</v>
      </c>
      <c r="F102" s="207">
        <f t="shared" si="25"/>
        <v>58.178551652966192</v>
      </c>
      <c r="G102" s="207">
        <f t="shared" si="25"/>
        <v>58.322161880701543</v>
      </c>
      <c r="H102" s="204">
        <f t="shared" si="22"/>
        <v>174.44237151854534</v>
      </c>
    </row>
    <row r="103" spans="2:8" ht="15" thickBot="1" x14ac:dyDescent="0.25">
      <c r="B103" s="213" t="str">
        <f>B129</f>
        <v>Dalby CS control room footings</v>
      </c>
      <c r="C103" s="205">
        <f>C129</f>
        <v>0</v>
      </c>
      <c r="D103" s="205">
        <f t="shared" ref="D103:G103" si="26">D129</f>
        <v>115.53271331657923</v>
      </c>
      <c r="E103" s="205">
        <f t="shared" si="26"/>
        <v>0</v>
      </c>
      <c r="F103" s="205">
        <f t="shared" si="26"/>
        <v>0</v>
      </c>
      <c r="G103" s="205">
        <f t="shared" si="26"/>
        <v>0</v>
      </c>
      <c r="H103" s="204">
        <f t="shared" si="22"/>
        <v>115.53271331657923</v>
      </c>
    </row>
    <row r="104" spans="2:8" ht="15" thickBot="1" x14ac:dyDescent="0.25">
      <c r="B104" s="213" t="str">
        <f>B133</f>
        <v xml:space="preserve">Ellengrove Reliability </v>
      </c>
      <c r="C104" s="207">
        <f>C133</f>
        <v>0</v>
      </c>
      <c r="D104" s="207">
        <f t="shared" ref="D104:G104" si="27">D133</f>
        <v>0</v>
      </c>
      <c r="E104" s="207">
        <f t="shared" si="27"/>
        <v>0</v>
      </c>
      <c r="F104" s="207">
        <f t="shared" si="27"/>
        <v>2327.1420661186476</v>
      </c>
      <c r="G104" s="207">
        <f t="shared" si="27"/>
        <v>0</v>
      </c>
      <c r="H104" s="204">
        <f t="shared" si="22"/>
        <v>2327.1420661186476</v>
      </c>
    </row>
    <row r="105" spans="2:8" ht="15" thickBot="1" x14ac:dyDescent="0.25">
      <c r="B105" s="213" t="s">
        <v>281</v>
      </c>
      <c r="C105" s="208">
        <f t="shared" ref="C105:G105" si="28">SUM(C98:C104)</f>
        <v>0</v>
      </c>
      <c r="D105" s="208">
        <f t="shared" si="28"/>
        <v>404.36449660802725</v>
      </c>
      <c r="E105" s="208">
        <f t="shared" si="28"/>
        <v>173.82497395463281</v>
      </c>
      <c r="F105" s="208">
        <f t="shared" si="28"/>
        <v>2618.0348243834787</v>
      </c>
      <c r="G105" s="208">
        <f t="shared" si="28"/>
        <v>291.61080940350769</v>
      </c>
      <c r="H105" s="208">
        <f>SUM(H98:H104)</f>
        <v>3487.8351043496464</v>
      </c>
    </row>
    <row r="107" spans="2:8" ht="25.5" x14ac:dyDescent="0.2">
      <c r="B107" s="165" t="s">
        <v>282</v>
      </c>
    </row>
    <row r="108" spans="2:8" ht="15.75" thickBot="1" x14ac:dyDescent="0.25">
      <c r="B108" s="150" t="s">
        <v>235</v>
      </c>
      <c r="C108" s="150" t="s">
        <v>236</v>
      </c>
      <c r="D108" s="150" t="s">
        <v>237</v>
      </c>
      <c r="E108" s="150" t="s">
        <v>238</v>
      </c>
      <c r="F108" s="150" t="s">
        <v>277</v>
      </c>
      <c r="G108" s="150" t="s">
        <v>240</v>
      </c>
      <c r="H108" s="150" t="s">
        <v>36</v>
      </c>
    </row>
    <row r="109" spans="2:8" ht="15" thickBot="1" x14ac:dyDescent="0.25">
      <c r="B109" s="168" t="str">
        <f>'C | PTRM escalation'!B11</f>
        <v>Lytton Valve replacement DN300 &amp; DN200</v>
      </c>
      <c r="C109" s="207" cm="1">
        <f t="array" ref="C109">INDEX('C | PTRM escalation'!BP$11:BP$161,MATCH($B109,'C | PTRM escalation'!$B$11:$B$161,0),0)/1000</f>
        <v>0</v>
      </c>
      <c r="D109" s="207" cm="1">
        <f t="array" ref="D109">INDEX('C | PTRM escalation'!BQ$11:BQ$161,MATCH($B109,'C | PTRM escalation'!$B$11:$B$161,0),0)/1000</f>
        <v>0</v>
      </c>
      <c r="E109" s="207" cm="1">
        <f t="array" ref="E109">INDEX('C | PTRM escalation'!BR$11:BR$161,MATCH($B109,'C | PTRM escalation'!$B$11:$B$161,0),0)/1000</f>
        <v>0</v>
      </c>
      <c r="F109" s="207" cm="1">
        <f t="array" ref="F109">INDEX('C | PTRM escalation'!BS$11:BS$161,MATCH($B109,'C | PTRM escalation'!$B$11:$B$161,0),0)/1000</f>
        <v>116.35710330593238</v>
      </c>
      <c r="G109" s="207" cm="1">
        <f t="array" ref="G109">INDEX('C | PTRM escalation'!BT$11:BT$161,MATCH($B109,'C | PTRM escalation'!$B$11:$B$161,0),0)/1000</f>
        <v>116.64432376140309</v>
      </c>
      <c r="H109" s="204">
        <f>SUM(C109:G109)</f>
        <v>233.00142706733547</v>
      </c>
    </row>
    <row r="111" spans="2:8" ht="25.5" x14ac:dyDescent="0.2">
      <c r="B111" s="165" t="s">
        <v>283</v>
      </c>
    </row>
    <row r="112" spans="2:8" ht="15.75" thickBot="1" x14ac:dyDescent="0.25">
      <c r="B112" s="214" t="s">
        <v>235</v>
      </c>
      <c r="C112" s="214" t="s">
        <v>236</v>
      </c>
      <c r="D112" s="214" t="s">
        <v>237</v>
      </c>
      <c r="E112" s="214" t="s">
        <v>238</v>
      </c>
      <c r="F112" s="214" t="s">
        <v>277</v>
      </c>
      <c r="G112" s="214" t="s">
        <v>240</v>
      </c>
      <c r="H112" s="214" t="s">
        <v>36</v>
      </c>
    </row>
    <row r="113" spans="2:8" ht="15" thickBot="1" x14ac:dyDescent="0.25">
      <c r="B113" s="215" t="s">
        <v>278</v>
      </c>
      <c r="C113" s="207" cm="1">
        <f t="array" ref="C113">INDEX('C | PTRM escalation'!BP$11:BP$161,MATCH($B113,'C | PTRM escalation'!$B$11:$B$161,0),0)/1000</f>
        <v>0</v>
      </c>
      <c r="D113" s="207" cm="1">
        <f t="array" ref="D113">INDEX('C | PTRM escalation'!BQ$11:BQ$161,MATCH($B113,'C | PTRM escalation'!$B$11:$B$161,0),0)/1000</f>
        <v>288.83178329144801</v>
      </c>
      <c r="E113" s="207" cm="1">
        <f t="array" ref="E113">INDEX('C | PTRM escalation'!BR$11:BR$161,MATCH($B113,'C | PTRM escalation'!$B$11:$B$161,0),0)/1000</f>
        <v>0</v>
      </c>
      <c r="F113" s="207" cm="1">
        <f t="array" ref="F113">INDEX('C | PTRM escalation'!BS$11:BS$161,MATCH($B113,'C | PTRM escalation'!$B$11:$B$161,0),0)/1000</f>
        <v>0</v>
      </c>
      <c r="G113" s="207" cm="1">
        <f t="array" ref="G113">INDEX('C | PTRM escalation'!BT$11:BT$161,MATCH($B113,'C | PTRM escalation'!$B$11:$B$161,0),0)/1000</f>
        <v>0</v>
      </c>
      <c r="H113" s="204">
        <f>SUM(C113:G113)</f>
        <v>288.83178329144801</v>
      </c>
    </row>
    <row r="115" spans="2:8" ht="26.25" thickBot="1" x14ac:dyDescent="0.25">
      <c r="B115" s="165" t="s">
        <v>284</v>
      </c>
    </row>
    <row r="116" spans="2:8" ht="15.75" thickBot="1" x14ac:dyDescent="0.25">
      <c r="B116" s="216" t="s">
        <v>235</v>
      </c>
      <c r="C116" s="217" t="s">
        <v>236</v>
      </c>
      <c r="D116" s="217" t="s">
        <v>237</v>
      </c>
      <c r="E116" s="217" t="s">
        <v>238</v>
      </c>
      <c r="F116" s="217" t="s">
        <v>277</v>
      </c>
      <c r="G116" s="217" t="s">
        <v>240</v>
      </c>
      <c r="H116" s="217" t="s">
        <v>36</v>
      </c>
    </row>
    <row r="117" spans="2:8" ht="15" thickBot="1" x14ac:dyDescent="0.25">
      <c r="B117" s="218" t="s">
        <v>285</v>
      </c>
      <c r="C117" s="207" cm="1">
        <f t="array" ref="C117">INDEX('C | PTRM escalation'!BP$11:BP$161,MATCH($B117,'C | PTRM escalation'!$B$11:$B$161,0),0)/1000</f>
        <v>0</v>
      </c>
      <c r="D117" s="207" cm="1">
        <f t="array" ref="D117">INDEX('C | PTRM escalation'!BQ$11:BQ$161,MATCH($B117,'C | PTRM escalation'!$B$11:$B$161,0),0)/1000</f>
        <v>0</v>
      </c>
      <c r="E117" s="207" cm="1">
        <f t="array" ref="E117">INDEX('C | PTRM escalation'!BR$11:BR$161,MATCH($B117,'C | PTRM escalation'!$B$11:$B$161,0),0)/1000</f>
        <v>0</v>
      </c>
      <c r="F117" s="207" cm="1">
        <f t="array" ref="F117">INDEX('C | PTRM escalation'!BS$11:BS$161,MATCH($B117,'C | PTRM escalation'!$B$11:$B$161,0),0)/1000</f>
        <v>116.35710330593238</v>
      </c>
      <c r="G117" s="207" cm="1">
        <f t="array" ref="G117">INDEX('C | PTRM escalation'!BT$11:BT$161,MATCH($B117,'C | PTRM escalation'!$B$11:$B$161,0),0)/1000</f>
        <v>116.64432376140309</v>
      </c>
      <c r="H117" s="204">
        <f>SUM(C117:G117)</f>
        <v>233.00142706733547</v>
      </c>
    </row>
    <row r="119" spans="2:8" ht="26.25" thickBot="1" x14ac:dyDescent="0.25">
      <c r="B119" s="165" t="s">
        <v>286</v>
      </c>
    </row>
    <row r="120" spans="2:8" ht="15.75" thickBot="1" x14ac:dyDescent="0.25">
      <c r="B120" s="216" t="s">
        <v>235</v>
      </c>
      <c r="C120" s="217" t="s">
        <v>236</v>
      </c>
      <c r="D120" s="217" t="s">
        <v>237</v>
      </c>
      <c r="E120" s="217" t="s">
        <v>238</v>
      </c>
      <c r="F120" s="217" t="s">
        <v>277</v>
      </c>
      <c r="G120" s="217" t="s">
        <v>240</v>
      </c>
      <c r="H120" s="217" t="s">
        <v>36</v>
      </c>
    </row>
    <row r="121" spans="2:8" ht="15" thickBot="1" x14ac:dyDescent="0.25">
      <c r="B121" s="218" t="s">
        <v>279</v>
      </c>
      <c r="C121" s="207" cm="1">
        <f t="array" ref="C121">INDEX('C | PTRM escalation'!BP$11:BP$161,MATCH($B121,'C | PTRM escalation'!$B$11:$B$161,0),0)/1000</f>
        <v>0</v>
      </c>
      <c r="D121" s="207" cm="1">
        <f t="array" ref="D121">INDEX('C | PTRM escalation'!BQ$11:BQ$161,MATCH($B121,'C | PTRM escalation'!$B$11:$B$161,0),0)/1000</f>
        <v>0</v>
      </c>
      <c r="E121" s="207" cm="1">
        <f t="array" ref="E121">INDEX('C | PTRM escalation'!BR$11:BR$161,MATCH($B121,'C | PTRM escalation'!$B$11:$B$161,0),0)/1000</f>
        <v>115.88331596975522</v>
      </c>
      <c r="F121" s="207" cm="1">
        <f t="array" ref="F121">INDEX('C | PTRM escalation'!BS$11:BS$161,MATCH($B121,'C | PTRM escalation'!$B$11:$B$161,0),0)/1000</f>
        <v>0</v>
      </c>
      <c r="G121" s="207" cm="1">
        <f t="array" ref="G121">INDEX('C | PTRM escalation'!BT$11:BT$161,MATCH($B121,'C | PTRM escalation'!$B$11:$B$161,0),0)/1000</f>
        <v>0</v>
      </c>
      <c r="H121" s="204">
        <f>SUM(C121:G121)</f>
        <v>115.88331596975522</v>
      </c>
    </row>
    <row r="122" spans="2:8" x14ac:dyDescent="0.2">
      <c r="B122" s="219"/>
    </row>
    <row r="123" spans="2:8" ht="25.5" x14ac:dyDescent="0.2">
      <c r="B123" s="165" t="s">
        <v>287</v>
      </c>
    </row>
    <row r="124" spans="2:8" ht="15.75" thickBot="1" x14ac:dyDescent="0.25">
      <c r="B124" s="214" t="s">
        <v>235</v>
      </c>
      <c r="C124" s="214" t="s">
        <v>236</v>
      </c>
      <c r="D124" s="214" t="s">
        <v>237</v>
      </c>
      <c r="E124" s="214" t="s">
        <v>238</v>
      </c>
      <c r="F124" s="214" t="s">
        <v>277</v>
      </c>
      <c r="G124" s="214" t="s">
        <v>240</v>
      </c>
      <c r="H124" s="214" t="s">
        <v>36</v>
      </c>
    </row>
    <row r="125" spans="2:8" ht="15" thickBot="1" x14ac:dyDescent="0.25">
      <c r="B125" s="220" t="str">
        <f>'C | PTRM escalation'!B33</f>
        <v>Woodroy, Arubial &amp; Scotia Actuators</v>
      </c>
      <c r="C125" s="207" cm="1">
        <f t="array" ref="C125">INDEX('C | PTRM escalation'!BP$11:BP$161,MATCH($B125,'C | PTRM escalation'!$B$11:$B$161,0),0)/1000</f>
        <v>0</v>
      </c>
      <c r="D125" s="207" cm="1">
        <f t="array" ref="D125">INDEX('C | PTRM escalation'!BQ$11:BQ$161,MATCH($B125,'C | PTRM escalation'!$B$11:$B$161,0),0)/1000</f>
        <v>0</v>
      </c>
      <c r="E125" s="207" cm="1">
        <f t="array" ref="E125">INDEX('C | PTRM escalation'!BR$11:BR$161,MATCH($B125,'C | PTRM escalation'!$B$11:$B$161,0),0)/1000</f>
        <v>57.941657984877608</v>
      </c>
      <c r="F125" s="207" cm="1">
        <f t="array" ref="F125">INDEX('C | PTRM escalation'!BS$11:BS$161,MATCH($B125,'C | PTRM escalation'!$B$11:$B$161,0),0)/1000</f>
        <v>58.178551652966192</v>
      </c>
      <c r="G125" s="207" cm="1">
        <f t="array" ref="G125">INDEX('C | PTRM escalation'!BT$11:BT$161,MATCH($B125,'C | PTRM escalation'!$B$11:$B$161,0),0)/1000</f>
        <v>58.322161880701543</v>
      </c>
      <c r="H125" s="204">
        <f>SUM(C125:G125)</f>
        <v>174.44237151854534</v>
      </c>
    </row>
    <row r="126" spans="2:8" x14ac:dyDescent="0.2">
      <c r="B126" s="209"/>
    </row>
    <row r="127" spans="2:8" ht="25.5" x14ac:dyDescent="0.2">
      <c r="B127" s="165" t="s">
        <v>288</v>
      </c>
    </row>
    <row r="128" spans="2:8" ht="15.75" thickBot="1" x14ac:dyDescent="0.25">
      <c r="B128" s="214" t="s">
        <v>235</v>
      </c>
      <c r="C128" s="214" t="s">
        <v>236</v>
      </c>
      <c r="D128" s="214" t="s">
        <v>237</v>
      </c>
      <c r="E128" s="214" t="s">
        <v>238</v>
      </c>
      <c r="F128" s="214" t="s">
        <v>277</v>
      </c>
      <c r="G128" s="214" t="s">
        <v>240</v>
      </c>
      <c r="H128" s="214" t="s">
        <v>36</v>
      </c>
    </row>
    <row r="129" spans="2:8" ht="15" thickBot="1" x14ac:dyDescent="0.25">
      <c r="B129" s="220" t="s">
        <v>280</v>
      </c>
      <c r="C129" s="207" cm="1">
        <f t="array" ref="C129">INDEX('C | PTRM escalation'!BP$11:BP$161,MATCH($B129,'C | PTRM escalation'!$B$11:$B$161,0),0)/1000</f>
        <v>0</v>
      </c>
      <c r="D129" s="207" cm="1">
        <f t="array" ref="D129">INDEX('C | PTRM escalation'!BQ$11:BQ$161,MATCH($B129,'C | PTRM escalation'!$B$11:$B$161,0),0)/1000</f>
        <v>115.53271331657923</v>
      </c>
      <c r="E129" s="207" cm="1">
        <f t="array" ref="E129">INDEX('C | PTRM escalation'!BR$11:BR$161,MATCH($B129,'C | PTRM escalation'!$B$11:$B$161,0),0)/1000</f>
        <v>0</v>
      </c>
      <c r="F129" s="207" cm="1">
        <f t="array" ref="F129">INDEX('C | PTRM escalation'!BS$11:BS$161,MATCH($B129,'C | PTRM escalation'!$B$11:$B$161,0),0)/1000</f>
        <v>0</v>
      </c>
      <c r="G129" s="207" cm="1">
        <f t="array" ref="G129">INDEX('C | PTRM escalation'!BT$11:BT$161,MATCH($B129,'C | PTRM escalation'!$B$11:$B$161,0),0)/1000</f>
        <v>0</v>
      </c>
      <c r="H129" s="204">
        <f>SUM(C129:G129)</f>
        <v>115.53271331657923</v>
      </c>
    </row>
    <row r="131" spans="2:8" ht="25.5" x14ac:dyDescent="0.2">
      <c r="B131" s="165" t="s">
        <v>289</v>
      </c>
    </row>
    <row r="132" spans="2:8" ht="15.75" thickBot="1" x14ac:dyDescent="0.25">
      <c r="B132" s="214" t="s">
        <v>235</v>
      </c>
      <c r="C132" s="214" t="s">
        <v>236</v>
      </c>
      <c r="D132" s="214" t="s">
        <v>237</v>
      </c>
      <c r="E132" s="214" t="s">
        <v>238</v>
      </c>
      <c r="F132" s="214" t="s">
        <v>239</v>
      </c>
      <c r="G132" s="214" t="s">
        <v>240</v>
      </c>
      <c r="H132" s="214" t="s">
        <v>36</v>
      </c>
    </row>
    <row r="133" spans="2:8" ht="15.75" thickBot="1" x14ac:dyDescent="0.25">
      <c r="B133" s="221" t="str">
        <f>'C | PTRM escalation'!B46</f>
        <v xml:space="preserve">Ellengrove Reliability </v>
      </c>
      <c r="C133" s="207" cm="1">
        <f t="array" ref="C133">INDEX('C | PTRM escalation'!BP$11:BP$161,MATCH($B133,'C | PTRM escalation'!$B$11:$B$161,0),0)/1000</f>
        <v>0</v>
      </c>
      <c r="D133" s="207" cm="1">
        <f t="array" ref="D133">INDEX('C | PTRM escalation'!BQ$11:BQ$161,MATCH($B133,'C | PTRM escalation'!$B$11:$B$161,0),0)/1000</f>
        <v>0</v>
      </c>
      <c r="E133" s="207" cm="1">
        <f t="array" ref="E133">INDEX('C | PTRM escalation'!BR$11:BR$161,MATCH($B133,'C | PTRM escalation'!$B$11:$B$161,0),0)/1000</f>
        <v>0</v>
      </c>
      <c r="F133" s="207" cm="1">
        <f t="array" ref="F133">INDEX('C | PTRM escalation'!BS$11:BS$161,MATCH($B133,'C | PTRM escalation'!$B$11:$B$161,0),0)/1000</f>
        <v>2327.1420661186476</v>
      </c>
      <c r="G133" s="207" cm="1">
        <f t="array" ref="G133">INDEX('C | PTRM escalation'!BT$11:BT$161,MATCH($B133,'C | PTRM escalation'!$B$11:$B$161,0),0)/1000</f>
        <v>0</v>
      </c>
      <c r="H133" s="204">
        <f>SUM(C133:G133)</f>
        <v>2327.1420661186476</v>
      </c>
    </row>
    <row r="135" spans="2:8" ht="25.5" x14ac:dyDescent="0.2">
      <c r="B135" s="165" t="s">
        <v>346</v>
      </c>
    </row>
    <row r="136" spans="2:8" ht="15.75" thickBot="1" x14ac:dyDescent="0.25">
      <c r="B136" s="214" t="s">
        <v>235</v>
      </c>
      <c r="C136" s="214" t="s">
        <v>236</v>
      </c>
      <c r="D136" s="214" t="s">
        <v>237</v>
      </c>
      <c r="E136" s="214" t="s">
        <v>238</v>
      </c>
      <c r="F136" s="214" t="s">
        <v>239</v>
      </c>
      <c r="G136" s="214" t="s">
        <v>240</v>
      </c>
      <c r="H136" s="214" t="s">
        <v>36</v>
      </c>
    </row>
    <row r="137" spans="2:8" ht="15" thickBot="1" x14ac:dyDescent="0.25">
      <c r="B137" s="213" t="str">
        <f>'C | PTRM escalation'!B50</f>
        <v>Corporate</v>
      </c>
      <c r="C137" s="207" cm="1">
        <f t="array" ref="C137">INDEX('C | PTRM escalation'!BP$10:BP$162,MATCH($B137,'C | PTRM escalation'!$B$10:$B$162,0),0)/1000</f>
        <v>161.610107129439</v>
      </c>
      <c r="D137" s="207" cm="1">
        <f t="array" ref="D137">INDEX('C | PTRM escalation'!BQ$10:BQ$162,MATCH($B137,'C | PTRM escalation'!$B$10:$B$162,0),0)/1000</f>
        <v>161.610107129439</v>
      </c>
      <c r="E137" s="207" cm="1">
        <f t="array" ref="E137">INDEX('C | PTRM escalation'!BR$10:BR$162,MATCH($B137,'C | PTRM escalation'!$B$10:$B$162,0),0)/1000</f>
        <v>161.610107129439</v>
      </c>
      <c r="F137" s="207" cm="1">
        <f t="array" ref="F137">INDEX('C | PTRM escalation'!BS$10:BS$162,MATCH($B137,'C | PTRM escalation'!$B$10:$B$162,0),0)/1000</f>
        <v>161.610107129439</v>
      </c>
      <c r="G137" s="207" cm="1">
        <f t="array" ref="G137">INDEX('C | PTRM escalation'!BT$10:BT$162,MATCH($B137,'C | PTRM escalation'!$B$10:$B$162,0),0)/1000</f>
        <v>161.610107129439</v>
      </c>
      <c r="H137" s="204">
        <f>SUM(C137:G137)</f>
        <v>808.05053564719503</v>
      </c>
    </row>
    <row r="138" spans="2:8" ht="15" thickBot="1" x14ac:dyDescent="0.25">
      <c r="B138" s="213" t="str">
        <f>'C | PTRM escalation'!B51</f>
        <v>Group IT</v>
      </c>
      <c r="C138" s="205" cm="1">
        <f t="array" ref="C138">INDEX('C | PTRM escalation'!BP$10:BP$162,MATCH($B138,'C | PTRM escalation'!$B$10:$B$162,0),0)/1000</f>
        <v>660.9976696381583</v>
      </c>
      <c r="D138" s="205" cm="1">
        <f t="array" ref="D138">INDEX('C | PTRM escalation'!BQ$10:BQ$162,MATCH($B138,'C | PTRM escalation'!$B$10:$B$162,0),0)/1000</f>
        <v>660.9976696381583</v>
      </c>
      <c r="E138" s="205" cm="1">
        <f t="array" ref="E138">INDEX('C | PTRM escalation'!BR$10:BR$162,MATCH($B138,'C | PTRM escalation'!$B$10:$B$162,0),0)/1000</f>
        <v>660.9976696381583</v>
      </c>
      <c r="F138" s="205" cm="1">
        <f t="array" ref="F138">INDEX('C | PTRM escalation'!BS$10:BS$162,MATCH($B138,'C | PTRM escalation'!$B$10:$B$162,0),0)/1000</f>
        <v>660.9976696381583</v>
      </c>
      <c r="G138" s="205" cm="1">
        <f t="array" ref="G138">INDEX('C | PTRM escalation'!BT$10:BT$162,MATCH($B138,'C | PTRM escalation'!$B$10:$B$162,0),0)/1000</f>
        <v>660.9976696381583</v>
      </c>
      <c r="H138" s="204">
        <f t="shared" ref="H138:H142" si="29">SUM(C138:G138)</f>
        <v>3304.9883481907914</v>
      </c>
    </row>
    <row r="139" spans="2:8" ht="15" thickBot="1" x14ac:dyDescent="0.25">
      <c r="B139" s="213" t="str">
        <f>'C | PTRM escalation'!B52</f>
        <v>Property Leases</v>
      </c>
      <c r="C139" s="207" cm="1">
        <f t="array" ref="C139">INDEX('C | PTRM escalation'!BP$10:BP$162,MATCH($B139,'C | PTRM escalation'!$B$10:$B$162,0),0)/1000</f>
        <v>213.26976849823259</v>
      </c>
      <c r="D139" s="207" cm="1">
        <f t="array" ref="D139">INDEX('C | PTRM escalation'!BQ$10:BQ$162,MATCH($B139,'C | PTRM escalation'!$B$10:$B$162,0),0)/1000</f>
        <v>213.26976849823259</v>
      </c>
      <c r="E139" s="207" cm="1">
        <f t="array" ref="E139">INDEX('C | PTRM escalation'!BR$10:BR$162,MATCH($B139,'C | PTRM escalation'!$B$10:$B$162,0),0)/1000</f>
        <v>213.26976849823259</v>
      </c>
      <c r="F139" s="207" cm="1">
        <f t="array" ref="F139">INDEX('C | PTRM escalation'!BS$10:BS$162,MATCH($B139,'C | PTRM escalation'!$B$10:$B$162,0),0)/1000</f>
        <v>213.26976849823259</v>
      </c>
      <c r="G139" s="207" cm="1">
        <f t="array" ref="G139">INDEX('C | PTRM escalation'!BT$10:BT$162,MATCH($B139,'C | PTRM escalation'!$B$10:$B$162,0),0)/1000</f>
        <v>213.26976849823259</v>
      </c>
      <c r="H139" s="204">
        <f t="shared" si="29"/>
        <v>1066.3488424911629</v>
      </c>
    </row>
    <row r="140" spans="2:8" ht="15" thickBot="1" x14ac:dyDescent="0.25">
      <c r="B140" s="213" t="str">
        <f>'C | PTRM escalation'!B53</f>
        <v>Vehicle Leases</v>
      </c>
      <c r="C140" s="205" cm="1">
        <f t="array" ref="C140">INDEX('C | PTRM escalation'!BP$10:BP$162,MATCH($B140,'C | PTRM escalation'!$B$10:$B$162,0),0)/1000</f>
        <v>228.31627574431812</v>
      </c>
      <c r="D140" s="205" cm="1">
        <f t="array" ref="D140">INDEX('C | PTRM escalation'!BQ$10:BQ$162,MATCH($B140,'C | PTRM escalation'!$B$10:$B$162,0),0)/1000</f>
        <v>228.31627574431812</v>
      </c>
      <c r="E140" s="205" cm="1">
        <f t="array" ref="E140">INDEX('C | PTRM escalation'!BR$10:BR$162,MATCH($B140,'C | PTRM escalation'!$B$10:$B$162,0),0)/1000</f>
        <v>228.31627574431812</v>
      </c>
      <c r="F140" s="205" cm="1">
        <f t="array" ref="F140">INDEX('C | PTRM escalation'!BS$10:BS$162,MATCH($B140,'C | PTRM escalation'!$B$10:$B$162,0),0)/1000</f>
        <v>228.31627574431812</v>
      </c>
      <c r="G140" s="205" cm="1">
        <f t="array" ref="G140">INDEX('C | PTRM escalation'!BT$10:BT$162,MATCH($B140,'C | PTRM escalation'!$B$10:$B$162,0),0)/1000</f>
        <v>228.31627574431812</v>
      </c>
      <c r="H140" s="204">
        <f t="shared" si="29"/>
        <v>1141.5813787215907</v>
      </c>
    </row>
    <row r="141" spans="2:8" ht="15" thickBot="1" x14ac:dyDescent="0.25">
      <c r="B141" s="213" t="str">
        <f>'C | PTRM escalation'!B54</f>
        <v>Access Arrangement</v>
      </c>
      <c r="C141" s="207" cm="1">
        <f t="array" ref="C141">INDEX('C | PTRM escalation'!BP$10:BP$162,MATCH($B141,'C | PTRM escalation'!$B$10:$B$162,0),0)/1000</f>
        <v>0</v>
      </c>
      <c r="D141" s="207" cm="1">
        <f t="array" ref="D141">INDEX('C | PTRM escalation'!BQ$10:BQ$162,MATCH($B141,'C | PTRM escalation'!$B$10:$B$162,0),0)/1000</f>
        <v>0</v>
      </c>
      <c r="E141" s="207" cm="1">
        <f t="array" ref="E141">INDEX('C | PTRM escalation'!BR$10:BR$162,MATCH($B141,'C | PTRM escalation'!$B$10:$B$162,0),0)/1000</f>
        <v>90.045925020330444</v>
      </c>
      <c r="F141" s="207" cm="1">
        <f t="array" ref="F141">INDEX('C | PTRM escalation'!BS$10:BS$162,MATCH($B141,'C | PTRM escalation'!$B$10:$B$162,0),0)/1000</f>
        <v>473.24549780101319</v>
      </c>
      <c r="G141" s="207" cm="1">
        <f t="array" ref="G141">INDEX('C | PTRM escalation'!BT$10:BT$162,MATCH($B141,'C | PTRM escalation'!$B$10:$B$162,0),0)/1000</f>
        <v>86.284622715569085</v>
      </c>
      <c r="H141" s="204">
        <f t="shared" si="29"/>
        <v>649.57604553691272</v>
      </c>
    </row>
    <row r="142" spans="2:8" ht="15" thickBot="1" x14ac:dyDescent="0.25">
      <c r="B142" s="213" t="s">
        <v>36</v>
      </c>
      <c r="C142" s="208">
        <f>SUM(C137:C141)</f>
        <v>1264.193821010148</v>
      </c>
      <c r="D142" s="208">
        <f t="shared" ref="D142:G142" si="30">SUM(D137:D141)</f>
        <v>1264.193821010148</v>
      </c>
      <c r="E142" s="208">
        <f t="shared" si="30"/>
        <v>1354.2397460304785</v>
      </c>
      <c r="F142" s="208">
        <f t="shared" si="30"/>
        <v>1737.4393188111612</v>
      </c>
      <c r="G142" s="208">
        <f t="shared" si="30"/>
        <v>1350.4784437257172</v>
      </c>
      <c r="H142" s="208">
        <f t="shared" si="29"/>
        <v>6970.5451505876517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4D182-C88E-4D1F-978B-C9C5EA5A3E72}">
  <sheetPr>
    <tabColor theme="4"/>
  </sheetPr>
  <dimension ref="Q3:AG44"/>
  <sheetViews>
    <sheetView zoomScale="55" zoomScaleNormal="55" workbookViewId="0">
      <selection activeCell="T59" sqref="T59"/>
    </sheetView>
  </sheetViews>
  <sheetFormatPr defaultRowHeight="14.25" x14ac:dyDescent="0.2"/>
  <cols>
    <col min="17" max="17" width="1.875" bestFit="1" customWidth="1"/>
    <col min="19" max="19" width="14.625" customWidth="1"/>
    <col min="20" max="20" width="14.625" bestFit="1" customWidth="1"/>
    <col min="22" max="22" width="5.5" bestFit="1" customWidth="1"/>
  </cols>
  <sheetData>
    <row r="3" spans="18:22" x14ac:dyDescent="0.2">
      <c r="S3" t="s">
        <v>212</v>
      </c>
      <c r="U3" t="s">
        <v>213</v>
      </c>
    </row>
    <row r="5" spans="18:22" x14ac:dyDescent="0.2">
      <c r="R5" t="s">
        <v>36</v>
      </c>
      <c r="S5" s="132">
        <f>'O | Overview'!H114</f>
        <v>69.729965986241751</v>
      </c>
      <c r="T5" s="132"/>
      <c r="U5" s="132">
        <f>'O | Overview'!H150</f>
        <v>87.758427739712289</v>
      </c>
    </row>
    <row r="8" spans="18:22" x14ac:dyDescent="0.2">
      <c r="R8">
        <f>1</f>
        <v>1</v>
      </c>
      <c r="S8" s="132">
        <f>LARGE('O | Overview'!$H$97:$H$112,R8)</f>
        <v>27.969359059952684</v>
      </c>
      <c r="T8" t="str" cm="1">
        <f t="array" ref="T8">INDEX('O | Overview'!$B$97:$B$112,MATCH(S8,'O | Overview'!$H$97:$H$112,0),0)</f>
        <v>DN250 Supply Security Project</v>
      </c>
      <c r="U8" s="132">
        <f>LARGE('O | Overview'!$H$133:$H$149,R8)</f>
        <v>42.158132092934594</v>
      </c>
      <c r="V8" t="str" cm="1">
        <f t="array" ref="V8">INDEX('O | Overview'!$B$133:$B$149,MATCH(U8,'O | Overview'!$H$133:$H$149,0),0)</f>
        <v>Pipeline Integrity</v>
      </c>
    </row>
    <row r="9" spans="18:22" x14ac:dyDescent="0.2">
      <c r="R9">
        <f t="shared" ref="R9:R16" si="0">R8+1</f>
        <v>2</v>
      </c>
      <c r="S9" s="132">
        <f>LARGE('O | Overview'!$H$97:$H$112,R9)</f>
        <v>15.391194476026666</v>
      </c>
      <c r="T9" t="str" cm="1">
        <f t="array" ref="T9">INDEX('O | Overview'!$B$97:$B$112,MATCH(S9,'O | Overview'!$H$97:$H$112,0),0)</f>
        <v>Pipeline Integrity</v>
      </c>
      <c r="U9" s="132">
        <f>LARGE('O | Overview'!$H$133:$H$149,R9)</f>
        <v>16.36793257601893</v>
      </c>
      <c r="V9" t="str" cm="1">
        <f t="array" ref="V9">INDEX('O | Overview'!$B$133:$B$149,MATCH(U9,'O | Overview'!$H$133:$H$149,0),0)</f>
        <v>DN250 Supply Security Project</v>
      </c>
    </row>
    <row r="10" spans="18:22" x14ac:dyDescent="0.2">
      <c r="R10">
        <f t="shared" si="0"/>
        <v>3</v>
      </c>
      <c r="S10" s="132">
        <f>LARGE('O | Overview'!$H$97:$H$112,R10)</f>
        <v>13.636414031641863</v>
      </c>
      <c r="T10" t="str" cm="1">
        <f t="array" ref="T10">INDEX('O | Overview'!$B$97:$B$112,MATCH(S10,'O | Overview'!$H$97:$H$112,0),0)</f>
        <v>Group IT</v>
      </c>
      <c r="U10" s="132">
        <f>LARGE('O | Overview'!$H$133:$H$149,R10)</f>
        <v>10.379012489134253</v>
      </c>
      <c r="V10" t="str" cm="1">
        <f t="array" ref="V10">INDEX('O | Overview'!$B$133:$B$149,MATCH(U10,'O | Overview'!$H$133:$H$149,0),0)</f>
        <v>Environment</v>
      </c>
    </row>
    <row r="11" spans="18:22" x14ac:dyDescent="0.2">
      <c r="R11">
        <f t="shared" si="0"/>
        <v>4</v>
      </c>
      <c r="S11" s="132">
        <f>LARGE('O | Overview'!$H$97:$H$112,R11)</f>
        <v>2.695089201021506</v>
      </c>
      <c r="T11" t="str" cm="1">
        <f t="array" ref="T11">INDEX('O | Overview'!$B$97:$B$112,MATCH(S11,'O | Overview'!$H$97:$H$112,0),0)</f>
        <v>Minor Projects</v>
      </c>
      <c r="U11" s="132">
        <f>LARGE('O | Overview'!$H$133:$H$149,R11)</f>
        <v>5.3331337697416208</v>
      </c>
      <c r="V11" t="str" cm="1">
        <f t="array" ref="V11">INDEX('O | Overview'!$B$133:$B$149,MATCH(U11,'O | Overview'!$H$133:$H$149,0),0)</f>
        <v>SIB</v>
      </c>
    </row>
    <row r="12" spans="18:22" x14ac:dyDescent="0.2">
      <c r="R12">
        <f t="shared" si="0"/>
        <v>5</v>
      </c>
      <c r="S12" s="132">
        <f>LARGE('O | Overview'!$H$97:$H$112,R12)</f>
        <v>2.6218234641626079</v>
      </c>
      <c r="T12" t="str" cm="1">
        <f t="array" ref="T12">INDEX('O | Overview'!$B$97:$B$112,MATCH(S12,'O | Overview'!$H$97:$H$112,0),0)</f>
        <v>Property Leases</v>
      </c>
      <c r="U12" s="132">
        <f>LARGE('O | Overview'!$H$133:$H$149,R12)</f>
        <v>3.87152285525704</v>
      </c>
      <c r="V12" t="str" cm="1">
        <f t="array" ref="V12">INDEX('O | Overview'!$B$133:$B$149,MATCH(U12,'O | Overview'!$H$133:$H$149,0),0)</f>
        <v>Gas Instruments</v>
      </c>
    </row>
    <row r="13" spans="18:22" x14ac:dyDescent="0.2">
      <c r="R13">
        <f t="shared" si="0"/>
        <v>6</v>
      </c>
      <c r="U13" s="132">
        <f>LARGE('O | Overview'!$H$133:$H$149,R13)</f>
        <v>3.3049883481907916</v>
      </c>
      <c r="V13" t="str" cm="1">
        <f t="array" ref="V13">INDEX('O | Overview'!$B$133:$B$149,MATCH(U13,'O | Overview'!$H$133:$H$149,0),0)</f>
        <v>Group IT</v>
      </c>
    </row>
    <row r="14" spans="18:22" x14ac:dyDescent="0.2">
      <c r="R14">
        <f t="shared" si="0"/>
        <v>7</v>
      </c>
      <c r="U14" s="132">
        <f>LARGE('O | Overview'!$H$133:$H$149,R14)</f>
        <v>2.3189592693762022</v>
      </c>
      <c r="V14" t="str" cm="1">
        <f t="array" ref="V14">INDEX('O | Overview'!$B$133:$B$149,MATCH(U14,'O | Overview'!$H$133:$H$149,0),0)</f>
        <v>Site equipment</v>
      </c>
    </row>
    <row r="15" spans="18:22" x14ac:dyDescent="0.2">
      <c r="R15">
        <f t="shared" si="0"/>
        <v>8</v>
      </c>
    </row>
    <row r="16" spans="18:22" x14ac:dyDescent="0.2">
      <c r="R16">
        <f t="shared" si="0"/>
        <v>9</v>
      </c>
    </row>
    <row r="17" spans="17:33" x14ac:dyDescent="0.2">
      <c r="R17">
        <v>10</v>
      </c>
      <c r="S17" s="132">
        <f>S5-SUM(S8:S16)</f>
        <v>7.4160857534364268</v>
      </c>
      <c r="T17" t="s">
        <v>25</v>
      </c>
      <c r="U17" s="132">
        <f>U5-SUM(U8:U15)</f>
        <v>4.0247463390588507</v>
      </c>
      <c r="V17" t="s">
        <v>25</v>
      </c>
    </row>
    <row r="19" spans="17:33" x14ac:dyDescent="0.2">
      <c r="S19" t="s">
        <v>214</v>
      </c>
      <c r="T19" t="s">
        <v>56</v>
      </c>
      <c r="U19" t="s">
        <v>55</v>
      </c>
      <c r="V19" t="s">
        <v>54</v>
      </c>
      <c r="W19" t="s">
        <v>217</v>
      </c>
      <c r="X19" t="s">
        <v>218</v>
      </c>
      <c r="Y19" t="s">
        <v>53</v>
      </c>
      <c r="Z19" t="s">
        <v>52</v>
      </c>
      <c r="AA19" t="s">
        <v>51</v>
      </c>
      <c r="AB19" t="s">
        <v>50</v>
      </c>
      <c r="AC19" t="s">
        <v>49</v>
      </c>
      <c r="AD19" t="s">
        <v>221</v>
      </c>
      <c r="AE19" t="s">
        <v>222</v>
      </c>
    </row>
    <row r="20" spans="17:33" ht="15" x14ac:dyDescent="0.25">
      <c r="Q20" t="str">
        <f>T8</f>
        <v>DN250 Supply Security Project</v>
      </c>
      <c r="R20" t="str">
        <f>V9</f>
        <v>DN250 Supply Security Project</v>
      </c>
      <c r="S20" t="str">
        <f>R20</f>
        <v>DN250 Supply Security Project</v>
      </c>
      <c r="T20" s="131" cm="1">
        <f t="array" ref="T20">INDEX('O | Overview'!C$97:C$112,MATCH($Q20,'O | Overview'!$B$97:$B$112,0),0)</f>
        <v>6.6472382679607147</v>
      </c>
      <c r="U20" s="131" cm="1">
        <f t="array" ref="U20">INDEX('O | Overview'!D$97:D$112,MATCH($Q20,'O | Overview'!$B$97:$B$112,0),0)</f>
        <v>8.8228226041590094</v>
      </c>
      <c r="V20" s="131" cm="1">
        <f t="array" ref="V20">INDEX('O | Overview'!E$97:E$112,MATCH($Q20,'O | Overview'!$B$97:$B$112,0),0)</f>
        <v>3.5359472834969603</v>
      </c>
      <c r="W20" s="131" cm="1">
        <f t="array" ref="W20">INDEX('O | Overview'!F$97:F$112,MATCH($Q20,'O | Overview'!$B$97:$B$112,0),0)</f>
        <v>1.0702266675200001</v>
      </c>
      <c r="X20" s="131" cm="1">
        <f t="array" ref="X20">INDEX('O | Overview'!G$97:G$112,MATCH($Q20,'O | Overview'!$B$97:$B$112,0),0)</f>
        <v>7.8931242368159991</v>
      </c>
      <c r="Y20" s="131" cm="1">
        <f t="array" ref="Y20">INDEX('O | Overview'!C$133:C$149,MATCH($R20,'O | Overview'!$B$133:$B$149,0),0)</f>
        <v>5.083094842410472</v>
      </c>
      <c r="Z20" s="131" cm="1">
        <f t="array" ref="Z20">INDEX('O | Overview'!D$133:D$149,MATCH($R20,'O | Overview'!$B$133:$B$149,0),0)</f>
        <v>5.8134906013769498</v>
      </c>
      <c r="AA20" s="131" cm="1">
        <f t="array" ref="AA20">INDEX('O | Overview'!E$133:E$149,MATCH($R20,'O | Overview'!$B$133:$B$149,0),0)</f>
        <v>1.4602618881991212</v>
      </c>
      <c r="AB20" s="131" cm="1">
        <f t="array" ref="AB20">INDEX('O | Overview'!F$133:F$149,MATCH($R20,'O | Overview'!$B$133:$B$149,0),0)</f>
        <v>1.4461605484322435</v>
      </c>
      <c r="AC20" s="131" cm="1">
        <f t="array" ref="AC20">INDEX('O | Overview'!G$133:G$149,MATCH($R20,'O | Overview'!$B$133:$B$149,0),0)</f>
        <v>2.5649246956001455</v>
      </c>
      <c r="AD20" s="135">
        <f t="shared" ref="AD20:AD28" si="1">SUM(T20:X20)</f>
        <v>27.969359059952684</v>
      </c>
      <c r="AE20" s="135">
        <f t="shared" ref="AE20:AE28" si="2">SUM(Y20:AC20)</f>
        <v>16.36793257601893</v>
      </c>
    </row>
    <row r="21" spans="17:33" ht="15" x14ac:dyDescent="0.25">
      <c r="Q21" t="str">
        <f>T9</f>
        <v>Pipeline Integrity</v>
      </c>
      <c r="R21" t="str">
        <f>V8</f>
        <v>Pipeline Integrity</v>
      </c>
      <c r="S21" t="str">
        <f>Q21</f>
        <v>Pipeline Integrity</v>
      </c>
      <c r="T21" s="131" cm="1">
        <f t="array" ref="T21">INDEX('O | Overview'!C$97:C$112,MATCH($Q21,'O | Overview'!$B$97:$B$112,0),0)</f>
        <v>2.6156913606275021</v>
      </c>
      <c r="U21" s="131" cm="1">
        <f t="array" ref="U21">INDEX('O | Overview'!D$97:D$112,MATCH($Q21,'O | Overview'!$B$97:$B$112,0),0)</f>
        <v>1.5194574453262015</v>
      </c>
      <c r="V21" s="131" cm="1">
        <f t="array" ref="V21">INDEX('O | Overview'!E$97:E$112,MATCH($Q21,'O | Overview'!$B$97:$B$112,0),0)</f>
        <v>2.1193812777369603</v>
      </c>
      <c r="W21" s="131" cm="1">
        <f t="array" ref="W21">INDEX('O | Overview'!F$97:F$112,MATCH($Q21,'O | Overview'!$B$97:$B$112,0),0)</f>
        <v>3.8215632998400006</v>
      </c>
      <c r="X21" s="131" cm="1">
        <f t="array" ref="X21">INDEX('O | Overview'!G$97:G$112,MATCH($Q21,'O | Overview'!$B$97:$B$112,0),0)</f>
        <v>5.3151010924960005</v>
      </c>
      <c r="Y21" s="131" cm="1">
        <f t="array" ref="Y21">INDEX('O | Overview'!C$133:C$149,MATCH($R21,'O | Overview'!$B$133:$B$149,0),0)</f>
        <v>8.243460322854677</v>
      </c>
      <c r="Z21" s="131" cm="1">
        <f t="array" ref="Z21">INDEX('O | Overview'!D$133:D$149,MATCH($R21,'O | Overview'!$B$133:$B$149,0),0)</f>
        <v>10.692552617449406</v>
      </c>
      <c r="AA21" s="131" cm="1">
        <f t="array" ref="AA21">INDEX('O | Overview'!E$133:E$149,MATCH($R21,'O | Overview'!$B$133:$B$149,0),0)</f>
        <v>9.9138176812125582</v>
      </c>
      <c r="AB21" s="131" cm="1">
        <f t="array" ref="AB21">INDEX('O | Overview'!F$133:F$149,MATCH($R21,'O | Overview'!$B$133:$B$149,0),0)</f>
        <v>8.4941697720129401</v>
      </c>
      <c r="AC21" s="131" cm="1">
        <f t="array" ref="AC21">INDEX('O | Overview'!G$133:G$149,MATCH($R21,'O | Overview'!$B$133:$B$149,0),0)</f>
        <v>4.8141316994050136</v>
      </c>
      <c r="AD21" s="135">
        <f t="shared" si="1"/>
        <v>15.391194476026666</v>
      </c>
      <c r="AE21" s="135">
        <f t="shared" si="2"/>
        <v>42.158132092934594</v>
      </c>
    </row>
    <row r="22" spans="17:33" ht="15" x14ac:dyDescent="0.25">
      <c r="Q22" t="str">
        <f>T10</f>
        <v>Group IT</v>
      </c>
      <c r="R22" t="str">
        <f>V14</f>
        <v>Site equipment</v>
      </c>
      <c r="S22" t="str">
        <f>Q22</f>
        <v>Group IT</v>
      </c>
      <c r="T22" s="131" cm="1">
        <f t="array" ref="T22">INDEX('O | Overview'!C$97:C$112,MATCH($Q22,'O | Overview'!$B$97:$B$112,0),0)</f>
        <v>3.2909170167364454</v>
      </c>
      <c r="U22" s="131" cm="1">
        <f t="array" ref="U22">INDEX('O | Overview'!D$97:D$112,MATCH($Q22,'O | Overview'!$B$97:$B$112,0),0)</f>
        <v>2.5981014860740785</v>
      </c>
      <c r="V22" s="131" cm="1">
        <f t="array" ref="V22">INDEX('O | Overview'!E$97:E$112,MATCH($Q22,'O | Overview'!$B$97:$B$112,0),0)</f>
        <v>3.1633151235890105</v>
      </c>
      <c r="W22" s="131" cm="1">
        <f t="array" ref="W22">INDEX('O | Overview'!F$97:F$112,MATCH($Q22,'O | Overview'!$B$97:$B$112,0),0)</f>
        <v>3.9312023566615002</v>
      </c>
      <c r="X22" s="131" cm="1">
        <f t="array" ref="X22">INDEX('O | Overview'!G$97:G$112,MATCH($Q22,'O | Overview'!$B$97:$B$112,0),0)</f>
        <v>0.65287804858082821</v>
      </c>
      <c r="Y22" s="131" cm="1">
        <f t="array" ref="Y22">INDEX('O | Overview'!C$133:C$149,MATCH($R22,'O | Overview'!$B$133:$B$149,0),0)</f>
        <v>0.46128944396152238</v>
      </c>
      <c r="Z22" s="131" cm="1">
        <f t="array" ref="Z22">INDEX('O | Overview'!D$133:D$149,MATCH($R22,'O | Overview'!$B$133:$B$149,0),0)</f>
        <v>0.46213085326631692</v>
      </c>
      <c r="AA22" s="131" cm="1">
        <f t="array" ref="AA22">INDEX('O | Overview'!E$133:E$149,MATCH($R22,'O | Overview'!$B$133:$B$149,0),0)</f>
        <v>0.46353326387902088</v>
      </c>
      <c r="AB22" s="131" cm="1">
        <f t="array" ref="AB22">INDEX('O | Overview'!F$133:F$149,MATCH($R22,'O | Overview'!$B$133:$B$149,0),0)</f>
        <v>0.46542841322372952</v>
      </c>
      <c r="AC22" s="131" cm="1">
        <f t="array" ref="AC22">INDEX('O | Overview'!G$133:G$149,MATCH($R22,'O | Overview'!$B$133:$B$149,0),0)</f>
        <v>0.46657729504561229</v>
      </c>
      <c r="AD22" s="135">
        <f t="shared" si="1"/>
        <v>13.636414031641863</v>
      </c>
      <c r="AE22" s="135">
        <f t="shared" si="2"/>
        <v>2.3189592693762022</v>
      </c>
    </row>
    <row r="23" spans="17:33" ht="15" x14ac:dyDescent="0.25">
      <c r="Q23" t="str">
        <f>T11</f>
        <v>Minor Projects</v>
      </c>
      <c r="R23" t="str">
        <f>V10</f>
        <v>Environment</v>
      </c>
      <c r="S23" t="str">
        <f>R23</f>
        <v>Environment</v>
      </c>
      <c r="T23" s="131" cm="1">
        <f t="array" ref="T23">INDEX('O | Overview'!C$97:C$112,MATCH($Q23,'O | Overview'!$B$97:$B$112,0),0)</f>
        <v>0.60106965962591197</v>
      </c>
      <c r="U23" s="131" cm="1">
        <f t="array" ref="U23">INDEX('O | Overview'!D$97:D$112,MATCH($Q23,'O | Overview'!$B$97:$B$112,0),0)</f>
        <v>0.70463230500625518</v>
      </c>
      <c r="V23" s="131" cm="1">
        <f t="array" ref="V23">INDEX('O | Overview'!E$97:E$112,MATCH($Q23,'O | Overview'!$B$97:$B$112,0),0)</f>
        <v>0.6599560613358908</v>
      </c>
      <c r="W23" s="131" cm="1">
        <f t="array" ref="W23">INDEX('O | Overview'!F$97:F$112,MATCH($Q23,'O | Overview'!$B$97:$B$112,0),0)</f>
        <v>0.36188833491023781</v>
      </c>
      <c r="X23" s="131" cm="1">
        <f t="array" ref="X23">INDEX('O | Overview'!G$97:G$112,MATCH($Q23,'O | Overview'!$B$97:$B$112,0),0)</f>
        <v>0.36754284014321026</v>
      </c>
      <c r="Y23" s="131" cm="1">
        <f t="array" ref="Y23">INDEX('O | Overview'!C$133:C$149,MATCH($R23,'O | Overview'!$B$133:$B$149,0),0)</f>
        <v>10.379012489134253</v>
      </c>
      <c r="Z23" s="131" cm="1">
        <f t="array" ref="Z23">INDEX('O | Overview'!D$133:D$149,MATCH($R23,'O | Overview'!$B$133:$B$149,0),0)</f>
        <v>0</v>
      </c>
      <c r="AA23" s="131" cm="1">
        <f t="array" ref="AA23">INDEX('O | Overview'!E$133:E$149,MATCH($R23,'O | Overview'!$B$133:$B$149,0),0)</f>
        <v>0</v>
      </c>
      <c r="AB23" s="131" cm="1">
        <f t="array" ref="AB23">INDEX('O | Overview'!F$133:F$149,MATCH($R23,'O | Overview'!$B$133:$B$149,0),0)</f>
        <v>0</v>
      </c>
      <c r="AC23" s="131" cm="1">
        <f t="array" ref="AC23">INDEX('O | Overview'!G$133:G$149,MATCH($R23,'O | Overview'!$B$133:$B$149,0),0)</f>
        <v>0</v>
      </c>
      <c r="AD23" s="135">
        <f t="shared" si="1"/>
        <v>2.695089201021506</v>
      </c>
      <c r="AE23" s="135">
        <f t="shared" si="2"/>
        <v>10.379012489134253</v>
      </c>
    </row>
    <row r="24" spans="17:33" ht="15" x14ac:dyDescent="0.25">
      <c r="Q24" t="str">
        <f>T12</f>
        <v>Property Leases</v>
      </c>
      <c r="R24" t="str">
        <f>V11</f>
        <v>SIB</v>
      </c>
      <c r="S24" t="s">
        <v>215</v>
      </c>
      <c r="T24" s="131" cm="1">
        <f t="array" ref="T24">INDEX('O | Overview'!C$97:C$112,MATCH($Q24,'O | Overview'!$B$97:$B$112,0),0)</f>
        <v>1.390607055502233</v>
      </c>
      <c r="U24" s="131" cm="1">
        <f t="array" ref="U24">INDEX('O | Overview'!D$97:D$112,MATCH($Q24,'O | Overview'!$B$97:$B$112,0),0)</f>
        <v>0.45354092502942822</v>
      </c>
      <c r="V24" s="131" cm="1">
        <f t="array" ref="V24">INDEX('O | Overview'!E$97:E$112,MATCH($Q24,'O | Overview'!$B$97:$B$112,0),0)</f>
        <v>0.35961627937599167</v>
      </c>
      <c r="W24" s="131" cm="1">
        <f t="array" ref="W24">INDEX('O | Overview'!F$97:F$112,MATCH($Q24,'O | Overview'!$B$97:$B$112,0),0)</f>
        <v>0.20740921761486139</v>
      </c>
      <c r="X24" s="131" cm="1">
        <f t="array" ref="X24">INDEX('O | Overview'!G$97:G$112,MATCH($Q24,'O | Overview'!$B$97:$B$112,0),0)</f>
        <v>0.21064998664009363</v>
      </c>
      <c r="Y24" s="131" cm="1">
        <f t="array" ref="Y24">INDEX('O | Overview'!C$133:C$149,MATCH($R24,'O | Overview'!$B$133:$B$149,0),0)</f>
        <v>0.36905973307839507</v>
      </c>
      <c r="Z24" s="131" cm="1">
        <f t="array" ref="Z24">INDEX('O | Overview'!D$133:D$149,MATCH($R24,'O | Overview'!$B$133:$B$149,0),0)</f>
        <v>0.77342422968642233</v>
      </c>
      <c r="AA24" s="131" cm="1">
        <f t="array" ref="AA24">INDEX('O | Overview'!E$133:E$149,MATCH($R24,'O | Overview'!$B$133:$B$149,0),0)</f>
        <v>0.54288470703302794</v>
      </c>
      <c r="AB24" s="131" cm="1">
        <f t="array" ref="AB24">INDEX('O | Overview'!F$133:F$149,MATCH($R24,'O | Overview'!$B$133:$B$149,0),0)</f>
        <v>2.987094557461873</v>
      </c>
      <c r="AC24" s="131" cm="1">
        <f t="array" ref="AC24">INDEX('O | Overview'!G$133:G$149,MATCH($R24,'O | Overview'!$B$133:$B$149,0),0)</f>
        <v>0.66067054248190271</v>
      </c>
      <c r="AD24" s="135">
        <f t="shared" si="1"/>
        <v>2.6218234641626079</v>
      </c>
      <c r="AE24" s="135">
        <f t="shared" si="2"/>
        <v>5.3331337697416208</v>
      </c>
    </row>
    <row r="25" spans="17:33" ht="15" x14ac:dyDescent="0.25">
      <c r="Q25" t="str">
        <f>T17</f>
        <v>Other</v>
      </c>
      <c r="R25" t="str">
        <f>V17</f>
        <v>Other</v>
      </c>
      <c r="S25" t="str">
        <f>R25</f>
        <v>Other</v>
      </c>
      <c r="T25" s="131">
        <f>'O | Overview'!C114-SUM('O | Graphs'!T20:T24)</f>
        <v>0.43645111680179483</v>
      </c>
      <c r="U25" s="131">
        <f>'O | Overview'!D114-SUM('O | Graphs'!U20:U24)</f>
        <v>1.2865611648105499</v>
      </c>
      <c r="V25" s="131">
        <f>'O | Overview'!E114-SUM('O | Graphs'!V20:V24)</f>
        <v>1.8169195071086133</v>
      </c>
      <c r="W25" s="131">
        <f>'O | Overview'!F114-SUM('O | Graphs'!W20:W24)</f>
        <v>2.3958806951643314</v>
      </c>
      <c r="X25" s="131">
        <f>'O | Overview'!G114-SUM('O | Graphs'!X20:X24)</f>
        <v>1.4802732695511285</v>
      </c>
      <c r="Y25" s="131">
        <f>'O | Overview'!C150-SUM('O | Graphs'!Y20:Y24,'O | Graphs'!Y26:Y27)</f>
        <v>0.66085733186718087</v>
      </c>
      <c r="Z25" s="131">
        <f>'O | Overview'!D150-SUM('O | Graphs'!Z20:Z24,'O | Graphs'!Z26:Z27)</f>
        <v>0.73028213602022518</v>
      </c>
      <c r="AA25" s="131">
        <f>'O | Overview'!E150-SUM('O | Graphs'!AA20:AA24,'O | Graphs'!AA26:AA27)</f>
        <v>0.75118373437719654</v>
      </c>
      <c r="AB25" s="131">
        <f>'O | Overview'!F150-SUM('O | Graphs'!AB20:AB24,'O | Graphs'!AB26:AB27)</f>
        <v>1.1346202008259691</v>
      </c>
      <c r="AC25" s="131">
        <f>'O | Overview'!G150-SUM('O | Graphs'!AC20:AC24,'O | Graphs'!AC26:AC27)</f>
        <v>0.74780293596825942</v>
      </c>
      <c r="AD25" s="135">
        <f t="shared" si="1"/>
        <v>7.416085753436418</v>
      </c>
      <c r="AE25" s="135">
        <f t="shared" si="2"/>
        <v>4.0247463390588312</v>
      </c>
    </row>
    <row r="26" spans="17:33" ht="15" x14ac:dyDescent="0.25">
      <c r="R26" t="str">
        <f>V12</f>
        <v>Gas Instruments</v>
      </c>
      <c r="S26" t="str">
        <f>R26</f>
        <v>Gas Instruments</v>
      </c>
      <c r="Y26" s="131" cm="1">
        <f t="array" ref="Y26">INDEX('O | Overview'!C$133:C$149,MATCH($R26,'O | Overview'!$B$133:$B$149,0),0)</f>
        <v>0.86491770742785445</v>
      </c>
      <c r="Z26" s="131" cm="1">
        <f t="array" ref="Z26">INDEX('O | Overview'!D$133:D$149,MATCH($R26,'O | Overview'!$B$133:$B$149,0),0)</f>
        <v>0.86649534987434418</v>
      </c>
      <c r="AA26" s="131" cm="1">
        <f t="array" ref="AA26">INDEX('O | Overview'!E$133:E$149,MATCH($R26,'O | Overview'!$B$133:$B$149,0),0)</f>
        <v>0.69529989581853124</v>
      </c>
      <c r="AB26" s="131" cm="1">
        <f t="array" ref="AB26">INDEX('O | Overview'!F$133:F$149,MATCH($R26,'O | Overview'!$B$133:$B$149,0),0)</f>
        <v>0.63996406818262819</v>
      </c>
      <c r="AC26" s="131" cm="1">
        <f t="array" ref="AC26">INDEX('O | Overview'!G$133:G$149,MATCH($R26,'O | Overview'!$B$133:$B$149,0),0)</f>
        <v>0.80484583395368137</v>
      </c>
      <c r="AD26" s="135">
        <f t="shared" si="1"/>
        <v>0</v>
      </c>
      <c r="AE26" s="135">
        <f t="shared" si="2"/>
        <v>3.87152285525704</v>
      </c>
    </row>
    <row r="27" spans="17:33" ht="15" x14ac:dyDescent="0.25">
      <c r="R27" t="str">
        <f>V13</f>
        <v>Group IT</v>
      </c>
      <c r="S27" t="str">
        <f>R27</f>
        <v>Group IT</v>
      </c>
      <c r="Y27" s="131" cm="1">
        <f t="array" ref="Y27">INDEX('O | Overview'!C$133:C$149,MATCH($R27,'O | Overview'!$B$133:$B$149,0),0)</f>
        <v>0.66099766963815831</v>
      </c>
      <c r="Z27" s="131" cm="1">
        <f t="array" ref="Z27">INDEX('O | Overview'!D$133:D$149,MATCH($R27,'O | Overview'!$B$133:$B$149,0),0)</f>
        <v>0.66099766963815831</v>
      </c>
      <c r="AA27" s="131" cm="1">
        <f t="array" ref="AA27">INDEX('O | Overview'!E$133:E$149,MATCH($R27,'O | Overview'!$B$133:$B$149,0),0)</f>
        <v>0.66099766963815831</v>
      </c>
      <c r="AB27" s="131" cm="1">
        <f t="array" ref="AB27">INDEX('O | Overview'!F$133:F$149,MATCH($R27,'O | Overview'!$B$133:$B$149,0),0)</f>
        <v>0.66099766963815831</v>
      </c>
      <c r="AC27" s="131" cm="1">
        <f t="array" ref="AC27">INDEX('O | Overview'!G$133:G$149,MATCH($R27,'O | Overview'!$B$133:$B$149,0),0)</f>
        <v>0.66099766963815831</v>
      </c>
      <c r="AD27" s="135">
        <f t="shared" si="1"/>
        <v>0</v>
      </c>
      <c r="AE27" s="135">
        <f t="shared" si="2"/>
        <v>3.3049883481907916</v>
      </c>
    </row>
    <row r="28" spans="17:33" ht="15" x14ac:dyDescent="0.25">
      <c r="R28" t="s">
        <v>36</v>
      </c>
      <c r="T28" s="131">
        <f t="shared" ref="T28:AC28" si="3">SUM(T20:T27)</f>
        <v>14.981974477254603</v>
      </c>
      <c r="U28" s="131">
        <f t="shared" si="3"/>
        <v>15.385115930405522</v>
      </c>
      <c r="V28" s="131">
        <f t="shared" si="3"/>
        <v>11.655135532643426</v>
      </c>
      <c r="W28" s="131">
        <f t="shared" si="3"/>
        <v>11.788170571710934</v>
      </c>
      <c r="X28" s="131">
        <f t="shared" si="3"/>
        <v>15.919569474227261</v>
      </c>
      <c r="Y28" s="131">
        <f t="shared" si="3"/>
        <v>26.722689540372507</v>
      </c>
      <c r="Z28" s="131">
        <f t="shared" si="3"/>
        <v>19.999373457311826</v>
      </c>
      <c r="AA28" s="131">
        <f t="shared" si="3"/>
        <v>14.487978840157615</v>
      </c>
      <c r="AB28" s="131">
        <f t="shared" si="3"/>
        <v>15.828435229777543</v>
      </c>
      <c r="AC28" s="131">
        <f t="shared" si="3"/>
        <v>10.719950672092773</v>
      </c>
      <c r="AD28" s="135">
        <f t="shared" si="1"/>
        <v>69.729965986241751</v>
      </c>
      <c r="AE28" s="135">
        <f t="shared" si="2"/>
        <v>87.758427739712275</v>
      </c>
      <c r="AF28" s="138">
        <f>AE28-AD28</f>
        <v>18.028461753470523</v>
      </c>
      <c r="AG28" t="s">
        <v>223</v>
      </c>
    </row>
    <row r="29" spans="17:33" x14ac:dyDescent="0.2">
      <c r="R29" t="s">
        <v>216</v>
      </c>
      <c r="T29" s="132">
        <v>23.251344980348389</v>
      </c>
      <c r="U29" s="132">
        <v>7.4091085991195884</v>
      </c>
      <c r="V29" s="132">
        <v>5.8716278303717857</v>
      </c>
      <c r="W29" s="132">
        <v>4.0234813988682241</v>
      </c>
      <c r="X29" s="132">
        <v>6.9031931577464585</v>
      </c>
    </row>
    <row r="30" spans="17:33" ht="15" x14ac:dyDescent="0.25">
      <c r="X30" s="133">
        <f>SUM(T29:X29)</f>
        <v>47.458755966454447</v>
      </c>
      <c r="AC30" s="136" t="s">
        <v>224</v>
      </c>
      <c r="AD30" s="137">
        <f>AD28-X30</f>
        <v>22.271210019787304</v>
      </c>
    </row>
    <row r="31" spans="17:33" x14ac:dyDescent="0.2">
      <c r="AD31">
        <f>AD30/X30</f>
        <v>0.46927504875031689</v>
      </c>
    </row>
    <row r="33" spans="19:29" x14ac:dyDescent="0.2">
      <c r="S33" t="s">
        <v>220</v>
      </c>
      <c r="T33" s="131">
        <f t="shared" ref="T33:AC33" si="4">T21</f>
        <v>2.6156913606275021</v>
      </c>
      <c r="U33" s="131">
        <f t="shared" si="4"/>
        <v>1.5194574453262015</v>
      </c>
      <c r="V33" s="131">
        <f t="shared" si="4"/>
        <v>2.1193812777369603</v>
      </c>
      <c r="W33" s="131">
        <f t="shared" si="4"/>
        <v>3.8215632998400006</v>
      </c>
      <c r="X33" s="131">
        <f t="shared" si="4"/>
        <v>5.3151010924960005</v>
      </c>
      <c r="Y33" s="131">
        <f t="shared" si="4"/>
        <v>8.243460322854677</v>
      </c>
      <c r="Z33" s="131">
        <f t="shared" si="4"/>
        <v>10.692552617449406</v>
      </c>
      <c r="AA33" s="131">
        <f t="shared" si="4"/>
        <v>9.9138176812125582</v>
      </c>
      <c r="AB33" s="131">
        <f t="shared" si="4"/>
        <v>8.4941697720129401</v>
      </c>
      <c r="AC33" s="131">
        <f t="shared" si="4"/>
        <v>4.8141316994050136</v>
      </c>
    </row>
    <row r="34" spans="19:29" x14ac:dyDescent="0.2">
      <c r="S34" t="s">
        <v>78</v>
      </c>
      <c r="T34" s="131">
        <f t="shared" ref="T34:AC34" si="5">T23</f>
        <v>0.60106965962591197</v>
      </c>
      <c r="U34" s="131">
        <f t="shared" si="5"/>
        <v>0.70463230500625518</v>
      </c>
      <c r="V34" s="131">
        <f t="shared" si="5"/>
        <v>0.6599560613358908</v>
      </c>
      <c r="W34" s="131">
        <f t="shared" si="5"/>
        <v>0.36188833491023781</v>
      </c>
      <c r="X34" s="131">
        <f t="shared" si="5"/>
        <v>0.36754284014321026</v>
      </c>
      <c r="Y34" s="131">
        <f t="shared" si="5"/>
        <v>10.379012489134253</v>
      </c>
      <c r="Z34" s="131">
        <f t="shared" si="5"/>
        <v>0</v>
      </c>
      <c r="AA34" s="131">
        <f t="shared" si="5"/>
        <v>0</v>
      </c>
      <c r="AB34" s="131">
        <f t="shared" si="5"/>
        <v>0</v>
      </c>
      <c r="AC34" s="131">
        <f t="shared" si="5"/>
        <v>0</v>
      </c>
    </row>
    <row r="35" spans="19:29" x14ac:dyDescent="0.2">
      <c r="S35" t="s">
        <v>77</v>
      </c>
      <c r="T35" s="131">
        <f t="shared" ref="T35:AC35" si="6">T20</f>
        <v>6.6472382679607147</v>
      </c>
      <c r="U35" s="131">
        <f t="shared" si="6"/>
        <v>8.8228226041590094</v>
      </c>
      <c r="V35" s="131">
        <f t="shared" si="6"/>
        <v>3.5359472834969603</v>
      </c>
      <c r="W35" s="131">
        <f t="shared" si="6"/>
        <v>1.0702266675200001</v>
      </c>
      <c r="X35" s="131">
        <f t="shared" si="6"/>
        <v>7.8931242368159991</v>
      </c>
      <c r="Y35" s="131">
        <f t="shared" si="6"/>
        <v>5.083094842410472</v>
      </c>
      <c r="Z35" s="131">
        <f t="shared" si="6"/>
        <v>5.8134906013769498</v>
      </c>
      <c r="AA35" s="131">
        <f t="shared" si="6"/>
        <v>1.4602618881991212</v>
      </c>
      <c r="AB35" s="131">
        <f t="shared" si="6"/>
        <v>1.4461605484322435</v>
      </c>
      <c r="AC35" s="131">
        <f t="shared" si="6"/>
        <v>2.5649246956001455</v>
      </c>
    </row>
    <row r="36" spans="19:29" x14ac:dyDescent="0.2">
      <c r="S36" t="s">
        <v>219</v>
      </c>
      <c r="T36">
        <f t="shared" ref="T36:AC36" si="7">T27</f>
        <v>0</v>
      </c>
      <c r="U36">
        <f t="shared" si="7"/>
        <v>0</v>
      </c>
      <c r="V36">
        <f t="shared" si="7"/>
        <v>0</v>
      </c>
      <c r="W36">
        <f t="shared" si="7"/>
        <v>0</v>
      </c>
      <c r="X36">
        <f t="shared" si="7"/>
        <v>0</v>
      </c>
      <c r="Y36" s="131">
        <f t="shared" si="7"/>
        <v>0.66099766963815831</v>
      </c>
      <c r="Z36" s="131">
        <f t="shared" si="7"/>
        <v>0.66099766963815831</v>
      </c>
      <c r="AA36" s="131">
        <f t="shared" si="7"/>
        <v>0.66099766963815831</v>
      </c>
      <c r="AB36" s="131">
        <f t="shared" si="7"/>
        <v>0.66099766963815831</v>
      </c>
      <c r="AC36" s="131">
        <f t="shared" si="7"/>
        <v>0.66099766963815831</v>
      </c>
    </row>
    <row r="37" spans="19:29" x14ac:dyDescent="0.2">
      <c r="S37" t="s">
        <v>25</v>
      </c>
      <c r="T37" s="132">
        <f t="shared" ref="T37:AC37" si="8">T38-SUM(T33:T36)</f>
        <v>5.1179751890404752</v>
      </c>
      <c r="U37" s="132">
        <f t="shared" si="8"/>
        <v>4.338203575914056</v>
      </c>
      <c r="V37" s="132">
        <f t="shared" si="8"/>
        <v>5.3398509100736149</v>
      </c>
      <c r="W37" s="132">
        <f t="shared" si="8"/>
        <v>6.5344922694406948</v>
      </c>
      <c r="X37" s="132">
        <f t="shared" si="8"/>
        <v>2.3438013047720521</v>
      </c>
      <c r="Y37" s="132">
        <f t="shared" si="8"/>
        <v>2.3561242163349476</v>
      </c>
      <c r="Z37" s="132">
        <f t="shared" si="8"/>
        <v>2.8323325688473133</v>
      </c>
      <c r="AA37" s="132">
        <f t="shared" si="8"/>
        <v>2.4529016011077776</v>
      </c>
      <c r="AB37" s="132">
        <f t="shared" si="8"/>
        <v>5.2271072396942007</v>
      </c>
      <c r="AC37" s="132">
        <f t="shared" si="8"/>
        <v>2.6798966074494555</v>
      </c>
    </row>
    <row r="38" spans="19:29" x14ac:dyDescent="0.2">
      <c r="T38" s="131">
        <f t="shared" ref="T38:AC38" si="9">T28</f>
        <v>14.981974477254603</v>
      </c>
      <c r="U38" s="131">
        <f t="shared" si="9"/>
        <v>15.385115930405522</v>
      </c>
      <c r="V38" s="131">
        <f t="shared" si="9"/>
        <v>11.655135532643426</v>
      </c>
      <c r="W38" s="131">
        <f t="shared" si="9"/>
        <v>11.788170571710934</v>
      </c>
      <c r="X38" s="131">
        <f t="shared" si="9"/>
        <v>15.919569474227261</v>
      </c>
      <c r="Y38" s="131">
        <f t="shared" si="9"/>
        <v>26.722689540372507</v>
      </c>
      <c r="Z38" s="131">
        <f t="shared" si="9"/>
        <v>19.999373457311826</v>
      </c>
      <c r="AA38" s="131">
        <f t="shared" si="9"/>
        <v>14.487978840157615</v>
      </c>
      <c r="AB38" s="131">
        <f t="shared" si="9"/>
        <v>15.828435229777543</v>
      </c>
      <c r="AC38" s="131">
        <f t="shared" si="9"/>
        <v>10.719950672092773</v>
      </c>
    </row>
    <row r="39" spans="19:29" x14ac:dyDescent="0.2">
      <c r="S39" t="str">
        <f>R29</f>
        <v>AER allowance</v>
      </c>
      <c r="T39" s="134">
        <f>T29</f>
        <v>23.251344980348389</v>
      </c>
      <c r="U39" s="134">
        <f>U29</f>
        <v>7.4091085991195884</v>
      </c>
      <c r="V39" s="134">
        <f>V29</f>
        <v>5.8716278303717857</v>
      </c>
      <c r="W39" s="134">
        <f>W29</f>
        <v>4.0234813988682241</v>
      </c>
      <c r="X39" s="134">
        <f>X29</f>
        <v>6.9031931577464585</v>
      </c>
    </row>
    <row r="42" spans="19:29" x14ac:dyDescent="0.2">
      <c r="S42" t="s">
        <v>36</v>
      </c>
      <c r="T42" s="146">
        <f>SUM(T38:X38)</f>
        <v>69.729965986241751</v>
      </c>
    </row>
    <row r="43" spans="19:29" x14ac:dyDescent="0.2">
      <c r="S43" t="s">
        <v>227</v>
      </c>
      <c r="T43" s="146">
        <f>SUM(T39:X39)</f>
        <v>47.458755966454447</v>
      </c>
    </row>
    <row r="44" spans="19:29" x14ac:dyDescent="0.2">
      <c r="S44" t="s">
        <v>228</v>
      </c>
      <c r="T44" s="145">
        <f>T42/T43-1</f>
        <v>0.469275048750317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B128B-3604-4A7F-85BD-55D419D51F2F}">
  <sheetPr>
    <tabColor theme="5" tint="0.79998168889431442"/>
  </sheetPr>
  <dimension ref="A6:L81"/>
  <sheetViews>
    <sheetView showGridLines="0" topLeftCell="A67" zoomScale="115" zoomScaleNormal="115" workbookViewId="0">
      <selection activeCell="D88" sqref="D88"/>
    </sheetView>
  </sheetViews>
  <sheetFormatPr defaultColWidth="8.625" defaultRowHeight="16.5" x14ac:dyDescent="0.3"/>
  <cols>
    <col min="1" max="1" width="2.75" style="2" customWidth="1"/>
    <col min="2" max="2" width="12.625" style="3" customWidth="1"/>
    <col min="3" max="8" width="12.625" style="2" customWidth="1"/>
    <col min="9" max="16384" width="8.625" style="2"/>
  </cols>
  <sheetData>
    <row r="6" spans="1:12" s="24" customFormat="1" ht="18.75" x14ac:dyDescent="0.3">
      <c r="A6" s="27" t="s">
        <v>48</v>
      </c>
    </row>
    <row r="7" spans="1:12" s="24" customFormat="1" ht="18.75" x14ac:dyDescent="0.3">
      <c r="A7" s="23" t="s">
        <v>11</v>
      </c>
    </row>
    <row r="8" spans="1:12" x14ac:dyDescent="0.3">
      <c r="A8" s="18"/>
    </row>
    <row r="9" spans="1:12" ht="18.75" x14ac:dyDescent="0.3">
      <c r="A9" s="8" t="s">
        <v>12</v>
      </c>
      <c r="B9" s="8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0" customFormat="1" ht="49.5" x14ac:dyDescent="0.2">
      <c r="A10" s="69"/>
      <c r="B10" s="64" t="s">
        <v>13</v>
      </c>
      <c r="C10" s="64" t="s">
        <v>14</v>
      </c>
      <c r="D10" s="69" t="s">
        <v>12</v>
      </c>
    </row>
    <row r="11" spans="1:12" s="70" customFormat="1" x14ac:dyDescent="0.3">
      <c r="A11" s="41"/>
      <c r="B11" s="71">
        <v>44256</v>
      </c>
      <c r="C11" s="47">
        <v>81.87</v>
      </c>
      <c r="D11" s="47"/>
    </row>
    <row r="12" spans="1:12" s="70" customFormat="1" x14ac:dyDescent="0.3">
      <c r="A12" s="41"/>
      <c r="B12" s="71">
        <v>44348</v>
      </c>
      <c r="C12" s="47">
        <v>82.47</v>
      </c>
      <c r="D12" s="47"/>
    </row>
    <row r="13" spans="1:12" s="70" customFormat="1" x14ac:dyDescent="0.3">
      <c r="A13" s="41"/>
      <c r="B13" s="71">
        <v>44440</v>
      </c>
      <c r="C13" s="47">
        <v>83.17</v>
      </c>
      <c r="D13" s="47"/>
    </row>
    <row r="14" spans="1:12" s="70" customFormat="1" x14ac:dyDescent="0.3">
      <c r="A14" s="41"/>
      <c r="B14" s="71">
        <v>44531</v>
      </c>
      <c r="C14" s="47">
        <v>84.23</v>
      </c>
      <c r="D14" s="75"/>
    </row>
    <row r="15" spans="1:12" s="4" customFormat="1" x14ac:dyDescent="0.3">
      <c r="A15" s="41"/>
      <c r="B15" s="71">
        <v>44621</v>
      </c>
      <c r="C15" s="47">
        <v>86.05</v>
      </c>
      <c r="D15" s="75">
        <f>(C15/C11)-1</f>
        <v>5.1056553071943123E-2</v>
      </c>
    </row>
    <row r="16" spans="1:12" s="4" customFormat="1" x14ac:dyDescent="0.3">
      <c r="A16" s="41"/>
      <c r="B16" s="71">
        <v>44713</v>
      </c>
      <c r="C16" s="47">
        <v>87.59</v>
      </c>
      <c r="D16" s="75">
        <f t="shared" ref="D16:D30" si="0">(C16/C12)-1</f>
        <v>6.2083181763065376E-2</v>
      </c>
    </row>
    <row r="17" spans="1:6" s="4" customFormat="1" x14ac:dyDescent="0.3">
      <c r="A17" s="41"/>
      <c r="B17" s="71">
        <v>44805</v>
      </c>
      <c r="C17" s="80">
        <v>89.2</v>
      </c>
      <c r="D17" s="75">
        <f t="shared" si="0"/>
        <v>7.25021041240832E-2</v>
      </c>
    </row>
    <row r="18" spans="1:6" s="4" customFormat="1" x14ac:dyDescent="0.3">
      <c r="A18" s="41"/>
      <c r="B18" s="71">
        <v>44896</v>
      </c>
      <c r="C18" s="47">
        <v>90.85</v>
      </c>
      <c r="D18" s="75">
        <f t="shared" si="0"/>
        <v>7.8594325062329329E-2</v>
      </c>
    </row>
    <row r="19" spans="1:6" s="4" customFormat="1" x14ac:dyDescent="0.3">
      <c r="A19" s="41"/>
      <c r="B19" s="71">
        <v>44986</v>
      </c>
      <c r="C19" s="47">
        <v>92.08</v>
      </c>
      <c r="D19" s="75">
        <f t="shared" si="0"/>
        <v>7.007553747821027E-2</v>
      </c>
    </row>
    <row r="20" spans="1:6" s="4" customFormat="1" x14ac:dyDescent="0.3">
      <c r="A20" s="41"/>
      <c r="B20" s="71">
        <v>45078</v>
      </c>
      <c r="C20" s="47">
        <v>92.87</v>
      </c>
      <c r="D20" s="75">
        <f t="shared" si="0"/>
        <v>6.0280853978764704E-2</v>
      </c>
    </row>
    <row r="21" spans="1:6" x14ac:dyDescent="0.3">
      <c r="A21" s="41"/>
      <c r="B21" s="71">
        <v>45170</v>
      </c>
      <c r="C21" s="47">
        <v>93.94</v>
      </c>
      <c r="D21" s="75">
        <f t="shared" si="0"/>
        <v>5.3139013452914829E-2</v>
      </c>
      <c r="F21" s="4"/>
    </row>
    <row r="22" spans="1:6" s="42" customFormat="1" x14ac:dyDescent="0.3">
      <c r="A22" s="41"/>
      <c r="B22" s="71">
        <v>45261</v>
      </c>
      <c r="C22" s="47">
        <v>94.78</v>
      </c>
      <c r="D22" s="75">
        <f t="shared" si="0"/>
        <v>4.325811777655475E-2</v>
      </c>
    </row>
    <row r="23" spans="1:6" s="42" customFormat="1" x14ac:dyDescent="0.3">
      <c r="A23" s="41"/>
      <c r="B23" s="71">
        <v>45352</v>
      </c>
      <c r="C23" s="47">
        <v>95.68</v>
      </c>
      <c r="D23" s="75">
        <f t="shared" si="0"/>
        <v>3.9096437880104418E-2</v>
      </c>
    </row>
    <row r="24" spans="1:6" x14ac:dyDescent="0.3">
      <c r="A24" s="41"/>
      <c r="B24" s="71">
        <v>45444</v>
      </c>
      <c r="C24" s="47">
        <v>96.41</v>
      </c>
      <c r="D24" s="75">
        <f t="shared" si="0"/>
        <v>3.8117799073974279E-2</v>
      </c>
    </row>
    <row r="25" spans="1:6" x14ac:dyDescent="0.3">
      <c r="A25" s="41"/>
      <c r="B25" s="71">
        <v>45536</v>
      </c>
      <c r="C25" s="47">
        <v>96.62</v>
      </c>
      <c r="D25" s="75">
        <f t="shared" si="0"/>
        <v>2.852884820097934E-2</v>
      </c>
    </row>
    <row r="26" spans="1:6" x14ac:dyDescent="0.3">
      <c r="A26" s="41"/>
      <c r="B26" s="71">
        <v>45627</v>
      </c>
      <c r="C26" s="47">
        <v>96.81</v>
      </c>
      <c r="D26" s="75">
        <f t="shared" si="0"/>
        <v>2.1418020679468297E-2</v>
      </c>
    </row>
    <row r="27" spans="1:6" x14ac:dyDescent="0.3">
      <c r="A27" s="41"/>
      <c r="B27" s="71">
        <v>45717</v>
      </c>
      <c r="C27" s="80">
        <v>97.7</v>
      </c>
      <c r="D27" s="75">
        <f t="shared" si="0"/>
        <v>2.1112040133779209E-2</v>
      </c>
    </row>
    <row r="28" spans="1:6" x14ac:dyDescent="0.3">
      <c r="A28" s="41"/>
      <c r="B28" s="71">
        <v>45809</v>
      </c>
      <c r="C28" s="47">
        <v>98.43</v>
      </c>
      <c r="D28" s="75">
        <f>(C28/C24)-1</f>
        <v>2.0952183383466494E-2</v>
      </c>
    </row>
    <row r="29" spans="1:6" x14ac:dyDescent="0.3">
      <c r="A29" s="41"/>
      <c r="B29" s="71">
        <v>45901</v>
      </c>
      <c r="C29" s="47">
        <v>99.73</v>
      </c>
      <c r="D29" s="75">
        <f t="shared" si="0"/>
        <v>3.2187952804802356E-2</v>
      </c>
    </row>
    <row r="30" spans="1:6" x14ac:dyDescent="0.3">
      <c r="A30" s="41"/>
      <c r="B30" s="71">
        <v>45992</v>
      </c>
      <c r="C30" s="76">
        <v>100.32</v>
      </c>
      <c r="D30" s="75">
        <f t="shared" si="0"/>
        <v>3.6256585063526359E-2</v>
      </c>
    </row>
    <row r="31" spans="1:6" x14ac:dyDescent="0.3">
      <c r="A31" s="41"/>
      <c r="B31" s="71">
        <v>46082</v>
      </c>
      <c r="C31" s="77">
        <f>AVERAGE(C30,C32)</f>
        <v>101.73732000000001</v>
      </c>
      <c r="D31" s="78"/>
    </row>
    <row r="32" spans="1:6" x14ac:dyDescent="0.3">
      <c r="A32" s="41"/>
      <c r="B32" s="71">
        <v>46174</v>
      </c>
      <c r="C32" s="77">
        <f>(1+D32)*C28</f>
        <v>103.15464000000001</v>
      </c>
      <c r="D32" s="78">
        <v>4.8000000000000001E-2</v>
      </c>
    </row>
    <row r="33" spans="1:9" x14ac:dyDescent="0.3">
      <c r="A33" s="41"/>
      <c r="B33" s="71">
        <v>46266</v>
      </c>
      <c r="C33" s="77">
        <f>AVERAGE(C32,C34)</f>
        <v>103.74372</v>
      </c>
      <c r="D33" s="79"/>
    </row>
    <row r="34" spans="1:9" x14ac:dyDescent="0.3">
      <c r="A34" s="41"/>
      <c r="B34" s="71">
        <v>46357</v>
      </c>
      <c r="C34" s="77">
        <f>(1+D34)*C30</f>
        <v>104.33279999999999</v>
      </c>
      <c r="D34" s="78">
        <v>0.04</v>
      </c>
    </row>
    <row r="35" spans="1:9" x14ac:dyDescent="0.3">
      <c r="A35" s="41"/>
      <c r="B35" s="71">
        <v>46447</v>
      </c>
      <c r="C35" s="77">
        <f>AVERAGE(C34,C36)</f>
        <v>104.98157568000001</v>
      </c>
      <c r="D35" s="79"/>
    </row>
    <row r="36" spans="1:9" x14ac:dyDescent="0.3">
      <c r="A36" s="41"/>
      <c r="B36" s="71">
        <v>46539</v>
      </c>
      <c r="C36" s="77">
        <f>(1+D36)*C32</f>
        <v>105.63035136000002</v>
      </c>
      <c r="D36" s="78">
        <v>2.4E-2</v>
      </c>
    </row>
    <row r="39" spans="1:9" x14ac:dyDescent="0.3">
      <c r="A39" s="73" t="s">
        <v>132</v>
      </c>
    </row>
    <row r="40" spans="1:9" x14ac:dyDescent="0.3">
      <c r="A40" s="13"/>
      <c r="B40" s="11" t="s">
        <v>32</v>
      </c>
      <c r="C40" s="12" t="s">
        <v>131</v>
      </c>
      <c r="D40" s="81" t="s">
        <v>111</v>
      </c>
      <c r="E40" s="81" t="s">
        <v>112</v>
      </c>
      <c r="F40" s="11" t="s">
        <v>32</v>
      </c>
      <c r="G40" s="12" t="s">
        <v>54</v>
      </c>
      <c r="H40" s="12" t="s">
        <v>120</v>
      </c>
      <c r="I40" s="12" t="s">
        <v>119</v>
      </c>
    </row>
    <row r="41" spans="1:9" x14ac:dyDescent="0.3">
      <c r="A41" s="22"/>
      <c r="B41" s="82" t="s">
        <v>105</v>
      </c>
      <c r="C41" s="83">
        <f>C26</f>
        <v>96.81</v>
      </c>
      <c r="D41" s="83">
        <f>C30</f>
        <v>100.32</v>
      </c>
      <c r="E41" s="83">
        <f>C34</f>
        <v>104.33279999999999</v>
      </c>
      <c r="F41" s="82" t="s">
        <v>133</v>
      </c>
      <c r="G41" s="95">
        <f>C41/$C$41</f>
        <v>1</v>
      </c>
      <c r="H41" s="95">
        <f t="shared" ref="H41:I41" si="1">D41/$C$41</f>
        <v>1.0362565850635264</v>
      </c>
      <c r="I41" s="95">
        <f t="shared" si="1"/>
        <v>1.0777068484660675</v>
      </c>
    </row>
    <row r="42" spans="1:9" x14ac:dyDescent="0.3">
      <c r="B42" s="5"/>
      <c r="F42" s="82" t="s">
        <v>111</v>
      </c>
      <c r="G42" s="95">
        <f>C41/$D$41</f>
        <v>0.96501196172248815</v>
      </c>
      <c r="H42" s="95">
        <f t="shared" ref="H42:I42" si="2">D41/$D$41</f>
        <v>1</v>
      </c>
      <c r="I42" s="95">
        <f t="shared" si="2"/>
        <v>1.04</v>
      </c>
    </row>
    <row r="43" spans="1:9" x14ac:dyDescent="0.3">
      <c r="B43" s="5"/>
      <c r="F43" s="82" t="s">
        <v>112</v>
      </c>
      <c r="G43" s="95">
        <f>C41/$E$41</f>
        <v>0.92789611704085395</v>
      </c>
      <c r="H43" s="95">
        <f>D41/$E$41</f>
        <v>0.96153846153846156</v>
      </c>
      <c r="I43" s="95">
        <f>E41/$E$41</f>
        <v>1</v>
      </c>
    </row>
    <row r="44" spans="1:9" x14ac:dyDescent="0.3">
      <c r="A44" s="73" t="s">
        <v>202</v>
      </c>
    </row>
    <row r="45" spans="1:9" x14ac:dyDescent="0.3">
      <c r="A45" s="13"/>
      <c r="B45" s="11" t="s">
        <v>32</v>
      </c>
      <c r="C45" s="81" t="s">
        <v>111</v>
      </c>
      <c r="D45" s="81" t="s">
        <v>112</v>
      </c>
      <c r="E45" s="11" t="s">
        <v>32</v>
      </c>
      <c r="F45" s="81" t="s">
        <v>111</v>
      </c>
      <c r="G45" s="81" t="s">
        <v>112</v>
      </c>
    </row>
    <row r="46" spans="1:9" x14ac:dyDescent="0.3">
      <c r="A46" s="22"/>
      <c r="B46" s="82" t="s">
        <v>109</v>
      </c>
      <c r="C46" s="83">
        <f>C29</f>
        <v>99.73</v>
      </c>
      <c r="D46" s="83">
        <f>C33</f>
        <v>103.74372</v>
      </c>
      <c r="E46" s="82" t="s">
        <v>109</v>
      </c>
      <c r="F46" s="87">
        <f>$D$49/C46</f>
        <v>1.0591632543868446</v>
      </c>
      <c r="G46" s="87">
        <f>$D$49/D46</f>
        <v>1.0181854994210737</v>
      </c>
    </row>
    <row r="47" spans="1:9" x14ac:dyDescent="0.3">
      <c r="A47" s="22"/>
      <c r="B47" s="82" t="s">
        <v>37</v>
      </c>
      <c r="C47" s="83">
        <f>C30</f>
        <v>100.32</v>
      </c>
      <c r="D47" s="83">
        <f>C34</f>
        <v>104.33279999999999</v>
      </c>
      <c r="E47" s="82" t="s">
        <v>37</v>
      </c>
      <c r="F47" s="87">
        <f t="shared" ref="F47:F49" si="3">$D$49/C47</f>
        <v>1.0529341244019141</v>
      </c>
      <c r="G47" s="87">
        <f t="shared" ref="G47:G49" si="4">$D$49/D47</f>
        <v>1.0124366580787636</v>
      </c>
    </row>
    <row r="48" spans="1:9" x14ac:dyDescent="0.3">
      <c r="A48" s="22"/>
      <c r="B48" s="82" t="s">
        <v>108</v>
      </c>
      <c r="C48" s="83">
        <f>C31</f>
        <v>101.73732000000001</v>
      </c>
      <c r="D48" s="83">
        <f>C35</f>
        <v>104.98157568000001</v>
      </c>
      <c r="E48" s="82" t="s">
        <v>108</v>
      </c>
      <c r="F48" s="87">
        <f t="shared" si="3"/>
        <v>1.0382655190838526</v>
      </c>
      <c r="G48" s="87">
        <f t="shared" si="4"/>
        <v>1.0061799003853551</v>
      </c>
    </row>
    <row r="49" spans="1:10" x14ac:dyDescent="0.3">
      <c r="A49" s="22"/>
      <c r="B49" s="82" t="s">
        <v>113</v>
      </c>
      <c r="C49" s="83">
        <f>C32</f>
        <v>103.15464000000001</v>
      </c>
      <c r="D49" s="83">
        <f>C36</f>
        <v>105.63035136000002</v>
      </c>
      <c r="E49" s="82" t="s">
        <v>113</v>
      </c>
      <c r="F49" s="87">
        <f t="shared" si="3"/>
        <v>1.024</v>
      </c>
      <c r="G49" s="87">
        <f t="shared" si="4"/>
        <v>1</v>
      </c>
    </row>
    <row r="51" spans="1:10" x14ac:dyDescent="0.3">
      <c r="A51" s="4" t="s">
        <v>180</v>
      </c>
    </row>
    <row r="52" spans="1:10" x14ac:dyDescent="0.3">
      <c r="A52" s="13"/>
      <c r="B52" s="11" t="s">
        <v>32</v>
      </c>
      <c r="C52" s="12" t="s">
        <v>57</v>
      </c>
      <c r="D52" s="81" t="s">
        <v>56</v>
      </c>
      <c r="E52" s="81" t="s">
        <v>55</v>
      </c>
      <c r="F52" s="81" t="s">
        <v>54</v>
      </c>
      <c r="G52" s="81" t="s">
        <v>120</v>
      </c>
      <c r="H52" s="81" t="s">
        <v>119</v>
      </c>
    </row>
    <row r="53" spans="1:10" x14ac:dyDescent="0.3">
      <c r="A53" s="22"/>
      <c r="B53" s="82" t="s">
        <v>105</v>
      </c>
      <c r="C53" s="83">
        <f>C15</f>
        <v>86.05</v>
      </c>
      <c r="D53" s="83">
        <f>C19</f>
        <v>92.08</v>
      </c>
      <c r="E53" s="83">
        <f>C23</f>
        <v>95.68</v>
      </c>
      <c r="F53" s="83">
        <f>C27</f>
        <v>97.7</v>
      </c>
      <c r="G53" s="83">
        <f>C31</f>
        <v>101.73732000000001</v>
      </c>
      <c r="H53" s="83">
        <f>C35</f>
        <v>104.98157568000001</v>
      </c>
    </row>
    <row r="54" spans="1:10" x14ac:dyDescent="0.3">
      <c r="A54" s="22"/>
      <c r="B54" s="82" t="s">
        <v>106</v>
      </c>
      <c r="C54" s="87">
        <f>C53/$C$53</f>
        <v>1</v>
      </c>
      <c r="D54" s="87">
        <f t="shared" ref="D54:H54" si="5">D53/$C$53</f>
        <v>1.0700755374782103</v>
      </c>
      <c r="E54" s="87">
        <f t="shared" si="5"/>
        <v>1.1119116792562465</v>
      </c>
      <c r="F54" s="87">
        <f t="shared" si="5"/>
        <v>1.1353864032539223</v>
      </c>
      <c r="G54" s="87">
        <f t="shared" si="5"/>
        <v>1.1823047065659502</v>
      </c>
      <c r="H54" s="87">
        <f t="shared" si="5"/>
        <v>1.2200066900639164</v>
      </c>
    </row>
    <row r="57" spans="1:10" x14ac:dyDescent="0.3">
      <c r="A57" s="11" t="s">
        <v>116</v>
      </c>
      <c r="B57" s="11"/>
      <c r="C57" s="11"/>
      <c r="D57" s="11" t="s">
        <v>120</v>
      </c>
      <c r="E57" s="11" t="s">
        <v>119</v>
      </c>
      <c r="F57" s="11" t="s">
        <v>53</v>
      </c>
      <c r="G57" s="11" t="s">
        <v>52</v>
      </c>
      <c r="H57" s="11" t="s">
        <v>51</v>
      </c>
      <c r="I57" s="11" t="s">
        <v>50</v>
      </c>
      <c r="J57" s="11" t="s">
        <v>49</v>
      </c>
    </row>
    <row r="58" spans="1:10" x14ac:dyDescent="0.3">
      <c r="A58" s="82"/>
      <c r="B58" s="82" t="s">
        <v>117</v>
      </c>
      <c r="C58" s="82"/>
      <c r="D58" s="82"/>
      <c r="E58" s="90">
        <v>9.8252646141938002E-3</v>
      </c>
      <c r="F58" s="90">
        <v>3.7938524011807656E-3</v>
      </c>
      <c r="G58" s="90">
        <v>5.1289409836666033E-3</v>
      </c>
      <c r="H58" s="90">
        <v>8.5049899184493228E-3</v>
      </c>
      <c r="I58" s="90">
        <v>1.1396303374195879E-2</v>
      </c>
      <c r="J58" s="90">
        <v>6.830847002371368E-3</v>
      </c>
    </row>
    <row r="59" spans="1:10" x14ac:dyDescent="0.3">
      <c r="A59" s="82"/>
      <c r="B59" s="82" t="s">
        <v>118</v>
      </c>
      <c r="C59" s="82"/>
      <c r="D59" s="89">
        <v>1</v>
      </c>
      <c r="E59" s="89">
        <v>1.0098252646141939</v>
      </c>
      <c r="F59" s="89">
        <v>1.0136563926191233</v>
      </c>
      <c r="G59" s="89">
        <v>1.0188553764345831</v>
      </c>
      <c r="H59" s="89">
        <v>1.0275207311395171</v>
      </c>
      <c r="I59" s="89">
        <v>1.0392306691148587</v>
      </c>
      <c r="J59" s="89">
        <v>1.04632949481575</v>
      </c>
    </row>
    <row r="61" spans="1:10" x14ac:dyDescent="0.3">
      <c r="A61" s="4" t="s">
        <v>15</v>
      </c>
      <c r="B61" s="2"/>
    </row>
    <row r="62" spans="1:10" x14ac:dyDescent="0.3">
      <c r="A62" s="13"/>
      <c r="B62" s="64" t="s">
        <v>16</v>
      </c>
      <c r="C62" s="81">
        <v>46905</v>
      </c>
      <c r="D62" s="81">
        <v>47270</v>
      </c>
      <c r="E62" s="81">
        <v>47635</v>
      </c>
      <c r="F62" s="81">
        <v>48000</v>
      </c>
      <c r="G62" s="81">
        <v>48366</v>
      </c>
    </row>
    <row r="63" spans="1:10" x14ac:dyDescent="0.3">
      <c r="A63" s="22"/>
      <c r="B63" s="28" t="s">
        <v>107</v>
      </c>
      <c r="C63" s="84">
        <v>2.5999999999999999E-2</v>
      </c>
      <c r="D63" s="84">
        <f>C63-($C$63-$G$63)/4</f>
        <v>2.5749999999999999E-2</v>
      </c>
      <c r="E63" s="84">
        <f>D63-($C$63-$G$63)/4</f>
        <v>2.5499999999999998E-2</v>
      </c>
      <c r="F63" s="84">
        <f>E63-($C$63-$G$63)/4</f>
        <v>2.5249999999999998E-2</v>
      </c>
      <c r="G63" s="84">
        <v>2.5000000000000001E-2</v>
      </c>
      <c r="H63" s="3"/>
    </row>
    <row r="64" spans="1:10" x14ac:dyDescent="0.3">
      <c r="A64" s="22"/>
      <c r="B64" s="28"/>
      <c r="C64" s="85">
        <f>1+C63</f>
        <v>1.026</v>
      </c>
      <c r="D64" s="85">
        <f t="shared" ref="D64:G64" si="6">1+D63</f>
        <v>1.0257499999999999</v>
      </c>
      <c r="E64" s="85">
        <f t="shared" si="6"/>
        <v>1.0255000000000001</v>
      </c>
      <c r="F64" s="85">
        <f t="shared" si="6"/>
        <v>1.02525</v>
      </c>
      <c r="G64" s="85">
        <f t="shared" si="6"/>
        <v>1.0249999999999999</v>
      </c>
      <c r="H64" s="3"/>
    </row>
    <row r="65" spans="1:8" x14ac:dyDescent="0.3">
      <c r="A65" s="22"/>
      <c r="B65" s="72" t="s">
        <v>18</v>
      </c>
      <c r="C65" s="86">
        <f>GEOMEAN(C64:G64)-1</f>
        <v>2.5499939054115517E-2</v>
      </c>
      <c r="D65" s="3"/>
      <c r="E65" s="3"/>
      <c r="F65" s="3"/>
      <c r="G65" s="3"/>
      <c r="H65" s="3"/>
    </row>
    <row r="66" spans="1:8" x14ac:dyDescent="0.3">
      <c r="C66" s="3"/>
      <c r="D66" s="3"/>
      <c r="E66" s="3"/>
      <c r="F66" s="3"/>
      <c r="G66" s="3"/>
      <c r="H66" s="3"/>
    </row>
    <row r="67" spans="1:8" x14ac:dyDescent="0.3">
      <c r="A67" s="73" t="s">
        <v>110</v>
      </c>
      <c r="C67" s="3"/>
      <c r="D67" s="3"/>
      <c r="E67" s="3"/>
      <c r="F67" s="3"/>
      <c r="G67" s="3"/>
      <c r="H67" s="3"/>
    </row>
    <row r="68" spans="1:8" x14ac:dyDescent="0.3">
      <c r="A68" s="13"/>
      <c r="B68" s="64" t="s">
        <v>16</v>
      </c>
      <c r="C68" s="81">
        <v>46539</v>
      </c>
      <c r="D68" s="81">
        <v>46905</v>
      </c>
      <c r="E68" s="81">
        <v>47270</v>
      </c>
      <c r="F68" s="81">
        <v>47635</v>
      </c>
      <c r="G68" s="81">
        <v>48000</v>
      </c>
      <c r="H68" s="81">
        <v>48366</v>
      </c>
    </row>
    <row r="69" spans="1:8" x14ac:dyDescent="0.3">
      <c r="A69" s="22"/>
      <c r="B69" s="82" t="s">
        <v>17</v>
      </c>
      <c r="C69" s="83"/>
      <c r="D69" s="84">
        <f>$C$65</f>
        <v>2.5499939054115517E-2</v>
      </c>
      <c r="E69" s="84">
        <f>$C$65</f>
        <v>2.5499939054115517E-2</v>
      </c>
      <c r="F69" s="84">
        <f>$C$65</f>
        <v>2.5499939054115517E-2</v>
      </c>
      <c r="G69" s="84">
        <f>$C$65</f>
        <v>2.5499939054115517E-2</v>
      </c>
      <c r="H69" s="84">
        <f>$C$65</f>
        <v>2.5499939054115517E-2</v>
      </c>
    </row>
    <row r="70" spans="1:8" x14ac:dyDescent="0.3">
      <c r="A70" s="22"/>
      <c r="B70" s="82" t="s">
        <v>105</v>
      </c>
      <c r="C70" s="83">
        <f>C36</f>
        <v>105.63035136000002</v>
      </c>
      <c r="D70" s="83">
        <f>(1+D69)*C70</f>
        <v>108.32391888194483</v>
      </c>
      <c r="E70" s="83">
        <f t="shared" ref="E70:H70" si="7">(1+E69)*D70</f>
        <v>111.08617221153737</v>
      </c>
      <c r="F70" s="83">
        <f t="shared" si="7"/>
        <v>113.91886283268656</v>
      </c>
      <c r="G70" s="83">
        <f t="shared" si="7"/>
        <v>116.82378689203421</v>
      </c>
      <c r="H70" s="83">
        <f t="shared" si="7"/>
        <v>119.80278633785205</v>
      </c>
    </row>
    <row r="71" spans="1:8" x14ac:dyDescent="0.3">
      <c r="A71" s="22"/>
      <c r="B71" s="82" t="s">
        <v>106</v>
      </c>
      <c r="C71" s="87">
        <f t="shared" ref="C71:H71" si="8">C70/$C$70</f>
        <v>1</v>
      </c>
      <c r="D71" s="87">
        <f t="shared" si="8"/>
        <v>1.0254999390541155</v>
      </c>
      <c r="E71" s="87">
        <f t="shared" si="8"/>
        <v>1.0516501249999946</v>
      </c>
      <c r="F71" s="87">
        <f t="shared" si="8"/>
        <v>1.0784671390937475</v>
      </c>
      <c r="G71" s="87">
        <f t="shared" si="8"/>
        <v>1.1059679854125044</v>
      </c>
      <c r="H71" s="87">
        <f t="shared" si="8"/>
        <v>1.1341701016363261</v>
      </c>
    </row>
    <row r="73" spans="1:8" x14ac:dyDescent="0.3">
      <c r="A73" s="73" t="s">
        <v>296</v>
      </c>
    </row>
    <row r="74" spans="1:8" x14ac:dyDescent="0.3">
      <c r="A74" s="13"/>
      <c r="B74" s="64" t="s">
        <v>16</v>
      </c>
      <c r="C74" s="81">
        <v>44713</v>
      </c>
      <c r="D74" s="81">
        <f>DATE(YEAR(C74)+1,MONTH(C74),DAY(C74))</f>
        <v>45078</v>
      </c>
      <c r="E74" s="81">
        <f t="shared" ref="E74:H74" si="9">DATE(YEAR(D74)+1,MONTH(D74),DAY(D74))</f>
        <v>45444</v>
      </c>
      <c r="F74" s="81">
        <f t="shared" si="9"/>
        <v>45809</v>
      </c>
      <c r="G74" s="81">
        <f t="shared" si="9"/>
        <v>46174</v>
      </c>
      <c r="H74" s="81">
        <f t="shared" si="9"/>
        <v>46539</v>
      </c>
    </row>
    <row r="75" spans="1:8" x14ac:dyDescent="0.3">
      <c r="B75" s="3" t="s">
        <v>105</v>
      </c>
      <c r="C75" s="2">
        <f>C16</f>
        <v>87.59</v>
      </c>
      <c r="D75" s="2">
        <f>C20</f>
        <v>92.87</v>
      </c>
      <c r="E75" s="2">
        <f>C24</f>
        <v>96.41</v>
      </c>
      <c r="F75" s="2">
        <f>C28</f>
        <v>98.43</v>
      </c>
      <c r="G75" s="222">
        <f>C32</f>
        <v>103.15464000000001</v>
      </c>
      <c r="H75" s="222">
        <f>C36</f>
        <v>105.63035136000002</v>
      </c>
    </row>
    <row r="76" spans="1:8" x14ac:dyDescent="0.3">
      <c r="B76" s="3" t="s">
        <v>106</v>
      </c>
      <c r="C76" s="144">
        <f>1/C75*$H$75</f>
        <v>1.2059635958442745</v>
      </c>
      <c r="D76" s="144">
        <f t="shared" ref="D76:H76" si="10">1/D75*$H$75</f>
        <v>1.1374001438570045</v>
      </c>
      <c r="E76" s="144">
        <f t="shared" si="10"/>
        <v>1.095636877502334</v>
      </c>
      <c r="F76" s="144">
        <f t="shared" si="10"/>
        <v>1.0731520000000001</v>
      </c>
      <c r="G76" s="144">
        <f t="shared" si="10"/>
        <v>1.024</v>
      </c>
      <c r="H76" s="144">
        <f t="shared" si="10"/>
        <v>1</v>
      </c>
    </row>
    <row r="77" spans="1:8" x14ac:dyDescent="0.3">
      <c r="B77" s="2"/>
    </row>
    <row r="78" spans="1:8" x14ac:dyDescent="0.3">
      <c r="B78" s="2"/>
    </row>
    <row r="79" spans="1:8" x14ac:dyDescent="0.3">
      <c r="B79" s="2"/>
    </row>
    <row r="80" spans="1:8" x14ac:dyDescent="0.3">
      <c r="B80" s="2"/>
    </row>
    <row r="81" spans="2:2" x14ac:dyDescent="0.3">
      <c r="B81" s="2"/>
    </row>
  </sheetData>
  <phoneticPr fontId="15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74557-AC2F-457D-8005-3BF07C148B53}">
  <sheetPr>
    <tabColor theme="5" tint="0.79998168889431442"/>
  </sheetPr>
  <dimension ref="A4:U170"/>
  <sheetViews>
    <sheetView showGridLines="0" zoomScale="85" zoomScaleNormal="85" workbookViewId="0">
      <pane ySplit="10" topLeftCell="A11" activePane="bottomLeft" state="frozen"/>
      <selection pane="bottomLeft" activeCell="E170" sqref="E170"/>
    </sheetView>
  </sheetViews>
  <sheetFormatPr defaultColWidth="8.625" defaultRowHeight="16.5" x14ac:dyDescent="0.3"/>
  <cols>
    <col min="1" max="1" width="3.375" style="2" customWidth="1"/>
    <col min="2" max="2" width="42.875" style="2" customWidth="1"/>
    <col min="3" max="3" width="28.25" style="5" customWidth="1"/>
    <col min="4" max="4" width="21.375" style="5" customWidth="1"/>
    <col min="5" max="6" width="13" style="3" customWidth="1"/>
    <col min="7" max="8" width="7.875" style="2" customWidth="1"/>
    <col min="9" max="9" width="2.625" style="2" customWidth="1"/>
    <col min="10" max="14" width="13.625" style="2" customWidth="1"/>
    <col min="15" max="15" width="2.625" style="2" customWidth="1"/>
    <col min="16" max="20" width="13.625" style="2" customWidth="1"/>
    <col min="21" max="21" width="2.625" style="2" customWidth="1"/>
    <col min="22" max="16384" width="8.625" style="2"/>
  </cols>
  <sheetData>
    <row r="4" spans="1:21" x14ac:dyDescent="0.3">
      <c r="J4" s="6"/>
      <c r="K4" s="6"/>
      <c r="L4" s="6"/>
      <c r="M4" s="6"/>
      <c r="N4" s="6"/>
    </row>
    <row r="5" spans="1:21" x14ac:dyDescent="0.3">
      <c r="J5" s="6"/>
      <c r="K5" s="6"/>
      <c r="L5" s="6"/>
      <c r="M5" s="6"/>
      <c r="N5" s="6"/>
      <c r="P5" s="6"/>
      <c r="Q5" s="6"/>
      <c r="R5" s="6"/>
      <c r="S5" s="6"/>
      <c r="T5" s="6"/>
    </row>
    <row r="6" spans="1:21" s="24" customFormat="1" ht="18.75" x14ac:dyDescent="0.3">
      <c r="A6" s="27" t="s">
        <v>48</v>
      </c>
      <c r="C6" s="25"/>
      <c r="D6" s="25"/>
      <c r="E6" s="26"/>
      <c r="F6" s="26"/>
      <c r="J6" s="101"/>
      <c r="K6" s="101"/>
      <c r="L6" s="101"/>
      <c r="M6" s="66" t="s">
        <v>36</v>
      </c>
      <c r="N6" s="116">
        <f>SUM(J161:N161)</f>
        <v>38951617.060414493</v>
      </c>
      <c r="S6" s="66" t="s">
        <v>36</v>
      </c>
      <c r="T6" s="116">
        <f>SUM(P161:T161)</f>
        <v>38951617.060414493</v>
      </c>
    </row>
    <row r="7" spans="1:21" s="24" customFormat="1" ht="18.75" x14ac:dyDescent="0.3">
      <c r="A7" s="23" t="s">
        <v>164</v>
      </c>
      <c r="C7" s="25"/>
      <c r="D7" s="25"/>
      <c r="E7" s="26"/>
      <c r="F7" s="26"/>
      <c r="J7" s="101"/>
      <c r="K7" s="101"/>
      <c r="L7" s="101"/>
      <c r="M7" s="101"/>
      <c r="N7" s="101"/>
    </row>
    <row r="8" spans="1:21" x14ac:dyDescent="0.3">
      <c r="A8" s="18"/>
      <c r="B8" s="3"/>
      <c r="C8" s="3">
        <v>5</v>
      </c>
      <c r="D8" s="3">
        <v>3</v>
      </c>
      <c r="E8" s="3">
        <v>4</v>
      </c>
      <c r="J8" s="3">
        <v>80</v>
      </c>
      <c r="K8" s="3">
        <v>81</v>
      </c>
      <c r="L8" s="3">
        <v>82</v>
      </c>
      <c r="M8" s="3">
        <v>83</v>
      </c>
      <c r="N8" s="3">
        <v>84</v>
      </c>
      <c r="P8" s="3"/>
      <c r="Q8" s="3"/>
      <c r="R8" s="3"/>
      <c r="S8" s="3"/>
      <c r="T8" s="3"/>
    </row>
    <row r="9" spans="1:21" ht="18.75" x14ac:dyDescent="0.3">
      <c r="A9" s="8" t="s">
        <v>163</v>
      </c>
      <c r="B9" s="15"/>
      <c r="C9" s="16"/>
      <c r="D9" s="16"/>
      <c r="E9" s="17"/>
      <c r="F9" s="17"/>
      <c r="G9" s="15"/>
      <c r="H9" s="15"/>
      <c r="J9" s="7" t="s">
        <v>20</v>
      </c>
      <c r="K9" s="15"/>
      <c r="L9" s="15"/>
      <c r="M9" s="15"/>
      <c r="N9" s="15"/>
      <c r="P9" s="7" t="s">
        <v>21</v>
      </c>
      <c r="Q9" s="15"/>
      <c r="R9" s="15"/>
      <c r="S9" s="15"/>
      <c r="T9" s="15"/>
    </row>
    <row r="10" spans="1:21" s="63" customFormat="1" ht="18.75" x14ac:dyDescent="0.3">
      <c r="A10" s="61" t="s">
        <v>30</v>
      </c>
      <c r="B10" s="60" t="s">
        <v>22</v>
      </c>
      <c r="C10" s="59" t="s">
        <v>142</v>
      </c>
      <c r="D10" s="59" t="s">
        <v>0</v>
      </c>
      <c r="E10" s="59" t="s">
        <v>141</v>
      </c>
      <c r="F10" s="59" t="s">
        <v>31</v>
      </c>
      <c r="G10" s="61" t="s">
        <v>23</v>
      </c>
      <c r="H10" s="61" t="s">
        <v>32</v>
      </c>
      <c r="I10" s="62"/>
      <c r="J10" s="61" t="s">
        <v>56</v>
      </c>
      <c r="K10" s="61" t="s">
        <v>55</v>
      </c>
      <c r="L10" s="61" t="s">
        <v>54</v>
      </c>
      <c r="M10" s="61" t="s">
        <v>120</v>
      </c>
      <c r="N10" s="61" t="s">
        <v>119</v>
      </c>
      <c r="P10" s="61" t="s">
        <v>56</v>
      </c>
      <c r="Q10" s="61" t="s">
        <v>55</v>
      </c>
      <c r="R10" s="61" t="s">
        <v>54</v>
      </c>
      <c r="S10" s="61" t="s">
        <v>120</v>
      </c>
      <c r="T10" s="61" t="s">
        <v>119</v>
      </c>
    </row>
    <row r="11" spans="1:21" s="4" customFormat="1" x14ac:dyDescent="0.3">
      <c r="A11" s="28">
        <v>1</v>
      </c>
      <c r="B11" s="48" t="s">
        <v>143</v>
      </c>
      <c r="C11" s="48" t="s">
        <v>169</v>
      </c>
      <c r="D11" s="48" t="s">
        <v>2</v>
      </c>
      <c r="E11" s="48" t="s">
        <v>3</v>
      </c>
      <c r="F11" s="48" t="s">
        <v>162</v>
      </c>
      <c r="G11" s="47" t="s">
        <v>161</v>
      </c>
      <c r="H11" s="47" t="s">
        <v>108</v>
      </c>
      <c r="I11" s="50"/>
      <c r="J11" s="52">
        <v>2132553.528487944</v>
      </c>
      <c r="K11" s="52">
        <v>0</v>
      </c>
      <c r="L11" s="52">
        <v>0</v>
      </c>
      <c r="M11" s="52">
        <v>0</v>
      </c>
      <c r="N11" s="52">
        <v>0</v>
      </c>
      <c r="O11" s="53"/>
      <c r="P11" s="52">
        <f>J11</f>
        <v>2132553.528487944</v>
      </c>
      <c r="Q11" s="52">
        <f t="shared" ref="Q11:T11" si="0">K11</f>
        <v>0</v>
      </c>
      <c r="R11" s="52">
        <f t="shared" si="0"/>
        <v>0</v>
      </c>
      <c r="S11" s="52">
        <f t="shared" si="0"/>
        <v>0</v>
      </c>
      <c r="T11" s="52">
        <f t="shared" si="0"/>
        <v>0</v>
      </c>
      <c r="U11" s="53"/>
    </row>
    <row r="12" spans="1:21" s="4" customFormat="1" x14ac:dyDescent="0.3">
      <c r="A12" s="28">
        <v>2</v>
      </c>
      <c r="B12" s="48" t="s">
        <v>144</v>
      </c>
      <c r="C12" s="48" t="s">
        <v>169</v>
      </c>
      <c r="D12" s="48" t="s">
        <v>2</v>
      </c>
      <c r="E12" s="48" t="s">
        <v>3</v>
      </c>
      <c r="F12" s="48" t="s">
        <v>162</v>
      </c>
      <c r="G12" s="47" t="s">
        <v>161</v>
      </c>
      <c r="H12" s="47" t="s">
        <v>108</v>
      </c>
      <c r="I12" s="50"/>
      <c r="J12" s="52">
        <v>4089950.9121939866</v>
      </c>
      <c r="K12" s="52">
        <v>1366864.0832739975</v>
      </c>
      <c r="L12" s="52">
        <v>1143980.1649334668</v>
      </c>
      <c r="M12" s="52">
        <v>1035574.1561103528</v>
      </c>
      <c r="N12" s="52">
        <v>1270141.4548387963</v>
      </c>
      <c r="O12" s="53"/>
      <c r="P12" s="52">
        <f t="shared" ref="P12:P75" si="1">J12</f>
        <v>4089950.9121939866</v>
      </c>
      <c r="Q12" s="52">
        <f t="shared" ref="Q12:Q75" si="2">K12</f>
        <v>1366864.0832739975</v>
      </c>
      <c r="R12" s="52">
        <f t="shared" ref="R12:R75" si="3">L12</f>
        <v>1143980.1649334668</v>
      </c>
      <c r="S12" s="52">
        <f t="shared" ref="S12:S75" si="4">M12</f>
        <v>1035574.1561103528</v>
      </c>
      <c r="T12" s="52">
        <f t="shared" ref="T12:T75" si="5">N12</f>
        <v>1270141.4548387963</v>
      </c>
      <c r="U12" s="53"/>
    </row>
    <row r="13" spans="1:21" s="4" customFormat="1" x14ac:dyDescent="0.3">
      <c r="A13" s="28">
        <v>3</v>
      </c>
      <c r="B13" s="48" t="s">
        <v>145</v>
      </c>
      <c r="C13" s="48" t="s">
        <v>249</v>
      </c>
      <c r="D13" s="48" t="s">
        <v>2</v>
      </c>
      <c r="E13" s="48" t="s">
        <v>3</v>
      </c>
      <c r="F13" s="48" t="s">
        <v>162</v>
      </c>
      <c r="G13" s="47" t="s">
        <v>161</v>
      </c>
      <c r="H13" s="47" t="s">
        <v>108</v>
      </c>
      <c r="I13" s="50"/>
      <c r="J13" s="52">
        <v>4833901.5784955965</v>
      </c>
      <c r="K13" s="52">
        <v>0</v>
      </c>
      <c r="L13" s="52">
        <v>0</v>
      </c>
      <c r="M13" s="52">
        <v>0</v>
      </c>
      <c r="N13" s="52">
        <v>0</v>
      </c>
      <c r="O13" s="53"/>
      <c r="P13" s="52">
        <f t="shared" si="1"/>
        <v>4833901.5784955965</v>
      </c>
      <c r="Q13" s="52">
        <f t="shared" si="2"/>
        <v>0</v>
      </c>
      <c r="R13" s="52">
        <f t="shared" si="3"/>
        <v>0</v>
      </c>
      <c r="S13" s="52">
        <f t="shared" si="4"/>
        <v>0</v>
      </c>
      <c r="T13" s="52">
        <f t="shared" si="5"/>
        <v>0</v>
      </c>
      <c r="U13" s="53"/>
    </row>
    <row r="14" spans="1:21" s="4" customFormat="1" x14ac:dyDescent="0.3">
      <c r="A14" s="28">
        <v>4</v>
      </c>
      <c r="B14" s="48" t="s">
        <v>146</v>
      </c>
      <c r="C14" s="48" t="s">
        <v>146</v>
      </c>
      <c r="D14" s="48" t="s">
        <v>74</v>
      </c>
      <c r="E14" s="48" t="s">
        <v>3</v>
      </c>
      <c r="F14" s="48" t="s">
        <v>162</v>
      </c>
      <c r="G14" s="47" t="s">
        <v>161</v>
      </c>
      <c r="H14" s="47" t="s">
        <v>108</v>
      </c>
      <c r="I14" s="50"/>
      <c r="J14" s="52">
        <v>764438.90670450602</v>
      </c>
      <c r="K14" s="52">
        <v>0</v>
      </c>
      <c r="L14" s="52">
        <v>0</v>
      </c>
      <c r="M14" s="52">
        <v>0</v>
      </c>
      <c r="N14" s="52">
        <v>0</v>
      </c>
      <c r="O14" s="53"/>
      <c r="P14" s="52">
        <f t="shared" si="1"/>
        <v>764438.90670450602</v>
      </c>
      <c r="Q14" s="52">
        <f t="shared" si="2"/>
        <v>0</v>
      </c>
      <c r="R14" s="52">
        <f t="shared" si="3"/>
        <v>0</v>
      </c>
      <c r="S14" s="52">
        <f t="shared" si="4"/>
        <v>0</v>
      </c>
      <c r="T14" s="52">
        <f t="shared" si="5"/>
        <v>0</v>
      </c>
      <c r="U14" s="53"/>
    </row>
    <row r="15" spans="1:21" s="4" customFormat="1" x14ac:dyDescent="0.3">
      <c r="A15" s="28">
        <v>5</v>
      </c>
      <c r="B15" s="48" t="s">
        <v>58</v>
      </c>
      <c r="C15" s="48" t="s">
        <v>169</v>
      </c>
      <c r="D15" s="48" t="s">
        <v>2</v>
      </c>
      <c r="E15" s="48" t="s">
        <v>3</v>
      </c>
      <c r="F15" s="48" t="s">
        <v>162</v>
      </c>
      <c r="G15" s="47" t="s">
        <v>161</v>
      </c>
      <c r="H15" s="47" t="s">
        <v>108</v>
      </c>
      <c r="I15" s="50"/>
      <c r="J15" s="52">
        <v>0</v>
      </c>
      <c r="K15" s="52">
        <v>0</v>
      </c>
      <c r="L15" s="52">
        <v>0</v>
      </c>
      <c r="M15" s="52">
        <v>0</v>
      </c>
      <c r="N15" s="52">
        <v>1171264.2409237425</v>
      </c>
      <c r="O15" s="53"/>
      <c r="P15" s="52">
        <f t="shared" si="1"/>
        <v>0</v>
      </c>
      <c r="Q15" s="52">
        <f t="shared" si="2"/>
        <v>0</v>
      </c>
      <c r="R15" s="52">
        <f t="shared" si="3"/>
        <v>0</v>
      </c>
      <c r="S15" s="52">
        <f t="shared" si="4"/>
        <v>0</v>
      </c>
      <c r="T15" s="52">
        <f t="shared" si="5"/>
        <v>1171264.2409237425</v>
      </c>
      <c r="U15" s="53"/>
    </row>
    <row r="16" spans="1:21" s="4" customFormat="1" x14ac:dyDescent="0.3">
      <c r="A16" s="28">
        <v>6</v>
      </c>
      <c r="B16" s="48" t="s">
        <v>147</v>
      </c>
      <c r="C16" s="48" t="s">
        <v>169</v>
      </c>
      <c r="D16" s="48" t="s">
        <v>2</v>
      </c>
      <c r="E16" s="48" t="s">
        <v>3</v>
      </c>
      <c r="F16" s="48" t="s">
        <v>162</v>
      </c>
      <c r="G16" s="47" t="s">
        <v>161</v>
      </c>
      <c r="H16" s="47" t="s">
        <v>108</v>
      </c>
      <c r="I16" s="50"/>
      <c r="J16" s="52">
        <v>863198.06223414862</v>
      </c>
      <c r="K16" s="52">
        <v>0</v>
      </c>
      <c r="L16" s="52">
        <v>0</v>
      </c>
      <c r="M16" s="52">
        <v>0</v>
      </c>
      <c r="N16" s="52">
        <v>0</v>
      </c>
      <c r="O16" s="53"/>
      <c r="P16" s="52">
        <f t="shared" si="1"/>
        <v>863198.06223414862</v>
      </c>
      <c r="Q16" s="52">
        <f t="shared" si="2"/>
        <v>0</v>
      </c>
      <c r="R16" s="52">
        <f t="shared" si="3"/>
        <v>0</v>
      </c>
      <c r="S16" s="52">
        <f t="shared" si="4"/>
        <v>0</v>
      </c>
      <c r="T16" s="52">
        <f t="shared" si="5"/>
        <v>0</v>
      </c>
      <c r="U16" s="53"/>
    </row>
    <row r="17" spans="1:21" s="4" customFormat="1" x14ac:dyDescent="0.3">
      <c r="A17" s="28">
        <v>7</v>
      </c>
      <c r="B17" s="48" t="s">
        <v>148</v>
      </c>
      <c r="C17" s="48" t="s">
        <v>169</v>
      </c>
      <c r="D17" s="48" t="s">
        <v>2</v>
      </c>
      <c r="E17" s="48" t="s">
        <v>3</v>
      </c>
      <c r="F17" s="48" t="s">
        <v>162</v>
      </c>
      <c r="G17" s="47" t="s">
        <v>161</v>
      </c>
      <c r="H17" s="47" t="s">
        <v>108</v>
      </c>
      <c r="I17" s="50"/>
      <c r="J17" s="52">
        <v>0</v>
      </c>
      <c r="K17" s="52">
        <v>0</v>
      </c>
      <c r="L17" s="52">
        <v>0</v>
      </c>
      <c r="M17" s="52">
        <v>0</v>
      </c>
      <c r="N17" s="52">
        <v>245965.49059398595</v>
      </c>
      <c r="O17" s="53"/>
      <c r="P17" s="52">
        <f t="shared" si="1"/>
        <v>0</v>
      </c>
      <c r="Q17" s="52">
        <f t="shared" si="2"/>
        <v>0</v>
      </c>
      <c r="R17" s="52">
        <f t="shared" si="3"/>
        <v>0</v>
      </c>
      <c r="S17" s="52">
        <f t="shared" si="4"/>
        <v>0</v>
      </c>
      <c r="T17" s="52">
        <f t="shared" si="5"/>
        <v>245965.49059398595</v>
      </c>
      <c r="U17" s="53"/>
    </row>
    <row r="18" spans="1:21" s="4" customFormat="1" x14ac:dyDescent="0.3">
      <c r="A18" s="28">
        <v>8</v>
      </c>
      <c r="B18" s="48" t="s">
        <v>149</v>
      </c>
      <c r="C18" s="48" t="s">
        <v>170</v>
      </c>
      <c r="D18" s="48" t="s">
        <v>4</v>
      </c>
      <c r="E18" s="48" t="s">
        <v>3</v>
      </c>
      <c r="F18" s="48" t="s">
        <v>162</v>
      </c>
      <c r="G18" s="47" t="s">
        <v>161</v>
      </c>
      <c r="H18" s="47" t="s">
        <v>108</v>
      </c>
      <c r="I18" s="50"/>
      <c r="J18" s="52">
        <v>85230.792665969246</v>
      </c>
      <c r="K18" s="52">
        <v>0</v>
      </c>
      <c r="L18" s="52">
        <v>0</v>
      </c>
      <c r="M18" s="52">
        <v>0</v>
      </c>
      <c r="N18" s="52">
        <v>0</v>
      </c>
      <c r="O18" s="53"/>
      <c r="P18" s="52">
        <f t="shared" si="1"/>
        <v>85230.792665969246</v>
      </c>
      <c r="Q18" s="52">
        <f t="shared" si="2"/>
        <v>0</v>
      </c>
      <c r="R18" s="52">
        <f t="shared" si="3"/>
        <v>0</v>
      </c>
      <c r="S18" s="52">
        <f t="shared" si="4"/>
        <v>0</v>
      </c>
      <c r="T18" s="52">
        <f t="shared" si="5"/>
        <v>0</v>
      </c>
      <c r="U18" s="53"/>
    </row>
    <row r="19" spans="1:21" s="4" customFormat="1" x14ac:dyDescent="0.3">
      <c r="A19" s="28">
        <v>9</v>
      </c>
      <c r="B19" s="48" t="s">
        <v>150</v>
      </c>
      <c r="C19" s="48" t="s">
        <v>170</v>
      </c>
      <c r="D19" s="48" t="s">
        <v>4</v>
      </c>
      <c r="E19" s="48" t="s">
        <v>3</v>
      </c>
      <c r="F19" s="48" t="s">
        <v>162</v>
      </c>
      <c r="G19" s="47" t="s">
        <v>161</v>
      </c>
      <c r="H19" s="47" t="s">
        <v>108</v>
      </c>
      <c r="I19" s="50"/>
      <c r="J19" s="52">
        <v>85230.792665969246</v>
      </c>
      <c r="K19" s="52">
        <v>0</v>
      </c>
      <c r="L19" s="52">
        <v>0</v>
      </c>
      <c r="M19" s="52">
        <v>0</v>
      </c>
      <c r="N19" s="52">
        <v>0</v>
      </c>
      <c r="O19" s="53"/>
      <c r="P19" s="52">
        <f t="shared" si="1"/>
        <v>85230.792665969246</v>
      </c>
      <c r="Q19" s="52">
        <f t="shared" si="2"/>
        <v>0</v>
      </c>
      <c r="R19" s="52">
        <f t="shared" si="3"/>
        <v>0</v>
      </c>
      <c r="S19" s="52">
        <f t="shared" si="4"/>
        <v>0</v>
      </c>
      <c r="T19" s="52">
        <f t="shared" si="5"/>
        <v>0</v>
      </c>
      <c r="U19" s="53"/>
    </row>
    <row r="20" spans="1:21" s="4" customFormat="1" x14ac:dyDescent="0.3">
      <c r="A20" s="28">
        <v>10</v>
      </c>
      <c r="B20" s="48" t="s">
        <v>151</v>
      </c>
      <c r="C20" s="48" t="s">
        <v>170</v>
      </c>
      <c r="D20" s="48" t="s">
        <v>4</v>
      </c>
      <c r="E20" s="48" t="s">
        <v>3</v>
      </c>
      <c r="F20" s="48" t="s">
        <v>162</v>
      </c>
      <c r="G20" s="47" t="s">
        <v>161</v>
      </c>
      <c r="H20" s="47" t="s">
        <v>108</v>
      </c>
      <c r="I20" s="50"/>
      <c r="J20" s="52">
        <v>85230.792665969246</v>
      </c>
      <c r="K20" s="52">
        <v>0</v>
      </c>
      <c r="L20" s="52">
        <v>0</v>
      </c>
      <c r="M20" s="52">
        <v>0</v>
      </c>
      <c r="N20" s="52">
        <v>0</v>
      </c>
      <c r="O20" s="53"/>
      <c r="P20" s="52">
        <f t="shared" si="1"/>
        <v>85230.792665969246</v>
      </c>
      <c r="Q20" s="52">
        <f t="shared" si="2"/>
        <v>0</v>
      </c>
      <c r="R20" s="52">
        <f t="shared" si="3"/>
        <v>0</v>
      </c>
      <c r="S20" s="52">
        <f t="shared" si="4"/>
        <v>0</v>
      </c>
      <c r="T20" s="52">
        <f t="shared" si="5"/>
        <v>0</v>
      </c>
      <c r="U20" s="53"/>
    </row>
    <row r="21" spans="1:21" s="4" customFormat="1" x14ac:dyDescent="0.3">
      <c r="A21" s="28">
        <v>11</v>
      </c>
      <c r="B21" s="48" t="s">
        <v>152</v>
      </c>
      <c r="C21" s="48" t="s">
        <v>171</v>
      </c>
      <c r="D21" s="48" t="s">
        <v>2</v>
      </c>
      <c r="E21" s="48" t="s">
        <v>3</v>
      </c>
      <c r="F21" s="48" t="s">
        <v>162</v>
      </c>
      <c r="G21" s="47" t="s">
        <v>161</v>
      </c>
      <c r="H21" s="47" t="s">
        <v>108</v>
      </c>
      <c r="I21" s="50"/>
      <c r="J21" s="52">
        <v>1065511.4577992852</v>
      </c>
      <c r="K21" s="52">
        <v>0</v>
      </c>
      <c r="L21" s="52">
        <v>0</v>
      </c>
      <c r="M21" s="52">
        <v>0</v>
      </c>
      <c r="N21" s="52">
        <v>0</v>
      </c>
      <c r="O21" s="53"/>
      <c r="P21" s="52">
        <f t="shared" si="1"/>
        <v>1065511.4577992852</v>
      </c>
      <c r="Q21" s="52">
        <f t="shared" si="2"/>
        <v>0</v>
      </c>
      <c r="R21" s="52">
        <f t="shared" si="3"/>
        <v>0</v>
      </c>
      <c r="S21" s="52">
        <f t="shared" si="4"/>
        <v>0</v>
      </c>
      <c r="T21" s="52">
        <f t="shared" si="5"/>
        <v>0</v>
      </c>
      <c r="U21" s="53"/>
    </row>
    <row r="22" spans="1:21" s="4" customFormat="1" x14ac:dyDescent="0.3">
      <c r="A22" s="28">
        <v>12</v>
      </c>
      <c r="B22" s="48" t="s">
        <v>153</v>
      </c>
      <c r="C22" s="48" t="s">
        <v>172</v>
      </c>
      <c r="D22" s="48" t="s">
        <v>2</v>
      </c>
      <c r="E22" s="48" t="s">
        <v>3</v>
      </c>
      <c r="F22" s="48" t="s">
        <v>162</v>
      </c>
      <c r="G22" s="47" t="s">
        <v>161</v>
      </c>
      <c r="H22" s="47" t="s">
        <v>108</v>
      </c>
      <c r="I22" s="50"/>
      <c r="J22" s="52">
        <v>113574.06118107973</v>
      </c>
      <c r="K22" s="52">
        <v>136987.8910057834</v>
      </c>
      <c r="L22" s="52">
        <v>0</v>
      </c>
      <c r="M22" s="52">
        <v>0</v>
      </c>
      <c r="N22" s="52">
        <v>0</v>
      </c>
      <c r="O22" s="53"/>
      <c r="P22" s="52">
        <f t="shared" si="1"/>
        <v>113574.06118107973</v>
      </c>
      <c r="Q22" s="52">
        <f t="shared" si="2"/>
        <v>136987.8910057834</v>
      </c>
      <c r="R22" s="52">
        <f t="shared" si="3"/>
        <v>0</v>
      </c>
      <c r="S22" s="52">
        <f t="shared" si="4"/>
        <v>0</v>
      </c>
      <c r="T22" s="52">
        <f t="shared" si="5"/>
        <v>0</v>
      </c>
      <c r="U22" s="53"/>
    </row>
    <row r="23" spans="1:21" s="4" customFormat="1" x14ac:dyDescent="0.3">
      <c r="A23" s="28">
        <v>13</v>
      </c>
      <c r="B23" s="48" t="s">
        <v>154</v>
      </c>
      <c r="C23" s="48" t="s">
        <v>173</v>
      </c>
      <c r="D23" s="48" t="s">
        <v>74</v>
      </c>
      <c r="E23" s="48" t="s">
        <v>3</v>
      </c>
      <c r="F23" s="48" t="s">
        <v>162</v>
      </c>
      <c r="G23" s="47" t="s">
        <v>161</v>
      </c>
      <c r="H23" s="47" t="s">
        <v>108</v>
      </c>
      <c r="I23" s="50"/>
      <c r="J23" s="52">
        <v>56808.632534801567</v>
      </c>
      <c r="K23" s="52">
        <v>0</v>
      </c>
      <c r="L23" s="52">
        <v>0</v>
      </c>
      <c r="M23" s="52">
        <v>0</v>
      </c>
      <c r="N23" s="52">
        <v>0</v>
      </c>
      <c r="O23" s="53"/>
      <c r="P23" s="52">
        <f t="shared" si="1"/>
        <v>56808.632534801567</v>
      </c>
      <c r="Q23" s="52">
        <f t="shared" si="2"/>
        <v>0</v>
      </c>
      <c r="R23" s="52">
        <f t="shared" si="3"/>
        <v>0</v>
      </c>
      <c r="S23" s="52">
        <f t="shared" si="4"/>
        <v>0</v>
      </c>
      <c r="T23" s="52">
        <f t="shared" si="5"/>
        <v>0</v>
      </c>
      <c r="U23" s="53"/>
    </row>
    <row r="24" spans="1:21" s="4" customFormat="1" x14ac:dyDescent="0.3">
      <c r="A24" s="28">
        <v>14</v>
      </c>
      <c r="B24" s="48" t="s">
        <v>155</v>
      </c>
      <c r="C24" s="48" t="s">
        <v>169</v>
      </c>
      <c r="D24" s="48" t="s">
        <v>2</v>
      </c>
      <c r="E24" s="48" t="s">
        <v>3</v>
      </c>
      <c r="F24" s="48" t="s">
        <v>162</v>
      </c>
      <c r="G24" s="47" t="s">
        <v>161</v>
      </c>
      <c r="H24" s="47" t="s">
        <v>108</v>
      </c>
      <c r="I24" s="50"/>
      <c r="J24" s="52">
        <v>0</v>
      </c>
      <c r="K24" s="52">
        <v>0</v>
      </c>
      <c r="L24" s="52">
        <v>0</v>
      </c>
      <c r="M24" s="52">
        <v>0</v>
      </c>
      <c r="N24" s="52">
        <v>0</v>
      </c>
      <c r="O24" s="53"/>
      <c r="P24" s="52">
        <f t="shared" si="1"/>
        <v>0</v>
      </c>
      <c r="Q24" s="52">
        <f t="shared" si="2"/>
        <v>0</v>
      </c>
      <c r="R24" s="52">
        <f t="shared" si="3"/>
        <v>0</v>
      </c>
      <c r="S24" s="52">
        <f t="shared" si="4"/>
        <v>0</v>
      </c>
      <c r="T24" s="52">
        <f t="shared" si="5"/>
        <v>0</v>
      </c>
      <c r="U24" s="53"/>
    </row>
    <row r="25" spans="1:21" s="4" customFormat="1" x14ac:dyDescent="0.3">
      <c r="A25" s="28">
        <v>15</v>
      </c>
      <c r="B25" s="48" t="s">
        <v>156</v>
      </c>
      <c r="C25" s="48" t="s">
        <v>174</v>
      </c>
      <c r="D25" s="48" t="s">
        <v>2</v>
      </c>
      <c r="E25" s="48" t="s">
        <v>3</v>
      </c>
      <c r="F25" s="48" t="s">
        <v>162</v>
      </c>
      <c r="G25" s="47" t="s">
        <v>161</v>
      </c>
      <c r="H25" s="47" t="s">
        <v>108</v>
      </c>
      <c r="I25" s="50"/>
      <c r="J25" s="52">
        <v>0</v>
      </c>
      <c r="K25" s="52">
        <v>341054.75874857779</v>
      </c>
      <c r="L25" s="52">
        <v>0</v>
      </c>
      <c r="M25" s="52">
        <v>0</v>
      </c>
      <c r="N25" s="52">
        <v>0</v>
      </c>
      <c r="O25" s="53"/>
      <c r="P25" s="52">
        <f t="shared" si="1"/>
        <v>0</v>
      </c>
      <c r="Q25" s="52">
        <f t="shared" si="2"/>
        <v>341054.75874857779</v>
      </c>
      <c r="R25" s="52">
        <f t="shared" si="3"/>
        <v>0</v>
      </c>
      <c r="S25" s="52">
        <f t="shared" si="4"/>
        <v>0</v>
      </c>
      <c r="T25" s="52">
        <f t="shared" si="5"/>
        <v>0</v>
      </c>
      <c r="U25" s="53"/>
    </row>
    <row r="26" spans="1:21" s="4" customFormat="1" x14ac:dyDescent="0.3">
      <c r="A26" s="28">
        <v>16</v>
      </c>
      <c r="B26" s="48" t="s">
        <v>157</v>
      </c>
      <c r="C26" s="48" t="s">
        <v>68</v>
      </c>
      <c r="D26" s="48" t="s">
        <v>351</v>
      </c>
      <c r="E26" s="48" t="s">
        <v>3</v>
      </c>
      <c r="F26" s="48" t="s">
        <v>162</v>
      </c>
      <c r="G26" s="47" t="s">
        <v>161</v>
      </c>
      <c r="H26" s="47" t="s">
        <v>108</v>
      </c>
      <c r="I26" s="50"/>
      <c r="J26" s="52">
        <v>0</v>
      </c>
      <c r="K26" s="52">
        <v>0</v>
      </c>
      <c r="L26" s="52">
        <v>0</v>
      </c>
      <c r="M26" s="52">
        <v>0</v>
      </c>
      <c r="N26" s="52">
        <v>0</v>
      </c>
      <c r="O26" s="53"/>
      <c r="P26" s="52">
        <f t="shared" si="1"/>
        <v>0</v>
      </c>
      <c r="Q26" s="52">
        <f t="shared" si="2"/>
        <v>0</v>
      </c>
      <c r="R26" s="52">
        <f t="shared" si="3"/>
        <v>0</v>
      </c>
      <c r="S26" s="52">
        <f t="shared" si="4"/>
        <v>0</v>
      </c>
      <c r="T26" s="52">
        <f t="shared" si="5"/>
        <v>0</v>
      </c>
      <c r="U26" s="53"/>
    </row>
    <row r="27" spans="1:21" s="4" customFormat="1" x14ac:dyDescent="0.3">
      <c r="A27" s="28">
        <v>17</v>
      </c>
      <c r="B27" s="48" t="s">
        <v>158</v>
      </c>
      <c r="C27" s="48" t="s">
        <v>68</v>
      </c>
      <c r="D27" s="48" t="s">
        <v>69</v>
      </c>
      <c r="E27" s="48" t="s">
        <v>3</v>
      </c>
      <c r="F27" s="48" t="s">
        <v>162</v>
      </c>
      <c r="G27" s="47" t="s">
        <v>161</v>
      </c>
      <c r="H27" s="47" t="s">
        <v>108</v>
      </c>
      <c r="I27" s="50"/>
      <c r="J27" s="52">
        <v>0</v>
      </c>
      <c r="K27" s="52">
        <v>0</v>
      </c>
      <c r="L27" s="52">
        <v>0</v>
      </c>
      <c r="M27" s="52">
        <v>0</v>
      </c>
      <c r="N27" s="52">
        <v>0</v>
      </c>
      <c r="O27" s="53"/>
      <c r="P27" s="52">
        <f t="shared" si="1"/>
        <v>0</v>
      </c>
      <c r="Q27" s="52">
        <f t="shared" si="2"/>
        <v>0</v>
      </c>
      <c r="R27" s="52">
        <f t="shared" si="3"/>
        <v>0</v>
      </c>
      <c r="S27" s="52">
        <f t="shared" si="4"/>
        <v>0</v>
      </c>
      <c r="T27" s="52">
        <f t="shared" si="5"/>
        <v>0</v>
      </c>
      <c r="U27" s="53"/>
    </row>
    <row r="28" spans="1:21" s="4" customFormat="1" x14ac:dyDescent="0.3">
      <c r="A28" s="28">
        <v>18</v>
      </c>
      <c r="B28" s="48" t="s">
        <v>73</v>
      </c>
      <c r="C28" s="48" t="s">
        <v>73</v>
      </c>
      <c r="D28" s="48" t="s">
        <v>73</v>
      </c>
      <c r="E28" s="48" t="s">
        <v>6</v>
      </c>
      <c r="F28" s="48" t="s">
        <v>162</v>
      </c>
      <c r="G28" s="47" t="s">
        <v>161</v>
      </c>
      <c r="H28" s="47" t="s">
        <v>108</v>
      </c>
      <c r="I28" s="50"/>
      <c r="J28" s="52">
        <v>3635346.069879313</v>
      </c>
      <c r="K28" s="52">
        <v>3654634.6869300804</v>
      </c>
      <c r="L28" s="52">
        <v>2543018.3903842643</v>
      </c>
      <c r="M28" s="52">
        <v>1733684.778190159</v>
      </c>
      <c r="N28" s="52">
        <v>969125.20696719387</v>
      </c>
      <c r="O28" s="53"/>
      <c r="P28" s="52">
        <f t="shared" si="1"/>
        <v>3635346.069879313</v>
      </c>
      <c r="Q28" s="52">
        <f t="shared" si="2"/>
        <v>3654634.6869300804</v>
      </c>
      <c r="R28" s="52">
        <f t="shared" si="3"/>
        <v>2543018.3903842643</v>
      </c>
      <c r="S28" s="52">
        <f t="shared" si="4"/>
        <v>1733684.778190159</v>
      </c>
      <c r="T28" s="52">
        <f t="shared" si="5"/>
        <v>969125.20696719387</v>
      </c>
      <c r="U28" s="53"/>
    </row>
    <row r="29" spans="1:21" s="4" customFormat="1" x14ac:dyDescent="0.3">
      <c r="A29" s="28">
        <v>19</v>
      </c>
      <c r="B29" s="48" t="s">
        <v>140</v>
      </c>
      <c r="C29" s="48" t="s">
        <v>140</v>
      </c>
      <c r="D29" s="48" t="s">
        <v>72</v>
      </c>
      <c r="E29" s="48" t="s">
        <v>6</v>
      </c>
      <c r="F29" s="48" t="s">
        <v>162</v>
      </c>
      <c r="G29" s="47" t="s">
        <v>161</v>
      </c>
      <c r="H29" s="47" t="s">
        <v>108</v>
      </c>
      <c r="I29" s="50"/>
      <c r="J29" s="52">
        <v>739883.34161643847</v>
      </c>
      <c r="K29" s="52">
        <v>51723.312135347252</v>
      </c>
      <c r="L29" s="52">
        <v>0</v>
      </c>
      <c r="M29" s="52">
        <v>0</v>
      </c>
      <c r="N29" s="52">
        <v>0</v>
      </c>
      <c r="O29" s="53"/>
      <c r="P29" s="52">
        <f t="shared" si="1"/>
        <v>739883.34161643847</v>
      </c>
      <c r="Q29" s="52">
        <f t="shared" si="2"/>
        <v>51723.312135347252</v>
      </c>
      <c r="R29" s="52">
        <f t="shared" si="3"/>
        <v>0</v>
      </c>
      <c r="S29" s="52">
        <f t="shared" si="4"/>
        <v>0</v>
      </c>
      <c r="T29" s="52">
        <f t="shared" si="5"/>
        <v>0</v>
      </c>
      <c r="U29" s="53"/>
    </row>
    <row r="30" spans="1:21" s="4" customFormat="1" x14ac:dyDescent="0.3">
      <c r="A30" s="28">
        <v>20</v>
      </c>
      <c r="B30" s="48" t="s">
        <v>68</v>
      </c>
      <c r="C30" s="48" t="s">
        <v>68</v>
      </c>
      <c r="D30" s="48" t="s">
        <v>74</v>
      </c>
      <c r="E30" s="48" t="s">
        <v>3</v>
      </c>
      <c r="F30" s="48" t="s">
        <v>162</v>
      </c>
      <c r="G30" s="47" t="s">
        <v>161</v>
      </c>
      <c r="H30" s="47" t="s">
        <v>108</v>
      </c>
      <c r="I30" s="50"/>
      <c r="J30" s="52">
        <v>407695.28508329316</v>
      </c>
      <c r="K30" s="52">
        <v>408819.20278407267</v>
      </c>
      <c r="L30" s="52">
        <v>410692.48146354227</v>
      </c>
      <c r="M30" s="52">
        <v>413223.93896229053</v>
      </c>
      <c r="N30" s="52">
        <v>414758.56498598773</v>
      </c>
      <c r="O30" s="53"/>
      <c r="P30" s="52">
        <f t="shared" si="1"/>
        <v>407695.28508329316</v>
      </c>
      <c r="Q30" s="52">
        <f t="shared" si="2"/>
        <v>408819.20278407267</v>
      </c>
      <c r="R30" s="52">
        <f t="shared" si="3"/>
        <v>410692.48146354227</v>
      </c>
      <c r="S30" s="52">
        <f t="shared" si="4"/>
        <v>413223.93896229053</v>
      </c>
      <c r="T30" s="52">
        <f t="shared" si="5"/>
        <v>414758.56498598773</v>
      </c>
      <c r="U30" s="53"/>
    </row>
    <row r="31" spans="1:21" s="4" customFormat="1" x14ac:dyDescent="0.3">
      <c r="A31" s="28">
        <v>21</v>
      </c>
      <c r="B31" s="48" t="s">
        <v>159</v>
      </c>
      <c r="C31" s="48" t="s">
        <v>175</v>
      </c>
      <c r="D31" s="48" t="s">
        <v>74</v>
      </c>
      <c r="E31" s="48" t="s">
        <v>6</v>
      </c>
      <c r="F31" s="48" t="s">
        <v>162</v>
      </c>
      <c r="G31" s="47" t="s">
        <v>161</v>
      </c>
      <c r="H31" s="47" t="s">
        <v>108</v>
      </c>
      <c r="I31" s="50"/>
      <c r="J31" s="52">
        <v>0</v>
      </c>
      <c r="K31" s="52">
        <v>0</v>
      </c>
      <c r="L31" s="52">
        <v>601365.2026018895</v>
      </c>
      <c r="M31" s="52">
        <v>0</v>
      </c>
      <c r="N31" s="52">
        <v>1476467.542504289</v>
      </c>
      <c r="O31" s="53"/>
      <c r="P31" s="52">
        <f t="shared" si="1"/>
        <v>0</v>
      </c>
      <c r="Q31" s="52">
        <f t="shared" si="2"/>
        <v>0</v>
      </c>
      <c r="R31" s="52">
        <f t="shared" si="3"/>
        <v>601365.2026018895</v>
      </c>
      <c r="S31" s="52">
        <f t="shared" si="4"/>
        <v>0</v>
      </c>
      <c r="T31" s="52">
        <f t="shared" si="5"/>
        <v>1476467.542504289</v>
      </c>
      <c r="U31" s="53"/>
    </row>
    <row r="32" spans="1:21" s="4" customFormat="1" x14ac:dyDescent="0.3">
      <c r="A32" s="28">
        <v>22</v>
      </c>
      <c r="B32" s="48" t="s">
        <v>160</v>
      </c>
      <c r="C32" s="48" t="s">
        <v>176</v>
      </c>
      <c r="D32" s="48" t="s">
        <v>74</v>
      </c>
      <c r="E32" s="48" t="s">
        <v>6</v>
      </c>
      <c r="F32" s="48" t="s">
        <v>162</v>
      </c>
      <c r="G32" s="47" t="s">
        <v>161</v>
      </c>
      <c r="H32" s="47" t="s">
        <v>108</v>
      </c>
      <c r="I32" s="50"/>
      <c r="J32" s="52">
        <v>120605.01480349083</v>
      </c>
      <c r="K32" s="52">
        <v>120651.56541743827</v>
      </c>
      <c r="L32" s="52">
        <v>120729.15319149275</v>
      </c>
      <c r="M32" s="52">
        <v>120834.0015275113</v>
      </c>
      <c r="N32" s="52">
        <v>120897.56292843349</v>
      </c>
      <c r="O32" s="53"/>
      <c r="P32" s="52">
        <f t="shared" si="1"/>
        <v>120605.01480349083</v>
      </c>
      <c r="Q32" s="52">
        <f t="shared" si="2"/>
        <v>120651.56541743827</v>
      </c>
      <c r="R32" s="52">
        <f t="shared" si="3"/>
        <v>120729.15319149275</v>
      </c>
      <c r="S32" s="52">
        <f t="shared" si="4"/>
        <v>120834.0015275113</v>
      </c>
      <c r="T32" s="52">
        <f t="shared" si="5"/>
        <v>120897.56292843349</v>
      </c>
      <c r="U32" s="53"/>
    </row>
    <row r="33" spans="1:21" s="4" customFormat="1" hidden="1" x14ac:dyDescent="0.3">
      <c r="A33" s="28">
        <v>23</v>
      </c>
      <c r="B33" s="48"/>
      <c r="C33" s="48"/>
      <c r="D33" s="48"/>
      <c r="E33" s="48"/>
      <c r="F33" s="48"/>
      <c r="G33" s="47"/>
      <c r="H33" s="47"/>
      <c r="I33" s="50"/>
      <c r="J33" s="52"/>
      <c r="K33" s="52"/>
      <c r="L33" s="52"/>
      <c r="M33" s="52"/>
      <c r="N33" s="52"/>
      <c r="O33" s="53"/>
      <c r="P33" s="52">
        <f t="shared" si="1"/>
        <v>0</v>
      </c>
      <c r="Q33" s="52">
        <f t="shared" si="2"/>
        <v>0</v>
      </c>
      <c r="R33" s="52">
        <f t="shared" si="3"/>
        <v>0</v>
      </c>
      <c r="S33" s="52">
        <f t="shared" si="4"/>
        <v>0</v>
      </c>
      <c r="T33" s="52">
        <f t="shared" si="5"/>
        <v>0</v>
      </c>
      <c r="U33" s="53"/>
    </row>
    <row r="34" spans="1:21" s="4" customFormat="1" hidden="1" x14ac:dyDescent="0.3">
      <c r="A34" s="28">
        <v>24</v>
      </c>
      <c r="B34" s="48"/>
      <c r="C34" s="48"/>
      <c r="D34" s="48"/>
      <c r="E34" s="48"/>
      <c r="F34" s="48"/>
      <c r="G34" s="47"/>
      <c r="H34" s="47"/>
      <c r="I34" s="50"/>
      <c r="J34" s="52"/>
      <c r="K34" s="52"/>
      <c r="L34" s="52"/>
      <c r="M34" s="52"/>
      <c r="N34" s="52"/>
      <c r="O34" s="53"/>
      <c r="P34" s="52">
        <f t="shared" si="1"/>
        <v>0</v>
      </c>
      <c r="Q34" s="52">
        <f t="shared" si="2"/>
        <v>0</v>
      </c>
      <c r="R34" s="52">
        <f t="shared" si="3"/>
        <v>0</v>
      </c>
      <c r="S34" s="52">
        <f t="shared" si="4"/>
        <v>0</v>
      </c>
      <c r="T34" s="52">
        <f t="shared" si="5"/>
        <v>0</v>
      </c>
      <c r="U34" s="53"/>
    </row>
    <row r="35" spans="1:21" s="4" customFormat="1" hidden="1" x14ac:dyDescent="0.3">
      <c r="A35" s="28">
        <v>25</v>
      </c>
      <c r="B35" s="48"/>
      <c r="C35" s="48"/>
      <c r="D35" s="48"/>
      <c r="E35" s="48"/>
      <c r="F35" s="48"/>
      <c r="G35" s="47"/>
      <c r="H35" s="47"/>
      <c r="I35" s="50"/>
      <c r="J35" s="52"/>
      <c r="K35" s="52"/>
      <c r="L35" s="52"/>
      <c r="M35" s="52"/>
      <c r="N35" s="52"/>
      <c r="O35" s="53"/>
      <c r="P35" s="52">
        <f t="shared" si="1"/>
        <v>0</v>
      </c>
      <c r="Q35" s="52">
        <f t="shared" si="2"/>
        <v>0</v>
      </c>
      <c r="R35" s="52">
        <f t="shared" si="3"/>
        <v>0</v>
      </c>
      <c r="S35" s="52">
        <f t="shared" si="4"/>
        <v>0</v>
      </c>
      <c r="T35" s="52">
        <f t="shared" si="5"/>
        <v>0</v>
      </c>
      <c r="U35" s="53"/>
    </row>
    <row r="36" spans="1:21" s="4" customFormat="1" hidden="1" x14ac:dyDescent="0.3">
      <c r="A36" s="28">
        <v>26</v>
      </c>
      <c r="B36" s="48"/>
      <c r="C36" s="48"/>
      <c r="D36" s="48"/>
      <c r="E36" s="48"/>
      <c r="F36" s="48"/>
      <c r="G36" s="47"/>
      <c r="H36" s="47"/>
      <c r="I36" s="50"/>
      <c r="J36" s="52"/>
      <c r="K36" s="52"/>
      <c r="L36" s="52"/>
      <c r="M36" s="52"/>
      <c r="N36" s="52"/>
      <c r="O36" s="53"/>
      <c r="P36" s="52">
        <f t="shared" si="1"/>
        <v>0</v>
      </c>
      <c r="Q36" s="52">
        <f t="shared" si="2"/>
        <v>0</v>
      </c>
      <c r="R36" s="52">
        <f t="shared" si="3"/>
        <v>0</v>
      </c>
      <c r="S36" s="52">
        <f t="shared" si="4"/>
        <v>0</v>
      </c>
      <c r="T36" s="52">
        <f t="shared" si="5"/>
        <v>0</v>
      </c>
      <c r="U36" s="53"/>
    </row>
    <row r="37" spans="1:21" s="4" customFormat="1" hidden="1" x14ac:dyDescent="0.3">
      <c r="A37" s="28">
        <v>27</v>
      </c>
      <c r="B37" s="48"/>
      <c r="C37" s="48"/>
      <c r="D37" s="48"/>
      <c r="E37" s="48"/>
      <c r="F37" s="48"/>
      <c r="G37" s="47"/>
      <c r="H37" s="47"/>
      <c r="I37" s="50"/>
      <c r="J37" s="52"/>
      <c r="K37" s="52"/>
      <c r="L37" s="52"/>
      <c r="M37" s="52"/>
      <c r="N37" s="52"/>
      <c r="O37" s="53"/>
      <c r="P37" s="52">
        <f t="shared" si="1"/>
        <v>0</v>
      </c>
      <c r="Q37" s="52">
        <f t="shared" si="2"/>
        <v>0</v>
      </c>
      <c r="R37" s="52">
        <f t="shared" si="3"/>
        <v>0</v>
      </c>
      <c r="S37" s="52">
        <f t="shared" si="4"/>
        <v>0</v>
      </c>
      <c r="T37" s="52">
        <f t="shared" si="5"/>
        <v>0</v>
      </c>
      <c r="U37" s="53"/>
    </row>
    <row r="38" spans="1:21" s="4" customFormat="1" hidden="1" x14ac:dyDescent="0.3">
      <c r="A38" s="28">
        <v>28</v>
      </c>
      <c r="B38" s="48"/>
      <c r="C38" s="48"/>
      <c r="D38" s="48"/>
      <c r="E38" s="48"/>
      <c r="F38" s="48"/>
      <c r="G38" s="47"/>
      <c r="H38" s="47"/>
      <c r="I38" s="50"/>
      <c r="J38" s="52"/>
      <c r="K38" s="52"/>
      <c r="L38" s="52"/>
      <c r="M38" s="52"/>
      <c r="N38" s="52"/>
      <c r="O38" s="53"/>
      <c r="P38" s="52">
        <f t="shared" si="1"/>
        <v>0</v>
      </c>
      <c r="Q38" s="52">
        <f t="shared" si="2"/>
        <v>0</v>
      </c>
      <c r="R38" s="52">
        <f t="shared" si="3"/>
        <v>0</v>
      </c>
      <c r="S38" s="52">
        <f t="shared" si="4"/>
        <v>0</v>
      </c>
      <c r="T38" s="52">
        <f t="shared" si="5"/>
        <v>0</v>
      </c>
      <c r="U38" s="53"/>
    </row>
    <row r="39" spans="1:21" s="4" customFormat="1" hidden="1" x14ac:dyDescent="0.3">
      <c r="A39" s="28">
        <v>29</v>
      </c>
      <c r="B39" s="48"/>
      <c r="C39" s="48"/>
      <c r="D39" s="48"/>
      <c r="E39" s="48"/>
      <c r="F39" s="48"/>
      <c r="G39" s="47"/>
      <c r="H39" s="47"/>
      <c r="I39" s="50"/>
      <c r="J39" s="52"/>
      <c r="K39" s="52"/>
      <c r="L39" s="52"/>
      <c r="M39" s="52"/>
      <c r="N39" s="52"/>
      <c r="O39" s="53"/>
      <c r="P39" s="52">
        <f t="shared" si="1"/>
        <v>0</v>
      </c>
      <c r="Q39" s="52">
        <f t="shared" si="2"/>
        <v>0</v>
      </c>
      <c r="R39" s="52">
        <f t="shared" si="3"/>
        <v>0</v>
      </c>
      <c r="S39" s="52">
        <f t="shared" si="4"/>
        <v>0</v>
      </c>
      <c r="T39" s="52">
        <f t="shared" si="5"/>
        <v>0</v>
      </c>
      <c r="U39" s="53"/>
    </row>
    <row r="40" spans="1:21" s="4" customFormat="1" hidden="1" x14ac:dyDescent="0.3">
      <c r="A40" s="28">
        <v>30</v>
      </c>
      <c r="B40" s="48"/>
      <c r="C40" s="48"/>
      <c r="D40" s="48"/>
      <c r="E40" s="48"/>
      <c r="F40" s="48"/>
      <c r="G40" s="47"/>
      <c r="H40" s="47"/>
      <c r="I40" s="50"/>
      <c r="J40" s="52"/>
      <c r="K40" s="52"/>
      <c r="L40" s="52"/>
      <c r="M40" s="52"/>
      <c r="N40" s="52"/>
      <c r="O40" s="53"/>
      <c r="P40" s="52">
        <f t="shared" si="1"/>
        <v>0</v>
      </c>
      <c r="Q40" s="52">
        <f t="shared" si="2"/>
        <v>0</v>
      </c>
      <c r="R40" s="52">
        <f t="shared" si="3"/>
        <v>0</v>
      </c>
      <c r="S40" s="52">
        <f t="shared" si="4"/>
        <v>0</v>
      </c>
      <c r="T40" s="52">
        <f t="shared" si="5"/>
        <v>0</v>
      </c>
      <c r="U40" s="53"/>
    </row>
    <row r="41" spans="1:21" s="4" customFormat="1" hidden="1" x14ac:dyDescent="0.3">
      <c r="A41" s="28">
        <v>31</v>
      </c>
      <c r="B41" s="48"/>
      <c r="C41" s="48"/>
      <c r="D41" s="48"/>
      <c r="E41" s="48"/>
      <c r="F41" s="48"/>
      <c r="G41" s="47"/>
      <c r="H41" s="47"/>
      <c r="I41" s="50"/>
      <c r="J41" s="52"/>
      <c r="K41" s="52"/>
      <c r="L41" s="52"/>
      <c r="M41" s="52"/>
      <c r="N41" s="52"/>
      <c r="O41" s="53"/>
      <c r="P41" s="52">
        <f t="shared" si="1"/>
        <v>0</v>
      </c>
      <c r="Q41" s="52">
        <f t="shared" si="2"/>
        <v>0</v>
      </c>
      <c r="R41" s="52">
        <f t="shared" si="3"/>
        <v>0</v>
      </c>
      <c r="S41" s="52">
        <f t="shared" si="4"/>
        <v>0</v>
      </c>
      <c r="T41" s="52">
        <f t="shared" si="5"/>
        <v>0</v>
      </c>
      <c r="U41" s="53"/>
    </row>
    <row r="42" spans="1:21" s="4" customFormat="1" hidden="1" x14ac:dyDescent="0.3">
      <c r="A42" s="28">
        <v>32</v>
      </c>
      <c r="B42" s="48"/>
      <c r="C42" s="48"/>
      <c r="D42" s="48"/>
      <c r="E42" s="48"/>
      <c r="F42" s="48"/>
      <c r="G42" s="47"/>
      <c r="H42" s="47"/>
      <c r="I42" s="50"/>
      <c r="J42" s="52"/>
      <c r="K42" s="52"/>
      <c r="L42" s="52"/>
      <c r="M42" s="52"/>
      <c r="N42" s="52"/>
      <c r="O42" s="53"/>
      <c r="P42" s="52">
        <f t="shared" si="1"/>
        <v>0</v>
      </c>
      <c r="Q42" s="52">
        <f t="shared" si="2"/>
        <v>0</v>
      </c>
      <c r="R42" s="52">
        <f t="shared" si="3"/>
        <v>0</v>
      </c>
      <c r="S42" s="52">
        <f t="shared" si="4"/>
        <v>0</v>
      </c>
      <c r="T42" s="52">
        <f t="shared" si="5"/>
        <v>0</v>
      </c>
      <c r="U42" s="53"/>
    </row>
    <row r="43" spans="1:21" s="4" customFormat="1" hidden="1" x14ac:dyDescent="0.3">
      <c r="A43" s="28">
        <v>33</v>
      </c>
      <c r="B43" s="48"/>
      <c r="C43" s="48"/>
      <c r="D43" s="48"/>
      <c r="E43" s="48"/>
      <c r="F43" s="48"/>
      <c r="G43" s="47"/>
      <c r="H43" s="47"/>
      <c r="I43" s="50"/>
      <c r="J43" s="52"/>
      <c r="K43" s="52"/>
      <c r="L43" s="52"/>
      <c r="M43" s="52"/>
      <c r="N43" s="52"/>
      <c r="O43" s="53"/>
      <c r="P43" s="52">
        <f t="shared" si="1"/>
        <v>0</v>
      </c>
      <c r="Q43" s="52">
        <f t="shared" si="2"/>
        <v>0</v>
      </c>
      <c r="R43" s="52">
        <f t="shared" si="3"/>
        <v>0</v>
      </c>
      <c r="S43" s="52">
        <f t="shared" si="4"/>
        <v>0</v>
      </c>
      <c r="T43" s="52">
        <f t="shared" si="5"/>
        <v>0</v>
      </c>
      <c r="U43" s="53"/>
    </row>
    <row r="44" spans="1:21" s="4" customFormat="1" hidden="1" x14ac:dyDescent="0.3">
      <c r="A44" s="28">
        <v>34</v>
      </c>
      <c r="B44" s="48"/>
      <c r="C44" s="48"/>
      <c r="D44" s="48"/>
      <c r="E44" s="48"/>
      <c r="F44" s="48"/>
      <c r="G44" s="47"/>
      <c r="H44" s="47"/>
      <c r="I44" s="50"/>
      <c r="J44" s="52"/>
      <c r="K44" s="52"/>
      <c r="L44" s="52"/>
      <c r="M44" s="52"/>
      <c r="N44" s="52"/>
      <c r="O44" s="53"/>
      <c r="P44" s="52">
        <f t="shared" si="1"/>
        <v>0</v>
      </c>
      <c r="Q44" s="52">
        <f t="shared" si="2"/>
        <v>0</v>
      </c>
      <c r="R44" s="52">
        <f t="shared" si="3"/>
        <v>0</v>
      </c>
      <c r="S44" s="52">
        <f t="shared" si="4"/>
        <v>0</v>
      </c>
      <c r="T44" s="52">
        <f t="shared" si="5"/>
        <v>0</v>
      </c>
      <c r="U44" s="53"/>
    </row>
    <row r="45" spans="1:21" s="4" customFormat="1" hidden="1" x14ac:dyDescent="0.3">
      <c r="A45" s="28">
        <v>35</v>
      </c>
      <c r="B45" s="48"/>
      <c r="C45" s="48"/>
      <c r="D45" s="48"/>
      <c r="E45" s="48"/>
      <c r="F45" s="48"/>
      <c r="G45" s="47"/>
      <c r="H45" s="47"/>
      <c r="I45" s="50"/>
      <c r="J45" s="52"/>
      <c r="K45" s="52"/>
      <c r="L45" s="52"/>
      <c r="M45" s="52"/>
      <c r="N45" s="52"/>
      <c r="O45" s="53"/>
      <c r="P45" s="52">
        <f t="shared" si="1"/>
        <v>0</v>
      </c>
      <c r="Q45" s="52">
        <f t="shared" si="2"/>
        <v>0</v>
      </c>
      <c r="R45" s="52">
        <f t="shared" si="3"/>
        <v>0</v>
      </c>
      <c r="S45" s="52">
        <f t="shared" si="4"/>
        <v>0</v>
      </c>
      <c r="T45" s="52">
        <f t="shared" si="5"/>
        <v>0</v>
      </c>
      <c r="U45" s="53"/>
    </row>
    <row r="46" spans="1:21" s="4" customFormat="1" hidden="1" x14ac:dyDescent="0.3">
      <c r="A46" s="28">
        <v>36</v>
      </c>
      <c r="B46" s="48"/>
      <c r="C46" s="48"/>
      <c r="D46" s="48"/>
      <c r="E46" s="48"/>
      <c r="F46" s="48"/>
      <c r="G46" s="47"/>
      <c r="H46" s="47"/>
      <c r="I46" s="50"/>
      <c r="J46" s="52"/>
      <c r="K46" s="52"/>
      <c r="L46" s="52"/>
      <c r="M46" s="52"/>
      <c r="N46" s="52"/>
      <c r="O46" s="53"/>
      <c r="P46" s="52">
        <f t="shared" si="1"/>
        <v>0</v>
      </c>
      <c r="Q46" s="52">
        <f t="shared" si="2"/>
        <v>0</v>
      </c>
      <c r="R46" s="52">
        <f t="shared" si="3"/>
        <v>0</v>
      </c>
      <c r="S46" s="52">
        <f t="shared" si="4"/>
        <v>0</v>
      </c>
      <c r="T46" s="52">
        <f t="shared" si="5"/>
        <v>0</v>
      </c>
      <c r="U46" s="53"/>
    </row>
    <row r="47" spans="1:21" s="4" customFormat="1" hidden="1" x14ac:dyDescent="0.3">
      <c r="A47" s="28">
        <v>37</v>
      </c>
      <c r="B47" s="48"/>
      <c r="C47" s="48"/>
      <c r="D47" s="48"/>
      <c r="E47" s="48"/>
      <c r="F47" s="48"/>
      <c r="G47" s="47"/>
      <c r="H47" s="47"/>
      <c r="I47" s="50"/>
      <c r="J47" s="52"/>
      <c r="K47" s="52"/>
      <c r="L47" s="52"/>
      <c r="M47" s="52"/>
      <c r="N47" s="52"/>
      <c r="O47" s="53"/>
      <c r="P47" s="52">
        <f t="shared" si="1"/>
        <v>0</v>
      </c>
      <c r="Q47" s="52">
        <f t="shared" si="2"/>
        <v>0</v>
      </c>
      <c r="R47" s="52">
        <f t="shared" si="3"/>
        <v>0</v>
      </c>
      <c r="S47" s="52">
        <f t="shared" si="4"/>
        <v>0</v>
      </c>
      <c r="T47" s="52">
        <f t="shared" si="5"/>
        <v>0</v>
      </c>
      <c r="U47" s="53"/>
    </row>
    <row r="48" spans="1:21" s="4" customFormat="1" hidden="1" x14ac:dyDescent="0.3">
      <c r="A48" s="28">
        <v>38</v>
      </c>
      <c r="B48" s="48"/>
      <c r="C48" s="48"/>
      <c r="D48" s="48"/>
      <c r="E48" s="48"/>
      <c r="F48" s="48"/>
      <c r="G48" s="47"/>
      <c r="H48" s="47"/>
      <c r="I48" s="50"/>
      <c r="J48" s="52"/>
      <c r="K48" s="52"/>
      <c r="L48" s="52"/>
      <c r="M48" s="52"/>
      <c r="N48" s="52"/>
      <c r="O48" s="53"/>
      <c r="P48" s="52">
        <f t="shared" si="1"/>
        <v>0</v>
      </c>
      <c r="Q48" s="52">
        <f t="shared" si="2"/>
        <v>0</v>
      </c>
      <c r="R48" s="52">
        <f t="shared" si="3"/>
        <v>0</v>
      </c>
      <c r="S48" s="52">
        <f t="shared" si="4"/>
        <v>0</v>
      </c>
      <c r="T48" s="52">
        <f t="shared" si="5"/>
        <v>0</v>
      </c>
      <c r="U48" s="53"/>
    </row>
    <row r="49" spans="1:21" s="4" customFormat="1" hidden="1" x14ac:dyDescent="0.3">
      <c r="A49" s="28">
        <v>39</v>
      </c>
      <c r="B49" s="48"/>
      <c r="C49" s="48"/>
      <c r="D49" s="48"/>
      <c r="E49" s="48"/>
      <c r="F49" s="48"/>
      <c r="G49" s="47"/>
      <c r="H49" s="47"/>
      <c r="I49" s="50"/>
      <c r="J49" s="52"/>
      <c r="K49" s="52"/>
      <c r="L49" s="52"/>
      <c r="M49" s="52"/>
      <c r="N49" s="52"/>
      <c r="O49" s="53"/>
      <c r="P49" s="52">
        <f t="shared" si="1"/>
        <v>0</v>
      </c>
      <c r="Q49" s="52">
        <f t="shared" si="2"/>
        <v>0</v>
      </c>
      <c r="R49" s="52">
        <f t="shared" si="3"/>
        <v>0</v>
      </c>
      <c r="S49" s="52">
        <f t="shared" si="4"/>
        <v>0</v>
      </c>
      <c r="T49" s="52">
        <f t="shared" si="5"/>
        <v>0</v>
      </c>
      <c r="U49" s="53"/>
    </row>
    <row r="50" spans="1:21" s="4" customFormat="1" hidden="1" x14ac:dyDescent="0.3">
      <c r="A50" s="28">
        <v>40</v>
      </c>
      <c r="B50" s="48"/>
      <c r="C50" s="48"/>
      <c r="D50" s="48"/>
      <c r="E50" s="48"/>
      <c r="F50" s="48"/>
      <c r="G50" s="47"/>
      <c r="H50" s="47"/>
      <c r="I50" s="50"/>
      <c r="J50" s="52"/>
      <c r="K50" s="52"/>
      <c r="L50" s="52"/>
      <c r="M50" s="52"/>
      <c r="N50" s="52"/>
      <c r="O50" s="53"/>
      <c r="P50" s="52">
        <f t="shared" si="1"/>
        <v>0</v>
      </c>
      <c r="Q50" s="52">
        <f t="shared" si="2"/>
        <v>0</v>
      </c>
      <c r="R50" s="52">
        <f t="shared" si="3"/>
        <v>0</v>
      </c>
      <c r="S50" s="52">
        <f t="shared" si="4"/>
        <v>0</v>
      </c>
      <c r="T50" s="52">
        <f t="shared" si="5"/>
        <v>0</v>
      </c>
      <c r="U50" s="53"/>
    </row>
    <row r="51" spans="1:21" s="4" customFormat="1" hidden="1" x14ac:dyDescent="0.3">
      <c r="A51" s="28">
        <v>41</v>
      </c>
      <c r="B51" s="48"/>
      <c r="C51" s="48"/>
      <c r="D51" s="48"/>
      <c r="E51" s="48"/>
      <c r="F51" s="48"/>
      <c r="G51" s="47"/>
      <c r="H51" s="47"/>
      <c r="I51" s="50"/>
      <c r="J51" s="52"/>
      <c r="K51" s="52"/>
      <c r="L51" s="52"/>
      <c r="M51" s="52"/>
      <c r="N51" s="52"/>
      <c r="O51" s="53"/>
      <c r="P51" s="52">
        <f t="shared" si="1"/>
        <v>0</v>
      </c>
      <c r="Q51" s="52">
        <f t="shared" si="2"/>
        <v>0</v>
      </c>
      <c r="R51" s="52">
        <f t="shared" si="3"/>
        <v>0</v>
      </c>
      <c r="S51" s="52">
        <f t="shared" si="4"/>
        <v>0</v>
      </c>
      <c r="T51" s="52">
        <f t="shared" si="5"/>
        <v>0</v>
      </c>
      <c r="U51" s="53"/>
    </row>
    <row r="52" spans="1:21" s="4" customFormat="1" hidden="1" x14ac:dyDescent="0.3">
      <c r="A52" s="28">
        <v>42</v>
      </c>
      <c r="B52" s="48"/>
      <c r="C52" s="48"/>
      <c r="D52" s="48"/>
      <c r="E52" s="48"/>
      <c r="F52" s="48"/>
      <c r="G52" s="47"/>
      <c r="H52" s="47"/>
      <c r="I52" s="50"/>
      <c r="J52" s="52"/>
      <c r="K52" s="52"/>
      <c r="L52" s="52"/>
      <c r="M52" s="52"/>
      <c r="N52" s="52"/>
      <c r="O52" s="53"/>
      <c r="P52" s="52">
        <f t="shared" si="1"/>
        <v>0</v>
      </c>
      <c r="Q52" s="52">
        <f t="shared" si="2"/>
        <v>0</v>
      </c>
      <c r="R52" s="52">
        <f t="shared" si="3"/>
        <v>0</v>
      </c>
      <c r="S52" s="52">
        <f t="shared" si="4"/>
        <v>0</v>
      </c>
      <c r="T52" s="52">
        <f t="shared" si="5"/>
        <v>0</v>
      </c>
      <c r="U52" s="53"/>
    </row>
    <row r="53" spans="1:21" s="4" customFormat="1" hidden="1" x14ac:dyDescent="0.3">
      <c r="A53" s="28">
        <v>43</v>
      </c>
      <c r="B53" s="48"/>
      <c r="C53" s="48"/>
      <c r="D53" s="48"/>
      <c r="E53" s="48"/>
      <c r="F53" s="48"/>
      <c r="G53" s="47"/>
      <c r="H53" s="47"/>
      <c r="I53" s="50"/>
      <c r="J53" s="52"/>
      <c r="K53" s="52"/>
      <c r="L53" s="52"/>
      <c r="M53" s="52"/>
      <c r="N53" s="52"/>
      <c r="O53" s="53"/>
      <c r="P53" s="52">
        <f t="shared" si="1"/>
        <v>0</v>
      </c>
      <c r="Q53" s="52">
        <f t="shared" si="2"/>
        <v>0</v>
      </c>
      <c r="R53" s="52">
        <f t="shared" si="3"/>
        <v>0</v>
      </c>
      <c r="S53" s="52">
        <f t="shared" si="4"/>
        <v>0</v>
      </c>
      <c r="T53" s="52">
        <f t="shared" si="5"/>
        <v>0</v>
      </c>
      <c r="U53" s="53"/>
    </row>
    <row r="54" spans="1:21" s="4" customFormat="1" hidden="1" x14ac:dyDescent="0.3">
      <c r="A54" s="28">
        <v>44</v>
      </c>
      <c r="B54" s="48"/>
      <c r="C54" s="48"/>
      <c r="D54" s="48"/>
      <c r="E54" s="48"/>
      <c r="F54" s="48"/>
      <c r="G54" s="47"/>
      <c r="H54" s="47"/>
      <c r="I54" s="50"/>
      <c r="J54" s="52"/>
      <c r="K54" s="52"/>
      <c r="L54" s="52"/>
      <c r="M54" s="52"/>
      <c r="N54" s="52"/>
      <c r="O54" s="53"/>
      <c r="P54" s="52">
        <f t="shared" si="1"/>
        <v>0</v>
      </c>
      <c r="Q54" s="52">
        <f t="shared" si="2"/>
        <v>0</v>
      </c>
      <c r="R54" s="52">
        <f t="shared" si="3"/>
        <v>0</v>
      </c>
      <c r="S54" s="52">
        <f t="shared" si="4"/>
        <v>0</v>
      </c>
      <c r="T54" s="52">
        <f t="shared" si="5"/>
        <v>0</v>
      </c>
      <c r="U54" s="53"/>
    </row>
    <row r="55" spans="1:21" s="4" customFormat="1" hidden="1" x14ac:dyDescent="0.3">
      <c r="A55" s="28">
        <v>45</v>
      </c>
      <c r="B55" s="48"/>
      <c r="C55" s="48"/>
      <c r="D55" s="48"/>
      <c r="E55" s="48"/>
      <c r="F55" s="48"/>
      <c r="G55" s="47"/>
      <c r="H55" s="47"/>
      <c r="I55" s="50"/>
      <c r="J55" s="52"/>
      <c r="K55" s="52"/>
      <c r="L55" s="52"/>
      <c r="M55" s="52"/>
      <c r="N55" s="52"/>
      <c r="O55" s="53"/>
      <c r="P55" s="52">
        <f t="shared" si="1"/>
        <v>0</v>
      </c>
      <c r="Q55" s="52">
        <f t="shared" si="2"/>
        <v>0</v>
      </c>
      <c r="R55" s="52">
        <f t="shared" si="3"/>
        <v>0</v>
      </c>
      <c r="S55" s="52">
        <f t="shared" si="4"/>
        <v>0</v>
      </c>
      <c r="T55" s="52">
        <f t="shared" si="5"/>
        <v>0</v>
      </c>
      <c r="U55" s="53"/>
    </row>
    <row r="56" spans="1:21" s="4" customFormat="1" hidden="1" x14ac:dyDescent="0.3">
      <c r="A56" s="28">
        <v>46</v>
      </c>
      <c r="B56" s="48"/>
      <c r="C56" s="48"/>
      <c r="D56" s="48"/>
      <c r="E56" s="48"/>
      <c r="F56" s="48"/>
      <c r="G56" s="47"/>
      <c r="H56" s="47"/>
      <c r="I56" s="50"/>
      <c r="J56" s="52"/>
      <c r="K56" s="52"/>
      <c r="L56" s="52"/>
      <c r="M56" s="52"/>
      <c r="N56" s="52"/>
      <c r="O56" s="53"/>
      <c r="P56" s="52">
        <f t="shared" si="1"/>
        <v>0</v>
      </c>
      <c r="Q56" s="52">
        <f t="shared" si="2"/>
        <v>0</v>
      </c>
      <c r="R56" s="52">
        <f t="shared" si="3"/>
        <v>0</v>
      </c>
      <c r="S56" s="52">
        <f t="shared" si="4"/>
        <v>0</v>
      </c>
      <c r="T56" s="52">
        <f t="shared" si="5"/>
        <v>0</v>
      </c>
      <c r="U56" s="53"/>
    </row>
    <row r="57" spans="1:21" s="4" customFormat="1" hidden="1" x14ac:dyDescent="0.3">
      <c r="A57" s="28">
        <v>47</v>
      </c>
      <c r="B57" s="48"/>
      <c r="C57" s="48"/>
      <c r="D57" s="48"/>
      <c r="E57" s="48"/>
      <c r="F57" s="48"/>
      <c r="G57" s="47"/>
      <c r="H57" s="47"/>
      <c r="I57" s="50"/>
      <c r="J57" s="52"/>
      <c r="K57" s="52"/>
      <c r="L57" s="52"/>
      <c r="M57" s="52"/>
      <c r="N57" s="52"/>
      <c r="O57" s="53"/>
      <c r="P57" s="52">
        <f t="shared" si="1"/>
        <v>0</v>
      </c>
      <c r="Q57" s="52">
        <f t="shared" si="2"/>
        <v>0</v>
      </c>
      <c r="R57" s="52">
        <f t="shared" si="3"/>
        <v>0</v>
      </c>
      <c r="S57" s="52">
        <f t="shared" si="4"/>
        <v>0</v>
      </c>
      <c r="T57" s="52">
        <f t="shared" si="5"/>
        <v>0</v>
      </c>
      <c r="U57" s="53"/>
    </row>
    <row r="58" spans="1:21" s="4" customFormat="1" hidden="1" x14ac:dyDescent="0.3">
      <c r="A58" s="28">
        <v>48</v>
      </c>
      <c r="B58" s="48"/>
      <c r="C58" s="48"/>
      <c r="D58" s="48"/>
      <c r="E58" s="48"/>
      <c r="F58" s="48"/>
      <c r="G58" s="47"/>
      <c r="H58" s="47"/>
      <c r="I58" s="50"/>
      <c r="J58" s="52"/>
      <c r="K58" s="52"/>
      <c r="L58" s="52"/>
      <c r="M58" s="52"/>
      <c r="N58" s="52"/>
      <c r="O58" s="53"/>
      <c r="P58" s="52">
        <f t="shared" si="1"/>
        <v>0</v>
      </c>
      <c r="Q58" s="52">
        <f t="shared" si="2"/>
        <v>0</v>
      </c>
      <c r="R58" s="52">
        <f t="shared" si="3"/>
        <v>0</v>
      </c>
      <c r="S58" s="52">
        <f t="shared" si="4"/>
        <v>0</v>
      </c>
      <c r="T58" s="52">
        <f t="shared" si="5"/>
        <v>0</v>
      </c>
      <c r="U58" s="53"/>
    </row>
    <row r="59" spans="1:21" s="4" customFormat="1" hidden="1" x14ac:dyDescent="0.3">
      <c r="A59" s="28">
        <v>49</v>
      </c>
      <c r="B59" s="48"/>
      <c r="C59" s="48"/>
      <c r="D59" s="48"/>
      <c r="E59" s="48"/>
      <c r="F59" s="48"/>
      <c r="G59" s="47"/>
      <c r="H59" s="47"/>
      <c r="I59" s="50"/>
      <c r="J59" s="52"/>
      <c r="K59" s="52"/>
      <c r="L59" s="52"/>
      <c r="M59" s="52"/>
      <c r="N59" s="52"/>
      <c r="O59" s="53"/>
      <c r="P59" s="52">
        <f t="shared" si="1"/>
        <v>0</v>
      </c>
      <c r="Q59" s="52">
        <f t="shared" si="2"/>
        <v>0</v>
      </c>
      <c r="R59" s="52">
        <f t="shared" si="3"/>
        <v>0</v>
      </c>
      <c r="S59" s="52">
        <f t="shared" si="4"/>
        <v>0</v>
      </c>
      <c r="T59" s="52">
        <f t="shared" si="5"/>
        <v>0</v>
      </c>
      <c r="U59" s="53"/>
    </row>
    <row r="60" spans="1:21" s="4" customFormat="1" hidden="1" x14ac:dyDescent="0.3">
      <c r="A60" s="28">
        <v>50</v>
      </c>
      <c r="B60" s="48"/>
      <c r="C60" s="48"/>
      <c r="D60" s="48"/>
      <c r="E60" s="48"/>
      <c r="F60" s="48"/>
      <c r="G60" s="47"/>
      <c r="H60" s="47"/>
      <c r="I60" s="50"/>
      <c r="J60" s="52"/>
      <c r="K60" s="52"/>
      <c r="L60" s="52"/>
      <c r="M60" s="52"/>
      <c r="N60" s="52"/>
      <c r="O60" s="53"/>
      <c r="P60" s="52">
        <f t="shared" si="1"/>
        <v>0</v>
      </c>
      <c r="Q60" s="52">
        <f t="shared" si="2"/>
        <v>0</v>
      </c>
      <c r="R60" s="52">
        <f t="shared" si="3"/>
        <v>0</v>
      </c>
      <c r="S60" s="52">
        <f t="shared" si="4"/>
        <v>0</v>
      </c>
      <c r="T60" s="52">
        <f t="shared" si="5"/>
        <v>0</v>
      </c>
      <c r="U60" s="53"/>
    </row>
    <row r="61" spans="1:21" s="4" customFormat="1" hidden="1" x14ac:dyDescent="0.3">
      <c r="A61" s="28">
        <v>51</v>
      </c>
      <c r="B61" s="48"/>
      <c r="C61" s="48"/>
      <c r="D61" s="48"/>
      <c r="E61" s="48"/>
      <c r="F61" s="48"/>
      <c r="G61" s="47"/>
      <c r="H61" s="47"/>
      <c r="I61" s="50"/>
      <c r="J61" s="52"/>
      <c r="K61" s="52"/>
      <c r="L61" s="52"/>
      <c r="M61" s="52"/>
      <c r="N61" s="52"/>
      <c r="O61" s="53"/>
      <c r="P61" s="52">
        <f t="shared" si="1"/>
        <v>0</v>
      </c>
      <c r="Q61" s="52">
        <f t="shared" si="2"/>
        <v>0</v>
      </c>
      <c r="R61" s="52">
        <f t="shared" si="3"/>
        <v>0</v>
      </c>
      <c r="S61" s="52">
        <f t="shared" si="4"/>
        <v>0</v>
      </c>
      <c r="T61" s="52">
        <f t="shared" si="5"/>
        <v>0</v>
      </c>
      <c r="U61" s="53"/>
    </row>
    <row r="62" spans="1:21" s="4" customFormat="1" hidden="1" x14ac:dyDescent="0.3">
      <c r="A62" s="28">
        <v>52</v>
      </c>
      <c r="B62" s="48"/>
      <c r="C62" s="48"/>
      <c r="D62" s="48"/>
      <c r="E62" s="48"/>
      <c r="F62" s="48"/>
      <c r="G62" s="47"/>
      <c r="H62" s="47"/>
      <c r="I62" s="50"/>
      <c r="J62" s="52"/>
      <c r="K62" s="52"/>
      <c r="L62" s="52"/>
      <c r="M62" s="52"/>
      <c r="N62" s="52"/>
      <c r="O62" s="53"/>
      <c r="P62" s="52">
        <f t="shared" si="1"/>
        <v>0</v>
      </c>
      <c r="Q62" s="52">
        <f t="shared" si="2"/>
        <v>0</v>
      </c>
      <c r="R62" s="52">
        <f t="shared" si="3"/>
        <v>0</v>
      </c>
      <c r="S62" s="52">
        <f t="shared" si="4"/>
        <v>0</v>
      </c>
      <c r="T62" s="52">
        <f t="shared" si="5"/>
        <v>0</v>
      </c>
      <c r="U62" s="53"/>
    </row>
    <row r="63" spans="1:21" s="4" customFormat="1" hidden="1" x14ac:dyDescent="0.3">
      <c r="A63" s="28">
        <v>53</v>
      </c>
      <c r="B63" s="48"/>
      <c r="C63" s="48"/>
      <c r="D63" s="48"/>
      <c r="E63" s="48"/>
      <c r="F63" s="48"/>
      <c r="G63" s="47"/>
      <c r="H63" s="47"/>
      <c r="I63" s="50"/>
      <c r="J63" s="52"/>
      <c r="K63" s="52"/>
      <c r="L63" s="52"/>
      <c r="M63" s="52"/>
      <c r="N63" s="52"/>
      <c r="O63" s="53"/>
      <c r="P63" s="52">
        <f t="shared" si="1"/>
        <v>0</v>
      </c>
      <c r="Q63" s="52">
        <f t="shared" si="2"/>
        <v>0</v>
      </c>
      <c r="R63" s="52">
        <f t="shared" si="3"/>
        <v>0</v>
      </c>
      <c r="S63" s="52">
        <f t="shared" si="4"/>
        <v>0</v>
      </c>
      <c r="T63" s="52">
        <f t="shared" si="5"/>
        <v>0</v>
      </c>
      <c r="U63" s="53"/>
    </row>
    <row r="64" spans="1:21" s="4" customFormat="1" hidden="1" x14ac:dyDescent="0.3">
      <c r="A64" s="28">
        <v>54</v>
      </c>
      <c r="B64" s="48"/>
      <c r="C64" s="48"/>
      <c r="D64" s="48"/>
      <c r="E64" s="48"/>
      <c r="F64" s="48"/>
      <c r="G64" s="47"/>
      <c r="H64" s="47"/>
      <c r="I64" s="50"/>
      <c r="J64" s="52"/>
      <c r="K64" s="52"/>
      <c r="L64" s="52"/>
      <c r="M64" s="52"/>
      <c r="N64" s="52"/>
      <c r="O64" s="53"/>
      <c r="P64" s="52">
        <f t="shared" si="1"/>
        <v>0</v>
      </c>
      <c r="Q64" s="52">
        <f t="shared" si="2"/>
        <v>0</v>
      </c>
      <c r="R64" s="52">
        <f t="shared" si="3"/>
        <v>0</v>
      </c>
      <c r="S64" s="52">
        <f t="shared" si="4"/>
        <v>0</v>
      </c>
      <c r="T64" s="52">
        <f t="shared" si="5"/>
        <v>0</v>
      </c>
      <c r="U64" s="53"/>
    </row>
    <row r="65" spans="1:21" s="4" customFormat="1" hidden="1" x14ac:dyDescent="0.3">
      <c r="A65" s="28">
        <v>55</v>
      </c>
      <c r="B65" s="48"/>
      <c r="C65" s="48"/>
      <c r="D65" s="48"/>
      <c r="E65" s="48"/>
      <c r="F65" s="48"/>
      <c r="G65" s="47"/>
      <c r="H65" s="47"/>
      <c r="I65" s="50"/>
      <c r="J65" s="52"/>
      <c r="K65" s="52"/>
      <c r="L65" s="52"/>
      <c r="M65" s="52"/>
      <c r="N65" s="52"/>
      <c r="O65" s="53"/>
      <c r="P65" s="52">
        <f t="shared" si="1"/>
        <v>0</v>
      </c>
      <c r="Q65" s="52">
        <f t="shared" si="2"/>
        <v>0</v>
      </c>
      <c r="R65" s="52">
        <f t="shared" si="3"/>
        <v>0</v>
      </c>
      <c r="S65" s="52">
        <f t="shared" si="4"/>
        <v>0</v>
      </c>
      <c r="T65" s="52">
        <f t="shared" si="5"/>
        <v>0</v>
      </c>
      <c r="U65" s="53"/>
    </row>
    <row r="66" spans="1:21" s="4" customFormat="1" hidden="1" x14ac:dyDescent="0.3">
      <c r="A66" s="28">
        <v>56</v>
      </c>
      <c r="B66" s="48"/>
      <c r="C66" s="48"/>
      <c r="D66" s="48"/>
      <c r="E66" s="48"/>
      <c r="F66" s="48"/>
      <c r="G66" s="47"/>
      <c r="H66" s="47"/>
      <c r="I66" s="50"/>
      <c r="J66" s="52"/>
      <c r="K66" s="52"/>
      <c r="L66" s="52"/>
      <c r="M66" s="52"/>
      <c r="N66" s="52"/>
      <c r="O66" s="53"/>
      <c r="P66" s="52">
        <f t="shared" si="1"/>
        <v>0</v>
      </c>
      <c r="Q66" s="52">
        <f t="shared" si="2"/>
        <v>0</v>
      </c>
      <c r="R66" s="52">
        <f t="shared" si="3"/>
        <v>0</v>
      </c>
      <c r="S66" s="52">
        <f t="shared" si="4"/>
        <v>0</v>
      </c>
      <c r="T66" s="52">
        <f t="shared" si="5"/>
        <v>0</v>
      </c>
      <c r="U66" s="53"/>
    </row>
    <row r="67" spans="1:21" s="4" customFormat="1" hidden="1" x14ac:dyDescent="0.3">
      <c r="A67" s="28">
        <v>57</v>
      </c>
      <c r="B67" s="48"/>
      <c r="C67" s="48"/>
      <c r="D67" s="48"/>
      <c r="E67" s="48"/>
      <c r="F67" s="48"/>
      <c r="G67" s="47"/>
      <c r="H67" s="47"/>
      <c r="I67" s="50"/>
      <c r="J67" s="52"/>
      <c r="K67" s="52"/>
      <c r="L67" s="52"/>
      <c r="M67" s="52"/>
      <c r="N67" s="52"/>
      <c r="O67" s="53"/>
      <c r="P67" s="52">
        <f t="shared" si="1"/>
        <v>0</v>
      </c>
      <c r="Q67" s="52">
        <f t="shared" si="2"/>
        <v>0</v>
      </c>
      <c r="R67" s="52">
        <f t="shared" si="3"/>
        <v>0</v>
      </c>
      <c r="S67" s="52">
        <f t="shared" si="4"/>
        <v>0</v>
      </c>
      <c r="T67" s="52">
        <f t="shared" si="5"/>
        <v>0</v>
      </c>
      <c r="U67" s="53"/>
    </row>
    <row r="68" spans="1:21" s="4" customFormat="1" hidden="1" x14ac:dyDescent="0.3">
      <c r="A68" s="28">
        <v>58</v>
      </c>
      <c r="B68" s="48"/>
      <c r="C68" s="48"/>
      <c r="D68" s="48"/>
      <c r="E68" s="48"/>
      <c r="F68" s="48"/>
      <c r="G68" s="47"/>
      <c r="H68" s="47"/>
      <c r="I68" s="50"/>
      <c r="J68" s="52"/>
      <c r="K68" s="52"/>
      <c r="L68" s="52"/>
      <c r="M68" s="52"/>
      <c r="N68" s="52"/>
      <c r="O68" s="53"/>
      <c r="P68" s="52">
        <f t="shared" si="1"/>
        <v>0</v>
      </c>
      <c r="Q68" s="52">
        <f t="shared" si="2"/>
        <v>0</v>
      </c>
      <c r="R68" s="52">
        <f t="shared" si="3"/>
        <v>0</v>
      </c>
      <c r="S68" s="52">
        <f t="shared" si="4"/>
        <v>0</v>
      </c>
      <c r="T68" s="52">
        <f t="shared" si="5"/>
        <v>0</v>
      </c>
      <c r="U68" s="53"/>
    </row>
    <row r="69" spans="1:21" s="4" customFormat="1" hidden="1" x14ac:dyDescent="0.3">
      <c r="A69" s="28">
        <v>59</v>
      </c>
      <c r="B69" s="48"/>
      <c r="C69" s="48"/>
      <c r="D69" s="48"/>
      <c r="E69" s="48"/>
      <c r="F69" s="48"/>
      <c r="G69" s="47"/>
      <c r="H69" s="47"/>
      <c r="I69" s="50"/>
      <c r="J69" s="52"/>
      <c r="K69" s="52"/>
      <c r="L69" s="52"/>
      <c r="M69" s="52"/>
      <c r="N69" s="52"/>
      <c r="O69" s="53"/>
      <c r="P69" s="52">
        <f t="shared" si="1"/>
        <v>0</v>
      </c>
      <c r="Q69" s="52">
        <f t="shared" si="2"/>
        <v>0</v>
      </c>
      <c r="R69" s="52">
        <f t="shared" si="3"/>
        <v>0</v>
      </c>
      <c r="S69" s="52">
        <f t="shared" si="4"/>
        <v>0</v>
      </c>
      <c r="T69" s="52">
        <f t="shared" si="5"/>
        <v>0</v>
      </c>
      <c r="U69" s="53"/>
    </row>
    <row r="70" spans="1:21" s="4" customFormat="1" hidden="1" x14ac:dyDescent="0.3">
      <c r="A70" s="28">
        <v>60</v>
      </c>
      <c r="B70" s="48"/>
      <c r="C70" s="48"/>
      <c r="D70" s="48"/>
      <c r="E70" s="48"/>
      <c r="F70" s="48"/>
      <c r="G70" s="47"/>
      <c r="H70" s="47"/>
      <c r="I70" s="50"/>
      <c r="J70" s="52"/>
      <c r="K70" s="52"/>
      <c r="L70" s="52"/>
      <c r="M70" s="52"/>
      <c r="N70" s="52"/>
      <c r="O70" s="53"/>
      <c r="P70" s="52">
        <f t="shared" si="1"/>
        <v>0</v>
      </c>
      <c r="Q70" s="52">
        <f t="shared" si="2"/>
        <v>0</v>
      </c>
      <c r="R70" s="52">
        <f t="shared" si="3"/>
        <v>0</v>
      </c>
      <c r="S70" s="52">
        <f t="shared" si="4"/>
        <v>0</v>
      </c>
      <c r="T70" s="52">
        <f t="shared" si="5"/>
        <v>0</v>
      </c>
      <c r="U70" s="53"/>
    </row>
    <row r="71" spans="1:21" s="4" customFormat="1" hidden="1" x14ac:dyDescent="0.3">
      <c r="A71" s="28">
        <v>61</v>
      </c>
      <c r="B71" s="48"/>
      <c r="C71" s="48"/>
      <c r="D71" s="48"/>
      <c r="E71" s="48"/>
      <c r="F71" s="48"/>
      <c r="G71" s="47"/>
      <c r="H71" s="47"/>
      <c r="I71" s="50"/>
      <c r="J71" s="52"/>
      <c r="K71" s="52"/>
      <c r="L71" s="52"/>
      <c r="M71" s="52"/>
      <c r="N71" s="52"/>
      <c r="O71" s="53"/>
      <c r="P71" s="52">
        <f t="shared" si="1"/>
        <v>0</v>
      </c>
      <c r="Q71" s="52">
        <f t="shared" si="2"/>
        <v>0</v>
      </c>
      <c r="R71" s="52">
        <f t="shared" si="3"/>
        <v>0</v>
      </c>
      <c r="S71" s="52">
        <f t="shared" si="4"/>
        <v>0</v>
      </c>
      <c r="T71" s="52">
        <f t="shared" si="5"/>
        <v>0</v>
      </c>
      <c r="U71" s="53"/>
    </row>
    <row r="72" spans="1:21" s="4" customFormat="1" hidden="1" x14ac:dyDescent="0.3">
      <c r="A72" s="28">
        <v>62</v>
      </c>
      <c r="B72" s="48"/>
      <c r="C72" s="48"/>
      <c r="D72" s="48"/>
      <c r="E72" s="48"/>
      <c r="F72" s="48"/>
      <c r="G72" s="47"/>
      <c r="H72" s="47"/>
      <c r="I72" s="50"/>
      <c r="J72" s="52"/>
      <c r="K72" s="52"/>
      <c r="L72" s="52"/>
      <c r="M72" s="52"/>
      <c r="N72" s="52"/>
      <c r="O72" s="53"/>
      <c r="P72" s="52">
        <f t="shared" si="1"/>
        <v>0</v>
      </c>
      <c r="Q72" s="52">
        <f t="shared" si="2"/>
        <v>0</v>
      </c>
      <c r="R72" s="52">
        <f t="shared" si="3"/>
        <v>0</v>
      </c>
      <c r="S72" s="52">
        <f t="shared" si="4"/>
        <v>0</v>
      </c>
      <c r="T72" s="52">
        <f t="shared" si="5"/>
        <v>0</v>
      </c>
      <c r="U72" s="53"/>
    </row>
    <row r="73" spans="1:21" s="4" customFormat="1" hidden="1" x14ac:dyDescent="0.3">
      <c r="A73" s="28">
        <v>63</v>
      </c>
      <c r="B73" s="48"/>
      <c r="C73" s="48"/>
      <c r="D73" s="48"/>
      <c r="E73" s="48"/>
      <c r="F73" s="48"/>
      <c r="G73" s="47"/>
      <c r="H73" s="47"/>
      <c r="I73" s="50"/>
      <c r="J73" s="52"/>
      <c r="K73" s="52"/>
      <c r="L73" s="52"/>
      <c r="M73" s="52"/>
      <c r="N73" s="52"/>
      <c r="O73" s="53"/>
      <c r="P73" s="52">
        <f t="shared" si="1"/>
        <v>0</v>
      </c>
      <c r="Q73" s="52">
        <f t="shared" si="2"/>
        <v>0</v>
      </c>
      <c r="R73" s="52">
        <f t="shared" si="3"/>
        <v>0</v>
      </c>
      <c r="S73" s="52">
        <f t="shared" si="4"/>
        <v>0</v>
      </c>
      <c r="T73" s="52">
        <f t="shared" si="5"/>
        <v>0</v>
      </c>
      <c r="U73" s="53"/>
    </row>
    <row r="74" spans="1:21" s="4" customFormat="1" hidden="1" x14ac:dyDescent="0.3">
      <c r="A74" s="28">
        <v>64</v>
      </c>
      <c r="B74" s="48"/>
      <c r="C74" s="48"/>
      <c r="D74" s="48"/>
      <c r="E74" s="48"/>
      <c r="F74" s="48"/>
      <c r="G74" s="47"/>
      <c r="H74" s="47"/>
      <c r="I74" s="50"/>
      <c r="J74" s="52"/>
      <c r="K74" s="52"/>
      <c r="L74" s="52"/>
      <c r="M74" s="52"/>
      <c r="N74" s="52"/>
      <c r="O74" s="53"/>
      <c r="P74" s="52">
        <f t="shared" si="1"/>
        <v>0</v>
      </c>
      <c r="Q74" s="52">
        <f t="shared" si="2"/>
        <v>0</v>
      </c>
      <c r="R74" s="52">
        <f t="shared" si="3"/>
        <v>0</v>
      </c>
      <c r="S74" s="52">
        <f t="shared" si="4"/>
        <v>0</v>
      </c>
      <c r="T74" s="52">
        <f t="shared" si="5"/>
        <v>0</v>
      </c>
      <c r="U74" s="53"/>
    </row>
    <row r="75" spans="1:21" s="4" customFormat="1" hidden="1" x14ac:dyDescent="0.3">
      <c r="A75" s="28">
        <v>65</v>
      </c>
      <c r="B75" s="48"/>
      <c r="C75" s="48"/>
      <c r="D75" s="48"/>
      <c r="E75" s="48"/>
      <c r="F75" s="48"/>
      <c r="G75" s="47"/>
      <c r="H75" s="47"/>
      <c r="I75" s="50"/>
      <c r="J75" s="52"/>
      <c r="K75" s="52"/>
      <c r="L75" s="52"/>
      <c r="M75" s="52"/>
      <c r="N75" s="52"/>
      <c r="O75" s="53"/>
      <c r="P75" s="52">
        <f t="shared" si="1"/>
        <v>0</v>
      </c>
      <c r="Q75" s="52">
        <f t="shared" si="2"/>
        <v>0</v>
      </c>
      <c r="R75" s="52">
        <f t="shared" si="3"/>
        <v>0</v>
      </c>
      <c r="S75" s="52">
        <f t="shared" si="4"/>
        <v>0</v>
      </c>
      <c r="T75" s="52">
        <f t="shared" si="5"/>
        <v>0</v>
      </c>
      <c r="U75" s="53"/>
    </row>
    <row r="76" spans="1:21" s="4" customFormat="1" hidden="1" x14ac:dyDescent="0.3">
      <c r="A76" s="28">
        <v>66</v>
      </c>
      <c r="B76" s="48"/>
      <c r="C76" s="48"/>
      <c r="D76" s="48"/>
      <c r="E76" s="48"/>
      <c r="F76" s="48"/>
      <c r="G76" s="47"/>
      <c r="H76" s="47"/>
      <c r="I76" s="50"/>
      <c r="J76" s="52"/>
      <c r="K76" s="52"/>
      <c r="L76" s="52"/>
      <c r="M76" s="52"/>
      <c r="N76" s="52"/>
      <c r="O76" s="53"/>
      <c r="P76" s="52">
        <f t="shared" ref="P76:P139" si="6">J76</f>
        <v>0</v>
      </c>
      <c r="Q76" s="52">
        <f t="shared" ref="Q76:Q139" si="7">K76</f>
        <v>0</v>
      </c>
      <c r="R76" s="52">
        <f t="shared" ref="R76:R139" si="8">L76</f>
        <v>0</v>
      </c>
      <c r="S76" s="52">
        <f t="shared" ref="S76:S139" si="9">M76</f>
        <v>0</v>
      </c>
      <c r="T76" s="52">
        <f t="shared" ref="T76:T139" si="10">N76</f>
        <v>0</v>
      </c>
      <c r="U76" s="53"/>
    </row>
    <row r="77" spans="1:21" s="4" customFormat="1" hidden="1" x14ac:dyDescent="0.3">
      <c r="A77" s="28">
        <v>67</v>
      </c>
      <c r="B77" s="48"/>
      <c r="C77" s="48"/>
      <c r="D77" s="48"/>
      <c r="E77" s="48"/>
      <c r="F77" s="48"/>
      <c r="G77" s="47"/>
      <c r="H77" s="47"/>
      <c r="I77" s="50"/>
      <c r="J77" s="52"/>
      <c r="K77" s="52"/>
      <c r="L77" s="52"/>
      <c r="M77" s="52"/>
      <c r="N77" s="52"/>
      <c r="O77" s="53"/>
      <c r="P77" s="52">
        <f t="shared" si="6"/>
        <v>0</v>
      </c>
      <c r="Q77" s="52">
        <f t="shared" si="7"/>
        <v>0</v>
      </c>
      <c r="R77" s="52">
        <f t="shared" si="8"/>
        <v>0</v>
      </c>
      <c r="S77" s="52">
        <f t="shared" si="9"/>
        <v>0</v>
      </c>
      <c r="T77" s="52">
        <f t="shared" si="10"/>
        <v>0</v>
      </c>
      <c r="U77" s="53"/>
    </row>
    <row r="78" spans="1:21" s="4" customFormat="1" hidden="1" x14ac:dyDescent="0.3">
      <c r="A78" s="28">
        <v>68</v>
      </c>
      <c r="B78" s="48"/>
      <c r="C78" s="48"/>
      <c r="D78" s="48"/>
      <c r="E78" s="48"/>
      <c r="F78" s="48"/>
      <c r="G78" s="47"/>
      <c r="H78" s="47"/>
      <c r="I78" s="50"/>
      <c r="J78" s="52"/>
      <c r="K78" s="52"/>
      <c r="L78" s="52"/>
      <c r="M78" s="52"/>
      <c r="N78" s="52"/>
      <c r="O78" s="53"/>
      <c r="P78" s="52">
        <f t="shared" si="6"/>
        <v>0</v>
      </c>
      <c r="Q78" s="52">
        <f t="shared" si="7"/>
        <v>0</v>
      </c>
      <c r="R78" s="52">
        <f t="shared" si="8"/>
        <v>0</v>
      </c>
      <c r="S78" s="52">
        <f t="shared" si="9"/>
        <v>0</v>
      </c>
      <c r="T78" s="52">
        <f t="shared" si="10"/>
        <v>0</v>
      </c>
      <c r="U78" s="53"/>
    </row>
    <row r="79" spans="1:21" s="4" customFormat="1" hidden="1" x14ac:dyDescent="0.3">
      <c r="A79" s="28">
        <v>69</v>
      </c>
      <c r="B79" s="48"/>
      <c r="C79" s="48"/>
      <c r="D79" s="48"/>
      <c r="E79" s="48"/>
      <c r="F79" s="48"/>
      <c r="G79" s="47"/>
      <c r="H79" s="47"/>
      <c r="I79" s="50"/>
      <c r="J79" s="52"/>
      <c r="K79" s="52"/>
      <c r="L79" s="52"/>
      <c r="M79" s="52"/>
      <c r="N79" s="52"/>
      <c r="O79" s="53"/>
      <c r="P79" s="52">
        <f t="shared" si="6"/>
        <v>0</v>
      </c>
      <c r="Q79" s="52">
        <f t="shared" si="7"/>
        <v>0</v>
      </c>
      <c r="R79" s="52">
        <f t="shared" si="8"/>
        <v>0</v>
      </c>
      <c r="S79" s="52">
        <f t="shared" si="9"/>
        <v>0</v>
      </c>
      <c r="T79" s="52">
        <f t="shared" si="10"/>
        <v>0</v>
      </c>
      <c r="U79" s="53"/>
    </row>
    <row r="80" spans="1:21" s="4" customFormat="1" hidden="1" x14ac:dyDescent="0.3">
      <c r="A80" s="28">
        <v>70</v>
      </c>
      <c r="B80" s="48"/>
      <c r="C80" s="48"/>
      <c r="D80" s="48"/>
      <c r="E80" s="48"/>
      <c r="F80" s="48"/>
      <c r="G80" s="47"/>
      <c r="H80" s="47"/>
      <c r="I80" s="50"/>
      <c r="J80" s="52"/>
      <c r="K80" s="52"/>
      <c r="L80" s="52"/>
      <c r="M80" s="52"/>
      <c r="N80" s="52"/>
      <c r="O80" s="53"/>
      <c r="P80" s="52">
        <f t="shared" si="6"/>
        <v>0</v>
      </c>
      <c r="Q80" s="52">
        <f t="shared" si="7"/>
        <v>0</v>
      </c>
      <c r="R80" s="52">
        <f t="shared" si="8"/>
        <v>0</v>
      </c>
      <c r="S80" s="52">
        <f t="shared" si="9"/>
        <v>0</v>
      </c>
      <c r="T80" s="52">
        <f t="shared" si="10"/>
        <v>0</v>
      </c>
      <c r="U80" s="53"/>
    </row>
    <row r="81" spans="1:21" s="4" customFormat="1" hidden="1" x14ac:dyDescent="0.3">
      <c r="A81" s="28">
        <v>71</v>
      </c>
      <c r="B81" s="48"/>
      <c r="C81" s="48"/>
      <c r="D81" s="48"/>
      <c r="E81" s="48"/>
      <c r="F81" s="48"/>
      <c r="G81" s="47"/>
      <c r="H81" s="47"/>
      <c r="I81" s="50"/>
      <c r="J81" s="52"/>
      <c r="K81" s="52"/>
      <c r="L81" s="52"/>
      <c r="M81" s="52"/>
      <c r="N81" s="52"/>
      <c r="O81" s="53"/>
      <c r="P81" s="52">
        <f t="shared" si="6"/>
        <v>0</v>
      </c>
      <c r="Q81" s="52">
        <f t="shared" si="7"/>
        <v>0</v>
      </c>
      <c r="R81" s="52">
        <f t="shared" si="8"/>
        <v>0</v>
      </c>
      <c r="S81" s="52">
        <f t="shared" si="9"/>
        <v>0</v>
      </c>
      <c r="T81" s="52">
        <f t="shared" si="10"/>
        <v>0</v>
      </c>
      <c r="U81" s="53"/>
    </row>
    <row r="82" spans="1:21" s="4" customFormat="1" hidden="1" x14ac:dyDescent="0.3">
      <c r="A82" s="28">
        <v>72</v>
      </c>
      <c r="B82" s="48"/>
      <c r="C82" s="48"/>
      <c r="D82" s="48"/>
      <c r="E82" s="48"/>
      <c r="F82" s="48"/>
      <c r="G82" s="47"/>
      <c r="H82" s="47"/>
      <c r="I82" s="50"/>
      <c r="J82" s="52"/>
      <c r="K82" s="52"/>
      <c r="L82" s="52"/>
      <c r="M82" s="52"/>
      <c r="N82" s="52"/>
      <c r="O82" s="53"/>
      <c r="P82" s="52">
        <f t="shared" si="6"/>
        <v>0</v>
      </c>
      <c r="Q82" s="52">
        <f t="shared" si="7"/>
        <v>0</v>
      </c>
      <c r="R82" s="52">
        <f t="shared" si="8"/>
        <v>0</v>
      </c>
      <c r="S82" s="52">
        <f t="shared" si="9"/>
        <v>0</v>
      </c>
      <c r="T82" s="52">
        <f t="shared" si="10"/>
        <v>0</v>
      </c>
      <c r="U82" s="53"/>
    </row>
    <row r="83" spans="1:21" s="4" customFormat="1" hidden="1" x14ac:dyDescent="0.3">
      <c r="A83" s="28">
        <v>73</v>
      </c>
      <c r="B83" s="48"/>
      <c r="C83" s="48"/>
      <c r="D83" s="48"/>
      <c r="E83" s="48"/>
      <c r="F83" s="48"/>
      <c r="G83" s="47"/>
      <c r="H83" s="47"/>
      <c r="I83" s="50"/>
      <c r="J83" s="52"/>
      <c r="K83" s="52"/>
      <c r="L83" s="52"/>
      <c r="M83" s="52"/>
      <c r="N83" s="52"/>
      <c r="O83" s="53"/>
      <c r="P83" s="52">
        <f t="shared" si="6"/>
        <v>0</v>
      </c>
      <c r="Q83" s="52">
        <f t="shared" si="7"/>
        <v>0</v>
      </c>
      <c r="R83" s="52">
        <f t="shared" si="8"/>
        <v>0</v>
      </c>
      <c r="S83" s="52">
        <f t="shared" si="9"/>
        <v>0</v>
      </c>
      <c r="T83" s="52">
        <f t="shared" si="10"/>
        <v>0</v>
      </c>
      <c r="U83" s="53"/>
    </row>
    <row r="84" spans="1:21" s="4" customFormat="1" hidden="1" x14ac:dyDescent="0.3">
      <c r="A84" s="28">
        <v>74</v>
      </c>
      <c r="B84" s="48"/>
      <c r="C84" s="48"/>
      <c r="D84" s="48"/>
      <c r="E84" s="48"/>
      <c r="F84" s="48"/>
      <c r="G84" s="47"/>
      <c r="H84" s="47"/>
      <c r="I84" s="50"/>
      <c r="J84" s="52"/>
      <c r="K84" s="52"/>
      <c r="L84" s="52"/>
      <c r="M84" s="52"/>
      <c r="N84" s="52"/>
      <c r="O84" s="53"/>
      <c r="P84" s="52">
        <f t="shared" si="6"/>
        <v>0</v>
      </c>
      <c r="Q84" s="52">
        <f t="shared" si="7"/>
        <v>0</v>
      </c>
      <c r="R84" s="52">
        <f t="shared" si="8"/>
        <v>0</v>
      </c>
      <c r="S84" s="52">
        <f t="shared" si="9"/>
        <v>0</v>
      </c>
      <c r="T84" s="52">
        <f t="shared" si="10"/>
        <v>0</v>
      </c>
      <c r="U84" s="53"/>
    </row>
    <row r="85" spans="1:21" s="4" customFormat="1" hidden="1" x14ac:dyDescent="0.3">
      <c r="A85" s="28">
        <v>75</v>
      </c>
      <c r="B85" s="48"/>
      <c r="C85" s="48"/>
      <c r="D85" s="48"/>
      <c r="E85" s="48"/>
      <c r="F85" s="48"/>
      <c r="G85" s="47"/>
      <c r="H85" s="47"/>
      <c r="I85" s="50"/>
      <c r="J85" s="52"/>
      <c r="K85" s="52"/>
      <c r="L85" s="52"/>
      <c r="M85" s="52"/>
      <c r="N85" s="52"/>
      <c r="O85" s="53"/>
      <c r="P85" s="52">
        <f t="shared" si="6"/>
        <v>0</v>
      </c>
      <c r="Q85" s="52">
        <f t="shared" si="7"/>
        <v>0</v>
      </c>
      <c r="R85" s="52">
        <f t="shared" si="8"/>
        <v>0</v>
      </c>
      <c r="S85" s="52">
        <f t="shared" si="9"/>
        <v>0</v>
      </c>
      <c r="T85" s="52">
        <f t="shared" si="10"/>
        <v>0</v>
      </c>
      <c r="U85" s="53"/>
    </row>
    <row r="86" spans="1:21" s="4" customFormat="1" hidden="1" x14ac:dyDescent="0.3">
      <c r="A86" s="28">
        <v>76</v>
      </c>
      <c r="B86" s="48"/>
      <c r="C86" s="48"/>
      <c r="D86" s="48"/>
      <c r="E86" s="48"/>
      <c r="F86" s="48"/>
      <c r="G86" s="47"/>
      <c r="H86" s="47"/>
      <c r="I86" s="50"/>
      <c r="J86" s="52"/>
      <c r="K86" s="52"/>
      <c r="L86" s="52"/>
      <c r="M86" s="52"/>
      <c r="N86" s="52"/>
      <c r="O86" s="53"/>
      <c r="P86" s="52">
        <f t="shared" si="6"/>
        <v>0</v>
      </c>
      <c r="Q86" s="52">
        <f t="shared" si="7"/>
        <v>0</v>
      </c>
      <c r="R86" s="52">
        <f t="shared" si="8"/>
        <v>0</v>
      </c>
      <c r="S86" s="52">
        <f t="shared" si="9"/>
        <v>0</v>
      </c>
      <c r="T86" s="52">
        <f t="shared" si="10"/>
        <v>0</v>
      </c>
      <c r="U86" s="53"/>
    </row>
    <row r="87" spans="1:21" s="4" customFormat="1" hidden="1" x14ac:dyDescent="0.3">
      <c r="A87" s="28">
        <v>77</v>
      </c>
      <c r="B87" s="48"/>
      <c r="C87" s="48"/>
      <c r="D87" s="48"/>
      <c r="E87" s="48"/>
      <c r="F87" s="48"/>
      <c r="G87" s="47"/>
      <c r="H87" s="47"/>
      <c r="I87" s="50"/>
      <c r="J87" s="52"/>
      <c r="K87" s="52"/>
      <c r="L87" s="52"/>
      <c r="M87" s="52"/>
      <c r="N87" s="52"/>
      <c r="O87" s="53"/>
      <c r="P87" s="52">
        <f t="shared" si="6"/>
        <v>0</v>
      </c>
      <c r="Q87" s="52">
        <f t="shared" si="7"/>
        <v>0</v>
      </c>
      <c r="R87" s="52">
        <f t="shared" si="8"/>
        <v>0</v>
      </c>
      <c r="S87" s="52">
        <f t="shared" si="9"/>
        <v>0</v>
      </c>
      <c r="T87" s="52">
        <f t="shared" si="10"/>
        <v>0</v>
      </c>
      <c r="U87" s="53"/>
    </row>
    <row r="88" spans="1:21" s="4" customFormat="1" hidden="1" x14ac:dyDescent="0.3">
      <c r="A88" s="28">
        <v>78</v>
      </c>
      <c r="B88" s="48"/>
      <c r="C88" s="48"/>
      <c r="D88" s="48"/>
      <c r="E88" s="48"/>
      <c r="F88" s="48"/>
      <c r="G88" s="47"/>
      <c r="H88" s="47"/>
      <c r="I88" s="50"/>
      <c r="J88" s="52"/>
      <c r="K88" s="52"/>
      <c r="L88" s="52"/>
      <c r="M88" s="52"/>
      <c r="N88" s="52"/>
      <c r="O88" s="53"/>
      <c r="P88" s="52">
        <f t="shared" si="6"/>
        <v>0</v>
      </c>
      <c r="Q88" s="52">
        <f t="shared" si="7"/>
        <v>0</v>
      </c>
      <c r="R88" s="52">
        <f t="shared" si="8"/>
        <v>0</v>
      </c>
      <c r="S88" s="52">
        <f t="shared" si="9"/>
        <v>0</v>
      </c>
      <c r="T88" s="52">
        <f t="shared" si="10"/>
        <v>0</v>
      </c>
      <c r="U88" s="53"/>
    </row>
    <row r="89" spans="1:21" s="4" customFormat="1" hidden="1" x14ac:dyDescent="0.3">
      <c r="A89" s="28">
        <v>79</v>
      </c>
      <c r="B89" s="48"/>
      <c r="C89" s="48"/>
      <c r="D89" s="48"/>
      <c r="E89" s="48"/>
      <c r="F89" s="48"/>
      <c r="G89" s="47"/>
      <c r="H89" s="47"/>
      <c r="I89" s="50"/>
      <c r="J89" s="52"/>
      <c r="K89" s="52"/>
      <c r="L89" s="52"/>
      <c r="M89" s="52"/>
      <c r="N89" s="52"/>
      <c r="O89" s="53"/>
      <c r="P89" s="52">
        <f t="shared" si="6"/>
        <v>0</v>
      </c>
      <c r="Q89" s="52">
        <f t="shared" si="7"/>
        <v>0</v>
      </c>
      <c r="R89" s="52">
        <f t="shared" si="8"/>
        <v>0</v>
      </c>
      <c r="S89" s="52">
        <f t="shared" si="9"/>
        <v>0</v>
      </c>
      <c r="T89" s="52">
        <f t="shared" si="10"/>
        <v>0</v>
      </c>
      <c r="U89" s="53"/>
    </row>
    <row r="90" spans="1:21" s="4" customFormat="1" hidden="1" x14ac:dyDescent="0.3">
      <c r="A90" s="28">
        <v>80</v>
      </c>
      <c r="B90" s="48"/>
      <c r="C90" s="48"/>
      <c r="D90" s="48"/>
      <c r="E90" s="48"/>
      <c r="F90" s="48"/>
      <c r="G90" s="47"/>
      <c r="H90" s="47"/>
      <c r="I90" s="50"/>
      <c r="J90" s="52"/>
      <c r="K90" s="52"/>
      <c r="L90" s="52"/>
      <c r="M90" s="52"/>
      <c r="N90" s="52"/>
      <c r="O90" s="53"/>
      <c r="P90" s="52">
        <f t="shared" si="6"/>
        <v>0</v>
      </c>
      <c r="Q90" s="52">
        <f t="shared" si="7"/>
        <v>0</v>
      </c>
      <c r="R90" s="52">
        <f t="shared" si="8"/>
        <v>0</v>
      </c>
      <c r="S90" s="52">
        <f t="shared" si="9"/>
        <v>0</v>
      </c>
      <c r="T90" s="52">
        <f t="shared" si="10"/>
        <v>0</v>
      </c>
      <c r="U90" s="53"/>
    </row>
    <row r="91" spans="1:21" s="4" customFormat="1" hidden="1" x14ac:dyDescent="0.3">
      <c r="A91" s="28">
        <v>81</v>
      </c>
      <c r="B91" s="48"/>
      <c r="C91" s="48"/>
      <c r="D91" s="48"/>
      <c r="E91" s="48"/>
      <c r="F91" s="48"/>
      <c r="G91" s="47"/>
      <c r="H91" s="47"/>
      <c r="I91" s="50"/>
      <c r="J91" s="52"/>
      <c r="K91" s="52"/>
      <c r="L91" s="52"/>
      <c r="M91" s="52"/>
      <c r="N91" s="52"/>
      <c r="O91" s="53"/>
      <c r="P91" s="52">
        <f t="shared" si="6"/>
        <v>0</v>
      </c>
      <c r="Q91" s="52">
        <f t="shared" si="7"/>
        <v>0</v>
      </c>
      <c r="R91" s="52">
        <f t="shared" si="8"/>
        <v>0</v>
      </c>
      <c r="S91" s="52">
        <f t="shared" si="9"/>
        <v>0</v>
      </c>
      <c r="T91" s="52">
        <f t="shared" si="10"/>
        <v>0</v>
      </c>
      <c r="U91" s="53"/>
    </row>
    <row r="92" spans="1:21" s="4" customFormat="1" hidden="1" x14ac:dyDescent="0.3">
      <c r="A92" s="28">
        <v>82</v>
      </c>
      <c r="B92" s="48"/>
      <c r="C92" s="48"/>
      <c r="D92" s="48"/>
      <c r="E92" s="48"/>
      <c r="F92" s="48"/>
      <c r="G92" s="47"/>
      <c r="H92" s="47"/>
      <c r="I92" s="50"/>
      <c r="J92" s="52"/>
      <c r="K92" s="52"/>
      <c r="L92" s="52"/>
      <c r="M92" s="52"/>
      <c r="N92" s="52"/>
      <c r="O92" s="53"/>
      <c r="P92" s="52">
        <f t="shared" si="6"/>
        <v>0</v>
      </c>
      <c r="Q92" s="52">
        <f t="shared" si="7"/>
        <v>0</v>
      </c>
      <c r="R92" s="52">
        <f t="shared" si="8"/>
        <v>0</v>
      </c>
      <c r="S92" s="52">
        <f t="shared" si="9"/>
        <v>0</v>
      </c>
      <c r="T92" s="52">
        <f t="shared" si="10"/>
        <v>0</v>
      </c>
      <c r="U92" s="53"/>
    </row>
    <row r="93" spans="1:21" s="4" customFormat="1" hidden="1" x14ac:dyDescent="0.3">
      <c r="A93" s="28">
        <v>83</v>
      </c>
      <c r="B93" s="48"/>
      <c r="C93" s="48"/>
      <c r="D93" s="48"/>
      <c r="E93" s="48"/>
      <c r="F93" s="48"/>
      <c r="G93" s="47"/>
      <c r="H93" s="47"/>
      <c r="I93" s="50"/>
      <c r="J93" s="52"/>
      <c r="K93" s="52"/>
      <c r="L93" s="52"/>
      <c r="M93" s="52"/>
      <c r="N93" s="52"/>
      <c r="O93" s="53"/>
      <c r="P93" s="52">
        <f t="shared" si="6"/>
        <v>0</v>
      </c>
      <c r="Q93" s="52">
        <f t="shared" si="7"/>
        <v>0</v>
      </c>
      <c r="R93" s="52">
        <f t="shared" si="8"/>
        <v>0</v>
      </c>
      <c r="S93" s="52">
        <f t="shared" si="9"/>
        <v>0</v>
      </c>
      <c r="T93" s="52">
        <f t="shared" si="10"/>
        <v>0</v>
      </c>
      <c r="U93" s="53"/>
    </row>
    <row r="94" spans="1:21" s="4" customFormat="1" hidden="1" x14ac:dyDescent="0.3">
      <c r="A94" s="28">
        <v>84</v>
      </c>
      <c r="B94" s="48"/>
      <c r="C94" s="48"/>
      <c r="D94" s="48"/>
      <c r="E94" s="48"/>
      <c r="F94" s="48"/>
      <c r="G94" s="47"/>
      <c r="H94" s="47"/>
      <c r="I94" s="50"/>
      <c r="J94" s="52"/>
      <c r="K94" s="52"/>
      <c r="L94" s="52"/>
      <c r="M94" s="52"/>
      <c r="N94" s="52"/>
      <c r="O94" s="53"/>
      <c r="P94" s="52">
        <f t="shared" si="6"/>
        <v>0</v>
      </c>
      <c r="Q94" s="52">
        <f t="shared" si="7"/>
        <v>0</v>
      </c>
      <c r="R94" s="52">
        <f t="shared" si="8"/>
        <v>0</v>
      </c>
      <c r="S94" s="52">
        <f t="shared" si="9"/>
        <v>0</v>
      </c>
      <c r="T94" s="52">
        <f t="shared" si="10"/>
        <v>0</v>
      </c>
      <c r="U94" s="53"/>
    </row>
    <row r="95" spans="1:21" s="4" customFormat="1" hidden="1" x14ac:dyDescent="0.3">
      <c r="A95" s="28">
        <v>85</v>
      </c>
      <c r="B95" s="48"/>
      <c r="C95" s="48"/>
      <c r="D95" s="48"/>
      <c r="E95" s="48"/>
      <c r="F95" s="48"/>
      <c r="G95" s="47"/>
      <c r="H95" s="47"/>
      <c r="I95" s="50"/>
      <c r="J95" s="52"/>
      <c r="K95" s="52"/>
      <c r="L95" s="52"/>
      <c r="M95" s="52"/>
      <c r="N95" s="52"/>
      <c r="O95" s="53"/>
      <c r="P95" s="52">
        <f t="shared" si="6"/>
        <v>0</v>
      </c>
      <c r="Q95" s="52">
        <f t="shared" si="7"/>
        <v>0</v>
      </c>
      <c r="R95" s="52">
        <f t="shared" si="8"/>
        <v>0</v>
      </c>
      <c r="S95" s="52">
        <f t="shared" si="9"/>
        <v>0</v>
      </c>
      <c r="T95" s="52">
        <f t="shared" si="10"/>
        <v>0</v>
      </c>
      <c r="U95" s="53"/>
    </row>
    <row r="96" spans="1:21" s="4" customFormat="1" hidden="1" x14ac:dyDescent="0.3">
      <c r="A96" s="28">
        <v>86</v>
      </c>
      <c r="B96" s="48"/>
      <c r="C96" s="48"/>
      <c r="D96" s="48"/>
      <c r="E96" s="48"/>
      <c r="F96" s="48"/>
      <c r="G96" s="47"/>
      <c r="H96" s="47"/>
      <c r="I96" s="50"/>
      <c r="J96" s="52"/>
      <c r="K96" s="52"/>
      <c r="L96" s="52"/>
      <c r="M96" s="52"/>
      <c r="N96" s="52"/>
      <c r="O96" s="53"/>
      <c r="P96" s="52">
        <f t="shared" si="6"/>
        <v>0</v>
      </c>
      <c r="Q96" s="52">
        <f t="shared" si="7"/>
        <v>0</v>
      </c>
      <c r="R96" s="52">
        <f t="shared" si="8"/>
        <v>0</v>
      </c>
      <c r="S96" s="52">
        <f t="shared" si="9"/>
        <v>0</v>
      </c>
      <c r="T96" s="52">
        <f t="shared" si="10"/>
        <v>0</v>
      </c>
      <c r="U96" s="53"/>
    </row>
    <row r="97" spans="1:21" s="4" customFormat="1" hidden="1" x14ac:dyDescent="0.3">
      <c r="A97" s="28">
        <v>87</v>
      </c>
      <c r="B97" s="48"/>
      <c r="C97" s="48"/>
      <c r="D97" s="48"/>
      <c r="E97" s="48"/>
      <c r="F97" s="48"/>
      <c r="G97" s="47"/>
      <c r="H97" s="47"/>
      <c r="I97" s="50"/>
      <c r="J97" s="52"/>
      <c r="K97" s="52"/>
      <c r="L97" s="52"/>
      <c r="M97" s="52"/>
      <c r="N97" s="52"/>
      <c r="O97" s="53"/>
      <c r="P97" s="52">
        <f t="shared" si="6"/>
        <v>0</v>
      </c>
      <c r="Q97" s="52">
        <f t="shared" si="7"/>
        <v>0</v>
      </c>
      <c r="R97" s="52">
        <f t="shared" si="8"/>
        <v>0</v>
      </c>
      <c r="S97" s="52">
        <f t="shared" si="9"/>
        <v>0</v>
      </c>
      <c r="T97" s="52">
        <f t="shared" si="10"/>
        <v>0</v>
      </c>
      <c r="U97" s="53"/>
    </row>
    <row r="98" spans="1:21" s="4" customFormat="1" hidden="1" x14ac:dyDescent="0.3">
      <c r="A98" s="28">
        <v>88</v>
      </c>
      <c r="B98" s="48"/>
      <c r="C98" s="48"/>
      <c r="D98" s="48"/>
      <c r="E98" s="48"/>
      <c r="F98" s="48"/>
      <c r="G98" s="47"/>
      <c r="H98" s="47"/>
      <c r="I98" s="50"/>
      <c r="J98" s="52"/>
      <c r="K98" s="52"/>
      <c r="L98" s="52"/>
      <c r="M98" s="52"/>
      <c r="N98" s="52"/>
      <c r="O98" s="53"/>
      <c r="P98" s="52">
        <f t="shared" si="6"/>
        <v>0</v>
      </c>
      <c r="Q98" s="52">
        <f t="shared" si="7"/>
        <v>0</v>
      </c>
      <c r="R98" s="52">
        <f t="shared" si="8"/>
        <v>0</v>
      </c>
      <c r="S98" s="52">
        <f t="shared" si="9"/>
        <v>0</v>
      </c>
      <c r="T98" s="52">
        <f t="shared" si="10"/>
        <v>0</v>
      </c>
      <c r="U98" s="53"/>
    </row>
    <row r="99" spans="1:21" s="4" customFormat="1" hidden="1" x14ac:dyDescent="0.3">
      <c r="A99" s="28">
        <v>89</v>
      </c>
      <c r="B99" s="48"/>
      <c r="C99" s="48"/>
      <c r="D99" s="48"/>
      <c r="E99" s="48"/>
      <c r="F99" s="48"/>
      <c r="G99" s="47"/>
      <c r="H99" s="47"/>
      <c r="I99" s="50"/>
      <c r="J99" s="52"/>
      <c r="K99" s="52"/>
      <c r="L99" s="52"/>
      <c r="M99" s="52"/>
      <c r="N99" s="52"/>
      <c r="O99" s="53"/>
      <c r="P99" s="52">
        <f t="shared" si="6"/>
        <v>0</v>
      </c>
      <c r="Q99" s="52">
        <f t="shared" si="7"/>
        <v>0</v>
      </c>
      <c r="R99" s="52">
        <f t="shared" si="8"/>
        <v>0</v>
      </c>
      <c r="S99" s="52">
        <f t="shared" si="9"/>
        <v>0</v>
      </c>
      <c r="T99" s="52">
        <f t="shared" si="10"/>
        <v>0</v>
      </c>
      <c r="U99" s="53"/>
    </row>
    <row r="100" spans="1:21" s="4" customFormat="1" hidden="1" x14ac:dyDescent="0.3">
      <c r="A100" s="28">
        <v>90</v>
      </c>
      <c r="B100" s="48"/>
      <c r="C100" s="48"/>
      <c r="D100" s="48"/>
      <c r="E100" s="48"/>
      <c r="F100" s="48"/>
      <c r="G100" s="47"/>
      <c r="H100" s="47"/>
      <c r="I100" s="50"/>
      <c r="J100" s="52"/>
      <c r="K100" s="52"/>
      <c r="L100" s="52"/>
      <c r="M100" s="52"/>
      <c r="N100" s="52"/>
      <c r="O100" s="53"/>
      <c r="P100" s="52">
        <f t="shared" si="6"/>
        <v>0</v>
      </c>
      <c r="Q100" s="52">
        <f t="shared" si="7"/>
        <v>0</v>
      </c>
      <c r="R100" s="52">
        <f t="shared" si="8"/>
        <v>0</v>
      </c>
      <c r="S100" s="52">
        <f t="shared" si="9"/>
        <v>0</v>
      </c>
      <c r="T100" s="52">
        <f t="shared" si="10"/>
        <v>0</v>
      </c>
      <c r="U100" s="53"/>
    </row>
    <row r="101" spans="1:21" s="4" customFormat="1" hidden="1" x14ac:dyDescent="0.3">
      <c r="A101" s="28">
        <v>91</v>
      </c>
      <c r="B101" s="48"/>
      <c r="C101" s="48"/>
      <c r="D101" s="48"/>
      <c r="E101" s="48"/>
      <c r="F101" s="48"/>
      <c r="G101" s="47"/>
      <c r="H101" s="47"/>
      <c r="I101" s="50"/>
      <c r="J101" s="52"/>
      <c r="K101" s="52"/>
      <c r="L101" s="52"/>
      <c r="M101" s="52"/>
      <c r="N101" s="52"/>
      <c r="O101" s="53"/>
      <c r="P101" s="52">
        <f t="shared" si="6"/>
        <v>0</v>
      </c>
      <c r="Q101" s="52">
        <f t="shared" si="7"/>
        <v>0</v>
      </c>
      <c r="R101" s="52">
        <f t="shared" si="8"/>
        <v>0</v>
      </c>
      <c r="S101" s="52">
        <f t="shared" si="9"/>
        <v>0</v>
      </c>
      <c r="T101" s="52">
        <f t="shared" si="10"/>
        <v>0</v>
      </c>
      <c r="U101" s="53"/>
    </row>
    <row r="102" spans="1:21" s="4" customFormat="1" hidden="1" x14ac:dyDescent="0.3">
      <c r="A102" s="28">
        <v>92</v>
      </c>
      <c r="B102" s="48"/>
      <c r="C102" s="48"/>
      <c r="D102" s="48"/>
      <c r="E102" s="48"/>
      <c r="F102" s="48"/>
      <c r="G102" s="47"/>
      <c r="H102" s="47"/>
      <c r="I102" s="50"/>
      <c r="J102" s="52"/>
      <c r="K102" s="52"/>
      <c r="L102" s="52"/>
      <c r="M102" s="52"/>
      <c r="N102" s="52"/>
      <c r="O102" s="53"/>
      <c r="P102" s="52">
        <f t="shared" si="6"/>
        <v>0</v>
      </c>
      <c r="Q102" s="52">
        <f t="shared" si="7"/>
        <v>0</v>
      </c>
      <c r="R102" s="52">
        <f t="shared" si="8"/>
        <v>0</v>
      </c>
      <c r="S102" s="52">
        <f t="shared" si="9"/>
        <v>0</v>
      </c>
      <c r="T102" s="52">
        <f t="shared" si="10"/>
        <v>0</v>
      </c>
      <c r="U102" s="53"/>
    </row>
    <row r="103" spans="1:21" s="4" customFormat="1" hidden="1" x14ac:dyDescent="0.3">
      <c r="A103" s="28">
        <v>93</v>
      </c>
      <c r="B103" s="48"/>
      <c r="C103" s="48"/>
      <c r="D103" s="48"/>
      <c r="E103" s="48"/>
      <c r="F103" s="48"/>
      <c r="G103" s="47"/>
      <c r="H103" s="47"/>
      <c r="I103" s="50"/>
      <c r="J103" s="52"/>
      <c r="K103" s="52"/>
      <c r="L103" s="52"/>
      <c r="M103" s="52"/>
      <c r="N103" s="52"/>
      <c r="O103" s="53"/>
      <c r="P103" s="52">
        <f t="shared" si="6"/>
        <v>0</v>
      </c>
      <c r="Q103" s="52">
        <f t="shared" si="7"/>
        <v>0</v>
      </c>
      <c r="R103" s="52">
        <f t="shared" si="8"/>
        <v>0</v>
      </c>
      <c r="S103" s="52">
        <f t="shared" si="9"/>
        <v>0</v>
      </c>
      <c r="T103" s="52">
        <f t="shared" si="10"/>
        <v>0</v>
      </c>
      <c r="U103" s="53"/>
    </row>
    <row r="104" spans="1:21" s="4" customFormat="1" hidden="1" x14ac:dyDescent="0.3">
      <c r="A104" s="28">
        <v>94</v>
      </c>
      <c r="B104" s="48"/>
      <c r="C104" s="48"/>
      <c r="D104" s="48"/>
      <c r="E104" s="48"/>
      <c r="F104" s="48"/>
      <c r="G104" s="47"/>
      <c r="H104" s="47"/>
      <c r="I104" s="50"/>
      <c r="J104" s="52"/>
      <c r="K104" s="52"/>
      <c r="L104" s="52"/>
      <c r="M104" s="52"/>
      <c r="N104" s="52"/>
      <c r="O104" s="53"/>
      <c r="P104" s="52">
        <f t="shared" si="6"/>
        <v>0</v>
      </c>
      <c r="Q104" s="52">
        <f t="shared" si="7"/>
        <v>0</v>
      </c>
      <c r="R104" s="52">
        <f t="shared" si="8"/>
        <v>0</v>
      </c>
      <c r="S104" s="52">
        <f t="shared" si="9"/>
        <v>0</v>
      </c>
      <c r="T104" s="52">
        <f t="shared" si="10"/>
        <v>0</v>
      </c>
      <c r="U104" s="53"/>
    </row>
    <row r="105" spans="1:21" s="4" customFormat="1" hidden="1" x14ac:dyDescent="0.3">
      <c r="A105" s="28">
        <v>95</v>
      </c>
      <c r="B105" s="48"/>
      <c r="C105" s="48"/>
      <c r="D105" s="48"/>
      <c r="E105" s="48"/>
      <c r="F105" s="48"/>
      <c r="G105" s="47"/>
      <c r="H105" s="47"/>
      <c r="I105" s="50"/>
      <c r="J105" s="52"/>
      <c r="K105" s="52"/>
      <c r="L105" s="52"/>
      <c r="M105" s="52"/>
      <c r="N105" s="52"/>
      <c r="O105" s="53"/>
      <c r="P105" s="52">
        <f t="shared" si="6"/>
        <v>0</v>
      </c>
      <c r="Q105" s="52">
        <f t="shared" si="7"/>
        <v>0</v>
      </c>
      <c r="R105" s="52">
        <f t="shared" si="8"/>
        <v>0</v>
      </c>
      <c r="S105" s="52">
        <f t="shared" si="9"/>
        <v>0</v>
      </c>
      <c r="T105" s="52">
        <f t="shared" si="10"/>
        <v>0</v>
      </c>
      <c r="U105" s="53"/>
    </row>
    <row r="106" spans="1:21" s="4" customFormat="1" hidden="1" x14ac:dyDescent="0.3">
      <c r="A106" s="28">
        <v>96</v>
      </c>
      <c r="B106" s="48"/>
      <c r="C106" s="48"/>
      <c r="D106" s="48"/>
      <c r="E106" s="48"/>
      <c r="F106" s="48"/>
      <c r="G106" s="47"/>
      <c r="H106" s="47"/>
      <c r="I106" s="50"/>
      <c r="J106" s="52"/>
      <c r="K106" s="52"/>
      <c r="L106" s="52"/>
      <c r="M106" s="52"/>
      <c r="N106" s="52"/>
      <c r="O106" s="53"/>
      <c r="P106" s="52">
        <f t="shared" si="6"/>
        <v>0</v>
      </c>
      <c r="Q106" s="52">
        <f t="shared" si="7"/>
        <v>0</v>
      </c>
      <c r="R106" s="52">
        <f t="shared" si="8"/>
        <v>0</v>
      </c>
      <c r="S106" s="52">
        <f t="shared" si="9"/>
        <v>0</v>
      </c>
      <c r="T106" s="52">
        <f t="shared" si="10"/>
        <v>0</v>
      </c>
      <c r="U106" s="53"/>
    </row>
    <row r="107" spans="1:21" s="4" customFormat="1" hidden="1" x14ac:dyDescent="0.3">
      <c r="A107" s="28">
        <v>97</v>
      </c>
      <c r="B107" s="48"/>
      <c r="C107" s="48"/>
      <c r="D107" s="48"/>
      <c r="E107" s="48"/>
      <c r="F107" s="48"/>
      <c r="G107" s="47"/>
      <c r="H107" s="47"/>
      <c r="I107" s="50"/>
      <c r="J107" s="52"/>
      <c r="K107" s="52"/>
      <c r="L107" s="52"/>
      <c r="M107" s="52"/>
      <c r="N107" s="52"/>
      <c r="O107" s="53"/>
      <c r="P107" s="52">
        <f t="shared" si="6"/>
        <v>0</v>
      </c>
      <c r="Q107" s="52">
        <f t="shared" si="7"/>
        <v>0</v>
      </c>
      <c r="R107" s="52">
        <f t="shared" si="8"/>
        <v>0</v>
      </c>
      <c r="S107" s="52">
        <f t="shared" si="9"/>
        <v>0</v>
      </c>
      <c r="T107" s="52">
        <f t="shared" si="10"/>
        <v>0</v>
      </c>
      <c r="U107" s="53"/>
    </row>
    <row r="108" spans="1:21" s="4" customFormat="1" hidden="1" x14ac:dyDescent="0.3">
      <c r="A108" s="28">
        <v>98</v>
      </c>
      <c r="B108" s="48"/>
      <c r="C108" s="48"/>
      <c r="D108" s="48"/>
      <c r="E108" s="48"/>
      <c r="F108" s="48"/>
      <c r="G108" s="47"/>
      <c r="H108" s="47"/>
      <c r="I108" s="50"/>
      <c r="J108" s="52"/>
      <c r="K108" s="52"/>
      <c r="L108" s="52"/>
      <c r="M108" s="52"/>
      <c r="N108" s="52"/>
      <c r="O108" s="53"/>
      <c r="P108" s="52">
        <f t="shared" si="6"/>
        <v>0</v>
      </c>
      <c r="Q108" s="52">
        <f t="shared" si="7"/>
        <v>0</v>
      </c>
      <c r="R108" s="52">
        <f t="shared" si="8"/>
        <v>0</v>
      </c>
      <c r="S108" s="52">
        <f t="shared" si="9"/>
        <v>0</v>
      </c>
      <c r="T108" s="52">
        <f t="shared" si="10"/>
        <v>0</v>
      </c>
      <c r="U108" s="53"/>
    </row>
    <row r="109" spans="1:21" s="4" customFormat="1" hidden="1" x14ac:dyDescent="0.3">
      <c r="A109" s="28">
        <v>99</v>
      </c>
      <c r="B109" s="48"/>
      <c r="C109" s="48"/>
      <c r="D109" s="48"/>
      <c r="E109" s="48"/>
      <c r="F109" s="48"/>
      <c r="G109" s="47"/>
      <c r="H109" s="47"/>
      <c r="I109" s="50"/>
      <c r="J109" s="52"/>
      <c r="K109" s="52"/>
      <c r="L109" s="52"/>
      <c r="M109" s="52"/>
      <c r="N109" s="52"/>
      <c r="O109" s="53"/>
      <c r="P109" s="52">
        <f t="shared" si="6"/>
        <v>0</v>
      </c>
      <c r="Q109" s="52">
        <f t="shared" si="7"/>
        <v>0</v>
      </c>
      <c r="R109" s="52">
        <f t="shared" si="8"/>
        <v>0</v>
      </c>
      <c r="S109" s="52">
        <f t="shared" si="9"/>
        <v>0</v>
      </c>
      <c r="T109" s="52">
        <f t="shared" si="10"/>
        <v>0</v>
      </c>
      <c r="U109" s="53"/>
    </row>
    <row r="110" spans="1:21" s="4" customFormat="1" hidden="1" x14ac:dyDescent="0.3">
      <c r="A110" s="28">
        <v>100</v>
      </c>
      <c r="B110" s="48"/>
      <c r="C110" s="48"/>
      <c r="D110" s="48"/>
      <c r="E110" s="48"/>
      <c r="F110" s="48"/>
      <c r="G110" s="47"/>
      <c r="H110" s="47"/>
      <c r="I110" s="50"/>
      <c r="J110" s="52"/>
      <c r="K110" s="52"/>
      <c r="L110" s="52"/>
      <c r="M110" s="52"/>
      <c r="N110" s="52"/>
      <c r="O110" s="53"/>
      <c r="P110" s="52">
        <f t="shared" si="6"/>
        <v>0</v>
      </c>
      <c r="Q110" s="52">
        <f t="shared" si="7"/>
        <v>0</v>
      </c>
      <c r="R110" s="52">
        <f t="shared" si="8"/>
        <v>0</v>
      </c>
      <c r="S110" s="52">
        <f t="shared" si="9"/>
        <v>0</v>
      </c>
      <c r="T110" s="52">
        <f t="shared" si="10"/>
        <v>0</v>
      </c>
      <c r="U110" s="53"/>
    </row>
    <row r="111" spans="1:21" s="4" customFormat="1" hidden="1" x14ac:dyDescent="0.3">
      <c r="A111" s="28">
        <v>101</v>
      </c>
      <c r="B111" s="48"/>
      <c r="C111" s="48"/>
      <c r="D111" s="48"/>
      <c r="E111" s="48"/>
      <c r="F111" s="48"/>
      <c r="G111" s="47"/>
      <c r="H111" s="47"/>
      <c r="I111" s="50"/>
      <c r="J111" s="52"/>
      <c r="K111" s="52"/>
      <c r="L111" s="52"/>
      <c r="M111" s="52"/>
      <c r="N111" s="52"/>
      <c r="O111" s="53"/>
      <c r="P111" s="52">
        <f t="shared" si="6"/>
        <v>0</v>
      </c>
      <c r="Q111" s="52">
        <f t="shared" si="7"/>
        <v>0</v>
      </c>
      <c r="R111" s="52">
        <f t="shared" si="8"/>
        <v>0</v>
      </c>
      <c r="S111" s="52">
        <f t="shared" si="9"/>
        <v>0</v>
      </c>
      <c r="T111" s="52">
        <f t="shared" si="10"/>
        <v>0</v>
      </c>
      <c r="U111" s="53"/>
    </row>
    <row r="112" spans="1:21" s="4" customFormat="1" hidden="1" x14ac:dyDescent="0.3">
      <c r="A112" s="28">
        <v>102</v>
      </c>
      <c r="B112" s="48"/>
      <c r="C112" s="48"/>
      <c r="D112" s="48"/>
      <c r="E112" s="48"/>
      <c r="F112" s="48"/>
      <c r="G112" s="47"/>
      <c r="H112" s="47"/>
      <c r="I112" s="50"/>
      <c r="J112" s="52"/>
      <c r="K112" s="52"/>
      <c r="L112" s="52"/>
      <c r="M112" s="52"/>
      <c r="N112" s="52"/>
      <c r="O112" s="53"/>
      <c r="P112" s="52">
        <f t="shared" si="6"/>
        <v>0</v>
      </c>
      <c r="Q112" s="52">
        <f t="shared" si="7"/>
        <v>0</v>
      </c>
      <c r="R112" s="52">
        <f t="shared" si="8"/>
        <v>0</v>
      </c>
      <c r="S112" s="52">
        <f t="shared" si="9"/>
        <v>0</v>
      </c>
      <c r="T112" s="52">
        <f t="shared" si="10"/>
        <v>0</v>
      </c>
      <c r="U112" s="53"/>
    </row>
    <row r="113" spans="1:21" s="4" customFormat="1" hidden="1" x14ac:dyDescent="0.3">
      <c r="A113" s="28">
        <v>103</v>
      </c>
      <c r="B113" s="48"/>
      <c r="C113" s="48"/>
      <c r="D113" s="48"/>
      <c r="E113" s="48"/>
      <c r="F113" s="48"/>
      <c r="G113" s="47"/>
      <c r="H113" s="47"/>
      <c r="I113" s="50"/>
      <c r="J113" s="52"/>
      <c r="K113" s="52"/>
      <c r="L113" s="52"/>
      <c r="M113" s="52"/>
      <c r="N113" s="52"/>
      <c r="O113" s="53"/>
      <c r="P113" s="52">
        <f t="shared" si="6"/>
        <v>0</v>
      </c>
      <c r="Q113" s="52">
        <f t="shared" si="7"/>
        <v>0</v>
      </c>
      <c r="R113" s="52">
        <f t="shared" si="8"/>
        <v>0</v>
      </c>
      <c r="S113" s="52">
        <f t="shared" si="9"/>
        <v>0</v>
      </c>
      <c r="T113" s="52">
        <f t="shared" si="10"/>
        <v>0</v>
      </c>
      <c r="U113" s="53"/>
    </row>
    <row r="114" spans="1:21" s="4" customFormat="1" hidden="1" x14ac:dyDescent="0.3">
      <c r="A114" s="28">
        <v>104</v>
      </c>
      <c r="B114" s="48"/>
      <c r="C114" s="48"/>
      <c r="D114" s="48"/>
      <c r="E114" s="48"/>
      <c r="F114" s="48"/>
      <c r="G114" s="47"/>
      <c r="H114" s="47"/>
      <c r="I114" s="50"/>
      <c r="J114" s="52"/>
      <c r="K114" s="52"/>
      <c r="L114" s="52"/>
      <c r="M114" s="52"/>
      <c r="N114" s="52"/>
      <c r="O114" s="53"/>
      <c r="P114" s="52">
        <f t="shared" si="6"/>
        <v>0</v>
      </c>
      <c r="Q114" s="52">
        <f t="shared" si="7"/>
        <v>0</v>
      </c>
      <c r="R114" s="52">
        <f t="shared" si="8"/>
        <v>0</v>
      </c>
      <c r="S114" s="52">
        <f t="shared" si="9"/>
        <v>0</v>
      </c>
      <c r="T114" s="52">
        <f t="shared" si="10"/>
        <v>0</v>
      </c>
      <c r="U114" s="53"/>
    </row>
    <row r="115" spans="1:21" s="4" customFormat="1" hidden="1" x14ac:dyDescent="0.3">
      <c r="A115" s="28">
        <v>105</v>
      </c>
      <c r="B115" s="48"/>
      <c r="C115" s="48"/>
      <c r="D115" s="48"/>
      <c r="E115" s="48"/>
      <c r="F115" s="48"/>
      <c r="G115" s="47"/>
      <c r="H115" s="47"/>
      <c r="I115" s="50"/>
      <c r="J115" s="52"/>
      <c r="K115" s="52"/>
      <c r="L115" s="52"/>
      <c r="M115" s="52"/>
      <c r="N115" s="52"/>
      <c r="O115" s="53"/>
      <c r="P115" s="52">
        <f t="shared" si="6"/>
        <v>0</v>
      </c>
      <c r="Q115" s="52">
        <f t="shared" si="7"/>
        <v>0</v>
      </c>
      <c r="R115" s="52">
        <f t="shared" si="8"/>
        <v>0</v>
      </c>
      <c r="S115" s="52">
        <f t="shared" si="9"/>
        <v>0</v>
      </c>
      <c r="T115" s="52">
        <f t="shared" si="10"/>
        <v>0</v>
      </c>
      <c r="U115" s="53"/>
    </row>
    <row r="116" spans="1:21" s="4" customFormat="1" hidden="1" x14ac:dyDescent="0.3">
      <c r="A116" s="28">
        <v>106</v>
      </c>
      <c r="B116" s="48"/>
      <c r="C116" s="48"/>
      <c r="D116" s="48"/>
      <c r="E116" s="48"/>
      <c r="F116" s="48"/>
      <c r="G116" s="47"/>
      <c r="H116" s="47"/>
      <c r="I116" s="50"/>
      <c r="J116" s="52"/>
      <c r="K116" s="52"/>
      <c r="L116" s="52"/>
      <c r="M116" s="52"/>
      <c r="N116" s="52"/>
      <c r="O116" s="53"/>
      <c r="P116" s="52">
        <f t="shared" si="6"/>
        <v>0</v>
      </c>
      <c r="Q116" s="52">
        <f t="shared" si="7"/>
        <v>0</v>
      </c>
      <c r="R116" s="52">
        <f t="shared" si="8"/>
        <v>0</v>
      </c>
      <c r="S116" s="52">
        <f t="shared" si="9"/>
        <v>0</v>
      </c>
      <c r="T116" s="52">
        <f t="shared" si="10"/>
        <v>0</v>
      </c>
      <c r="U116" s="53"/>
    </row>
    <row r="117" spans="1:21" s="4" customFormat="1" hidden="1" x14ac:dyDescent="0.3">
      <c r="A117" s="28">
        <v>107</v>
      </c>
      <c r="B117" s="48"/>
      <c r="C117" s="48"/>
      <c r="D117" s="48"/>
      <c r="E117" s="48"/>
      <c r="F117" s="48"/>
      <c r="G117" s="47"/>
      <c r="H117" s="47"/>
      <c r="I117" s="50"/>
      <c r="J117" s="52"/>
      <c r="K117" s="52"/>
      <c r="L117" s="52"/>
      <c r="M117" s="52"/>
      <c r="N117" s="52"/>
      <c r="O117" s="53"/>
      <c r="P117" s="52">
        <f t="shared" si="6"/>
        <v>0</v>
      </c>
      <c r="Q117" s="52">
        <f t="shared" si="7"/>
        <v>0</v>
      </c>
      <c r="R117" s="52">
        <f t="shared" si="8"/>
        <v>0</v>
      </c>
      <c r="S117" s="52">
        <f t="shared" si="9"/>
        <v>0</v>
      </c>
      <c r="T117" s="52">
        <f t="shared" si="10"/>
        <v>0</v>
      </c>
      <c r="U117" s="53"/>
    </row>
    <row r="118" spans="1:21" s="4" customFormat="1" hidden="1" x14ac:dyDescent="0.3">
      <c r="A118" s="28">
        <v>108</v>
      </c>
      <c r="B118" s="48"/>
      <c r="C118" s="48"/>
      <c r="D118" s="48"/>
      <c r="E118" s="48"/>
      <c r="F118" s="48"/>
      <c r="G118" s="47"/>
      <c r="H118" s="47"/>
      <c r="I118" s="50"/>
      <c r="J118" s="52"/>
      <c r="K118" s="52"/>
      <c r="L118" s="52"/>
      <c r="M118" s="52"/>
      <c r="N118" s="52"/>
      <c r="O118" s="53"/>
      <c r="P118" s="52">
        <f t="shared" si="6"/>
        <v>0</v>
      </c>
      <c r="Q118" s="52">
        <f t="shared" si="7"/>
        <v>0</v>
      </c>
      <c r="R118" s="52">
        <f t="shared" si="8"/>
        <v>0</v>
      </c>
      <c r="S118" s="52">
        <f t="shared" si="9"/>
        <v>0</v>
      </c>
      <c r="T118" s="52">
        <f t="shared" si="10"/>
        <v>0</v>
      </c>
      <c r="U118" s="53"/>
    </row>
    <row r="119" spans="1:21" s="4" customFormat="1" hidden="1" x14ac:dyDescent="0.3">
      <c r="A119" s="28">
        <v>109</v>
      </c>
      <c r="B119" s="48"/>
      <c r="C119" s="48"/>
      <c r="D119" s="48"/>
      <c r="E119" s="48"/>
      <c r="F119" s="48"/>
      <c r="G119" s="47"/>
      <c r="H119" s="47"/>
      <c r="I119" s="50"/>
      <c r="J119" s="52"/>
      <c r="K119" s="52"/>
      <c r="L119" s="52"/>
      <c r="M119" s="52"/>
      <c r="N119" s="52"/>
      <c r="O119" s="53"/>
      <c r="P119" s="52">
        <f t="shared" si="6"/>
        <v>0</v>
      </c>
      <c r="Q119" s="52">
        <f t="shared" si="7"/>
        <v>0</v>
      </c>
      <c r="R119" s="52">
        <f t="shared" si="8"/>
        <v>0</v>
      </c>
      <c r="S119" s="52">
        <f t="shared" si="9"/>
        <v>0</v>
      </c>
      <c r="T119" s="52">
        <f t="shared" si="10"/>
        <v>0</v>
      </c>
      <c r="U119" s="53"/>
    </row>
    <row r="120" spans="1:21" s="4" customFormat="1" hidden="1" x14ac:dyDescent="0.3">
      <c r="A120" s="28">
        <v>110</v>
      </c>
      <c r="B120" s="48"/>
      <c r="C120" s="48"/>
      <c r="D120" s="48"/>
      <c r="E120" s="48"/>
      <c r="F120" s="48"/>
      <c r="G120" s="47"/>
      <c r="H120" s="47"/>
      <c r="I120" s="50"/>
      <c r="J120" s="52"/>
      <c r="K120" s="52"/>
      <c r="L120" s="52"/>
      <c r="M120" s="52"/>
      <c r="N120" s="52"/>
      <c r="O120" s="53"/>
      <c r="P120" s="52">
        <f t="shared" si="6"/>
        <v>0</v>
      </c>
      <c r="Q120" s="52">
        <f t="shared" si="7"/>
        <v>0</v>
      </c>
      <c r="R120" s="52">
        <f t="shared" si="8"/>
        <v>0</v>
      </c>
      <c r="S120" s="52">
        <f t="shared" si="9"/>
        <v>0</v>
      </c>
      <c r="T120" s="52">
        <f t="shared" si="10"/>
        <v>0</v>
      </c>
      <c r="U120" s="53"/>
    </row>
    <row r="121" spans="1:21" s="4" customFormat="1" hidden="1" x14ac:dyDescent="0.3">
      <c r="A121" s="28">
        <v>111</v>
      </c>
      <c r="B121" s="48"/>
      <c r="C121" s="48"/>
      <c r="D121" s="48"/>
      <c r="E121" s="48"/>
      <c r="F121" s="48"/>
      <c r="G121" s="47"/>
      <c r="H121" s="47"/>
      <c r="I121" s="50"/>
      <c r="J121" s="52"/>
      <c r="K121" s="52"/>
      <c r="L121" s="52"/>
      <c r="M121" s="52"/>
      <c r="N121" s="52"/>
      <c r="O121" s="53"/>
      <c r="P121" s="52">
        <f t="shared" si="6"/>
        <v>0</v>
      </c>
      <c r="Q121" s="52">
        <f t="shared" si="7"/>
        <v>0</v>
      </c>
      <c r="R121" s="52">
        <f t="shared" si="8"/>
        <v>0</v>
      </c>
      <c r="S121" s="52">
        <f t="shared" si="9"/>
        <v>0</v>
      </c>
      <c r="T121" s="52">
        <f t="shared" si="10"/>
        <v>0</v>
      </c>
      <c r="U121" s="53"/>
    </row>
    <row r="122" spans="1:21" s="4" customFormat="1" hidden="1" x14ac:dyDescent="0.3">
      <c r="A122" s="28">
        <v>112</v>
      </c>
      <c r="B122" s="48"/>
      <c r="C122" s="48"/>
      <c r="D122" s="48"/>
      <c r="E122" s="48"/>
      <c r="F122" s="48"/>
      <c r="G122" s="47"/>
      <c r="H122" s="47"/>
      <c r="I122" s="50"/>
      <c r="J122" s="52"/>
      <c r="K122" s="52"/>
      <c r="L122" s="52"/>
      <c r="M122" s="52"/>
      <c r="N122" s="52"/>
      <c r="O122" s="53"/>
      <c r="P122" s="52">
        <f t="shared" si="6"/>
        <v>0</v>
      </c>
      <c r="Q122" s="52">
        <f t="shared" si="7"/>
        <v>0</v>
      </c>
      <c r="R122" s="52">
        <f t="shared" si="8"/>
        <v>0</v>
      </c>
      <c r="S122" s="52">
        <f t="shared" si="9"/>
        <v>0</v>
      </c>
      <c r="T122" s="52">
        <f t="shared" si="10"/>
        <v>0</v>
      </c>
      <c r="U122" s="53"/>
    </row>
    <row r="123" spans="1:21" hidden="1" x14ac:dyDescent="0.3">
      <c r="A123" s="28">
        <v>113</v>
      </c>
      <c r="B123" s="48"/>
      <c r="C123" s="48"/>
      <c r="D123" s="48"/>
      <c r="E123" s="48"/>
      <c r="F123" s="48"/>
      <c r="G123" s="47"/>
      <c r="H123" s="47"/>
      <c r="I123" s="50"/>
      <c r="J123" s="52"/>
      <c r="K123" s="52"/>
      <c r="L123" s="52"/>
      <c r="M123" s="52"/>
      <c r="N123" s="52"/>
      <c r="O123" s="55"/>
      <c r="P123" s="52">
        <f t="shared" si="6"/>
        <v>0</v>
      </c>
      <c r="Q123" s="52">
        <f t="shared" si="7"/>
        <v>0</v>
      </c>
      <c r="R123" s="52">
        <f t="shared" si="8"/>
        <v>0</v>
      </c>
      <c r="S123" s="52">
        <f t="shared" si="9"/>
        <v>0</v>
      </c>
      <c r="T123" s="52">
        <f t="shared" si="10"/>
        <v>0</v>
      </c>
      <c r="U123" s="55"/>
    </row>
    <row r="124" spans="1:21" hidden="1" x14ac:dyDescent="0.3">
      <c r="A124" s="28">
        <v>114</v>
      </c>
      <c r="B124" s="48"/>
      <c r="C124" s="48"/>
      <c r="D124" s="48"/>
      <c r="E124" s="48"/>
      <c r="F124" s="48"/>
      <c r="G124" s="47"/>
      <c r="H124" s="47"/>
      <c r="I124" s="50"/>
      <c r="J124" s="52"/>
      <c r="K124" s="52"/>
      <c r="L124" s="52"/>
      <c r="M124" s="52"/>
      <c r="N124" s="52"/>
      <c r="O124" s="55"/>
      <c r="P124" s="52">
        <f t="shared" si="6"/>
        <v>0</v>
      </c>
      <c r="Q124" s="52">
        <f t="shared" si="7"/>
        <v>0</v>
      </c>
      <c r="R124" s="52">
        <f t="shared" si="8"/>
        <v>0</v>
      </c>
      <c r="S124" s="52">
        <f t="shared" si="9"/>
        <v>0</v>
      </c>
      <c r="T124" s="52">
        <f t="shared" si="10"/>
        <v>0</v>
      </c>
      <c r="U124" s="55"/>
    </row>
    <row r="125" spans="1:21" hidden="1" x14ac:dyDescent="0.3">
      <c r="A125" s="28">
        <v>115</v>
      </c>
      <c r="B125" s="48"/>
      <c r="C125" s="48"/>
      <c r="D125" s="48"/>
      <c r="E125" s="48"/>
      <c r="F125" s="48"/>
      <c r="G125" s="47"/>
      <c r="H125" s="47"/>
      <c r="I125" s="50"/>
      <c r="J125" s="52"/>
      <c r="K125" s="52"/>
      <c r="L125" s="52"/>
      <c r="M125" s="52"/>
      <c r="N125" s="52"/>
      <c r="O125" s="55"/>
      <c r="P125" s="52">
        <f t="shared" si="6"/>
        <v>0</v>
      </c>
      <c r="Q125" s="52">
        <f t="shared" si="7"/>
        <v>0</v>
      </c>
      <c r="R125" s="52">
        <f t="shared" si="8"/>
        <v>0</v>
      </c>
      <c r="S125" s="52">
        <f t="shared" si="9"/>
        <v>0</v>
      </c>
      <c r="T125" s="52">
        <f t="shared" si="10"/>
        <v>0</v>
      </c>
      <c r="U125" s="55"/>
    </row>
    <row r="126" spans="1:21" hidden="1" x14ac:dyDescent="0.3">
      <c r="A126" s="28">
        <v>116</v>
      </c>
      <c r="B126" s="48"/>
      <c r="C126" s="48"/>
      <c r="D126" s="48"/>
      <c r="E126" s="48"/>
      <c r="F126" s="48"/>
      <c r="G126" s="47"/>
      <c r="H126" s="47"/>
      <c r="I126" s="50"/>
      <c r="J126" s="52"/>
      <c r="K126" s="52"/>
      <c r="L126" s="52"/>
      <c r="M126" s="52"/>
      <c r="N126" s="52"/>
      <c r="O126" s="55"/>
      <c r="P126" s="52">
        <f t="shared" si="6"/>
        <v>0</v>
      </c>
      <c r="Q126" s="52">
        <f t="shared" si="7"/>
        <v>0</v>
      </c>
      <c r="R126" s="52">
        <f t="shared" si="8"/>
        <v>0</v>
      </c>
      <c r="S126" s="52">
        <f t="shared" si="9"/>
        <v>0</v>
      </c>
      <c r="T126" s="52">
        <f t="shared" si="10"/>
        <v>0</v>
      </c>
      <c r="U126" s="55"/>
    </row>
    <row r="127" spans="1:21" hidden="1" x14ac:dyDescent="0.3">
      <c r="A127" s="28">
        <v>117</v>
      </c>
      <c r="B127" s="48"/>
      <c r="C127" s="48"/>
      <c r="D127" s="48"/>
      <c r="E127" s="48"/>
      <c r="F127" s="48"/>
      <c r="G127" s="47"/>
      <c r="H127" s="47"/>
      <c r="I127" s="50"/>
      <c r="J127" s="52"/>
      <c r="K127" s="52"/>
      <c r="L127" s="52"/>
      <c r="M127" s="52"/>
      <c r="N127" s="52"/>
      <c r="O127" s="55"/>
      <c r="P127" s="52">
        <f t="shared" si="6"/>
        <v>0</v>
      </c>
      <c r="Q127" s="52">
        <f t="shared" si="7"/>
        <v>0</v>
      </c>
      <c r="R127" s="52">
        <f t="shared" si="8"/>
        <v>0</v>
      </c>
      <c r="S127" s="52">
        <f t="shared" si="9"/>
        <v>0</v>
      </c>
      <c r="T127" s="52">
        <f t="shared" si="10"/>
        <v>0</v>
      </c>
      <c r="U127" s="55"/>
    </row>
    <row r="128" spans="1:21" hidden="1" x14ac:dyDescent="0.3">
      <c r="A128" s="28">
        <v>118</v>
      </c>
      <c r="B128" s="48"/>
      <c r="C128" s="48"/>
      <c r="D128" s="48"/>
      <c r="E128" s="48"/>
      <c r="F128" s="48"/>
      <c r="G128" s="47"/>
      <c r="H128" s="47"/>
      <c r="I128" s="50"/>
      <c r="J128" s="52"/>
      <c r="K128" s="52"/>
      <c r="L128" s="52"/>
      <c r="M128" s="52"/>
      <c r="N128" s="52"/>
      <c r="O128" s="55"/>
      <c r="P128" s="52">
        <f t="shared" si="6"/>
        <v>0</v>
      </c>
      <c r="Q128" s="52">
        <f t="shared" si="7"/>
        <v>0</v>
      </c>
      <c r="R128" s="52">
        <f t="shared" si="8"/>
        <v>0</v>
      </c>
      <c r="S128" s="52">
        <f t="shared" si="9"/>
        <v>0</v>
      </c>
      <c r="T128" s="52">
        <f t="shared" si="10"/>
        <v>0</v>
      </c>
      <c r="U128" s="55"/>
    </row>
    <row r="129" spans="1:21" s="4" customFormat="1" hidden="1" x14ac:dyDescent="0.3">
      <c r="A129" s="28">
        <v>119</v>
      </c>
      <c r="B129" s="48"/>
      <c r="C129" s="48"/>
      <c r="D129" s="48"/>
      <c r="E129" s="48"/>
      <c r="F129" s="48"/>
      <c r="G129" s="47"/>
      <c r="H129" s="47"/>
      <c r="I129" s="50"/>
      <c r="J129" s="52"/>
      <c r="K129" s="52"/>
      <c r="L129" s="52"/>
      <c r="M129" s="52"/>
      <c r="N129" s="52"/>
      <c r="O129" s="53"/>
      <c r="P129" s="52">
        <f t="shared" si="6"/>
        <v>0</v>
      </c>
      <c r="Q129" s="52">
        <f t="shared" si="7"/>
        <v>0</v>
      </c>
      <c r="R129" s="52">
        <f t="shared" si="8"/>
        <v>0</v>
      </c>
      <c r="S129" s="52">
        <f t="shared" si="9"/>
        <v>0</v>
      </c>
      <c r="T129" s="52">
        <f t="shared" si="10"/>
        <v>0</v>
      </c>
      <c r="U129" s="53"/>
    </row>
    <row r="130" spans="1:21" s="4" customFormat="1" hidden="1" x14ac:dyDescent="0.3">
      <c r="A130" s="28">
        <v>120</v>
      </c>
      <c r="B130" s="48"/>
      <c r="C130" s="48"/>
      <c r="D130" s="48"/>
      <c r="E130" s="48"/>
      <c r="F130" s="48"/>
      <c r="G130" s="47"/>
      <c r="H130" s="47"/>
      <c r="I130" s="50"/>
      <c r="J130" s="52"/>
      <c r="K130" s="52"/>
      <c r="L130" s="52"/>
      <c r="M130" s="52"/>
      <c r="N130" s="52"/>
      <c r="O130" s="53"/>
      <c r="P130" s="52">
        <f t="shared" si="6"/>
        <v>0</v>
      </c>
      <c r="Q130" s="52">
        <f t="shared" si="7"/>
        <v>0</v>
      </c>
      <c r="R130" s="52">
        <f t="shared" si="8"/>
        <v>0</v>
      </c>
      <c r="S130" s="52">
        <f t="shared" si="9"/>
        <v>0</v>
      </c>
      <c r="T130" s="52">
        <f t="shared" si="10"/>
        <v>0</v>
      </c>
      <c r="U130" s="53"/>
    </row>
    <row r="131" spans="1:21" hidden="1" x14ac:dyDescent="0.3">
      <c r="A131" s="28">
        <v>121</v>
      </c>
      <c r="B131" s="48"/>
      <c r="C131" s="48"/>
      <c r="D131" s="48"/>
      <c r="E131" s="48"/>
      <c r="F131" s="48"/>
      <c r="G131" s="47"/>
      <c r="H131" s="47"/>
      <c r="I131" s="50"/>
      <c r="J131" s="52"/>
      <c r="K131" s="52"/>
      <c r="L131" s="52"/>
      <c r="M131" s="52"/>
      <c r="N131" s="52"/>
      <c r="O131" s="55"/>
      <c r="P131" s="52">
        <f t="shared" si="6"/>
        <v>0</v>
      </c>
      <c r="Q131" s="52">
        <f t="shared" si="7"/>
        <v>0</v>
      </c>
      <c r="R131" s="52">
        <f t="shared" si="8"/>
        <v>0</v>
      </c>
      <c r="S131" s="52">
        <f t="shared" si="9"/>
        <v>0</v>
      </c>
      <c r="T131" s="52">
        <f t="shared" si="10"/>
        <v>0</v>
      </c>
      <c r="U131" s="55"/>
    </row>
    <row r="132" spans="1:21" hidden="1" x14ac:dyDescent="0.3">
      <c r="A132" s="28">
        <v>122</v>
      </c>
      <c r="B132" s="48"/>
      <c r="C132" s="48"/>
      <c r="D132" s="48"/>
      <c r="E132" s="48"/>
      <c r="F132" s="48"/>
      <c r="G132" s="47"/>
      <c r="H132" s="47"/>
      <c r="I132" s="50"/>
      <c r="J132" s="52"/>
      <c r="K132" s="52"/>
      <c r="L132" s="52"/>
      <c r="M132" s="52"/>
      <c r="N132" s="52"/>
      <c r="O132" s="55"/>
      <c r="P132" s="52">
        <f t="shared" si="6"/>
        <v>0</v>
      </c>
      <c r="Q132" s="52">
        <f t="shared" si="7"/>
        <v>0</v>
      </c>
      <c r="R132" s="52">
        <f t="shared" si="8"/>
        <v>0</v>
      </c>
      <c r="S132" s="52">
        <f t="shared" si="9"/>
        <v>0</v>
      </c>
      <c r="T132" s="52">
        <f t="shared" si="10"/>
        <v>0</v>
      </c>
      <c r="U132" s="55"/>
    </row>
    <row r="133" spans="1:21" hidden="1" x14ac:dyDescent="0.3">
      <c r="A133" s="28">
        <v>123</v>
      </c>
      <c r="B133" s="48"/>
      <c r="C133" s="48"/>
      <c r="D133" s="48"/>
      <c r="E133" s="48"/>
      <c r="F133" s="48"/>
      <c r="G133" s="47"/>
      <c r="H133" s="47"/>
      <c r="I133" s="50"/>
      <c r="J133" s="52"/>
      <c r="K133" s="52"/>
      <c r="L133" s="52"/>
      <c r="M133" s="52"/>
      <c r="N133" s="52"/>
      <c r="O133" s="55"/>
      <c r="P133" s="52">
        <f t="shared" si="6"/>
        <v>0</v>
      </c>
      <c r="Q133" s="52">
        <f t="shared" si="7"/>
        <v>0</v>
      </c>
      <c r="R133" s="52">
        <f t="shared" si="8"/>
        <v>0</v>
      </c>
      <c r="S133" s="52">
        <f t="shared" si="9"/>
        <v>0</v>
      </c>
      <c r="T133" s="52">
        <f t="shared" si="10"/>
        <v>0</v>
      </c>
      <c r="U133" s="55"/>
    </row>
    <row r="134" spans="1:21" hidden="1" x14ac:dyDescent="0.3">
      <c r="A134" s="28">
        <v>124</v>
      </c>
      <c r="B134" s="48"/>
      <c r="C134" s="48"/>
      <c r="D134" s="48"/>
      <c r="E134" s="48"/>
      <c r="F134" s="48"/>
      <c r="G134" s="47"/>
      <c r="H134" s="47"/>
      <c r="I134" s="50"/>
      <c r="J134" s="52"/>
      <c r="K134" s="52"/>
      <c r="L134" s="52"/>
      <c r="M134" s="52"/>
      <c r="N134" s="52"/>
      <c r="O134" s="55"/>
      <c r="P134" s="52">
        <f t="shared" si="6"/>
        <v>0</v>
      </c>
      <c r="Q134" s="52">
        <f t="shared" si="7"/>
        <v>0</v>
      </c>
      <c r="R134" s="52">
        <f t="shared" si="8"/>
        <v>0</v>
      </c>
      <c r="S134" s="52">
        <f t="shared" si="9"/>
        <v>0</v>
      </c>
      <c r="T134" s="52">
        <f t="shared" si="10"/>
        <v>0</v>
      </c>
      <c r="U134" s="55"/>
    </row>
    <row r="135" spans="1:21" hidden="1" x14ac:dyDescent="0.3">
      <c r="A135" s="28">
        <v>125</v>
      </c>
      <c r="B135" s="48"/>
      <c r="C135" s="48"/>
      <c r="D135" s="48"/>
      <c r="E135" s="48"/>
      <c r="F135" s="48"/>
      <c r="G135" s="47"/>
      <c r="H135" s="47"/>
      <c r="I135" s="50"/>
      <c r="J135" s="52"/>
      <c r="K135" s="52"/>
      <c r="L135" s="52"/>
      <c r="M135" s="52"/>
      <c r="N135" s="52"/>
      <c r="O135" s="55"/>
      <c r="P135" s="52">
        <f t="shared" si="6"/>
        <v>0</v>
      </c>
      <c r="Q135" s="52">
        <f t="shared" si="7"/>
        <v>0</v>
      </c>
      <c r="R135" s="52">
        <f t="shared" si="8"/>
        <v>0</v>
      </c>
      <c r="S135" s="52">
        <f t="shared" si="9"/>
        <v>0</v>
      </c>
      <c r="T135" s="52">
        <f t="shared" si="10"/>
        <v>0</v>
      </c>
      <c r="U135" s="55"/>
    </row>
    <row r="136" spans="1:21" hidden="1" x14ac:dyDescent="0.3">
      <c r="A136" s="28">
        <v>126</v>
      </c>
      <c r="B136" s="48"/>
      <c r="C136" s="48"/>
      <c r="D136" s="48"/>
      <c r="E136" s="48"/>
      <c r="F136" s="48"/>
      <c r="G136" s="47"/>
      <c r="H136" s="47"/>
      <c r="I136" s="50"/>
      <c r="J136" s="52"/>
      <c r="K136" s="52"/>
      <c r="L136" s="52"/>
      <c r="M136" s="52"/>
      <c r="N136" s="52"/>
      <c r="O136" s="55"/>
      <c r="P136" s="52">
        <f t="shared" si="6"/>
        <v>0</v>
      </c>
      <c r="Q136" s="52">
        <f t="shared" si="7"/>
        <v>0</v>
      </c>
      <c r="R136" s="52">
        <f t="shared" si="8"/>
        <v>0</v>
      </c>
      <c r="S136" s="52">
        <f t="shared" si="9"/>
        <v>0</v>
      </c>
      <c r="T136" s="52">
        <f t="shared" si="10"/>
        <v>0</v>
      </c>
      <c r="U136" s="55"/>
    </row>
    <row r="137" spans="1:21" hidden="1" x14ac:dyDescent="0.3">
      <c r="A137" s="28">
        <v>127</v>
      </c>
      <c r="B137" s="48"/>
      <c r="C137" s="48"/>
      <c r="D137" s="48"/>
      <c r="E137" s="48"/>
      <c r="F137" s="48"/>
      <c r="G137" s="47"/>
      <c r="H137" s="47"/>
      <c r="I137" s="50"/>
      <c r="J137" s="52"/>
      <c r="K137" s="52"/>
      <c r="L137" s="52"/>
      <c r="M137" s="52"/>
      <c r="N137" s="52"/>
      <c r="O137" s="55"/>
      <c r="P137" s="52">
        <f t="shared" si="6"/>
        <v>0</v>
      </c>
      <c r="Q137" s="52">
        <f t="shared" si="7"/>
        <v>0</v>
      </c>
      <c r="R137" s="52">
        <f t="shared" si="8"/>
        <v>0</v>
      </c>
      <c r="S137" s="52">
        <f t="shared" si="9"/>
        <v>0</v>
      </c>
      <c r="T137" s="52">
        <f t="shared" si="10"/>
        <v>0</v>
      </c>
      <c r="U137" s="55"/>
    </row>
    <row r="138" spans="1:21" hidden="1" x14ac:dyDescent="0.3">
      <c r="A138" s="28">
        <v>128</v>
      </c>
      <c r="B138" s="48"/>
      <c r="C138" s="48"/>
      <c r="D138" s="48"/>
      <c r="E138" s="48"/>
      <c r="F138" s="48"/>
      <c r="G138" s="47"/>
      <c r="H138" s="47"/>
      <c r="I138" s="50"/>
      <c r="J138" s="52"/>
      <c r="K138" s="52"/>
      <c r="L138" s="52"/>
      <c r="M138" s="52"/>
      <c r="N138" s="52"/>
      <c r="O138" s="55"/>
      <c r="P138" s="52">
        <f t="shared" si="6"/>
        <v>0</v>
      </c>
      <c r="Q138" s="52">
        <f t="shared" si="7"/>
        <v>0</v>
      </c>
      <c r="R138" s="52">
        <f t="shared" si="8"/>
        <v>0</v>
      </c>
      <c r="S138" s="52">
        <f t="shared" si="9"/>
        <v>0</v>
      </c>
      <c r="T138" s="52">
        <f t="shared" si="10"/>
        <v>0</v>
      </c>
      <c r="U138" s="55"/>
    </row>
    <row r="139" spans="1:21" hidden="1" x14ac:dyDescent="0.3">
      <c r="A139" s="28">
        <v>129</v>
      </c>
      <c r="B139" s="48"/>
      <c r="C139" s="48"/>
      <c r="D139" s="48"/>
      <c r="E139" s="48"/>
      <c r="F139" s="48"/>
      <c r="G139" s="47"/>
      <c r="H139" s="47"/>
      <c r="I139" s="50"/>
      <c r="J139" s="52"/>
      <c r="K139" s="52"/>
      <c r="L139" s="52"/>
      <c r="M139" s="52"/>
      <c r="N139" s="52"/>
      <c r="O139" s="55"/>
      <c r="P139" s="52">
        <f t="shared" si="6"/>
        <v>0</v>
      </c>
      <c r="Q139" s="52">
        <f t="shared" si="7"/>
        <v>0</v>
      </c>
      <c r="R139" s="52">
        <f t="shared" si="8"/>
        <v>0</v>
      </c>
      <c r="S139" s="52">
        <f t="shared" si="9"/>
        <v>0</v>
      </c>
      <c r="T139" s="52">
        <f t="shared" si="10"/>
        <v>0</v>
      </c>
      <c r="U139" s="55"/>
    </row>
    <row r="140" spans="1:21" hidden="1" x14ac:dyDescent="0.3">
      <c r="A140" s="28">
        <v>130</v>
      </c>
      <c r="B140" s="48"/>
      <c r="C140" s="48"/>
      <c r="D140" s="48"/>
      <c r="E140" s="48"/>
      <c r="F140" s="48"/>
      <c r="G140" s="47"/>
      <c r="H140" s="47"/>
      <c r="I140" s="50"/>
      <c r="J140" s="52"/>
      <c r="K140" s="52"/>
      <c r="L140" s="52"/>
      <c r="M140" s="52"/>
      <c r="N140" s="52"/>
      <c r="O140" s="55"/>
      <c r="P140" s="52">
        <f t="shared" ref="P140:P160" si="11">J140</f>
        <v>0</v>
      </c>
      <c r="Q140" s="52">
        <f t="shared" ref="Q140:Q160" si="12">K140</f>
        <v>0</v>
      </c>
      <c r="R140" s="52">
        <f t="shared" ref="R140:R160" si="13">L140</f>
        <v>0</v>
      </c>
      <c r="S140" s="52">
        <f t="shared" ref="S140:S160" si="14">M140</f>
        <v>0</v>
      </c>
      <c r="T140" s="52">
        <f t="shared" ref="T140:T160" si="15">N140</f>
        <v>0</v>
      </c>
      <c r="U140" s="55"/>
    </row>
    <row r="141" spans="1:21" hidden="1" x14ac:dyDescent="0.3">
      <c r="A141" s="28">
        <v>131</v>
      </c>
      <c r="B141" s="48"/>
      <c r="C141" s="48"/>
      <c r="D141" s="48"/>
      <c r="E141" s="48"/>
      <c r="F141" s="48"/>
      <c r="G141" s="47"/>
      <c r="H141" s="47"/>
      <c r="I141" s="50"/>
      <c r="J141" s="52"/>
      <c r="K141" s="52"/>
      <c r="L141" s="52"/>
      <c r="M141" s="52"/>
      <c r="N141" s="52"/>
      <c r="O141" s="55"/>
      <c r="P141" s="52">
        <f t="shared" si="11"/>
        <v>0</v>
      </c>
      <c r="Q141" s="52">
        <f t="shared" si="12"/>
        <v>0</v>
      </c>
      <c r="R141" s="52">
        <f t="shared" si="13"/>
        <v>0</v>
      </c>
      <c r="S141" s="52">
        <f t="shared" si="14"/>
        <v>0</v>
      </c>
      <c r="T141" s="52">
        <f t="shared" si="15"/>
        <v>0</v>
      </c>
      <c r="U141" s="55"/>
    </row>
    <row r="142" spans="1:21" hidden="1" x14ac:dyDescent="0.3">
      <c r="A142" s="28">
        <v>132</v>
      </c>
      <c r="B142" s="48"/>
      <c r="C142" s="48"/>
      <c r="D142" s="48"/>
      <c r="E142" s="48"/>
      <c r="F142" s="48"/>
      <c r="G142" s="47"/>
      <c r="H142" s="47"/>
      <c r="I142" s="50"/>
      <c r="J142" s="52"/>
      <c r="K142" s="52"/>
      <c r="L142" s="52"/>
      <c r="M142" s="52"/>
      <c r="N142" s="52"/>
      <c r="O142" s="55"/>
      <c r="P142" s="52">
        <f t="shared" si="11"/>
        <v>0</v>
      </c>
      <c r="Q142" s="52">
        <f t="shared" si="12"/>
        <v>0</v>
      </c>
      <c r="R142" s="52">
        <f t="shared" si="13"/>
        <v>0</v>
      </c>
      <c r="S142" s="52">
        <f t="shared" si="14"/>
        <v>0</v>
      </c>
      <c r="T142" s="52">
        <f t="shared" si="15"/>
        <v>0</v>
      </c>
      <c r="U142" s="55"/>
    </row>
    <row r="143" spans="1:21" hidden="1" x14ac:dyDescent="0.3">
      <c r="A143" s="28">
        <v>133</v>
      </c>
      <c r="B143" s="48"/>
      <c r="C143" s="48"/>
      <c r="D143" s="48"/>
      <c r="E143" s="48"/>
      <c r="F143" s="48"/>
      <c r="G143" s="47"/>
      <c r="H143" s="47"/>
      <c r="I143" s="50"/>
      <c r="J143" s="52"/>
      <c r="K143" s="52"/>
      <c r="L143" s="52"/>
      <c r="M143" s="52"/>
      <c r="N143" s="52"/>
      <c r="O143" s="55"/>
      <c r="P143" s="52">
        <f t="shared" si="11"/>
        <v>0</v>
      </c>
      <c r="Q143" s="52">
        <f t="shared" si="12"/>
        <v>0</v>
      </c>
      <c r="R143" s="52">
        <f t="shared" si="13"/>
        <v>0</v>
      </c>
      <c r="S143" s="52">
        <f t="shared" si="14"/>
        <v>0</v>
      </c>
      <c r="T143" s="52">
        <f t="shared" si="15"/>
        <v>0</v>
      </c>
      <c r="U143" s="55"/>
    </row>
    <row r="144" spans="1:21" hidden="1" x14ac:dyDescent="0.3">
      <c r="A144" s="28">
        <v>134</v>
      </c>
      <c r="B144" s="48"/>
      <c r="C144" s="48"/>
      <c r="D144" s="48"/>
      <c r="E144" s="48"/>
      <c r="F144" s="48"/>
      <c r="G144" s="47"/>
      <c r="H144" s="47"/>
      <c r="I144" s="50"/>
      <c r="J144" s="52"/>
      <c r="K144" s="52"/>
      <c r="L144" s="52"/>
      <c r="M144" s="52"/>
      <c r="N144" s="52"/>
      <c r="O144" s="55"/>
      <c r="P144" s="52">
        <f t="shared" si="11"/>
        <v>0</v>
      </c>
      <c r="Q144" s="52">
        <f t="shared" si="12"/>
        <v>0</v>
      </c>
      <c r="R144" s="52">
        <f t="shared" si="13"/>
        <v>0</v>
      </c>
      <c r="S144" s="52">
        <f t="shared" si="14"/>
        <v>0</v>
      </c>
      <c r="T144" s="52">
        <f t="shared" si="15"/>
        <v>0</v>
      </c>
      <c r="U144" s="55"/>
    </row>
    <row r="145" spans="1:21" hidden="1" x14ac:dyDescent="0.3">
      <c r="A145" s="28">
        <v>135</v>
      </c>
      <c r="B145" s="48"/>
      <c r="C145" s="48"/>
      <c r="D145" s="48"/>
      <c r="E145" s="48"/>
      <c r="F145" s="48"/>
      <c r="G145" s="47"/>
      <c r="H145" s="47"/>
      <c r="I145" s="50"/>
      <c r="J145" s="52"/>
      <c r="K145" s="52"/>
      <c r="L145" s="52"/>
      <c r="M145" s="52"/>
      <c r="N145" s="52"/>
      <c r="O145" s="55"/>
      <c r="P145" s="52">
        <f t="shared" si="11"/>
        <v>0</v>
      </c>
      <c r="Q145" s="52">
        <f t="shared" si="12"/>
        <v>0</v>
      </c>
      <c r="R145" s="52">
        <f t="shared" si="13"/>
        <v>0</v>
      </c>
      <c r="S145" s="52">
        <f t="shared" si="14"/>
        <v>0</v>
      </c>
      <c r="T145" s="52">
        <f t="shared" si="15"/>
        <v>0</v>
      </c>
      <c r="U145" s="55"/>
    </row>
    <row r="146" spans="1:21" hidden="1" x14ac:dyDescent="0.3">
      <c r="A146" s="28">
        <v>136</v>
      </c>
      <c r="B146" s="48"/>
      <c r="C146" s="48"/>
      <c r="D146" s="48"/>
      <c r="E146" s="48"/>
      <c r="F146" s="48"/>
      <c r="G146" s="47"/>
      <c r="H146" s="47"/>
      <c r="I146" s="50"/>
      <c r="J146" s="52"/>
      <c r="K146" s="52"/>
      <c r="L146" s="52"/>
      <c r="M146" s="52"/>
      <c r="N146" s="52"/>
      <c r="O146" s="55"/>
      <c r="P146" s="52">
        <f t="shared" si="11"/>
        <v>0</v>
      </c>
      <c r="Q146" s="52">
        <f t="shared" si="12"/>
        <v>0</v>
      </c>
      <c r="R146" s="52">
        <f t="shared" si="13"/>
        <v>0</v>
      </c>
      <c r="S146" s="52">
        <f t="shared" si="14"/>
        <v>0</v>
      </c>
      <c r="T146" s="52">
        <f t="shared" si="15"/>
        <v>0</v>
      </c>
      <c r="U146" s="55"/>
    </row>
    <row r="147" spans="1:21" hidden="1" x14ac:dyDescent="0.3">
      <c r="A147" s="28">
        <v>137</v>
      </c>
      <c r="B147" s="48"/>
      <c r="C147" s="48"/>
      <c r="D147" s="48"/>
      <c r="E147" s="48"/>
      <c r="F147" s="48"/>
      <c r="G147" s="47"/>
      <c r="H147" s="47"/>
      <c r="I147" s="50"/>
      <c r="J147" s="52"/>
      <c r="K147" s="52"/>
      <c r="L147" s="52"/>
      <c r="M147" s="52"/>
      <c r="N147" s="52"/>
      <c r="O147" s="55"/>
      <c r="P147" s="52">
        <f t="shared" si="11"/>
        <v>0</v>
      </c>
      <c r="Q147" s="52">
        <f t="shared" si="12"/>
        <v>0</v>
      </c>
      <c r="R147" s="52">
        <f t="shared" si="13"/>
        <v>0</v>
      </c>
      <c r="S147" s="52">
        <f t="shared" si="14"/>
        <v>0</v>
      </c>
      <c r="T147" s="52">
        <f t="shared" si="15"/>
        <v>0</v>
      </c>
      <c r="U147" s="55"/>
    </row>
    <row r="148" spans="1:21" hidden="1" x14ac:dyDescent="0.3">
      <c r="A148" s="28">
        <v>138</v>
      </c>
      <c r="B148" s="48"/>
      <c r="C148" s="48"/>
      <c r="D148" s="48"/>
      <c r="E148" s="48"/>
      <c r="F148" s="48"/>
      <c r="G148" s="47"/>
      <c r="H148" s="47"/>
      <c r="I148" s="50"/>
      <c r="J148" s="52"/>
      <c r="K148" s="52"/>
      <c r="L148" s="52"/>
      <c r="M148" s="52"/>
      <c r="N148" s="52"/>
      <c r="O148" s="55"/>
      <c r="P148" s="52">
        <f t="shared" si="11"/>
        <v>0</v>
      </c>
      <c r="Q148" s="52">
        <f t="shared" si="12"/>
        <v>0</v>
      </c>
      <c r="R148" s="52">
        <f t="shared" si="13"/>
        <v>0</v>
      </c>
      <c r="S148" s="52">
        <f t="shared" si="14"/>
        <v>0</v>
      </c>
      <c r="T148" s="52">
        <f t="shared" si="15"/>
        <v>0</v>
      </c>
      <c r="U148" s="55"/>
    </row>
    <row r="149" spans="1:21" hidden="1" x14ac:dyDescent="0.3">
      <c r="A149" s="28">
        <v>139</v>
      </c>
      <c r="B149" s="48"/>
      <c r="C149" s="48"/>
      <c r="D149" s="48"/>
      <c r="E149" s="48"/>
      <c r="F149" s="48"/>
      <c r="G149" s="47"/>
      <c r="H149" s="47"/>
      <c r="I149" s="50"/>
      <c r="J149" s="52"/>
      <c r="K149" s="52"/>
      <c r="L149" s="52"/>
      <c r="M149" s="52"/>
      <c r="N149" s="52"/>
      <c r="O149" s="55"/>
      <c r="P149" s="52">
        <f t="shared" si="11"/>
        <v>0</v>
      </c>
      <c r="Q149" s="52">
        <f t="shared" si="12"/>
        <v>0</v>
      </c>
      <c r="R149" s="52">
        <f t="shared" si="13"/>
        <v>0</v>
      </c>
      <c r="S149" s="52">
        <f t="shared" si="14"/>
        <v>0</v>
      </c>
      <c r="T149" s="52">
        <f t="shared" si="15"/>
        <v>0</v>
      </c>
      <c r="U149" s="55"/>
    </row>
    <row r="150" spans="1:21" hidden="1" x14ac:dyDescent="0.3">
      <c r="A150" s="28">
        <v>140</v>
      </c>
      <c r="B150" s="48"/>
      <c r="C150" s="48"/>
      <c r="D150" s="48"/>
      <c r="E150" s="48"/>
      <c r="F150" s="48"/>
      <c r="G150" s="47"/>
      <c r="H150" s="47"/>
      <c r="I150" s="50"/>
      <c r="J150" s="52"/>
      <c r="K150" s="52"/>
      <c r="L150" s="52"/>
      <c r="M150" s="52"/>
      <c r="N150" s="52"/>
      <c r="O150" s="55"/>
      <c r="P150" s="52">
        <f t="shared" si="11"/>
        <v>0</v>
      </c>
      <c r="Q150" s="52">
        <f t="shared" si="12"/>
        <v>0</v>
      </c>
      <c r="R150" s="52">
        <f t="shared" si="13"/>
        <v>0</v>
      </c>
      <c r="S150" s="52">
        <f t="shared" si="14"/>
        <v>0</v>
      </c>
      <c r="T150" s="52">
        <f t="shared" si="15"/>
        <v>0</v>
      </c>
      <c r="U150" s="55"/>
    </row>
    <row r="151" spans="1:21" hidden="1" x14ac:dyDescent="0.3">
      <c r="A151" s="28">
        <v>141</v>
      </c>
      <c r="B151" s="48"/>
      <c r="C151" s="49"/>
      <c r="D151" s="49"/>
      <c r="E151" s="47"/>
      <c r="F151" s="47"/>
      <c r="G151" s="47"/>
      <c r="H151" s="47"/>
      <c r="I151" s="50"/>
      <c r="J151" s="52"/>
      <c r="K151" s="52"/>
      <c r="L151" s="52"/>
      <c r="M151" s="52"/>
      <c r="N151" s="52"/>
      <c r="O151" s="55"/>
      <c r="P151" s="52">
        <f t="shared" si="11"/>
        <v>0</v>
      </c>
      <c r="Q151" s="52">
        <f t="shared" si="12"/>
        <v>0</v>
      </c>
      <c r="R151" s="52">
        <f t="shared" si="13"/>
        <v>0</v>
      </c>
      <c r="S151" s="52">
        <f t="shared" si="14"/>
        <v>0</v>
      </c>
      <c r="T151" s="52">
        <f t="shared" si="15"/>
        <v>0</v>
      </c>
      <c r="U151" s="55"/>
    </row>
    <row r="152" spans="1:21" hidden="1" x14ac:dyDescent="0.3">
      <c r="A152" s="28">
        <v>142</v>
      </c>
      <c r="B152" s="48"/>
      <c r="C152" s="49"/>
      <c r="D152" s="49"/>
      <c r="E152" s="47"/>
      <c r="F152" s="47"/>
      <c r="G152" s="47"/>
      <c r="H152" s="47"/>
      <c r="I152" s="50"/>
      <c r="J152" s="52"/>
      <c r="K152" s="52"/>
      <c r="L152" s="52"/>
      <c r="M152" s="52"/>
      <c r="N152" s="52"/>
      <c r="O152" s="55"/>
      <c r="P152" s="52">
        <f t="shared" si="11"/>
        <v>0</v>
      </c>
      <c r="Q152" s="52">
        <f t="shared" si="12"/>
        <v>0</v>
      </c>
      <c r="R152" s="52">
        <f t="shared" si="13"/>
        <v>0</v>
      </c>
      <c r="S152" s="52">
        <f t="shared" si="14"/>
        <v>0</v>
      </c>
      <c r="T152" s="52">
        <f t="shared" si="15"/>
        <v>0</v>
      </c>
      <c r="U152" s="55"/>
    </row>
    <row r="153" spans="1:21" hidden="1" x14ac:dyDescent="0.3">
      <c r="A153" s="28">
        <v>143</v>
      </c>
      <c r="B153" s="48"/>
      <c r="C153" s="49"/>
      <c r="D153" s="49"/>
      <c r="E153" s="47"/>
      <c r="F153" s="47"/>
      <c r="G153" s="47"/>
      <c r="H153" s="47"/>
      <c r="I153" s="50"/>
      <c r="J153" s="52"/>
      <c r="K153" s="52"/>
      <c r="L153" s="52"/>
      <c r="M153" s="52"/>
      <c r="N153" s="52"/>
      <c r="O153" s="55"/>
      <c r="P153" s="52">
        <f t="shared" si="11"/>
        <v>0</v>
      </c>
      <c r="Q153" s="52">
        <f t="shared" si="12"/>
        <v>0</v>
      </c>
      <c r="R153" s="52">
        <f t="shared" si="13"/>
        <v>0</v>
      </c>
      <c r="S153" s="52">
        <f t="shared" si="14"/>
        <v>0</v>
      </c>
      <c r="T153" s="52">
        <f t="shared" si="15"/>
        <v>0</v>
      </c>
      <c r="U153" s="55"/>
    </row>
    <row r="154" spans="1:21" hidden="1" x14ac:dyDescent="0.3">
      <c r="A154" s="28">
        <v>144</v>
      </c>
      <c r="B154" s="48"/>
      <c r="C154" s="49"/>
      <c r="D154" s="49"/>
      <c r="E154" s="47"/>
      <c r="F154" s="47"/>
      <c r="G154" s="47"/>
      <c r="H154" s="47"/>
      <c r="I154" s="50"/>
      <c r="J154" s="52"/>
      <c r="K154" s="52"/>
      <c r="L154" s="52"/>
      <c r="M154" s="52"/>
      <c r="N154" s="52"/>
      <c r="O154" s="55"/>
      <c r="P154" s="52">
        <f t="shared" si="11"/>
        <v>0</v>
      </c>
      <c r="Q154" s="52">
        <f t="shared" si="12"/>
        <v>0</v>
      </c>
      <c r="R154" s="52">
        <f t="shared" si="13"/>
        <v>0</v>
      </c>
      <c r="S154" s="52">
        <f t="shared" si="14"/>
        <v>0</v>
      </c>
      <c r="T154" s="52">
        <f t="shared" si="15"/>
        <v>0</v>
      </c>
      <c r="U154" s="55"/>
    </row>
    <row r="155" spans="1:21" hidden="1" x14ac:dyDescent="0.3">
      <c r="A155" s="28">
        <v>145</v>
      </c>
      <c r="B155" s="48"/>
      <c r="C155" s="49"/>
      <c r="D155" s="49"/>
      <c r="E155" s="47"/>
      <c r="F155" s="47"/>
      <c r="G155" s="47"/>
      <c r="H155" s="47"/>
      <c r="I155" s="50"/>
      <c r="J155" s="52"/>
      <c r="K155" s="52"/>
      <c r="L155" s="52"/>
      <c r="M155" s="52"/>
      <c r="N155" s="52"/>
      <c r="O155" s="55"/>
      <c r="P155" s="52">
        <f t="shared" si="11"/>
        <v>0</v>
      </c>
      <c r="Q155" s="52">
        <f t="shared" si="12"/>
        <v>0</v>
      </c>
      <c r="R155" s="52">
        <f t="shared" si="13"/>
        <v>0</v>
      </c>
      <c r="S155" s="52">
        <f t="shared" si="14"/>
        <v>0</v>
      </c>
      <c r="T155" s="52">
        <f t="shared" si="15"/>
        <v>0</v>
      </c>
      <c r="U155" s="55"/>
    </row>
    <row r="156" spans="1:21" hidden="1" x14ac:dyDescent="0.3">
      <c r="A156" s="28">
        <v>146</v>
      </c>
      <c r="B156" s="48"/>
      <c r="C156" s="49"/>
      <c r="D156" s="49"/>
      <c r="E156" s="47"/>
      <c r="F156" s="47"/>
      <c r="G156" s="47"/>
      <c r="H156" s="47"/>
      <c r="I156" s="50"/>
      <c r="J156" s="52"/>
      <c r="K156" s="52"/>
      <c r="L156" s="52"/>
      <c r="M156" s="52"/>
      <c r="N156" s="52"/>
      <c r="O156" s="55"/>
      <c r="P156" s="52">
        <f t="shared" si="11"/>
        <v>0</v>
      </c>
      <c r="Q156" s="52">
        <f t="shared" si="12"/>
        <v>0</v>
      </c>
      <c r="R156" s="52">
        <f t="shared" si="13"/>
        <v>0</v>
      </c>
      <c r="S156" s="52">
        <f t="shared" si="14"/>
        <v>0</v>
      </c>
      <c r="T156" s="52">
        <f t="shared" si="15"/>
        <v>0</v>
      </c>
      <c r="U156" s="55"/>
    </row>
    <row r="157" spans="1:21" hidden="1" x14ac:dyDescent="0.3">
      <c r="A157" s="28">
        <v>147</v>
      </c>
      <c r="B157" s="48"/>
      <c r="C157" s="49"/>
      <c r="D157" s="49"/>
      <c r="E157" s="47"/>
      <c r="F157" s="47"/>
      <c r="G157" s="47"/>
      <c r="H157" s="47"/>
      <c r="I157" s="50"/>
      <c r="J157" s="52"/>
      <c r="K157" s="52"/>
      <c r="L157" s="52"/>
      <c r="M157" s="52"/>
      <c r="N157" s="52"/>
      <c r="O157" s="55"/>
      <c r="P157" s="52">
        <f t="shared" si="11"/>
        <v>0</v>
      </c>
      <c r="Q157" s="52">
        <f t="shared" si="12"/>
        <v>0</v>
      </c>
      <c r="R157" s="52">
        <f t="shared" si="13"/>
        <v>0</v>
      </c>
      <c r="S157" s="52">
        <f t="shared" si="14"/>
        <v>0</v>
      </c>
      <c r="T157" s="52">
        <f t="shared" si="15"/>
        <v>0</v>
      </c>
      <c r="U157" s="55"/>
    </row>
    <row r="158" spans="1:21" hidden="1" x14ac:dyDescent="0.3">
      <c r="A158" s="28">
        <v>148</v>
      </c>
      <c r="B158" s="48"/>
      <c r="C158" s="49"/>
      <c r="D158" s="49"/>
      <c r="E158" s="47"/>
      <c r="F158" s="47"/>
      <c r="G158" s="47"/>
      <c r="H158" s="47"/>
      <c r="I158" s="50"/>
      <c r="J158" s="52"/>
      <c r="K158" s="52"/>
      <c r="L158" s="52"/>
      <c r="M158" s="52"/>
      <c r="N158" s="52"/>
      <c r="O158" s="55"/>
      <c r="P158" s="52">
        <f t="shared" si="11"/>
        <v>0</v>
      </c>
      <c r="Q158" s="52">
        <f t="shared" si="12"/>
        <v>0</v>
      </c>
      <c r="R158" s="52">
        <f t="shared" si="13"/>
        <v>0</v>
      </c>
      <c r="S158" s="52">
        <f t="shared" si="14"/>
        <v>0</v>
      </c>
      <c r="T158" s="52">
        <f t="shared" si="15"/>
        <v>0</v>
      </c>
      <c r="U158" s="55"/>
    </row>
    <row r="159" spans="1:21" hidden="1" x14ac:dyDescent="0.3">
      <c r="A159" s="28">
        <v>149</v>
      </c>
      <c r="B159" s="48"/>
      <c r="C159" s="49"/>
      <c r="D159" s="49"/>
      <c r="E159" s="47"/>
      <c r="F159" s="47"/>
      <c r="G159" s="47"/>
      <c r="H159" s="47"/>
      <c r="I159" s="50"/>
      <c r="J159" s="52"/>
      <c r="K159" s="52"/>
      <c r="L159" s="52"/>
      <c r="M159" s="52"/>
      <c r="N159" s="52"/>
      <c r="O159" s="55"/>
      <c r="P159" s="52">
        <f t="shared" si="11"/>
        <v>0</v>
      </c>
      <c r="Q159" s="52">
        <f t="shared" si="12"/>
        <v>0</v>
      </c>
      <c r="R159" s="52">
        <f t="shared" si="13"/>
        <v>0</v>
      </c>
      <c r="S159" s="52">
        <f t="shared" si="14"/>
        <v>0</v>
      </c>
      <c r="T159" s="52">
        <f t="shared" si="15"/>
        <v>0</v>
      </c>
      <c r="U159" s="55"/>
    </row>
    <row r="160" spans="1:21" hidden="1" x14ac:dyDescent="0.3">
      <c r="A160" s="28">
        <v>150</v>
      </c>
      <c r="B160" s="48"/>
      <c r="C160" s="49"/>
      <c r="D160" s="49"/>
      <c r="E160" s="47"/>
      <c r="F160" s="47"/>
      <c r="G160" s="47"/>
      <c r="H160" s="47"/>
      <c r="I160" s="50"/>
      <c r="J160" s="52"/>
      <c r="K160" s="52"/>
      <c r="L160" s="52"/>
      <c r="M160" s="52"/>
      <c r="N160" s="52"/>
      <c r="O160" s="55"/>
      <c r="P160" s="52">
        <f t="shared" si="11"/>
        <v>0</v>
      </c>
      <c r="Q160" s="52">
        <f t="shared" si="12"/>
        <v>0</v>
      </c>
      <c r="R160" s="52">
        <f t="shared" si="13"/>
        <v>0</v>
      </c>
      <c r="S160" s="52">
        <f t="shared" si="14"/>
        <v>0</v>
      </c>
      <c r="T160" s="52">
        <f t="shared" si="15"/>
        <v>0</v>
      </c>
      <c r="U160" s="55"/>
    </row>
    <row r="161" spans="1:20" x14ac:dyDescent="0.3">
      <c r="A161" s="13"/>
      <c r="B161" s="10" t="s">
        <v>26</v>
      </c>
      <c r="C161" s="9"/>
      <c r="D161" s="9"/>
      <c r="E161" s="14"/>
      <c r="F161" s="14"/>
      <c r="G161" s="12"/>
      <c r="H161" s="12"/>
      <c r="I161" s="19"/>
      <c r="J161" s="20">
        <f>SUM(J11:J160)</f>
        <v>19079159.229011793</v>
      </c>
      <c r="K161" s="20">
        <f>SUM(K11:K160)</f>
        <v>6080735.5002952963</v>
      </c>
      <c r="L161" s="20">
        <f>SUM(L11:L160)</f>
        <v>4819785.3925746558</v>
      </c>
      <c r="M161" s="20">
        <f>SUM(M11:M160)</f>
        <v>3303316.8747903141</v>
      </c>
      <c r="N161" s="20">
        <f>SUM(N11:N160)</f>
        <v>5668620.063742429</v>
      </c>
      <c r="P161" s="20">
        <f>SUM(P11:P160)</f>
        <v>19079159.229011793</v>
      </c>
      <c r="Q161" s="20">
        <f>SUM(Q11:Q160)</f>
        <v>6080735.5002952963</v>
      </c>
      <c r="R161" s="20">
        <f>SUM(R11:R160)</f>
        <v>4819785.3925746558</v>
      </c>
      <c r="S161" s="20">
        <f>SUM(S11:S160)</f>
        <v>3303316.8747903141</v>
      </c>
      <c r="T161" s="20">
        <f>SUM(T11:T160)</f>
        <v>5668620.063742429</v>
      </c>
    </row>
    <row r="163" spans="1:20" s="42" customFormat="1" x14ac:dyDescent="0.3">
      <c r="C163" s="44"/>
      <c r="D163" s="44"/>
      <c r="E163" s="43"/>
      <c r="F163" s="43"/>
      <c r="J163" s="45"/>
      <c r="K163" s="45"/>
      <c r="L163" s="45"/>
      <c r="M163" s="45"/>
      <c r="N163" s="45"/>
      <c r="P163" s="45"/>
      <c r="Q163" s="45"/>
      <c r="R163" s="45"/>
      <c r="S163" s="45"/>
      <c r="T163" s="45"/>
    </row>
    <row r="164" spans="1:20" s="42" customFormat="1" x14ac:dyDescent="0.3">
      <c r="C164" s="44"/>
      <c r="D164" s="44"/>
      <c r="E164" s="43"/>
      <c r="F164" s="43"/>
      <c r="J164" s="46"/>
      <c r="K164" s="46"/>
      <c r="L164" s="46"/>
      <c r="M164" s="46"/>
      <c r="P164" s="46"/>
      <c r="Q164" s="46"/>
      <c r="R164" s="46"/>
    </row>
    <row r="165" spans="1:20" x14ac:dyDescent="0.3">
      <c r="P165" s="6"/>
      <c r="R165" s="6"/>
    </row>
    <row r="166" spans="1:20" x14ac:dyDescent="0.3">
      <c r="J166" s="45"/>
      <c r="K166" s="45"/>
      <c r="L166" s="45"/>
      <c r="M166" s="45"/>
      <c r="N166" s="45"/>
    </row>
    <row r="167" spans="1:20" x14ac:dyDescent="0.3">
      <c r="J167" s="29"/>
      <c r="P167" s="29"/>
    </row>
    <row r="168" spans="1:20" x14ac:dyDescent="0.3">
      <c r="P168" s="6"/>
    </row>
    <row r="169" spans="1:20" x14ac:dyDescent="0.3">
      <c r="J169" s="6"/>
    </row>
    <row r="170" spans="1:20" x14ac:dyDescent="0.3">
      <c r="P170" s="6"/>
    </row>
  </sheetData>
  <autoFilter ref="B10:S161" xr:uid="{C0543C2F-A589-4FB2-B6F2-BC34465398BA}"/>
  <phoneticPr fontId="15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25E0DE-77AF-4A10-812D-17BBDBC8C88D}">
          <x14:formula1>
            <xm:f>Mapping!$A$2:$A$11</xm:f>
          </x14:formula1>
          <xm:sqref>D151:D160</xm:sqref>
        </x14:dataValidation>
        <x14:dataValidation type="list" allowBlank="1" showInputMessage="1" showErrorMessage="1" xr:uid="{63AF9B6E-5BEC-45C2-921D-9760D5828B4A}">
          <x14:formula1>
            <xm:f>Mapping!$E$2:$E$8</xm:f>
          </x14:formula1>
          <xm:sqref>E151:F160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43C2F-A589-4FB2-B6F2-BC34465398BA}">
  <sheetPr>
    <tabColor theme="5" tint="0.79998168889431442"/>
  </sheetPr>
  <dimension ref="A1:AK170"/>
  <sheetViews>
    <sheetView showGridLines="0" zoomScale="85" zoomScaleNormal="85" workbookViewId="0">
      <pane ySplit="10" topLeftCell="A143" activePane="bottomLeft" state="frozen"/>
      <selection pane="bottomLeft" activeCell="C16" sqref="C16"/>
    </sheetView>
  </sheetViews>
  <sheetFormatPr defaultColWidth="8.625" defaultRowHeight="16.5" x14ac:dyDescent="0.3"/>
  <cols>
    <col min="1" max="1" width="3.375" style="2" customWidth="1"/>
    <col min="2" max="2" width="11.375" style="2" customWidth="1"/>
    <col min="3" max="3" width="42.875" style="2" customWidth="1"/>
    <col min="4" max="4" width="23.875" style="5" bestFit="1" customWidth="1"/>
    <col min="5" max="5" width="21.375" style="5" customWidth="1"/>
    <col min="6" max="6" width="13" style="3" customWidth="1"/>
    <col min="7" max="7" width="7.875" style="2" customWidth="1"/>
    <col min="8" max="8" width="2.625" style="2" customWidth="1"/>
    <col min="9" max="12" width="13.625" style="2" customWidth="1"/>
    <col min="13" max="13" width="2.625" style="2" customWidth="1"/>
    <col min="14" max="17" width="13.625" style="2" customWidth="1"/>
    <col min="18" max="18" width="2.625" style="2" customWidth="1"/>
    <col min="19" max="22" width="13.625" style="2" customWidth="1"/>
    <col min="23" max="23" width="8.625" style="2"/>
    <col min="24" max="24" width="18" style="2" bestFit="1" customWidth="1"/>
    <col min="25" max="25" width="10.875" style="2" bestFit="1" customWidth="1"/>
    <col min="26" max="16384" width="8.625" style="2"/>
  </cols>
  <sheetData>
    <row r="1" spans="1:26" x14ac:dyDescent="0.3">
      <c r="I1" s="6"/>
      <c r="J1" s="6"/>
      <c r="K1" s="6"/>
      <c r="L1" s="6"/>
    </row>
    <row r="2" spans="1:26" x14ac:dyDescent="0.3">
      <c r="I2" s="6"/>
      <c r="J2" s="6"/>
      <c r="K2" s="6"/>
      <c r="L2" s="6"/>
      <c r="N2" s="6"/>
      <c r="O2" s="6"/>
      <c r="P2" s="6"/>
      <c r="Q2" s="6"/>
      <c r="X2" s="6"/>
    </row>
    <row r="5" spans="1:26" x14ac:dyDescent="0.3">
      <c r="V5" s="6"/>
      <c r="X5" s="121"/>
    </row>
    <row r="6" spans="1:26" s="24" customFormat="1" ht="18.75" x14ac:dyDescent="0.3">
      <c r="A6" s="27" t="s">
        <v>48</v>
      </c>
      <c r="B6" s="27"/>
      <c r="D6" s="25"/>
      <c r="E6" s="25"/>
      <c r="F6" s="26"/>
      <c r="I6" s="101"/>
      <c r="J6" s="101"/>
      <c r="K6" s="64" t="s">
        <v>36</v>
      </c>
      <c r="L6" s="116">
        <f>SUM(I161:L161)</f>
        <v>50355693.162794366</v>
      </c>
      <c r="P6" s="64" t="s">
        <v>36</v>
      </c>
      <c r="Q6" s="116">
        <f>SUM(N161:Q161)</f>
        <v>60876793.256853044</v>
      </c>
      <c r="U6" s="64" t="s">
        <v>36</v>
      </c>
      <c r="V6" s="116">
        <f>SUM(S161:V161)</f>
        <v>3285923.8252687594</v>
      </c>
      <c r="X6" s="116">
        <f>X161</f>
        <v>8418103.413147388</v>
      </c>
    </row>
    <row r="7" spans="1:26" s="24" customFormat="1" ht="18.75" x14ac:dyDescent="0.3">
      <c r="A7" s="23" t="s">
        <v>19</v>
      </c>
      <c r="B7" s="23"/>
      <c r="D7" s="25"/>
      <c r="E7" s="25"/>
      <c r="F7" s="26"/>
      <c r="I7" s="101"/>
      <c r="J7" s="101"/>
      <c r="K7" s="101"/>
      <c r="L7" s="101"/>
    </row>
    <row r="8" spans="1:26" x14ac:dyDescent="0.3">
      <c r="A8" s="18"/>
      <c r="B8" s="18"/>
      <c r="C8" s="3">
        <v>2</v>
      </c>
      <c r="D8" s="3">
        <v>7</v>
      </c>
      <c r="E8" s="3">
        <v>8</v>
      </c>
      <c r="F8" s="3">
        <v>10</v>
      </c>
      <c r="I8" s="3">
        <v>11</v>
      </c>
      <c r="J8" s="3">
        <v>12</v>
      </c>
      <c r="K8" s="3">
        <v>13</v>
      </c>
      <c r="L8" s="3">
        <v>14</v>
      </c>
      <c r="N8" s="3">
        <v>16</v>
      </c>
      <c r="O8" s="3">
        <v>17</v>
      </c>
      <c r="P8" s="3">
        <v>18</v>
      </c>
      <c r="Q8" s="3">
        <v>19</v>
      </c>
      <c r="V8" s="3">
        <v>21</v>
      </c>
      <c r="X8" s="3">
        <v>16</v>
      </c>
    </row>
    <row r="9" spans="1:26" ht="18.75" x14ac:dyDescent="0.3">
      <c r="A9" s="8" t="s">
        <v>47</v>
      </c>
      <c r="B9" s="8"/>
      <c r="C9" s="15"/>
      <c r="D9" s="16"/>
      <c r="E9" s="16"/>
      <c r="F9" s="17"/>
      <c r="G9" s="15"/>
      <c r="I9" s="7" t="s">
        <v>20</v>
      </c>
      <c r="J9" s="15"/>
      <c r="K9" s="15"/>
      <c r="L9" s="15"/>
      <c r="N9" s="7" t="s">
        <v>21</v>
      </c>
      <c r="O9" s="15"/>
      <c r="P9" s="15"/>
      <c r="Q9" s="15"/>
      <c r="S9" s="7" t="s">
        <v>139</v>
      </c>
      <c r="T9" s="15"/>
      <c r="U9" s="15"/>
      <c r="V9" s="15"/>
      <c r="X9" s="8" t="s">
        <v>197</v>
      </c>
      <c r="Z9" s="8" t="s">
        <v>247</v>
      </c>
    </row>
    <row r="10" spans="1:26" s="63" customFormat="1" ht="18.75" x14ac:dyDescent="0.3">
      <c r="A10" s="61" t="s">
        <v>30</v>
      </c>
      <c r="B10" s="60" t="s">
        <v>138</v>
      </c>
      <c r="C10" s="60" t="s">
        <v>22</v>
      </c>
      <c r="D10" s="59" t="s">
        <v>142</v>
      </c>
      <c r="E10" s="59" t="s">
        <v>0</v>
      </c>
      <c r="F10" s="59" t="s">
        <v>141</v>
      </c>
      <c r="G10" s="61" t="s">
        <v>23</v>
      </c>
      <c r="H10" s="62"/>
      <c r="I10" s="61" t="s">
        <v>57</v>
      </c>
      <c r="J10" s="61" t="s">
        <v>56</v>
      </c>
      <c r="K10" s="61" t="s">
        <v>55</v>
      </c>
      <c r="L10" s="61" t="s">
        <v>54</v>
      </c>
      <c r="N10" s="61" t="s">
        <v>57</v>
      </c>
      <c r="O10" s="61" t="s">
        <v>56</v>
      </c>
      <c r="P10" s="61" t="s">
        <v>55</v>
      </c>
      <c r="Q10" s="61" t="s">
        <v>54</v>
      </c>
      <c r="S10" s="61" t="s">
        <v>57</v>
      </c>
      <c r="T10" s="61" t="s">
        <v>56</v>
      </c>
      <c r="U10" s="61" t="s">
        <v>55</v>
      </c>
      <c r="V10" s="61" t="s">
        <v>54</v>
      </c>
      <c r="X10" s="59" t="s">
        <v>198</v>
      </c>
    </row>
    <row r="11" spans="1:26" s="4" customFormat="1" x14ac:dyDescent="0.3">
      <c r="A11" s="106">
        <v>1</v>
      </c>
      <c r="B11" s="47">
        <v>38275</v>
      </c>
      <c r="C11" s="48" t="s">
        <v>352</v>
      </c>
      <c r="D11" s="48" t="s">
        <v>68</v>
      </c>
      <c r="E11" s="48" t="s">
        <v>74</v>
      </c>
      <c r="F11" s="48" t="s">
        <v>3</v>
      </c>
      <c r="G11" s="47" t="s">
        <v>24</v>
      </c>
      <c r="H11" s="50"/>
      <c r="I11" s="52">
        <v>4041.84</v>
      </c>
      <c r="J11" s="52">
        <v>0</v>
      </c>
      <c r="K11" s="52">
        <v>-101</v>
      </c>
      <c r="L11" s="52">
        <v>0</v>
      </c>
      <c r="M11" s="53"/>
      <c r="N11" s="52">
        <v>908634.99</v>
      </c>
      <c r="O11" s="52">
        <v>0</v>
      </c>
      <c r="P11" s="52">
        <v>0</v>
      </c>
      <c r="Q11" s="52">
        <v>0</v>
      </c>
      <c r="R11" s="53"/>
      <c r="S11" s="52"/>
      <c r="T11" s="52"/>
      <c r="U11" s="52"/>
      <c r="V11" s="52">
        <v>0</v>
      </c>
      <c r="X11" s="52">
        <f>IF((SUM(I11:L11)-SUM(N11:Q11))&gt;0,SUM(I11:L11)-SUM(N11:Q11),0)</f>
        <v>0</v>
      </c>
      <c r="Z11" s="47" t="s">
        <v>248</v>
      </c>
    </row>
    <row r="12" spans="1:26" s="4" customFormat="1" x14ac:dyDescent="0.3">
      <c r="A12" s="107">
        <v>2</v>
      </c>
      <c r="B12" s="47">
        <v>38298</v>
      </c>
      <c r="C12" s="48" t="s">
        <v>353</v>
      </c>
      <c r="D12" s="48" t="s">
        <v>68</v>
      </c>
      <c r="E12" s="48" t="s">
        <v>74</v>
      </c>
      <c r="F12" s="48" t="s">
        <v>3</v>
      </c>
      <c r="G12" s="47" t="s">
        <v>24</v>
      </c>
      <c r="H12" s="50"/>
      <c r="I12" s="52">
        <v>0</v>
      </c>
      <c r="J12" s="52">
        <v>0</v>
      </c>
      <c r="K12" s="52">
        <v>-102.4</v>
      </c>
      <c r="L12" s="52">
        <v>0</v>
      </c>
      <c r="M12" s="53"/>
      <c r="N12" s="52">
        <v>0</v>
      </c>
      <c r="O12" s="52">
        <v>0</v>
      </c>
      <c r="P12" s="52">
        <v>0</v>
      </c>
      <c r="Q12" s="52">
        <v>0</v>
      </c>
      <c r="R12" s="53"/>
      <c r="S12" s="52"/>
      <c r="T12" s="52"/>
      <c r="U12" s="52"/>
      <c r="V12" s="52">
        <v>0</v>
      </c>
      <c r="X12" s="52">
        <f t="shared" ref="X12:X75" si="0">IF((SUM(I12:L12)-SUM(N12:Q12))&gt;0,SUM(I12:L12)-SUM(N12:Q12),0)</f>
        <v>0</v>
      </c>
      <c r="Z12" s="47" t="s">
        <v>248</v>
      </c>
    </row>
    <row r="13" spans="1:26" s="4" customFormat="1" x14ac:dyDescent="0.3">
      <c r="A13" s="107">
        <v>3</v>
      </c>
      <c r="B13" s="47">
        <v>38428</v>
      </c>
      <c r="C13" s="48" t="s">
        <v>354</v>
      </c>
      <c r="D13" s="48" t="s">
        <v>68</v>
      </c>
      <c r="E13" s="48" t="s">
        <v>4</v>
      </c>
      <c r="F13" s="48" t="s">
        <v>3</v>
      </c>
      <c r="G13" s="47" t="s">
        <v>24</v>
      </c>
      <c r="H13" s="50"/>
      <c r="I13" s="52">
        <v>0</v>
      </c>
      <c r="J13" s="52">
        <v>0</v>
      </c>
      <c r="K13" s="52">
        <v>0</v>
      </c>
      <c r="L13" s="52">
        <v>0</v>
      </c>
      <c r="M13" s="53"/>
      <c r="N13" s="52">
        <v>34188.400000000001</v>
      </c>
      <c r="O13" s="52">
        <v>0</v>
      </c>
      <c r="P13" s="52">
        <v>0</v>
      </c>
      <c r="Q13" s="52">
        <v>0</v>
      </c>
      <c r="R13" s="53"/>
      <c r="S13" s="52"/>
      <c r="T13" s="52"/>
      <c r="U13" s="52"/>
      <c r="V13" s="52">
        <v>0</v>
      </c>
      <c r="X13" s="52">
        <f t="shared" si="0"/>
        <v>0</v>
      </c>
      <c r="Z13" s="47" t="s">
        <v>248</v>
      </c>
    </row>
    <row r="14" spans="1:26" s="4" customFormat="1" x14ac:dyDescent="0.3">
      <c r="A14" s="107">
        <v>4</v>
      </c>
      <c r="B14" s="47">
        <v>38488</v>
      </c>
      <c r="C14" s="48" t="s">
        <v>355</v>
      </c>
      <c r="D14" s="48" t="s">
        <v>68</v>
      </c>
      <c r="E14" s="48" t="s">
        <v>2</v>
      </c>
      <c r="F14" s="48" t="s">
        <v>3</v>
      </c>
      <c r="G14" s="47" t="s">
        <v>24</v>
      </c>
      <c r="H14" s="50"/>
      <c r="I14" s="52">
        <v>0</v>
      </c>
      <c r="J14" s="52">
        <v>0</v>
      </c>
      <c r="K14" s="52">
        <v>0</v>
      </c>
      <c r="L14" s="52">
        <v>0</v>
      </c>
      <c r="M14" s="53"/>
      <c r="N14" s="52">
        <v>635323.32999999996</v>
      </c>
      <c r="O14" s="52">
        <v>0</v>
      </c>
      <c r="P14" s="52">
        <v>0</v>
      </c>
      <c r="Q14" s="52">
        <v>0</v>
      </c>
      <c r="R14" s="53"/>
      <c r="S14" s="52"/>
      <c r="T14" s="52"/>
      <c r="U14" s="52"/>
      <c r="V14" s="52">
        <v>0</v>
      </c>
      <c r="X14" s="52">
        <f t="shared" si="0"/>
        <v>0</v>
      </c>
      <c r="Z14" s="47" t="s">
        <v>248</v>
      </c>
    </row>
    <row r="15" spans="1:26" s="4" customFormat="1" x14ac:dyDescent="0.3">
      <c r="A15" s="107">
        <v>5</v>
      </c>
      <c r="B15" s="47">
        <v>38914</v>
      </c>
      <c r="C15" s="48" t="s">
        <v>356</v>
      </c>
      <c r="D15" s="48" t="s">
        <v>68</v>
      </c>
      <c r="E15" s="48" t="s">
        <v>2</v>
      </c>
      <c r="F15" s="48" t="s">
        <v>3</v>
      </c>
      <c r="G15" s="47" t="s">
        <v>24</v>
      </c>
      <c r="H15" s="50"/>
      <c r="I15" s="52">
        <v>0</v>
      </c>
      <c r="J15" s="52">
        <v>0</v>
      </c>
      <c r="K15" s="52">
        <v>0</v>
      </c>
      <c r="L15" s="52">
        <v>-1737.23</v>
      </c>
      <c r="M15" s="53"/>
      <c r="N15" s="52">
        <v>0</v>
      </c>
      <c r="O15" s="52">
        <v>0</v>
      </c>
      <c r="P15" s="52">
        <v>0</v>
      </c>
      <c r="Q15" s="52">
        <v>0</v>
      </c>
      <c r="R15" s="53"/>
      <c r="S15" s="52"/>
      <c r="T15" s="52"/>
      <c r="U15" s="52"/>
      <c r="V15" s="52">
        <v>0</v>
      </c>
      <c r="X15" s="52">
        <f t="shared" si="0"/>
        <v>0</v>
      </c>
      <c r="Z15" s="47" t="s">
        <v>248</v>
      </c>
    </row>
    <row r="16" spans="1:26" s="4" customFormat="1" x14ac:dyDescent="0.3">
      <c r="A16" s="107">
        <v>6</v>
      </c>
      <c r="B16" s="47">
        <v>39281</v>
      </c>
      <c r="C16" s="48" t="s">
        <v>357</v>
      </c>
      <c r="D16" s="48" t="s">
        <v>68</v>
      </c>
      <c r="E16" s="48" t="s">
        <v>69</v>
      </c>
      <c r="F16" s="48" t="s">
        <v>3</v>
      </c>
      <c r="G16" s="47" t="s">
        <v>24</v>
      </c>
      <c r="H16" s="50"/>
      <c r="I16" s="52">
        <v>0</v>
      </c>
      <c r="J16" s="52">
        <v>0</v>
      </c>
      <c r="K16" s="52">
        <v>0</v>
      </c>
      <c r="L16" s="52">
        <v>0</v>
      </c>
      <c r="M16" s="53"/>
      <c r="N16" s="52">
        <v>27802.04</v>
      </c>
      <c r="O16" s="52">
        <v>0</v>
      </c>
      <c r="P16" s="52">
        <v>0</v>
      </c>
      <c r="Q16" s="52">
        <v>0</v>
      </c>
      <c r="R16" s="53"/>
      <c r="S16" s="52"/>
      <c r="T16" s="52"/>
      <c r="U16" s="52"/>
      <c r="V16" s="52">
        <v>0</v>
      </c>
      <c r="X16" s="52">
        <f t="shared" si="0"/>
        <v>0</v>
      </c>
      <c r="Z16" s="47" t="s">
        <v>248</v>
      </c>
    </row>
    <row r="17" spans="1:26" s="4" customFormat="1" x14ac:dyDescent="0.3">
      <c r="A17" s="107">
        <v>7</v>
      </c>
      <c r="B17" s="47">
        <v>39514</v>
      </c>
      <c r="C17" s="48" t="s">
        <v>358</v>
      </c>
      <c r="D17" s="48" t="s">
        <v>68</v>
      </c>
      <c r="E17" s="48" t="s">
        <v>74</v>
      </c>
      <c r="F17" s="48" t="s">
        <v>3</v>
      </c>
      <c r="G17" s="47" t="s">
        <v>24</v>
      </c>
      <c r="H17" s="50"/>
      <c r="I17" s="52">
        <v>0</v>
      </c>
      <c r="J17" s="52">
        <v>0</v>
      </c>
      <c r="K17" s="52">
        <v>-193.99</v>
      </c>
      <c r="L17" s="52">
        <v>0</v>
      </c>
      <c r="M17" s="53"/>
      <c r="N17" s="52">
        <v>0</v>
      </c>
      <c r="O17" s="52">
        <v>0</v>
      </c>
      <c r="P17" s="52">
        <v>0</v>
      </c>
      <c r="Q17" s="52">
        <v>0</v>
      </c>
      <c r="R17" s="53"/>
      <c r="S17" s="52"/>
      <c r="T17" s="52"/>
      <c r="U17" s="52"/>
      <c r="V17" s="52">
        <v>0</v>
      </c>
      <c r="X17" s="52">
        <f t="shared" si="0"/>
        <v>0</v>
      </c>
      <c r="Z17" s="47" t="s">
        <v>248</v>
      </c>
    </row>
    <row r="18" spans="1:26" s="4" customFormat="1" x14ac:dyDescent="0.3">
      <c r="A18" s="107">
        <v>8</v>
      </c>
      <c r="B18" s="47">
        <v>39643</v>
      </c>
      <c r="C18" s="48" t="s">
        <v>359</v>
      </c>
      <c r="D18" s="48" t="s">
        <v>68</v>
      </c>
      <c r="E18" s="48" t="s">
        <v>2</v>
      </c>
      <c r="F18" s="48" t="s">
        <v>3</v>
      </c>
      <c r="G18" s="47" t="s">
        <v>24</v>
      </c>
      <c r="H18" s="50"/>
      <c r="I18" s="52">
        <v>0</v>
      </c>
      <c r="J18" s="52">
        <v>0</v>
      </c>
      <c r="K18" s="52">
        <v>0.01</v>
      </c>
      <c r="L18" s="52">
        <v>0</v>
      </c>
      <c r="M18" s="53"/>
      <c r="N18" s="52">
        <v>0</v>
      </c>
      <c r="O18" s="52">
        <v>0</v>
      </c>
      <c r="P18" s="52">
        <v>0</v>
      </c>
      <c r="Q18" s="52">
        <v>0</v>
      </c>
      <c r="R18" s="53"/>
      <c r="S18" s="52"/>
      <c r="T18" s="52"/>
      <c r="U18" s="52"/>
      <c r="V18" s="52">
        <v>0</v>
      </c>
      <c r="X18" s="52">
        <f t="shared" si="0"/>
        <v>0.01</v>
      </c>
      <c r="Z18" s="47" t="s">
        <v>248</v>
      </c>
    </row>
    <row r="19" spans="1:26" s="4" customFormat="1" x14ac:dyDescent="0.3">
      <c r="A19" s="107">
        <v>9</v>
      </c>
      <c r="B19" s="47">
        <v>39655</v>
      </c>
      <c r="C19" s="48" t="s">
        <v>360</v>
      </c>
      <c r="D19" s="48" t="s">
        <v>169</v>
      </c>
      <c r="E19" s="48" t="s">
        <v>2</v>
      </c>
      <c r="F19" s="48" t="s">
        <v>3</v>
      </c>
      <c r="G19" s="47" t="s">
        <v>24</v>
      </c>
      <c r="H19" s="50"/>
      <c r="I19" s="52">
        <v>10</v>
      </c>
      <c r="J19" s="52">
        <v>0</v>
      </c>
      <c r="K19" s="52">
        <v>0.01</v>
      </c>
      <c r="L19" s="52">
        <v>0</v>
      </c>
      <c r="M19" s="53"/>
      <c r="N19" s="52">
        <v>0</v>
      </c>
      <c r="O19" s="52">
        <v>0</v>
      </c>
      <c r="P19" s="52">
        <v>0</v>
      </c>
      <c r="Q19" s="52">
        <v>0</v>
      </c>
      <c r="R19" s="53"/>
      <c r="S19" s="52"/>
      <c r="T19" s="52"/>
      <c r="U19" s="52"/>
      <c r="V19" s="52">
        <v>0</v>
      </c>
      <c r="X19" s="52">
        <f t="shared" si="0"/>
        <v>10.01</v>
      </c>
      <c r="Z19" s="47" t="s">
        <v>248</v>
      </c>
    </row>
    <row r="20" spans="1:26" s="4" customFormat="1" x14ac:dyDescent="0.3">
      <c r="A20" s="107">
        <v>10</v>
      </c>
      <c r="B20" s="47">
        <v>39703</v>
      </c>
      <c r="C20" s="48" t="s">
        <v>361</v>
      </c>
      <c r="D20" s="48" t="s">
        <v>68</v>
      </c>
      <c r="E20" s="48" t="s">
        <v>69</v>
      </c>
      <c r="F20" s="48" t="s">
        <v>3</v>
      </c>
      <c r="G20" s="47" t="s">
        <v>24</v>
      </c>
      <c r="H20" s="50"/>
      <c r="I20" s="52">
        <v>2910.74</v>
      </c>
      <c r="J20" s="52">
        <v>0</v>
      </c>
      <c r="K20" s="52">
        <v>163.5</v>
      </c>
      <c r="L20" s="52">
        <v>0</v>
      </c>
      <c r="M20" s="53"/>
      <c r="N20" s="52">
        <v>1436522.69</v>
      </c>
      <c r="O20" s="52">
        <v>0</v>
      </c>
      <c r="P20" s="52">
        <v>0</v>
      </c>
      <c r="Q20" s="52">
        <v>0</v>
      </c>
      <c r="R20" s="53"/>
      <c r="S20" s="52"/>
      <c r="T20" s="52"/>
      <c r="U20" s="52"/>
      <c r="V20" s="52">
        <v>0</v>
      </c>
      <c r="X20" s="52">
        <f t="shared" si="0"/>
        <v>0</v>
      </c>
      <c r="Z20" s="47" t="s">
        <v>248</v>
      </c>
    </row>
    <row r="21" spans="1:26" s="4" customFormat="1" x14ac:dyDescent="0.3">
      <c r="A21" s="107">
        <v>11</v>
      </c>
      <c r="B21" s="47">
        <v>40009</v>
      </c>
      <c r="C21" s="48" t="s">
        <v>362</v>
      </c>
      <c r="D21" s="48" t="s">
        <v>169</v>
      </c>
      <c r="E21" s="48" t="s">
        <v>2</v>
      </c>
      <c r="F21" s="48" t="s">
        <v>3</v>
      </c>
      <c r="G21" s="47" t="s">
        <v>24</v>
      </c>
      <c r="H21" s="50"/>
      <c r="I21" s="52">
        <v>428</v>
      </c>
      <c r="J21" s="52">
        <v>0</v>
      </c>
      <c r="K21" s="52">
        <v>0</v>
      </c>
      <c r="L21" s="52">
        <v>0</v>
      </c>
      <c r="M21" s="53"/>
      <c r="N21" s="52">
        <v>0</v>
      </c>
      <c r="O21" s="52">
        <v>0</v>
      </c>
      <c r="P21" s="52">
        <v>0</v>
      </c>
      <c r="Q21" s="52">
        <v>0</v>
      </c>
      <c r="R21" s="53"/>
      <c r="S21" s="52"/>
      <c r="T21" s="52"/>
      <c r="U21" s="52"/>
      <c r="V21" s="52">
        <v>0</v>
      </c>
      <c r="X21" s="52">
        <f t="shared" si="0"/>
        <v>428</v>
      </c>
      <c r="Z21" s="47" t="s">
        <v>248</v>
      </c>
    </row>
    <row r="22" spans="1:26" s="4" customFormat="1" x14ac:dyDescent="0.3">
      <c r="A22" s="107">
        <v>12</v>
      </c>
      <c r="B22" s="47">
        <v>40087</v>
      </c>
      <c r="C22" s="48" t="s">
        <v>363</v>
      </c>
      <c r="D22" s="48" t="s">
        <v>68</v>
      </c>
      <c r="E22" s="48" t="s">
        <v>2</v>
      </c>
      <c r="F22" s="48" t="s">
        <v>3</v>
      </c>
      <c r="G22" s="47" t="s">
        <v>24</v>
      </c>
      <c r="H22" s="50"/>
      <c r="I22" s="52">
        <v>108467.39</v>
      </c>
      <c r="J22" s="52">
        <v>1880</v>
      </c>
      <c r="K22" s="52">
        <v>0</v>
      </c>
      <c r="L22" s="52">
        <v>0</v>
      </c>
      <c r="M22" s="53"/>
      <c r="N22" s="52">
        <v>1134035.82</v>
      </c>
      <c r="O22" s="52">
        <v>0</v>
      </c>
      <c r="P22" s="52">
        <v>0</v>
      </c>
      <c r="Q22" s="52">
        <v>0</v>
      </c>
      <c r="R22" s="53"/>
      <c r="S22" s="52"/>
      <c r="T22" s="52"/>
      <c r="U22" s="52"/>
      <c r="V22" s="52">
        <v>0</v>
      </c>
      <c r="X22" s="52">
        <f t="shared" si="0"/>
        <v>0</v>
      </c>
      <c r="Z22" s="47" t="s">
        <v>248</v>
      </c>
    </row>
    <row r="23" spans="1:26" s="4" customFormat="1" x14ac:dyDescent="0.3">
      <c r="A23" s="107">
        <v>13</v>
      </c>
      <c r="B23" s="47">
        <v>40117</v>
      </c>
      <c r="C23" s="48" t="s">
        <v>364</v>
      </c>
      <c r="D23" s="48" t="s">
        <v>68</v>
      </c>
      <c r="E23" s="48" t="s">
        <v>2</v>
      </c>
      <c r="F23" s="48" t="s">
        <v>5</v>
      </c>
      <c r="G23" s="47" t="s">
        <v>24</v>
      </c>
      <c r="H23" s="50"/>
      <c r="I23" s="52">
        <v>0</v>
      </c>
      <c r="J23" s="52">
        <v>0</v>
      </c>
      <c r="K23" s="52">
        <v>0</v>
      </c>
      <c r="L23" s="52">
        <v>0</v>
      </c>
      <c r="M23" s="53"/>
      <c r="N23" s="52">
        <v>0</v>
      </c>
      <c r="O23" s="52">
        <v>0</v>
      </c>
      <c r="P23" s="52">
        <v>0</v>
      </c>
      <c r="Q23" s="52">
        <v>91313.22</v>
      </c>
      <c r="R23" s="53"/>
      <c r="S23" s="52"/>
      <c r="T23" s="52"/>
      <c r="U23" s="52"/>
      <c r="V23" s="52">
        <v>0</v>
      </c>
      <c r="X23" s="52">
        <f t="shared" si="0"/>
        <v>0</v>
      </c>
      <c r="Z23" s="47" t="s">
        <v>248</v>
      </c>
    </row>
    <row r="24" spans="1:26" s="4" customFormat="1" x14ac:dyDescent="0.3">
      <c r="A24" s="107">
        <v>14</v>
      </c>
      <c r="B24" s="47">
        <v>40160</v>
      </c>
      <c r="C24" s="48" t="s">
        <v>365</v>
      </c>
      <c r="D24" s="48" t="s">
        <v>169</v>
      </c>
      <c r="E24" s="48" t="s">
        <v>2</v>
      </c>
      <c r="F24" s="48" t="s">
        <v>3</v>
      </c>
      <c r="G24" s="47" t="s">
        <v>24</v>
      </c>
      <c r="H24" s="50"/>
      <c r="I24" s="52">
        <v>10605.46</v>
      </c>
      <c r="J24" s="52">
        <v>0</v>
      </c>
      <c r="K24" s="52">
        <v>0</v>
      </c>
      <c r="L24" s="52">
        <v>0</v>
      </c>
      <c r="M24" s="53"/>
      <c r="N24" s="52">
        <v>10605.079999999987</v>
      </c>
      <c r="O24" s="52">
        <v>0</v>
      </c>
      <c r="P24" s="52">
        <v>0</v>
      </c>
      <c r="Q24" s="52">
        <v>0</v>
      </c>
      <c r="R24" s="53"/>
      <c r="S24" s="52"/>
      <c r="T24" s="52"/>
      <c r="U24" s="52"/>
      <c r="V24" s="52">
        <v>0</v>
      </c>
      <c r="X24" s="52">
        <f t="shared" si="0"/>
        <v>0.38000000001193257</v>
      </c>
      <c r="Z24" s="47" t="s">
        <v>248</v>
      </c>
    </row>
    <row r="25" spans="1:26" s="4" customFormat="1" x14ac:dyDescent="0.3">
      <c r="A25" s="107">
        <v>15</v>
      </c>
      <c r="B25" s="47">
        <v>40292</v>
      </c>
      <c r="C25" s="48" t="s">
        <v>366</v>
      </c>
      <c r="D25" s="48" t="s">
        <v>169</v>
      </c>
      <c r="E25" s="48" t="s">
        <v>2</v>
      </c>
      <c r="F25" s="48" t="s">
        <v>3</v>
      </c>
      <c r="G25" s="47" t="s">
        <v>24</v>
      </c>
      <c r="H25" s="50"/>
      <c r="I25" s="52">
        <v>-406.8</v>
      </c>
      <c r="J25" s="52">
        <v>0</v>
      </c>
      <c r="K25" s="52">
        <v>0</v>
      </c>
      <c r="L25" s="52">
        <v>0</v>
      </c>
      <c r="M25" s="53"/>
      <c r="N25" s="52">
        <v>3853410.74</v>
      </c>
      <c r="O25" s="52">
        <v>0</v>
      </c>
      <c r="P25" s="52">
        <v>0</v>
      </c>
      <c r="Q25" s="52">
        <v>0</v>
      </c>
      <c r="R25" s="53"/>
      <c r="S25" s="52"/>
      <c r="T25" s="52"/>
      <c r="U25" s="52"/>
      <c r="V25" s="52">
        <v>0</v>
      </c>
      <c r="X25" s="52">
        <f t="shared" si="0"/>
        <v>0</v>
      </c>
      <c r="Z25" s="47" t="s">
        <v>248</v>
      </c>
    </row>
    <row r="26" spans="1:26" s="4" customFormat="1" x14ac:dyDescent="0.3">
      <c r="A26" s="107">
        <v>16</v>
      </c>
      <c r="B26" s="47">
        <v>40798</v>
      </c>
      <c r="C26" s="48" t="s">
        <v>367</v>
      </c>
      <c r="D26" s="48" t="s">
        <v>68</v>
      </c>
      <c r="E26" s="48" t="s">
        <v>69</v>
      </c>
      <c r="F26" s="48" t="s">
        <v>3</v>
      </c>
      <c r="G26" s="47" t="s">
        <v>24</v>
      </c>
      <c r="H26" s="50"/>
      <c r="I26" s="52">
        <v>137305.26999999999</v>
      </c>
      <c r="J26" s="52">
        <v>0</v>
      </c>
      <c r="K26" s="52">
        <v>0</v>
      </c>
      <c r="L26" s="52">
        <v>0</v>
      </c>
      <c r="M26" s="53"/>
      <c r="N26" s="52">
        <v>0</v>
      </c>
      <c r="O26" s="52">
        <v>165456.79999999999</v>
      </c>
      <c r="P26" s="52">
        <v>0</v>
      </c>
      <c r="Q26" s="52">
        <v>0</v>
      </c>
      <c r="R26" s="53"/>
      <c r="S26" s="52"/>
      <c r="T26" s="52"/>
      <c r="U26" s="52"/>
      <c r="V26" s="52">
        <v>0</v>
      </c>
      <c r="X26" s="52">
        <f t="shared" si="0"/>
        <v>0</v>
      </c>
      <c r="Z26" s="47" t="s">
        <v>248</v>
      </c>
    </row>
    <row r="27" spans="1:26" s="4" customFormat="1" x14ac:dyDescent="0.3">
      <c r="A27" s="107">
        <v>17</v>
      </c>
      <c r="B27" s="47">
        <v>40883</v>
      </c>
      <c r="C27" s="48" t="s">
        <v>368</v>
      </c>
      <c r="D27" s="48" t="s">
        <v>169</v>
      </c>
      <c r="E27" s="48" t="s">
        <v>2</v>
      </c>
      <c r="F27" s="48" t="s">
        <v>3</v>
      </c>
      <c r="G27" s="47" t="s">
        <v>24</v>
      </c>
      <c r="H27" s="50"/>
      <c r="I27" s="52">
        <v>35566</v>
      </c>
      <c r="J27" s="52">
        <v>0</v>
      </c>
      <c r="K27" s="52">
        <v>0</v>
      </c>
      <c r="L27" s="52">
        <v>0</v>
      </c>
      <c r="M27" s="53"/>
      <c r="N27" s="52">
        <v>1647104.34</v>
      </c>
      <c r="O27" s="52">
        <v>0</v>
      </c>
      <c r="P27" s="52">
        <v>0</v>
      </c>
      <c r="Q27" s="52">
        <v>0</v>
      </c>
      <c r="R27" s="53"/>
      <c r="S27" s="52"/>
      <c r="T27" s="52"/>
      <c r="U27" s="52"/>
      <c r="V27" s="52">
        <v>0</v>
      </c>
      <c r="X27" s="52">
        <f t="shared" si="0"/>
        <v>0</v>
      </c>
      <c r="Z27" s="47" t="s">
        <v>248</v>
      </c>
    </row>
    <row r="28" spans="1:26" s="4" customFormat="1" x14ac:dyDescent="0.3">
      <c r="A28" s="107">
        <v>18</v>
      </c>
      <c r="B28" s="47">
        <v>40913</v>
      </c>
      <c r="C28" s="48" t="s">
        <v>369</v>
      </c>
      <c r="D28" s="48" t="s">
        <v>169</v>
      </c>
      <c r="E28" s="48" t="s">
        <v>2</v>
      </c>
      <c r="F28" s="48" t="s">
        <v>3</v>
      </c>
      <c r="G28" s="47" t="s">
        <v>24</v>
      </c>
      <c r="H28" s="50"/>
      <c r="I28" s="52">
        <v>115146.48</v>
      </c>
      <c r="J28" s="52">
        <v>0</v>
      </c>
      <c r="K28" s="52">
        <v>0</v>
      </c>
      <c r="L28" s="52">
        <v>0</v>
      </c>
      <c r="M28" s="53"/>
      <c r="N28" s="52">
        <v>0</v>
      </c>
      <c r="O28" s="52">
        <v>115178.48</v>
      </c>
      <c r="P28" s="52">
        <v>0</v>
      </c>
      <c r="Q28" s="52">
        <v>0</v>
      </c>
      <c r="R28" s="53"/>
      <c r="S28" s="52"/>
      <c r="T28" s="52"/>
      <c r="U28" s="52"/>
      <c r="V28" s="52">
        <v>0</v>
      </c>
      <c r="X28" s="52">
        <f t="shared" si="0"/>
        <v>0</v>
      </c>
      <c r="Z28" s="47" t="s">
        <v>248</v>
      </c>
    </row>
    <row r="29" spans="1:26" s="4" customFormat="1" x14ac:dyDescent="0.3">
      <c r="A29" s="107">
        <v>19</v>
      </c>
      <c r="B29" s="47">
        <v>41513</v>
      </c>
      <c r="C29" s="48" t="s">
        <v>370</v>
      </c>
      <c r="D29" s="48" t="s">
        <v>249</v>
      </c>
      <c r="E29" s="48" t="s">
        <v>2</v>
      </c>
      <c r="F29" s="48" t="s">
        <v>3</v>
      </c>
      <c r="G29" s="47" t="s">
        <v>24</v>
      </c>
      <c r="H29" s="50"/>
      <c r="I29" s="52">
        <v>552255.35</v>
      </c>
      <c r="J29" s="52">
        <v>560359.89</v>
      </c>
      <c r="K29" s="52">
        <v>63865.730000000054</v>
      </c>
      <c r="L29" s="52">
        <v>7832.39</v>
      </c>
      <c r="M29" s="53"/>
      <c r="N29" s="52">
        <v>0</v>
      </c>
      <c r="O29" s="52">
        <v>0</v>
      </c>
      <c r="P29" s="52">
        <v>1821485.8199999998</v>
      </c>
      <c r="Q29" s="52">
        <v>7832.39</v>
      </c>
      <c r="R29" s="53"/>
      <c r="S29" s="52"/>
      <c r="T29" s="52"/>
      <c r="U29" s="52"/>
      <c r="V29" s="52">
        <v>0</v>
      </c>
      <c r="X29" s="52">
        <f t="shared" si="0"/>
        <v>0</v>
      </c>
      <c r="Z29" s="47" t="s">
        <v>248</v>
      </c>
    </row>
    <row r="30" spans="1:26" s="4" customFormat="1" x14ac:dyDescent="0.3">
      <c r="A30" s="107">
        <v>20</v>
      </c>
      <c r="B30" s="47">
        <v>41731</v>
      </c>
      <c r="C30" s="48" t="s">
        <v>371</v>
      </c>
      <c r="D30" s="48" t="s">
        <v>169</v>
      </c>
      <c r="E30" s="48" t="s">
        <v>2</v>
      </c>
      <c r="F30" s="48" t="s">
        <v>3</v>
      </c>
      <c r="G30" s="47" t="s">
        <v>24</v>
      </c>
      <c r="H30" s="50"/>
      <c r="I30" s="52">
        <v>2135508.27</v>
      </c>
      <c r="J30" s="52">
        <v>466348.56</v>
      </c>
      <c r="K30" s="52">
        <v>16156.85</v>
      </c>
      <c r="L30" s="52">
        <v>3714.92</v>
      </c>
      <c r="M30" s="53"/>
      <c r="N30" s="52">
        <v>0</v>
      </c>
      <c r="O30" s="52">
        <v>0</v>
      </c>
      <c r="P30" s="52">
        <v>5724040.8199999994</v>
      </c>
      <c r="Q30" s="52">
        <v>0</v>
      </c>
      <c r="R30" s="53"/>
      <c r="S30" s="52"/>
      <c r="T30" s="52"/>
      <c r="U30" s="52"/>
      <c r="V30" s="52">
        <v>0</v>
      </c>
      <c r="X30" s="52">
        <f t="shared" si="0"/>
        <v>0</v>
      </c>
      <c r="Z30" s="47" t="s">
        <v>248</v>
      </c>
    </row>
    <row r="31" spans="1:26" s="4" customFormat="1" x14ac:dyDescent="0.3">
      <c r="A31" s="107">
        <v>21</v>
      </c>
      <c r="B31" s="47">
        <v>41787</v>
      </c>
      <c r="C31" s="48" t="s">
        <v>372</v>
      </c>
      <c r="D31" s="48" t="s">
        <v>249</v>
      </c>
      <c r="E31" s="48" t="s">
        <v>2</v>
      </c>
      <c r="F31" s="48" t="s">
        <v>3</v>
      </c>
      <c r="G31" s="47" t="s">
        <v>24</v>
      </c>
      <c r="H31" s="50"/>
      <c r="I31" s="52">
        <v>4555.87</v>
      </c>
      <c r="J31" s="52">
        <v>1142.4000000000001</v>
      </c>
      <c r="K31" s="52">
        <v>0</v>
      </c>
      <c r="L31" s="52">
        <v>0</v>
      </c>
      <c r="M31" s="53"/>
      <c r="N31" s="52">
        <v>1740595.07</v>
      </c>
      <c r="O31" s="52">
        <v>0</v>
      </c>
      <c r="P31" s="52">
        <v>0</v>
      </c>
      <c r="Q31" s="52">
        <v>0</v>
      </c>
      <c r="R31" s="53"/>
      <c r="S31" s="52"/>
      <c r="T31" s="52"/>
      <c r="U31" s="52"/>
      <c r="V31" s="52">
        <v>0</v>
      </c>
      <c r="X31" s="52">
        <f t="shared" si="0"/>
        <v>0</v>
      </c>
      <c r="Z31" s="47" t="s">
        <v>248</v>
      </c>
    </row>
    <row r="32" spans="1:26" s="4" customFormat="1" x14ac:dyDescent="0.3">
      <c r="A32" s="107">
        <v>22</v>
      </c>
      <c r="B32" s="47">
        <v>42550</v>
      </c>
      <c r="C32" s="48" t="s">
        <v>373</v>
      </c>
      <c r="D32" s="48" t="s">
        <v>169</v>
      </c>
      <c r="E32" s="48" t="s">
        <v>2</v>
      </c>
      <c r="F32" s="48" t="s">
        <v>3</v>
      </c>
      <c r="G32" s="47" t="s">
        <v>24</v>
      </c>
      <c r="H32" s="50"/>
      <c r="I32" s="52">
        <v>1391435.72</v>
      </c>
      <c r="J32" s="52">
        <v>0</v>
      </c>
      <c r="K32" s="52">
        <v>0</v>
      </c>
      <c r="L32" s="52">
        <v>0</v>
      </c>
      <c r="M32" s="53"/>
      <c r="N32" s="52">
        <v>2324553.71</v>
      </c>
      <c r="O32" s="52">
        <v>0</v>
      </c>
      <c r="P32" s="52">
        <v>0</v>
      </c>
      <c r="Q32" s="52">
        <v>0</v>
      </c>
      <c r="R32" s="53"/>
      <c r="S32" s="52"/>
      <c r="T32" s="52"/>
      <c r="U32" s="52"/>
      <c r="V32" s="52">
        <v>0</v>
      </c>
      <c r="X32" s="52">
        <f t="shared" si="0"/>
        <v>0</v>
      </c>
      <c r="Z32" s="47" t="s">
        <v>248</v>
      </c>
    </row>
    <row r="33" spans="1:26" s="4" customFormat="1" x14ac:dyDescent="0.3">
      <c r="A33" s="107">
        <v>23</v>
      </c>
      <c r="B33" s="47">
        <v>42826</v>
      </c>
      <c r="C33" s="48" t="s">
        <v>374</v>
      </c>
      <c r="D33" s="48" t="s">
        <v>68</v>
      </c>
      <c r="E33" s="48" t="s">
        <v>4</v>
      </c>
      <c r="F33" s="48" t="s">
        <v>3</v>
      </c>
      <c r="G33" s="47" t="s">
        <v>24</v>
      </c>
      <c r="H33" s="50"/>
      <c r="I33" s="52">
        <v>1336760.51</v>
      </c>
      <c r="J33" s="52">
        <v>-5335.24</v>
      </c>
      <c r="K33" s="52">
        <v>-28696.36</v>
      </c>
      <c r="L33" s="52">
        <v>0</v>
      </c>
      <c r="M33" s="53"/>
      <c r="N33" s="52">
        <v>0</v>
      </c>
      <c r="O33" s="52">
        <v>1626292.16</v>
      </c>
      <c r="P33" s="52">
        <v>0</v>
      </c>
      <c r="Q33" s="52">
        <v>0</v>
      </c>
      <c r="R33" s="53"/>
      <c r="S33" s="52"/>
      <c r="T33" s="52"/>
      <c r="U33" s="52"/>
      <c r="V33" s="52">
        <v>0</v>
      </c>
      <c r="X33" s="52">
        <f t="shared" si="0"/>
        <v>0</v>
      </c>
      <c r="Z33" s="47" t="s">
        <v>248</v>
      </c>
    </row>
    <row r="34" spans="1:26" s="4" customFormat="1" x14ac:dyDescent="0.3">
      <c r="A34" s="107">
        <v>24</v>
      </c>
      <c r="B34" s="47">
        <v>42830</v>
      </c>
      <c r="C34" s="48" t="s">
        <v>375</v>
      </c>
      <c r="D34" s="48" t="s">
        <v>68</v>
      </c>
      <c r="E34" s="48" t="s">
        <v>69</v>
      </c>
      <c r="F34" s="48" t="s">
        <v>3</v>
      </c>
      <c r="G34" s="47" t="s">
        <v>24</v>
      </c>
      <c r="H34" s="50"/>
      <c r="I34" s="52">
        <v>19050.599999999999</v>
      </c>
      <c r="J34" s="52">
        <v>0</v>
      </c>
      <c r="K34" s="52">
        <v>0</v>
      </c>
      <c r="L34" s="52">
        <v>0</v>
      </c>
      <c r="M34" s="53"/>
      <c r="N34" s="52">
        <v>0</v>
      </c>
      <c r="O34" s="52">
        <v>30850.6</v>
      </c>
      <c r="P34" s="52">
        <v>0</v>
      </c>
      <c r="Q34" s="52">
        <v>0</v>
      </c>
      <c r="R34" s="53"/>
      <c r="S34" s="52"/>
      <c r="T34" s="52"/>
      <c r="U34" s="52"/>
      <c r="V34" s="52">
        <v>0</v>
      </c>
      <c r="X34" s="52">
        <f t="shared" si="0"/>
        <v>0</v>
      </c>
      <c r="Z34" s="47" t="s">
        <v>248</v>
      </c>
    </row>
    <row r="35" spans="1:26" s="4" customFormat="1" x14ac:dyDescent="0.3">
      <c r="A35" s="107">
        <v>25</v>
      </c>
      <c r="B35" s="47">
        <v>42831</v>
      </c>
      <c r="C35" s="48" t="s">
        <v>376</v>
      </c>
      <c r="D35" s="48" t="s">
        <v>68</v>
      </c>
      <c r="E35" s="48" t="s">
        <v>69</v>
      </c>
      <c r="F35" s="48" t="s">
        <v>3</v>
      </c>
      <c r="G35" s="47" t="s">
        <v>24</v>
      </c>
      <c r="H35" s="50"/>
      <c r="I35" s="52">
        <v>0</v>
      </c>
      <c r="J35" s="52">
        <v>0</v>
      </c>
      <c r="K35" s="52">
        <v>0</v>
      </c>
      <c r="L35" s="52">
        <v>0</v>
      </c>
      <c r="M35" s="53"/>
      <c r="N35" s="52">
        <v>208311.27</v>
      </c>
      <c r="O35" s="52">
        <v>0</v>
      </c>
      <c r="P35" s="52">
        <v>0</v>
      </c>
      <c r="Q35" s="52">
        <v>0</v>
      </c>
      <c r="R35" s="53"/>
      <c r="S35" s="52"/>
      <c r="T35" s="52"/>
      <c r="U35" s="52"/>
      <c r="V35" s="52">
        <v>0</v>
      </c>
      <c r="X35" s="52">
        <f t="shared" si="0"/>
        <v>0</v>
      </c>
      <c r="Z35" s="47" t="s">
        <v>248</v>
      </c>
    </row>
    <row r="36" spans="1:26" s="4" customFormat="1" x14ac:dyDescent="0.3">
      <c r="A36" s="107">
        <v>26</v>
      </c>
      <c r="B36" s="47">
        <v>42836</v>
      </c>
      <c r="C36" s="48" t="s">
        <v>377</v>
      </c>
      <c r="D36" s="48" t="s">
        <v>68</v>
      </c>
      <c r="E36" s="48" t="s">
        <v>69</v>
      </c>
      <c r="F36" s="48" t="s">
        <v>3</v>
      </c>
      <c r="G36" s="47" t="s">
        <v>24</v>
      </c>
      <c r="H36" s="50"/>
      <c r="I36" s="52">
        <v>0</v>
      </c>
      <c r="J36" s="52">
        <v>0</v>
      </c>
      <c r="K36" s="52">
        <v>0</v>
      </c>
      <c r="L36" s="52">
        <v>0</v>
      </c>
      <c r="M36" s="53"/>
      <c r="N36" s="52">
        <v>53600</v>
      </c>
      <c r="O36" s="52">
        <v>0</v>
      </c>
      <c r="P36" s="52">
        <v>0</v>
      </c>
      <c r="Q36" s="52">
        <v>0</v>
      </c>
      <c r="R36" s="53"/>
      <c r="S36" s="52"/>
      <c r="T36" s="52"/>
      <c r="U36" s="52"/>
      <c r="V36" s="52">
        <v>0</v>
      </c>
      <c r="X36" s="52">
        <f t="shared" si="0"/>
        <v>0</v>
      </c>
      <c r="Z36" s="47" t="s">
        <v>248</v>
      </c>
    </row>
    <row r="37" spans="1:26" s="4" customFormat="1" x14ac:dyDescent="0.3">
      <c r="A37" s="107">
        <v>27</v>
      </c>
      <c r="B37" s="47">
        <v>43264</v>
      </c>
      <c r="C37" s="48" t="s">
        <v>378</v>
      </c>
      <c r="D37" s="48" t="s">
        <v>169</v>
      </c>
      <c r="E37" s="48" t="s">
        <v>2</v>
      </c>
      <c r="F37" s="48" t="s">
        <v>9</v>
      </c>
      <c r="G37" s="47" t="s">
        <v>24</v>
      </c>
      <c r="H37" s="50"/>
      <c r="I37" s="52">
        <v>949181.62</v>
      </c>
      <c r="J37" s="52">
        <v>80087.38</v>
      </c>
      <c r="K37" s="52">
        <v>0</v>
      </c>
      <c r="L37" s="52">
        <v>0</v>
      </c>
      <c r="M37" s="53"/>
      <c r="N37" s="52">
        <v>0</v>
      </c>
      <c r="O37" s="52">
        <v>1028851.31</v>
      </c>
      <c r="P37" s="52">
        <v>0</v>
      </c>
      <c r="Q37" s="52">
        <v>0</v>
      </c>
      <c r="R37" s="53"/>
      <c r="S37" s="52"/>
      <c r="T37" s="52"/>
      <c r="U37" s="52"/>
      <c r="V37" s="52">
        <v>0</v>
      </c>
      <c r="X37" s="52">
        <f t="shared" si="0"/>
        <v>417.68999999994412</v>
      </c>
      <c r="Z37" s="47" t="s">
        <v>248</v>
      </c>
    </row>
    <row r="38" spans="1:26" s="4" customFormat="1" x14ac:dyDescent="0.3">
      <c r="A38" s="107">
        <v>28</v>
      </c>
      <c r="B38" s="47">
        <v>43293</v>
      </c>
      <c r="C38" s="48" t="s">
        <v>379</v>
      </c>
      <c r="D38" s="48" t="s">
        <v>249</v>
      </c>
      <c r="E38" s="48" t="s">
        <v>2</v>
      </c>
      <c r="F38" s="48" t="s">
        <v>3</v>
      </c>
      <c r="G38" s="47" t="s">
        <v>24</v>
      </c>
      <c r="H38" s="50"/>
      <c r="I38" s="52">
        <v>1028216.8</v>
      </c>
      <c r="J38" s="52">
        <v>-140.76</v>
      </c>
      <c r="K38" s="52">
        <v>0</v>
      </c>
      <c r="L38" s="52">
        <v>0</v>
      </c>
      <c r="M38" s="53"/>
      <c r="N38" s="52">
        <v>1028076.04</v>
      </c>
      <c r="O38" s="52">
        <v>0</v>
      </c>
      <c r="P38" s="52">
        <v>0</v>
      </c>
      <c r="Q38" s="52">
        <v>0</v>
      </c>
      <c r="R38" s="53"/>
      <c r="S38" s="52"/>
      <c r="T38" s="52"/>
      <c r="U38" s="52"/>
      <c r="V38" s="52">
        <v>0</v>
      </c>
      <c r="X38" s="52">
        <f t="shared" si="0"/>
        <v>0</v>
      </c>
      <c r="Z38" s="47" t="s">
        <v>248</v>
      </c>
    </row>
    <row r="39" spans="1:26" s="4" customFormat="1" x14ac:dyDescent="0.3">
      <c r="A39" s="107">
        <v>29</v>
      </c>
      <c r="B39" s="47">
        <v>43383</v>
      </c>
      <c r="C39" s="48" t="s">
        <v>380</v>
      </c>
      <c r="D39" s="48" t="s">
        <v>169</v>
      </c>
      <c r="E39" s="48" t="s">
        <v>2</v>
      </c>
      <c r="F39" s="48" t="s">
        <v>9</v>
      </c>
      <c r="G39" s="47" t="s">
        <v>24</v>
      </c>
      <c r="H39" s="50"/>
      <c r="I39" s="52">
        <v>168624.21</v>
      </c>
      <c r="J39" s="52">
        <v>462561.31</v>
      </c>
      <c r="K39" s="52">
        <v>43434.78</v>
      </c>
      <c r="L39" s="52">
        <v>64864.51</v>
      </c>
      <c r="M39" s="53"/>
      <c r="N39" s="52">
        <v>0</v>
      </c>
      <c r="O39" s="52">
        <v>0</v>
      </c>
      <c r="P39" s="52">
        <v>0</v>
      </c>
      <c r="Q39" s="52">
        <v>739484.81</v>
      </c>
      <c r="R39" s="53"/>
      <c r="S39" s="52"/>
      <c r="T39" s="52"/>
      <c r="U39" s="52"/>
      <c r="V39" s="52">
        <v>729086.8600000001</v>
      </c>
      <c r="X39" s="52">
        <f t="shared" si="0"/>
        <v>0</v>
      </c>
      <c r="Z39" s="47" t="s">
        <v>248</v>
      </c>
    </row>
    <row r="40" spans="1:26" s="4" customFormat="1" x14ac:dyDescent="0.3">
      <c r="A40" s="107">
        <v>30</v>
      </c>
      <c r="B40" s="47">
        <v>43709</v>
      </c>
      <c r="C40" s="48" t="s">
        <v>381</v>
      </c>
      <c r="D40" s="48" t="s">
        <v>249</v>
      </c>
      <c r="E40" s="48" t="s">
        <v>2</v>
      </c>
      <c r="F40" s="48" t="s">
        <v>3</v>
      </c>
      <c r="G40" s="47" t="s">
        <v>24</v>
      </c>
      <c r="H40" s="50"/>
      <c r="I40" s="52">
        <v>7928.09</v>
      </c>
      <c r="J40" s="52">
        <v>144483.74</v>
      </c>
      <c r="K40" s="52">
        <v>5903.22</v>
      </c>
      <c r="L40" s="52">
        <v>-158315.04999999999</v>
      </c>
      <c r="M40" s="53"/>
      <c r="N40" s="52">
        <v>0</v>
      </c>
      <c r="O40" s="52">
        <v>0</v>
      </c>
      <c r="P40" s="52">
        <v>0</v>
      </c>
      <c r="Q40" s="52">
        <v>0</v>
      </c>
      <c r="R40" s="53"/>
      <c r="S40" s="52"/>
      <c r="T40" s="52"/>
      <c r="U40" s="52"/>
      <c r="V40" s="52">
        <v>0</v>
      </c>
      <c r="X40" s="52">
        <f t="shared" si="0"/>
        <v>0</v>
      </c>
      <c r="Z40" s="47" t="s">
        <v>248</v>
      </c>
    </row>
    <row r="41" spans="1:26" s="4" customFormat="1" x14ac:dyDescent="0.3">
      <c r="A41" s="107">
        <v>31</v>
      </c>
      <c r="B41" s="47">
        <v>43792</v>
      </c>
      <c r="C41" s="48" t="s">
        <v>382</v>
      </c>
      <c r="D41" s="48" t="s">
        <v>68</v>
      </c>
      <c r="E41" s="48" t="s">
        <v>74</v>
      </c>
      <c r="F41" s="48" t="s">
        <v>3</v>
      </c>
      <c r="G41" s="47" t="s">
        <v>24</v>
      </c>
      <c r="H41" s="50"/>
      <c r="I41" s="52">
        <v>0</v>
      </c>
      <c r="J41" s="52">
        <v>134351.53</v>
      </c>
      <c r="K41" s="52">
        <v>768.18</v>
      </c>
      <c r="L41" s="52">
        <v>0</v>
      </c>
      <c r="M41" s="53"/>
      <c r="N41" s="52">
        <v>0</v>
      </c>
      <c r="O41" s="52">
        <v>0</v>
      </c>
      <c r="P41" s="52">
        <v>0</v>
      </c>
      <c r="Q41" s="52">
        <v>135119.71</v>
      </c>
      <c r="R41" s="53"/>
      <c r="S41" s="52"/>
      <c r="T41" s="52"/>
      <c r="U41" s="52"/>
      <c r="V41" s="52">
        <v>768.17999999999302</v>
      </c>
      <c r="X41" s="52">
        <f t="shared" si="0"/>
        <v>0</v>
      </c>
      <c r="Z41" s="47" t="s">
        <v>248</v>
      </c>
    </row>
    <row r="42" spans="1:26" s="4" customFormat="1" x14ac:dyDescent="0.3">
      <c r="A42" s="107">
        <v>32</v>
      </c>
      <c r="B42" s="47">
        <v>43793</v>
      </c>
      <c r="C42" s="48" t="s">
        <v>383</v>
      </c>
      <c r="D42" s="48" t="s">
        <v>68</v>
      </c>
      <c r="E42" s="48" t="s">
        <v>4</v>
      </c>
      <c r="F42" s="48" t="s">
        <v>3</v>
      </c>
      <c r="G42" s="47" t="s">
        <v>24</v>
      </c>
      <c r="H42" s="50"/>
      <c r="I42" s="52">
        <v>0</v>
      </c>
      <c r="J42" s="52">
        <v>0</v>
      </c>
      <c r="K42" s="52">
        <v>0</v>
      </c>
      <c r="L42" s="52">
        <v>0</v>
      </c>
      <c r="M42" s="53"/>
      <c r="N42" s="52">
        <v>0</v>
      </c>
      <c r="O42" s="52">
        <v>0</v>
      </c>
      <c r="P42" s="52">
        <v>0</v>
      </c>
      <c r="Q42" s="52">
        <v>0</v>
      </c>
      <c r="R42" s="53"/>
      <c r="S42" s="52"/>
      <c r="T42" s="52"/>
      <c r="U42" s="52"/>
      <c r="V42" s="52">
        <v>0</v>
      </c>
      <c r="X42" s="52">
        <f t="shared" si="0"/>
        <v>0</v>
      </c>
      <c r="Z42" s="47" t="s">
        <v>248</v>
      </c>
    </row>
    <row r="43" spans="1:26" s="4" customFormat="1" x14ac:dyDescent="0.3">
      <c r="A43" s="107">
        <v>33</v>
      </c>
      <c r="B43" s="47">
        <v>43834</v>
      </c>
      <c r="C43" s="48" t="s">
        <v>384</v>
      </c>
      <c r="D43" s="48" t="s">
        <v>68</v>
      </c>
      <c r="E43" s="48" t="s">
        <v>74</v>
      </c>
      <c r="F43" s="48" t="s">
        <v>3</v>
      </c>
      <c r="G43" s="47" t="s">
        <v>24</v>
      </c>
      <c r="H43" s="50"/>
      <c r="I43" s="52">
        <v>21433.64</v>
      </c>
      <c r="J43" s="52">
        <v>0</v>
      </c>
      <c r="K43" s="52">
        <v>0</v>
      </c>
      <c r="L43" s="52">
        <v>0</v>
      </c>
      <c r="M43" s="53"/>
      <c r="N43" s="52">
        <v>0</v>
      </c>
      <c r="O43" s="52">
        <v>21433.64</v>
      </c>
      <c r="P43" s="52">
        <v>0</v>
      </c>
      <c r="Q43" s="52">
        <v>0</v>
      </c>
      <c r="R43" s="53"/>
      <c r="S43" s="52"/>
      <c r="T43" s="52"/>
      <c r="U43" s="52"/>
      <c r="V43" s="52">
        <v>0</v>
      </c>
      <c r="X43" s="52">
        <f t="shared" si="0"/>
        <v>0</v>
      </c>
      <c r="Z43" s="47" t="s">
        <v>248</v>
      </c>
    </row>
    <row r="44" spans="1:26" s="4" customFormat="1" x14ac:dyDescent="0.3">
      <c r="A44" s="107">
        <v>34</v>
      </c>
      <c r="B44" s="47">
        <v>43956</v>
      </c>
      <c r="C44" s="48" t="s">
        <v>385</v>
      </c>
      <c r="D44" s="48" t="s">
        <v>68</v>
      </c>
      <c r="E44" s="48" t="s">
        <v>74</v>
      </c>
      <c r="F44" s="48" t="s">
        <v>3</v>
      </c>
      <c r="G44" s="47" t="s">
        <v>24</v>
      </c>
      <c r="H44" s="50"/>
      <c r="I44" s="52">
        <v>38110</v>
      </c>
      <c r="J44" s="52">
        <v>0</v>
      </c>
      <c r="K44" s="52">
        <v>0</v>
      </c>
      <c r="L44" s="52">
        <v>0</v>
      </c>
      <c r="M44" s="53"/>
      <c r="N44" s="52">
        <v>0</v>
      </c>
      <c r="O44" s="52">
        <v>0</v>
      </c>
      <c r="P44" s="52">
        <v>0</v>
      </c>
      <c r="Q44" s="52">
        <v>38110</v>
      </c>
      <c r="R44" s="53"/>
      <c r="S44" s="52"/>
      <c r="T44" s="52"/>
      <c r="U44" s="52"/>
      <c r="V44" s="52">
        <v>0</v>
      </c>
      <c r="X44" s="52">
        <f t="shared" si="0"/>
        <v>0</v>
      </c>
      <c r="Z44" s="47" t="s">
        <v>248</v>
      </c>
    </row>
    <row r="45" spans="1:26" s="4" customFormat="1" x14ac:dyDescent="0.3">
      <c r="A45" s="107">
        <v>35</v>
      </c>
      <c r="B45" s="47">
        <v>44088</v>
      </c>
      <c r="C45" s="48" t="s">
        <v>386</v>
      </c>
      <c r="D45" s="48" t="s">
        <v>68</v>
      </c>
      <c r="E45" s="48" t="s">
        <v>4</v>
      </c>
      <c r="F45" s="48" t="s">
        <v>3</v>
      </c>
      <c r="G45" s="47" t="s">
        <v>24</v>
      </c>
      <c r="H45" s="50"/>
      <c r="I45" s="52">
        <v>4911.04</v>
      </c>
      <c r="J45" s="52">
        <v>160067.51</v>
      </c>
      <c r="K45" s="52">
        <v>177228.40000000002</v>
      </c>
      <c r="L45" s="52">
        <v>310946.74</v>
      </c>
      <c r="M45" s="53"/>
      <c r="N45" s="52">
        <v>0</v>
      </c>
      <c r="O45" s="52">
        <v>0</v>
      </c>
      <c r="P45" s="52">
        <v>0</v>
      </c>
      <c r="Q45" s="52">
        <v>649005.53</v>
      </c>
      <c r="R45" s="53"/>
      <c r="S45" s="52"/>
      <c r="T45" s="52"/>
      <c r="U45" s="52"/>
      <c r="V45" s="52">
        <v>0</v>
      </c>
      <c r="X45" s="52">
        <f t="shared" si="0"/>
        <v>4148.1600000000326</v>
      </c>
      <c r="Z45" s="47" t="s">
        <v>248</v>
      </c>
    </row>
    <row r="46" spans="1:26" s="4" customFormat="1" x14ac:dyDescent="0.3">
      <c r="A46" s="107">
        <v>36</v>
      </c>
      <c r="B46" s="47">
        <v>44106</v>
      </c>
      <c r="C46" s="48" t="s">
        <v>387</v>
      </c>
      <c r="D46" s="48" t="s">
        <v>249</v>
      </c>
      <c r="E46" s="48" t="s">
        <v>2</v>
      </c>
      <c r="F46" s="48" t="s">
        <v>3</v>
      </c>
      <c r="G46" s="47" t="s">
        <v>24</v>
      </c>
      <c r="H46" s="50"/>
      <c r="I46" s="52">
        <v>112</v>
      </c>
      <c r="J46" s="52">
        <v>14848.76</v>
      </c>
      <c r="K46" s="52">
        <v>0</v>
      </c>
      <c r="L46" s="52">
        <v>0</v>
      </c>
      <c r="M46" s="53"/>
      <c r="N46" s="52">
        <v>0</v>
      </c>
      <c r="O46" s="52">
        <v>0</v>
      </c>
      <c r="P46" s="52">
        <v>0</v>
      </c>
      <c r="Q46" s="52">
        <v>0</v>
      </c>
      <c r="R46" s="53"/>
      <c r="S46" s="52"/>
      <c r="T46" s="52"/>
      <c r="U46" s="52"/>
      <c r="V46" s="52">
        <v>0</v>
      </c>
      <c r="X46" s="52">
        <f t="shared" si="0"/>
        <v>14960.76</v>
      </c>
      <c r="Z46" s="47" t="s">
        <v>248</v>
      </c>
    </row>
    <row r="47" spans="1:26" s="4" customFormat="1" x14ac:dyDescent="0.3">
      <c r="A47" s="107">
        <v>37</v>
      </c>
      <c r="B47" s="47">
        <v>44145</v>
      </c>
      <c r="C47" s="48" t="s">
        <v>388</v>
      </c>
      <c r="D47" s="48" t="s">
        <v>249</v>
      </c>
      <c r="E47" s="48" t="s">
        <v>2</v>
      </c>
      <c r="F47" s="48" t="s">
        <v>3</v>
      </c>
      <c r="G47" s="47" t="s">
        <v>24</v>
      </c>
      <c r="H47" s="50"/>
      <c r="I47" s="52">
        <v>3577.51</v>
      </c>
      <c r="J47" s="52">
        <v>1708717.56</v>
      </c>
      <c r="K47" s="52">
        <v>0</v>
      </c>
      <c r="L47" s="52">
        <v>0</v>
      </c>
      <c r="M47" s="53"/>
      <c r="N47" s="52">
        <v>0</v>
      </c>
      <c r="O47" s="52">
        <v>1708413.08</v>
      </c>
      <c r="P47" s="52">
        <v>3881.99</v>
      </c>
      <c r="Q47" s="52">
        <v>0</v>
      </c>
      <c r="R47" s="53"/>
      <c r="S47" s="52"/>
      <c r="T47" s="52"/>
      <c r="U47" s="52"/>
      <c r="V47" s="52">
        <v>0</v>
      </c>
      <c r="X47" s="52">
        <f t="shared" si="0"/>
        <v>0</v>
      </c>
      <c r="Z47" s="47" t="s">
        <v>248</v>
      </c>
    </row>
    <row r="48" spans="1:26" s="4" customFormat="1" x14ac:dyDescent="0.3">
      <c r="A48" s="107">
        <v>38</v>
      </c>
      <c r="B48" s="47">
        <v>44187</v>
      </c>
      <c r="C48" s="48" t="s">
        <v>389</v>
      </c>
      <c r="D48" s="48" t="s">
        <v>169</v>
      </c>
      <c r="E48" s="48" t="s">
        <v>2</v>
      </c>
      <c r="F48" s="48" t="s">
        <v>3</v>
      </c>
      <c r="G48" s="47" t="s">
        <v>24</v>
      </c>
      <c r="H48" s="50"/>
      <c r="I48" s="52">
        <v>0</v>
      </c>
      <c r="J48" s="52">
        <v>1104270.6000000001</v>
      </c>
      <c r="K48" s="52">
        <v>619683.52</v>
      </c>
      <c r="L48" s="52">
        <v>590047.04</v>
      </c>
      <c r="M48" s="53"/>
      <c r="N48" s="52">
        <v>0</v>
      </c>
      <c r="O48" s="52">
        <v>0</v>
      </c>
      <c r="P48" s="52">
        <v>0</v>
      </c>
      <c r="Q48" s="52">
        <v>2314001.16</v>
      </c>
      <c r="R48" s="53"/>
      <c r="S48" s="52"/>
      <c r="T48" s="52"/>
      <c r="U48" s="52"/>
      <c r="V48" s="52">
        <v>0</v>
      </c>
      <c r="X48" s="52">
        <f t="shared" si="0"/>
        <v>0</v>
      </c>
      <c r="Z48" s="47" t="s">
        <v>248</v>
      </c>
    </row>
    <row r="49" spans="1:37" s="4" customFormat="1" x14ac:dyDescent="0.3">
      <c r="A49" s="107">
        <v>39</v>
      </c>
      <c r="B49" s="47">
        <v>44190</v>
      </c>
      <c r="C49" s="48" t="s">
        <v>390</v>
      </c>
      <c r="D49" s="48" t="s">
        <v>172</v>
      </c>
      <c r="E49" s="48" t="s">
        <v>2</v>
      </c>
      <c r="F49" s="48" t="s">
        <v>3</v>
      </c>
      <c r="G49" s="47" t="s">
        <v>24</v>
      </c>
      <c r="H49" s="50"/>
      <c r="I49" s="52">
        <v>0</v>
      </c>
      <c r="J49" s="52">
        <v>47970.720000000001</v>
      </c>
      <c r="K49" s="52">
        <v>36418.1</v>
      </c>
      <c r="L49" s="52">
        <v>4692.04</v>
      </c>
      <c r="M49" s="53"/>
      <c r="N49" s="52">
        <v>0</v>
      </c>
      <c r="O49" s="52">
        <v>0</v>
      </c>
      <c r="P49" s="52">
        <v>0</v>
      </c>
      <c r="Q49" s="52">
        <v>0</v>
      </c>
      <c r="R49" s="53"/>
      <c r="S49" s="52"/>
      <c r="T49" s="52"/>
      <c r="U49" s="52"/>
      <c r="V49" s="52">
        <v>0</v>
      </c>
      <c r="X49" s="52">
        <f t="shared" si="0"/>
        <v>89080.86</v>
      </c>
      <c r="Z49" s="47" t="s">
        <v>248</v>
      </c>
    </row>
    <row r="50" spans="1:37" s="4" customFormat="1" x14ac:dyDescent="0.3">
      <c r="A50" s="107">
        <v>40</v>
      </c>
      <c r="B50" s="47">
        <v>44251</v>
      </c>
      <c r="C50" s="48" t="s">
        <v>391</v>
      </c>
      <c r="D50" s="48" t="s">
        <v>249</v>
      </c>
      <c r="E50" s="48" t="s">
        <v>2</v>
      </c>
      <c r="F50" s="48" t="s">
        <v>3</v>
      </c>
      <c r="G50" s="47" t="s">
        <v>24</v>
      </c>
      <c r="H50" s="50"/>
      <c r="I50" s="52">
        <v>0</v>
      </c>
      <c r="J50" s="52">
        <v>1300</v>
      </c>
      <c r="K50" s="52">
        <v>3255.4900000000002</v>
      </c>
      <c r="L50" s="52">
        <v>0</v>
      </c>
      <c r="M50" s="53"/>
      <c r="N50" s="52">
        <v>0</v>
      </c>
      <c r="O50" s="52">
        <v>0</v>
      </c>
      <c r="P50" s="52">
        <v>0</v>
      </c>
      <c r="Q50" s="52">
        <v>0</v>
      </c>
      <c r="R50" s="53"/>
      <c r="S50" s="52"/>
      <c r="T50" s="52"/>
      <c r="U50" s="52"/>
      <c r="V50" s="52">
        <v>0</v>
      </c>
      <c r="X50" s="52">
        <f t="shared" si="0"/>
        <v>4555.49</v>
      </c>
      <c r="Z50" s="47" t="s">
        <v>248</v>
      </c>
    </row>
    <row r="51" spans="1:37" s="4" customFormat="1" x14ac:dyDescent="0.3">
      <c r="A51" s="107">
        <v>41</v>
      </c>
      <c r="B51" s="47">
        <v>44310</v>
      </c>
      <c r="C51" s="48" t="s">
        <v>392</v>
      </c>
      <c r="D51" s="48" t="s">
        <v>68</v>
      </c>
      <c r="E51" s="48" t="s">
        <v>74</v>
      </c>
      <c r="F51" s="48" t="s">
        <v>3</v>
      </c>
      <c r="G51" s="47" t="s">
        <v>24</v>
      </c>
      <c r="H51" s="50"/>
      <c r="I51" s="52">
        <v>0</v>
      </c>
      <c r="J51" s="52">
        <v>80772.19</v>
      </c>
      <c r="K51" s="52">
        <v>0</v>
      </c>
      <c r="L51" s="52">
        <v>0</v>
      </c>
      <c r="M51" s="53"/>
      <c r="N51" s="52">
        <v>0</v>
      </c>
      <c r="O51" s="52">
        <v>0</v>
      </c>
      <c r="P51" s="52">
        <v>0</v>
      </c>
      <c r="Q51" s="52">
        <v>0</v>
      </c>
      <c r="R51" s="53"/>
      <c r="S51" s="52"/>
      <c r="T51" s="52"/>
      <c r="U51" s="52"/>
      <c r="V51" s="52">
        <v>0</v>
      </c>
      <c r="X51" s="52">
        <f t="shared" si="0"/>
        <v>80772.19</v>
      </c>
      <c r="Z51" s="47" t="s">
        <v>248</v>
      </c>
    </row>
    <row r="52" spans="1:37" s="4" customFormat="1" x14ac:dyDescent="0.3">
      <c r="A52" s="107">
        <v>42</v>
      </c>
      <c r="B52" s="47">
        <v>44316</v>
      </c>
      <c r="C52" s="48" t="s">
        <v>393</v>
      </c>
      <c r="D52" s="48" t="s">
        <v>68</v>
      </c>
      <c r="E52" s="48" t="s">
        <v>74</v>
      </c>
      <c r="F52" s="48" t="s">
        <v>3</v>
      </c>
      <c r="G52" s="47" t="s">
        <v>24</v>
      </c>
      <c r="H52" s="50"/>
      <c r="I52" s="52">
        <v>0</v>
      </c>
      <c r="J52" s="52">
        <v>77000</v>
      </c>
      <c r="K52" s="52">
        <v>3200</v>
      </c>
      <c r="L52" s="52">
        <v>0</v>
      </c>
      <c r="M52" s="53"/>
      <c r="N52" s="52">
        <v>0</v>
      </c>
      <c r="O52" s="52">
        <v>0</v>
      </c>
      <c r="P52" s="52">
        <v>0</v>
      </c>
      <c r="Q52" s="52">
        <v>0</v>
      </c>
      <c r="R52" s="53"/>
      <c r="S52" s="52"/>
      <c r="T52" s="52"/>
      <c r="U52" s="52"/>
      <c r="V52" s="52">
        <v>0</v>
      </c>
      <c r="X52" s="52">
        <f t="shared" si="0"/>
        <v>80200</v>
      </c>
      <c r="Z52" s="47" t="s">
        <v>248</v>
      </c>
    </row>
    <row r="53" spans="1:37" s="4" customFormat="1" x14ac:dyDescent="0.3">
      <c r="A53" s="107">
        <v>43</v>
      </c>
      <c r="B53" s="47">
        <v>44347</v>
      </c>
      <c r="C53" s="48" t="s">
        <v>394</v>
      </c>
      <c r="D53" s="48" t="s">
        <v>169</v>
      </c>
      <c r="E53" s="48" t="s">
        <v>2</v>
      </c>
      <c r="F53" s="48" t="s">
        <v>9</v>
      </c>
      <c r="G53" s="47" t="s">
        <v>24</v>
      </c>
      <c r="H53" s="50"/>
      <c r="I53" s="52">
        <v>0</v>
      </c>
      <c r="J53" s="52">
        <v>165611.24</v>
      </c>
      <c r="K53" s="52">
        <v>99.75</v>
      </c>
      <c r="L53" s="52">
        <v>408</v>
      </c>
      <c r="M53" s="53"/>
      <c r="N53" s="52">
        <v>0</v>
      </c>
      <c r="O53" s="52">
        <v>0</v>
      </c>
      <c r="P53" s="52">
        <v>0</v>
      </c>
      <c r="Q53" s="52">
        <v>0</v>
      </c>
      <c r="R53" s="53"/>
      <c r="S53" s="52"/>
      <c r="T53" s="52"/>
      <c r="U53" s="52"/>
      <c r="V53" s="52">
        <v>166118.99</v>
      </c>
      <c r="X53" s="52">
        <f t="shared" si="0"/>
        <v>166118.99</v>
      </c>
      <c r="Z53" s="47" t="s">
        <v>248</v>
      </c>
    </row>
    <row r="54" spans="1:37" s="4" customFormat="1" x14ac:dyDescent="0.3">
      <c r="A54" s="107">
        <v>44</v>
      </c>
      <c r="B54" s="47">
        <v>44507</v>
      </c>
      <c r="C54" s="48" t="s">
        <v>395</v>
      </c>
      <c r="D54" s="48" t="s">
        <v>249</v>
      </c>
      <c r="E54" s="48" t="s">
        <v>2</v>
      </c>
      <c r="F54" s="48" t="s">
        <v>3</v>
      </c>
      <c r="G54" s="47" t="s">
        <v>24</v>
      </c>
      <c r="H54" s="50"/>
      <c r="I54" s="52">
        <v>0</v>
      </c>
      <c r="J54" s="52">
        <v>3413527.4</v>
      </c>
      <c r="K54" s="52">
        <v>7979664.1699999981</v>
      </c>
      <c r="L54" s="52">
        <v>3445400.14</v>
      </c>
      <c r="M54" s="53"/>
      <c r="N54" s="52">
        <v>0</v>
      </c>
      <c r="O54" s="52">
        <v>0</v>
      </c>
      <c r="P54" s="52">
        <v>0</v>
      </c>
      <c r="Q54" s="52">
        <v>14838591.710000001</v>
      </c>
      <c r="R54" s="53"/>
      <c r="S54" s="52"/>
      <c r="T54" s="52"/>
      <c r="U54" s="52"/>
      <c r="V54" s="52">
        <v>136027.13</v>
      </c>
      <c r="X54" s="52">
        <f t="shared" si="0"/>
        <v>0</v>
      </c>
      <c r="Z54" s="47" t="s">
        <v>248</v>
      </c>
    </row>
    <row r="55" spans="1:37" s="4" customFormat="1" x14ac:dyDescent="0.3">
      <c r="A55" s="107">
        <v>45</v>
      </c>
      <c r="B55" s="47">
        <v>44781</v>
      </c>
      <c r="C55" s="48" t="s">
        <v>396</v>
      </c>
      <c r="D55" s="48" t="s">
        <v>68</v>
      </c>
      <c r="E55" s="48" t="s">
        <v>74</v>
      </c>
      <c r="F55" s="48" t="s">
        <v>5</v>
      </c>
      <c r="G55" s="47" t="s">
        <v>24</v>
      </c>
      <c r="H55" s="50"/>
      <c r="I55" s="52">
        <v>0</v>
      </c>
      <c r="J55" s="52">
        <v>0</v>
      </c>
      <c r="K55" s="52">
        <v>0</v>
      </c>
      <c r="L55" s="52">
        <v>0</v>
      </c>
      <c r="M55" s="53"/>
      <c r="N55" s="52">
        <v>0</v>
      </c>
      <c r="O55" s="52">
        <v>0</v>
      </c>
      <c r="P55" s="52">
        <v>0</v>
      </c>
      <c r="Q55" s="52">
        <v>0</v>
      </c>
      <c r="R55" s="53"/>
      <c r="S55" s="52"/>
      <c r="T55" s="52"/>
      <c r="U55" s="52"/>
      <c r="V55" s="52">
        <v>0</v>
      </c>
      <c r="X55" s="52">
        <f t="shared" si="0"/>
        <v>0</v>
      </c>
      <c r="Z55" s="47" t="s">
        <v>248</v>
      </c>
    </row>
    <row r="56" spans="1:37" s="4" customFormat="1" x14ac:dyDescent="0.3">
      <c r="A56" s="107">
        <v>46</v>
      </c>
      <c r="B56" s="47">
        <v>44800</v>
      </c>
      <c r="C56" s="48" t="s">
        <v>397</v>
      </c>
      <c r="D56" s="48" t="s">
        <v>169</v>
      </c>
      <c r="E56" s="48" t="s">
        <v>2</v>
      </c>
      <c r="F56" s="48" t="s">
        <v>3</v>
      </c>
      <c r="G56" s="47" t="s">
        <v>24</v>
      </c>
      <c r="H56" s="50"/>
      <c r="I56" s="52">
        <v>0</v>
      </c>
      <c r="J56" s="52">
        <v>17706.88</v>
      </c>
      <c r="K56" s="52">
        <v>37915.440000000002</v>
      </c>
      <c r="L56" s="52">
        <v>695968.53</v>
      </c>
      <c r="M56" s="53"/>
      <c r="N56" s="52">
        <v>0</v>
      </c>
      <c r="O56" s="52">
        <v>0</v>
      </c>
      <c r="P56" s="52">
        <v>0</v>
      </c>
      <c r="Q56" s="52">
        <v>751258.86</v>
      </c>
      <c r="R56" s="53"/>
      <c r="S56" s="52"/>
      <c r="T56" s="52"/>
      <c r="U56" s="52"/>
      <c r="V56" s="52">
        <v>751258.85</v>
      </c>
      <c r="X56" s="52">
        <f t="shared" si="0"/>
        <v>331.9900000001071</v>
      </c>
      <c r="Z56" s="47" t="s">
        <v>248</v>
      </c>
    </row>
    <row r="57" spans="1:37" s="4" customFormat="1" x14ac:dyDescent="0.3">
      <c r="A57" s="107">
        <v>47</v>
      </c>
      <c r="B57" s="47">
        <v>45052</v>
      </c>
      <c r="C57" s="48" t="s">
        <v>398</v>
      </c>
      <c r="D57" s="48" t="s">
        <v>492</v>
      </c>
      <c r="E57" s="48" t="s">
        <v>2</v>
      </c>
      <c r="F57" s="48" t="s">
        <v>3</v>
      </c>
      <c r="G57" s="47" t="s">
        <v>24</v>
      </c>
      <c r="H57" s="50"/>
      <c r="I57" s="52">
        <v>0</v>
      </c>
      <c r="J57" s="52">
        <v>13172.45</v>
      </c>
      <c r="K57" s="52">
        <v>398945.55</v>
      </c>
      <c r="L57" s="52">
        <v>0</v>
      </c>
      <c r="M57" s="53"/>
      <c r="N57" s="52">
        <v>0</v>
      </c>
      <c r="O57" s="52">
        <v>0</v>
      </c>
      <c r="P57" s="52">
        <v>0</v>
      </c>
      <c r="Q57" s="52">
        <v>412118</v>
      </c>
      <c r="R57" s="53"/>
      <c r="S57" s="52"/>
      <c r="T57" s="52"/>
      <c r="U57" s="52"/>
      <c r="V57" s="52">
        <v>412118</v>
      </c>
      <c r="X57" s="52">
        <f t="shared" si="0"/>
        <v>0</v>
      </c>
    </row>
    <row r="58" spans="1:37" s="4" customFormat="1" x14ac:dyDescent="0.3">
      <c r="A58" s="107">
        <v>48</v>
      </c>
      <c r="B58" s="47">
        <v>45070</v>
      </c>
      <c r="C58" s="48" t="s">
        <v>399</v>
      </c>
      <c r="D58" s="48" t="s">
        <v>169</v>
      </c>
      <c r="E58" s="48" t="s">
        <v>2</v>
      </c>
      <c r="F58" s="48" t="s">
        <v>9</v>
      </c>
      <c r="G58" s="47" t="s">
        <v>24</v>
      </c>
      <c r="H58" s="50"/>
      <c r="I58" s="52">
        <v>0</v>
      </c>
      <c r="J58" s="52">
        <v>3124.8</v>
      </c>
      <c r="K58" s="52">
        <v>4182</v>
      </c>
      <c r="L58" s="52">
        <v>47393.32</v>
      </c>
      <c r="M58" s="53"/>
      <c r="N58" s="52">
        <v>0</v>
      </c>
      <c r="O58" s="52">
        <v>0</v>
      </c>
      <c r="P58" s="52">
        <v>0</v>
      </c>
      <c r="Q58" s="52">
        <v>0</v>
      </c>
      <c r="R58" s="53"/>
      <c r="S58" s="52"/>
      <c r="T58" s="52"/>
      <c r="U58" s="52"/>
      <c r="V58" s="52">
        <v>7306.8</v>
      </c>
      <c r="X58" s="52">
        <f t="shared" si="0"/>
        <v>54700.12</v>
      </c>
      <c r="Z58" s="47" t="s">
        <v>248</v>
      </c>
    </row>
    <row r="59" spans="1:37" s="4" customFormat="1" x14ac:dyDescent="0.3">
      <c r="A59" s="107">
        <v>49</v>
      </c>
      <c r="B59" s="47">
        <v>45172</v>
      </c>
      <c r="C59" s="48" t="s">
        <v>400</v>
      </c>
      <c r="D59" s="48" t="s">
        <v>90</v>
      </c>
      <c r="E59" s="48" t="s">
        <v>2</v>
      </c>
      <c r="F59" s="48" t="s">
        <v>3</v>
      </c>
      <c r="G59" s="47" t="s">
        <v>24</v>
      </c>
      <c r="H59" s="50"/>
      <c r="I59" s="52">
        <v>0</v>
      </c>
      <c r="J59" s="52">
        <v>163881.89000000001</v>
      </c>
      <c r="K59" s="52">
        <v>427145.55</v>
      </c>
      <c r="L59" s="52">
        <v>1215456.51</v>
      </c>
      <c r="M59" s="53"/>
      <c r="N59" s="52">
        <v>0</v>
      </c>
      <c r="O59" s="52">
        <v>0</v>
      </c>
      <c r="P59" s="52">
        <v>0</v>
      </c>
      <c r="Q59" s="52">
        <v>0</v>
      </c>
      <c r="R59" s="53"/>
      <c r="S59" s="52"/>
      <c r="T59" s="52"/>
      <c r="U59" s="52"/>
      <c r="V59" s="52">
        <v>22117.94</v>
      </c>
      <c r="X59" s="52">
        <f t="shared" si="0"/>
        <v>1806483.95</v>
      </c>
    </row>
    <row r="60" spans="1:37" s="4" customFormat="1" x14ac:dyDescent="0.3">
      <c r="A60" s="107">
        <v>50</v>
      </c>
      <c r="B60" s="47">
        <v>45660</v>
      </c>
      <c r="C60" s="48" t="s">
        <v>401</v>
      </c>
      <c r="D60" s="48" t="s">
        <v>169</v>
      </c>
      <c r="E60" s="48" t="s">
        <v>2</v>
      </c>
      <c r="F60" s="48" t="s">
        <v>3</v>
      </c>
      <c r="G60" s="47" t="s">
        <v>24</v>
      </c>
      <c r="H60" s="50"/>
      <c r="I60" s="52">
        <v>0</v>
      </c>
      <c r="J60" s="52">
        <v>0</v>
      </c>
      <c r="K60" s="52">
        <v>539379.6</v>
      </c>
      <c r="L60" s="52">
        <v>475659.78</v>
      </c>
      <c r="M60" s="53"/>
      <c r="N60" s="52">
        <v>0</v>
      </c>
      <c r="O60" s="52">
        <v>0</v>
      </c>
      <c r="P60" s="52">
        <v>0</v>
      </c>
      <c r="Q60" s="52">
        <v>0</v>
      </c>
      <c r="R60" s="53"/>
      <c r="S60" s="52"/>
      <c r="T60" s="52"/>
      <c r="U60" s="52"/>
      <c r="V60" s="52">
        <v>475654.73</v>
      </c>
      <c r="X60" s="52">
        <f t="shared" si="0"/>
        <v>1015039.38</v>
      </c>
      <c r="Y60" s="120"/>
      <c r="Z60" s="47" t="s">
        <v>248</v>
      </c>
    </row>
    <row r="61" spans="1:37" s="4" customFormat="1" x14ac:dyDescent="0.3">
      <c r="A61" s="107">
        <v>51</v>
      </c>
      <c r="B61" s="47">
        <v>45728</v>
      </c>
      <c r="C61" s="48" t="s">
        <v>402</v>
      </c>
      <c r="D61" s="48" t="s">
        <v>68</v>
      </c>
      <c r="E61" s="48" t="s">
        <v>2</v>
      </c>
      <c r="F61" s="48" t="s">
        <v>3</v>
      </c>
      <c r="G61" s="47" t="s">
        <v>24</v>
      </c>
      <c r="H61" s="50"/>
      <c r="I61" s="52">
        <v>0</v>
      </c>
      <c r="J61" s="52">
        <v>0</v>
      </c>
      <c r="K61" s="52">
        <v>6286.01</v>
      </c>
      <c r="L61" s="52">
        <v>-404.45</v>
      </c>
      <c r="M61" s="53"/>
      <c r="N61" s="52">
        <v>0</v>
      </c>
      <c r="O61" s="52">
        <v>0</v>
      </c>
      <c r="P61" s="52">
        <v>0</v>
      </c>
      <c r="Q61" s="52">
        <v>0</v>
      </c>
      <c r="R61" s="53"/>
      <c r="S61" s="52"/>
      <c r="T61" s="52"/>
      <c r="U61" s="52"/>
      <c r="V61" s="52">
        <v>5881.56</v>
      </c>
      <c r="X61" s="52">
        <f t="shared" si="0"/>
        <v>5881.56</v>
      </c>
      <c r="Z61" s="47" t="s">
        <v>248</v>
      </c>
    </row>
    <row r="62" spans="1:37" s="4" customFormat="1" x14ac:dyDescent="0.3">
      <c r="A62" s="107">
        <v>52</v>
      </c>
      <c r="B62" s="47">
        <v>45818</v>
      </c>
      <c r="C62" s="48" t="s">
        <v>403</v>
      </c>
      <c r="D62" s="48" t="s">
        <v>174</v>
      </c>
      <c r="E62" s="48" t="s">
        <v>2</v>
      </c>
      <c r="F62" s="48" t="s">
        <v>3</v>
      </c>
      <c r="G62" s="47" t="s">
        <v>24</v>
      </c>
      <c r="H62" s="50"/>
      <c r="I62" s="52">
        <v>0</v>
      </c>
      <c r="J62" s="52">
        <v>0</v>
      </c>
      <c r="K62" s="52">
        <v>104570.14</v>
      </c>
      <c r="L62" s="52">
        <v>2783.26</v>
      </c>
      <c r="M62" s="53"/>
      <c r="N62" s="52">
        <v>0</v>
      </c>
      <c r="O62" s="52">
        <v>0</v>
      </c>
      <c r="P62" s="52">
        <v>0</v>
      </c>
      <c r="Q62" s="52">
        <v>0</v>
      </c>
      <c r="R62" s="53"/>
      <c r="S62" s="52"/>
      <c r="T62" s="52"/>
      <c r="U62" s="52"/>
      <c r="V62" s="52">
        <v>107353.4</v>
      </c>
      <c r="X62" s="52">
        <f t="shared" si="0"/>
        <v>107353.4</v>
      </c>
      <c r="AK62" s="164"/>
    </row>
    <row r="63" spans="1:37" s="4" customFormat="1" x14ac:dyDescent="0.3">
      <c r="A63" s="107">
        <v>53</v>
      </c>
      <c r="B63" s="47">
        <v>45871</v>
      </c>
      <c r="C63" s="48" t="s">
        <v>404</v>
      </c>
      <c r="D63" s="48" t="s">
        <v>68</v>
      </c>
      <c r="E63" s="48" t="s">
        <v>2</v>
      </c>
      <c r="F63" s="48" t="s">
        <v>3</v>
      </c>
      <c r="G63" s="47" t="s">
        <v>24</v>
      </c>
      <c r="H63" s="50"/>
      <c r="I63" s="52">
        <v>0</v>
      </c>
      <c r="J63" s="52">
        <v>0</v>
      </c>
      <c r="K63" s="52">
        <v>57309.279999999999</v>
      </c>
      <c r="L63" s="52">
        <v>105208.5</v>
      </c>
      <c r="M63" s="53"/>
      <c r="N63" s="52">
        <v>0</v>
      </c>
      <c r="O63" s="52">
        <v>0</v>
      </c>
      <c r="P63" s="52">
        <v>0</v>
      </c>
      <c r="Q63" s="52">
        <v>162517.78</v>
      </c>
      <c r="R63" s="53"/>
      <c r="S63" s="52"/>
      <c r="T63" s="52"/>
      <c r="U63" s="52"/>
      <c r="V63" s="52">
        <v>162517.78</v>
      </c>
      <c r="X63" s="52">
        <f t="shared" si="0"/>
        <v>0</v>
      </c>
      <c r="Z63" s="47" t="s">
        <v>248</v>
      </c>
    </row>
    <row r="64" spans="1:37" s="4" customFormat="1" x14ac:dyDescent="0.3">
      <c r="A64" s="107">
        <v>54</v>
      </c>
      <c r="B64" s="47">
        <v>45930</v>
      </c>
      <c r="C64" s="48" t="s">
        <v>405</v>
      </c>
      <c r="D64" s="48" t="s">
        <v>173</v>
      </c>
      <c r="E64" s="48" t="s">
        <v>74</v>
      </c>
      <c r="F64" s="48" t="s">
        <v>3</v>
      </c>
      <c r="G64" s="47" t="s">
        <v>24</v>
      </c>
      <c r="H64" s="50"/>
      <c r="I64" s="52">
        <v>0</v>
      </c>
      <c r="J64" s="52">
        <v>0</v>
      </c>
      <c r="K64" s="52">
        <v>25572.1</v>
      </c>
      <c r="L64" s="52">
        <v>-70.91</v>
      </c>
      <c r="M64" s="53"/>
      <c r="N64" s="52">
        <v>0</v>
      </c>
      <c r="O64" s="52">
        <v>0</v>
      </c>
      <c r="P64" s="52">
        <v>0</v>
      </c>
      <c r="Q64" s="52">
        <v>25501.19</v>
      </c>
      <c r="R64" s="53"/>
      <c r="S64" s="52"/>
      <c r="T64" s="52"/>
      <c r="U64" s="52"/>
      <c r="V64" s="52">
        <v>0</v>
      </c>
      <c r="X64" s="52">
        <f t="shared" si="0"/>
        <v>0</v>
      </c>
    </row>
    <row r="65" spans="1:26" s="4" customFormat="1" x14ac:dyDescent="0.3">
      <c r="A65" s="107">
        <v>55</v>
      </c>
      <c r="B65" s="47">
        <v>46018</v>
      </c>
      <c r="C65" s="48" t="s">
        <v>406</v>
      </c>
      <c r="D65" s="48" t="s">
        <v>68</v>
      </c>
      <c r="E65" s="48" t="s">
        <v>74</v>
      </c>
      <c r="F65" s="48" t="s">
        <v>3</v>
      </c>
      <c r="G65" s="47" t="s">
        <v>24</v>
      </c>
      <c r="H65" s="50"/>
      <c r="I65" s="52">
        <v>0</v>
      </c>
      <c r="J65" s="52">
        <v>0</v>
      </c>
      <c r="K65" s="52">
        <v>51313.4</v>
      </c>
      <c r="L65" s="52">
        <v>11378.37</v>
      </c>
      <c r="M65" s="53"/>
      <c r="N65" s="52">
        <v>0</v>
      </c>
      <c r="O65" s="52">
        <v>0</v>
      </c>
      <c r="P65" s="52">
        <v>0</v>
      </c>
      <c r="Q65" s="52">
        <v>0</v>
      </c>
      <c r="R65" s="53"/>
      <c r="S65" s="52"/>
      <c r="T65" s="52"/>
      <c r="U65" s="52"/>
      <c r="V65" s="52">
        <v>62691.770000000004</v>
      </c>
      <c r="X65" s="52">
        <f t="shared" si="0"/>
        <v>62691.770000000004</v>
      </c>
      <c r="Z65" s="47" t="s">
        <v>248</v>
      </c>
    </row>
    <row r="66" spans="1:26" s="4" customFormat="1" x14ac:dyDescent="0.3">
      <c r="A66" s="107">
        <v>56</v>
      </c>
      <c r="B66" s="47">
        <v>50021</v>
      </c>
      <c r="C66" s="48" t="s">
        <v>407</v>
      </c>
      <c r="D66" s="48" t="s">
        <v>169</v>
      </c>
      <c r="E66" s="48" t="s">
        <v>2</v>
      </c>
      <c r="F66" s="48" t="s">
        <v>3</v>
      </c>
      <c r="G66" s="47" t="s">
        <v>24</v>
      </c>
      <c r="H66" s="50"/>
      <c r="I66" s="52">
        <v>0</v>
      </c>
      <c r="J66" s="52">
        <v>0</v>
      </c>
      <c r="K66" s="52">
        <v>125973.80999999994</v>
      </c>
      <c r="L66" s="52">
        <v>86553.38</v>
      </c>
      <c r="M66" s="53"/>
      <c r="N66" s="52">
        <v>0</v>
      </c>
      <c r="O66" s="52">
        <v>0</v>
      </c>
      <c r="P66" s="52">
        <v>0</v>
      </c>
      <c r="Q66" s="52">
        <v>0</v>
      </c>
      <c r="R66" s="53"/>
      <c r="S66" s="52"/>
      <c r="T66" s="52"/>
      <c r="U66" s="52"/>
      <c r="V66" s="52">
        <v>212527.19</v>
      </c>
      <c r="X66" s="52">
        <f t="shared" si="0"/>
        <v>212527.18999999994</v>
      </c>
      <c r="Z66" s="47" t="s">
        <v>248</v>
      </c>
    </row>
    <row r="67" spans="1:26" s="4" customFormat="1" x14ac:dyDescent="0.3">
      <c r="A67" s="107">
        <v>57</v>
      </c>
      <c r="B67" s="47">
        <v>50934</v>
      </c>
      <c r="C67" s="48" t="s">
        <v>408</v>
      </c>
      <c r="D67" s="48" t="s">
        <v>68</v>
      </c>
      <c r="E67" s="48" t="s">
        <v>74</v>
      </c>
      <c r="F67" s="48" t="s">
        <v>3</v>
      </c>
      <c r="G67" s="47" t="s">
        <v>24</v>
      </c>
      <c r="H67" s="50"/>
      <c r="I67" s="52">
        <v>0</v>
      </c>
      <c r="J67" s="52">
        <v>0</v>
      </c>
      <c r="K67" s="52">
        <v>0</v>
      </c>
      <c r="L67" s="52">
        <v>46407.1</v>
      </c>
      <c r="M67" s="53"/>
      <c r="N67" s="52">
        <v>0</v>
      </c>
      <c r="O67" s="52">
        <v>0</v>
      </c>
      <c r="P67" s="52">
        <v>0</v>
      </c>
      <c r="Q67" s="52">
        <v>46407.1</v>
      </c>
      <c r="R67" s="53"/>
      <c r="S67" s="52"/>
      <c r="T67" s="52"/>
      <c r="U67" s="52"/>
      <c r="V67" s="52">
        <v>0</v>
      </c>
      <c r="X67" s="52">
        <f t="shared" si="0"/>
        <v>0</v>
      </c>
      <c r="Z67" s="47" t="s">
        <v>248</v>
      </c>
    </row>
    <row r="68" spans="1:26" s="4" customFormat="1" x14ac:dyDescent="0.3">
      <c r="A68" s="107">
        <v>58</v>
      </c>
      <c r="B68" s="47">
        <v>51133</v>
      </c>
      <c r="C68" s="48" t="s">
        <v>409</v>
      </c>
      <c r="D68" s="48" t="s">
        <v>140</v>
      </c>
      <c r="E68" s="48" t="s">
        <v>72</v>
      </c>
      <c r="F68" s="48" t="s">
        <v>6</v>
      </c>
      <c r="G68" s="47" t="s">
        <v>24</v>
      </c>
      <c r="H68" s="50"/>
      <c r="I68" s="52">
        <v>0</v>
      </c>
      <c r="J68" s="52">
        <v>0</v>
      </c>
      <c r="K68" s="52">
        <v>0</v>
      </c>
      <c r="L68" s="52">
        <v>59396.09</v>
      </c>
      <c r="M68" s="53"/>
      <c r="N68" s="52">
        <v>0</v>
      </c>
      <c r="O68" s="52">
        <v>0</v>
      </c>
      <c r="P68" s="52">
        <v>0</v>
      </c>
      <c r="Q68" s="52">
        <v>0</v>
      </c>
      <c r="R68" s="53"/>
      <c r="S68" s="52"/>
      <c r="T68" s="52"/>
      <c r="U68" s="52"/>
      <c r="V68" s="52">
        <v>0</v>
      </c>
      <c r="X68" s="52">
        <f t="shared" si="0"/>
        <v>59396.09</v>
      </c>
      <c r="Z68" s="47" t="s">
        <v>248</v>
      </c>
    </row>
    <row r="69" spans="1:26" s="4" customFormat="1" x14ac:dyDescent="0.3">
      <c r="A69" s="107">
        <v>59</v>
      </c>
      <c r="B69" s="47">
        <v>51139</v>
      </c>
      <c r="C69" s="48" t="s">
        <v>410</v>
      </c>
      <c r="D69" s="48" t="s">
        <v>172</v>
      </c>
      <c r="E69" s="48" t="s">
        <v>2</v>
      </c>
      <c r="F69" s="48" t="s">
        <v>3</v>
      </c>
      <c r="G69" s="47" t="s">
        <v>24</v>
      </c>
      <c r="H69" s="50"/>
      <c r="I69" s="52">
        <v>0</v>
      </c>
      <c r="J69" s="52">
        <v>0</v>
      </c>
      <c r="K69" s="52">
        <v>0</v>
      </c>
      <c r="L69" s="52">
        <v>110431.09</v>
      </c>
      <c r="M69" s="53"/>
      <c r="N69" s="52">
        <v>0</v>
      </c>
      <c r="O69" s="52">
        <v>0</v>
      </c>
      <c r="P69" s="52">
        <v>0</v>
      </c>
      <c r="Q69" s="52">
        <v>110431.09</v>
      </c>
      <c r="R69" s="53"/>
      <c r="S69" s="52"/>
      <c r="T69" s="52"/>
      <c r="U69" s="52"/>
      <c r="V69" s="52">
        <v>0</v>
      </c>
      <c r="X69" s="52">
        <f t="shared" si="0"/>
        <v>0</v>
      </c>
      <c r="Z69" s="47" t="s">
        <v>248</v>
      </c>
    </row>
    <row r="70" spans="1:26" s="4" customFormat="1" x14ac:dyDescent="0.3">
      <c r="A70" s="107">
        <v>60</v>
      </c>
      <c r="B70" s="47">
        <v>51210</v>
      </c>
      <c r="C70" s="48" t="s">
        <v>411</v>
      </c>
      <c r="D70" s="48" t="s">
        <v>169</v>
      </c>
      <c r="E70" s="48" t="s">
        <v>2</v>
      </c>
      <c r="F70" s="48" t="s">
        <v>3</v>
      </c>
      <c r="G70" s="47" t="s">
        <v>24</v>
      </c>
      <c r="H70" s="50"/>
      <c r="I70" s="52">
        <v>0</v>
      </c>
      <c r="J70" s="52">
        <v>0</v>
      </c>
      <c r="K70" s="52">
        <v>0</v>
      </c>
      <c r="L70" s="52">
        <v>10303</v>
      </c>
      <c r="M70" s="53"/>
      <c r="N70" s="52">
        <v>0</v>
      </c>
      <c r="O70" s="52">
        <v>0</v>
      </c>
      <c r="P70" s="52">
        <v>0</v>
      </c>
      <c r="Q70" s="52">
        <v>0</v>
      </c>
      <c r="R70" s="53"/>
      <c r="S70" s="52"/>
      <c r="T70" s="52"/>
      <c r="U70" s="52"/>
      <c r="V70" s="52">
        <v>0</v>
      </c>
      <c r="X70" s="52">
        <f t="shared" si="0"/>
        <v>10303</v>
      </c>
      <c r="Z70" s="47" t="s">
        <v>248</v>
      </c>
    </row>
    <row r="71" spans="1:26" s="4" customFormat="1" x14ac:dyDescent="0.3">
      <c r="A71" s="107">
        <v>61</v>
      </c>
      <c r="B71" s="47"/>
      <c r="C71" s="48" t="s">
        <v>412</v>
      </c>
      <c r="D71" s="48" t="s">
        <v>140</v>
      </c>
      <c r="E71" s="48" t="s">
        <v>72</v>
      </c>
      <c r="F71" s="48" t="s">
        <v>6</v>
      </c>
      <c r="G71" s="47" t="s">
        <v>24</v>
      </c>
      <c r="H71" s="50"/>
      <c r="I71" s="52">
        <v>255980.73</v>
      </c>
      <c r="J71" s="52">
        <v>20015</v>
      </c>
      <c r="K71" s="52">
        <v>0</v>
      </c>
      <c r="L71" s="52">
        <v>0</v>
      </c>
      <c r="M71" s="53"/>
      <c r="N71" s="52">
        <v>451408.38</v>
      </c>
      <c r="O71" s="52">
        <v>20015</v>
      </c>
      <c r="P71" s="52">
        <v>0</v>
      </c>
      <c r="Q71" s="52">
        <v>0</v>
      </c>
      <c r="R71" s="53"/>
      <c r="S71" s="52"/>
      <c r="T71" s="52"/>
      <c r="U71" s="52"/>
      <c r="V71" s="52">
        <v>0</v>
      </c>
      <c r="X71" s="52">
        <f t="shared" si="0"/>
        <v>0</v>
      </c>
      <c r="Z71" s="47" t="s">
        <v>248</v>
      </c>
    </row>
    <row r="72" spans="1:26" s="4" customFormat="1" x14ac:dyDescent="0.3">
      <c r="A72" s="107">
        <v>62</v>
      </c>
      <c r="B72" s="47"/>
      <c r="C72" s="48" t="s">
        <v>413</v>
      </c>
      <c r="D72" s="48" t="s">
        <v>68</v>
      </c>
      <c r="E72" s="48" t="s">
        <v>74</v>
      </c>
      <c r="F72" s="48" t="s">
        <v>3</v>
      </c>
      <c r="G72" s="47" t="s">
        <v>24</v>
      </c>
      <c r="H72" s="50"/>
      <c r="I72" s="52">
        <v>134219.65</v>
      </c>
      <c r="J72" s="52">
        <v>67054.22</v>
      </c>
      <c r="K72" s="52">
        <v>50043.61</v>
      </c>
      <c r="L72" s="52">
        <v>0</v>
      </c>
      <c r="M72" s="53"/>
      <c r="N72" s="52">
        <v>680924.53</v>
      </c>
      <c r="O72" s="52">
        <v>131529.65</v>
      </c>
      <c r="P72" s="52">
        <v>0</v>
      </c>
      <c r="Q72" s="52">
        <v>0</v>
      </c>
      <c r="R72" s="53"/>
      <c r="S72" s="52"/>
      <c r="T72" s="52"/>
      <c r="U72" s="52"/>
      <c r="V72" s="52">
        <v>0</v>
      </c>
      <c r="X72" s="52">
        <f t="shared" si="0"/>
        <v>0</v>
      </c>
      <c r="Z72" s="47" t="s">
        <v>248</v>
      </c>
    </row>
    <row r="73" spans="1:26" s="4" customFormat="1" x14ac:dyDescent="0.3">
      <c r="A73" s="107">
        <v>63</v>
      </c>
      <c r="B73" s="47"/>
      <c r="C73" s="48" t="s">
        <v>414</v>
      </c>
      <c r="D73" s="48" t="s">
        <v>175</v>
      </c>
      <c r="E73" s="48" t="s">
        <v>74</v>
      </c>
      <c r="F73" s="48" t="s">
        <v>6</v>
      </c>
      <c r="G73" s="47" t="s">
        <v>24</v>
      </c>
      <c r="H73" s="50"/>
      <c r="I73" s="52">
        <v>308696.92878307169</v>
      </c>
      <c r="J73" s="52">
        <v>521850.34470035892</v>
      </c>
      <c r="K73" s="52">
        <v>355608.49546436954</v>
      </c>
      <c r="L73" s="52">
        <v>66542.72085084187</v>
      </c>
      <c r="M73" s="53"/>
      <c r="N73" s="52">
        <v>308696.92878307169</v>
      </c>
      <c r="O73" s="52">
        <v>521850.34470035892</v>
      </c>
      <c r="P73" s="52">
        <v>355608.49546436954</v>
      </c>
      <c r="Q73" s="52">
        <v>66542.72085084187</v>
      </c>
      <c r="R73" s="53"/>
      <c r="S73" s="52"/>
      <c r="T73" s="52"/>
      <c r="U73" s="52"/>
      <c r="V73" s="52">
        <v>0</v>
      </c>
      <c r="X73" s="52">
        <f t="shared" si="0"/>
        <v>0</v>
      </c>
      <c r="Z73" s="47" t="s">
        <v>248</v>
      </c>
    </row>
    <row r="74" spans="1:26" s="4" customFormat="1" x14ac:dyDescent="0.3">
      <c r="A74" s="107">
        <v>64</v>
      </c>
      <c r="B74" s="47"/>
      <c r="C74" s="48" t="s">
        <v>415</v>
      </c>
      <c r="D74" s="48" t="s">
        <v>176</v>
      </c>
      <c r="E74" s="48" t="s">
        <v>74</v>
      </c>
      <c r="F74" s="48" t="s">
        <v>6</v>
      </c>
      <c r="G74" s="47" t="s">
        <v>24</v>
      </c>
      <c r="H74" s="50"/>
      <c r="I74" s="52">
        <v>0</v>
      </c>
      <c r="J74" s="52">
        <v>138686.91520659669</v>
      </c>
      <c r="K74" s="52">
        <v>181607.28679957305</v>
      </c>
      <c r="L74" s="52">
        <v>300380.10335949797</v>
      </c>
      <c r="M74" s="53"/>
      <c r="N74" s="52">
        <v>0</v>
      </c>
      <c r="O74" s="52">
        <v>138686.91520659669</v>
      </c>
      <c r="P74" s="52">
        <v>181607.28679957305</v>
      </c>
      <c r="Q74" s="52">
        <v>300380.10335949797</v>
      </c>
      <c r="R74" s="53"/>
      <c r="S74" s="52"/>
      <c r="T74" s="52"/>
      <c r="U74" s="52"/>
      <c r="V74" s="52">
        <v>0</v>
      </c>
      <c r="X74" s="52">
        <f t="shared" si="0"/>
        <v>0</v>
      </c>
      <c r="Z74" s="47" t="s">
        <v>248</v>
      </c>
    </row>
    <row r="75" spans="1:26" s="4" customFormat="1" x14ac:dyDescent="0.3">
      <c r="A75" s="107">
        <v>65</v>
      </c>
      <c r="B75" s="47"/>
      <c r="C75" s="48" t="s">
        <v>416</v>
      </c>
      <c r="D75" s="48" t="s">
        <v>68</v>
      </c>
      <c r="E75" s="48" t="s">
        <v>74</v>
      </c>
      <c r="F75" s="48" t="s">
        <v>6</v>
      </c>
      <c r="G75" s="47" t="s">
        <v>24</v>
      </c>
      <c r="H75" s="50"/>
      <c r="I75" s="52">
        <v>0</v>
      </c>
      <c r="J75" s="52">
        <v>0</v>
      </c>
      <c r="K75" s="52">
        <v>25998.128491112646</v>
      </c>
      <c r="L75" s="52">
        <v>1770.5245185858846</v>
      </c>
      <c r="M75" s="53"/>
      <c r="N75" s="52">
        <v>0</v>
      </c>
      <c r="O75" s="52">
        <v>0</v>
      </c>
      <c r="P75" s="52">
        <v>0</v>
      </c>
      <c r="Q75" s="52">
        <v>24439.064832490745</v>
      </c>
      <c r="R75" s="53"/>
      <c r="S75" s="52"/>
      <c r="T75" s="52"/>
      <c r="U75" s="52"/>
      <c r="V75" s="52">
        <v>0</v>
      </c>
      <c r="X75" s="52">
        <f t="shared" si="0"/>
        <v>3329.5881772077846</v>
      </c>
      <c r="Y75" s="120"/>
      <c r="Z75" s="47" t="s">
        <v>248</v>
      </c>
    </row>
    <row r="76" spans="1:26" s="4" customFormat="1" x14ac:dyDescent="0.3">
      <c r="A76" s="107">
        <v>66</v>
      </c>
      <c r="B76" s="47"/>
      <c r="C76" s="48" t="s">
        <v>417</v>
      </c>
      <c r="D76" s="48" t="s">
        <v>68</v>
      </c>
      <c r="E76" s="48" t="s">
        <v>74</v>
      </c>
      <c r="F76" s="48" t="s">
        <v>6</v>
      </c>
      <c r="G76" s="47" t="s">
        <v>24</v>
      </c>
      <c r="H76" s="50"/>
      <c r="I76" s="52">
        <v>0</v>
      </c>
      <c r="J76" s="52">
        <v>0</v>
      </c>
      <c r="K76" s="52">
        <v>232688.01616036988</v>
      </c>
      <c r="L76" s="52">
        <v>92708.696132891622</v>
      </c>
      <c r="M76" s="53"/>
      <c r="N76" s="52">
        <v>0</v>
      </c>
      <c r="O76" s="52">
        <v>0</v>
      </c>
      <c r="P76" s="52">
        <v>0</v>
      </c>
      <c r="Q76" s="52">
        <v>3995.3186057222802</v>
      </c>
      <c r="R76" s="53"/>
      <c r="S76" s="52"/>
      <c r="T76" s="52"/>
      <c r="U76" s="52"/>
      <c r="V76" s="52">
        <v>2627.6245736456062</v>
      </c>
      <c r="X76" s="52">
        <f t="shared" ref="X76:X77" si="1">IF((SUM(I76:L76)-SUM(N76:Q76))&gt;0,SUM(I76:L76)-SUM(N76:Q76),0)</f>
        <v>321401.39368753921</v>
      </c>
      <c r="Y76" s="120"/>
      <c r="Z76" s="47" t="s">
        <v>248</v>
      </c>
    </row>
    <row r="77" spans="1:26" s="4" customFormat="1" x14ac:dyDescent="0.3">
      <c r="A77" s="107">
        <v>67</v>
      </c>
      <c r="B77" s="47"/>
      <c r="C77" s="48" t="s">
        <v>418</v>
      </c>
      <c r="D77" s="48" t="s">
        <v>68</v>
      </c>
      <c r="E77" s="48" t="s">
        <v>74</v>
      </c>
      <c r="F77" s="48" t="s">
        <v>6</v>
      </c>
      <c r="G77" s="47" t="s">
        <v>24</v>
      </c>
      <c r="H77" s="50"/>
      <c r="I77" s="52">
        <v>0</v>
      </c>
      <c r="J77" s="52">
        <v>0</v>
      </c>
      <c r="K77" s="52">
        <v>20642.362807830981</v>
      </c>
      <c r="L77" s="52">
        <v>34300.193916864082</v>
      </c>
      <c r="M77" s="53"/>
      <c r="N77" s="52">
        <v>0</v>
      </c>
      <c r="O77" s="52">
        <v>0</v>
      </c>
      <c r="P77" s="52">
        <v>0</v>
      </c>
      <c r="Q77" s="52">
        <v>0</v>
      </c>
      <c r="R77" s="53"/>
      <c r="S77" s="52"/>
      <c r="T77" s="52"/>
      <c r="U77" s="52"/>
      <c r="V77" s="52">
        <v>0</v>
      </c>
      <c r="X77" s="52">
        <f t="shared" si="1"/>
        <v>54942.556724695067</v>
      </c>
      <c r="Y77" s="120"/>
      <c r="Z77" s="47" t="s">
        <v>248</v>
      </c>
    </row>
    <row r="78" spans="1:26" s="4" customFormat="1" x14ac:dyDescent="0.3">
      <c r="A78" s="107">
        <v>68</v>
      </c>
      <c r="B78" s="47"/>
      <c r="C78" s="48" t="s">
        <v>419</v>
      </c>
      <c r="D78" s="48" t="s">
        <v>68</v>
      </c>
      <c r="E78" s="48" t="s">
        <v>73</v>
      </c>
      <c r="F78" s="48" t="s">
        <v>6</v>
      </c>
      <c r="G78" s="47" t="s">
        <v>24</v>
      </c>
      <c r="H78" s="50"/>
      <c r="I78" s="52">
        <v>0</v>
      </c>
      <c r="J78" s="52">
        <v>0</v>
      </c>
      <c r="K78" s="52">
        <v>0</v>
      </c>
      <c r="L78" s="52">
        <v>-74.179765485649838</v>
      </c>
      <c r="M78" s="53"/>
      <c r="N78" s="52">
        <v>0</v>
      </c>
      <c r="O78" s="52">
        <v>0</v>
      </c>
      <c r="P78" s="52">
        <v>0</v>
      </c>
      <c r="Q78" s="52">
        <v>0</v>
      </c>
      <c r="R78" s="53"/>
      <c r="S78" s="52"/>
      <c r="T78" s="52"/>
      <c r="U78" s="52"/>
      <c r="V78" s="52">
        <v>0</v>
      </c>
      <c r="X78" s="52">
        <f>IF((SUM(I78:L78)-SUM(N78:Q78))&gt;0,SUM(I78:L78)-SUM(N78:Q78),0)</f>
        <v>0</v>
      </c>
      <c r="Y78" s="120"/>
      <c r="Z78" s="47" t="s">
        <v>248</v>
      </c>
    </row>
    <row r="79" spans="1:26" s="4" customFormat="1" x14ac:dyDescent="0.3">
      <c r="A79" s="107">
        <v>69</v>
      </c>
      <c r="B79" s="47"/>
      <c r="C79" s="48" t="s">
        <v>420</v>
      </c>
      <c r="D79" s="48" t="s">
        <v>73</v>
      </c>
      <c r="E79" s="48" t="s">
        <v>73</v>
      </c>
      <c r="F79" s="48" t="s">
        <v>6</v>
      </c>
      <c r="G79" s="47" t="s">
        <v>24</v>
      </c>
      <c r="H79" s="50"/>
      <c r="I79" s="52">
        <v>361.99266063231642</v>
      </c>
      <c r="J79" s="52">
        <v>0</v>
      </c>
      <c r="K79" s="52">
        <v>0</v>
      </c>
      <c r="L79" s="52">
        <v>0</v>
      </c>
      <c r="M79" s="53"/>
      <c r="N79" s="52">
        <v>16167.86859195055</v>
      </c>
      <c r="O79" s="52">
        <v>0</v>
      </c>
      <c r="P79" s="52">
        <v>0</v>
      </c>
      <c r="Q79" s="52">
        <v>0</v>
      </c>
      <c r="R79" s="53"/>
      <c r="S79" s="52"/>
      <c r="T79" s="52"/>
      <c r="U79" s="52"/>
      <c r="V79" s="52">
        <v>0</v>
      </c>
      <c r="X79" s="52">
        <f t="shared" ref="X79:X113" si="2">IF((SUM(I79:L79)-SUM(N79:Q79))&gt;0,SUM(I79:L79)-SUM(N79:Q79),0)</f>
        <v>0</v>
      </c>
      <c r="Y79" s="120"/>
      <c r="Z79" s="47" t="s">
        <v>248</v>
      </c>
    </row>
    <row r="80" spans="1:26" s="4" customFormat="1" x14ac:dyDescent="0.3">
      <c r="A80" s="107">
        <v>70</v>
      </c>
      <c r="B80" s="48"/>
      <c r="C80" s="48" t="s">
        <v>421</v>
      </c>
      <c r="D80" s="48" t="s">
        <v>73</v>
      </c>
      <c r="E80" s="48" t="s">
        <v>73</v>
      </c>
      <c r="F80" s="48" t="s">
        <v>6</v>
      </c>
      <c r="G80" s="47" t="s">
        <v>24</v>
      </c>
      <c r="H80" s="50"/>
      <c r="I80" s="52">
        <v>436.38307329047154</v>
      </c>
      <c r="J80" s="52">
        <v>0</v>
      </c>
      <c r="K80" s="52">
        <v>0</v>
      </c>
      <c r="L80" s="52">
        <v>0</v>
      </c>
      <c r="M80" s="53"/>
      <c r="N80" s="52">
        <v>13615.541037854415</v>
      </c>
      <c r="O80" s="52">
        <v>0</v>
      </c>
      <c r="P80" s="52">
        <v>0</v>
      </c>
      <c r="Q80" s="52">
        <v>0</v>
      </c>
      <c r="R80" s="53"/>
      <c r="S80" s="52"/>
      <c r="T80" s="52"/>
      <c r="U80" s="52"/>
      <c r="V80" s="52">
        <v>0</v>
      </c>
      <c r="X80" s="52">
        <f t="shared" si="2"/>
        <v>0</v>
      </c>
      <c r="Y80" s="120"/>
      <c r="Z80" s="47" t="s">
        <v>248</v>
      </c>
    </row>
    <row r="81" spans="1:26" s="4" customFormat="1" x14ac:dyDescent="0.3">
      <c r="A81" s="107">
        <v>71</v>
      </c>
      <c r="B81" s="48"/>
      <c r="C81" s="48" t="s">
        <v>422</v>
      </c>
      <c r="D81" s="48" t="s">
        <v>73</v>
      </c>
      <c r="E81" s="48" t="s">
        <v>73</v>
      </c>
      <c r="F81" s="48" t="s">
        <v>6</v>
      </c>
      <c r="G81" s="47" t="s">
        <v>24</v>
      </c>
      <c r="H81" s="50"/>
      <c r="I81" s="52">
        <v>0</v>
      </c>
      <c r="J81" s="52">
        <v>0</v>
      </c>
      <c r="K81" s="52">
        <v>0</v>
      </c>
      <c r="L81" s="52">
        <v>0</v>
      </c>
      <c r="M81" s="53"/>
      <c r="N81" s="52">
        <v>-15805.875931318245</v>
      </c>
      <c r="O81" s="52">
        <v>0</v>
      </c>
      <c r="P81" s="52">
        <v>0</v>
      </c>
      <c r="Q81" s="52">
        <v>0</v>
      </c>
      <c r="R81" s="53"/>
      <c r="S81" s="52"/>
      <c r="T81" s="52"/>
      <c r="U81" s="52"/>
      <c r="V81" s="52">
        <v>0</v>
      </c>
      <c r="X81" s="52">
        <f t="shared" si="2"/>
        <v>15805.875931318245</v>
      </c>
      <c r="Y81" s="120"/>
      <c r="Z81" s="47" t="s">
        <v>248</v>
      </c>
    </row>
    <row r="82" spans="1:26" s="4" customFormat="1" x14ac:dyDescent="0.3">
      <c r="A82" s="107">
        <v>72</v>
      </c>
      <c r="B82" s="48"/>
      <c r="C82" s="48" t="s">
        <v>423</v>
      </c>
      <c r="D82" s="48" t="s">
        <v>73</v>
      </c>
      <c r="E82" s="48" t="s">
        <v>73</v>
      </c>
      <c r="F82" s="48" t="s">
        <v>6</v>
      </c>
      <c r="G82" s="47" t="s">
        <v>24</v>
      </c>
      <c r="H82" s="50"/>
      <c r="I82" s="52">
        <v>32732.714815486081</v>
      </c>
      <c r="J82" s="52">
        <v>-550.00159591560669</v>
      </c>
      <c r="K82" s="52">
        <v>3656.4590271841926</v>
      </c>
      <c r="L82" s="52">
        <v>2155.1808679617934</v>
      </c>
      <c r="M82" s="53"/>
      <c r="N82" s="52">
        <v>0</v>
      </c>
      <c r="O82" s="52">
        <v>36965.505504869987</v>
      </c>
      <c r="P82" s="52">
        <v>0</v>
      </c>
      <c r="Q82" s="52">
        <v>0</v>
      </c>
      <c r="R82" s="53"/>
      <c r="S82" s="52"/>
      <c r="T82" s="52"/>
      <c r="U82" s="52"/>
      <c r="V82" s="52">
        <v>3303.3384614321303</v>
      </c>
      <c r="X82" s="52">
        <f t="shared" si="2"/>
        <v>1028.8476098464744</v>
      </c>
      <c r="Y82" s="120"/>
      <c r="Z82" s="47" t="s">
        <v>248</v>
      </c>
    </row>
    <row r="83" spans="1:26" s="4" customFormat="1" x14ac:dyDescent="0.3">
      <c r="A83" s="107">
        <v>73</v>
      </c>
      <c r="B83" s="48"/>
      <c r="C83" s="48" t="s">
        <v>424</v>
      </c>
      <c r="D83" s="48" t="s">
        <v>73</v>
      </c>
      <c r="E83" s="48" t="s">
        <v>73</v>
      </c>
      <c r="F83" s="48" t="s">
        <v>6</v>
      </c>
      <c r="G83" s="47" t="s">
        <v>24</v>
      </c>
      <c r="H83" s="50"/>
      <c r="I83" s="52">
        <v>367344.25547291758</v>
      </c>
      <c r="J83" s="52">
        <v>27729.990862225939</v>
      </c>
      <c r="K83" s="52">
        <v>18368.565102372879</v>
      </c>
      <c r="L83" s="52">
        <v>2294.7226981510685</v>
      </c>
      <c r="M83" s="53"/>
      <c r="N83" s="52">
        <v>241455.27928021338</v>
      </c>
      <c r="O83" s="52">
        <v>249924.58773561922</v>
      </c>
      <c r="P83" s="52">
        <v>11337.365155305892</v>
      </c>
      <c r="Q83" s="52">
        <v>24746.073517921082</v>
      </c>
      <c r="R83" s="53"/>
      <c r="S83" s="52"/>
      <c r="T83" s="52"/>
      <c r="U83" s="52"/>
      <c r="V83" s="52">
        <v>0</v>
      </c>
      <c r="X83" s="52">
        <f t="shared" si="2"/>
        <v>0</v>
      </c>
      <c r="Y83" s="120"/>
      <c r="Z83" s="47" t="s">
        <v>248</v>
      </c>
    </row>
    <row r="84" spans="1:26" s="4" customFormat="1" x14ac:dyDescent="0.3">
      <c r="A84" s="107">
        <v>74</v>
      </c>
      <c r="B84" s="48"/>
      <c r="C84" s="48" t="s">
        <v>425</v>
      </c>
      <c r="D84" s="48" t="s">
        <v>73</v>
      </c>
      <c r="E84" s="48" t="s">
        <v>73</v>
      </c>
      <c r="F84" s="48" t="s">
        <v>6</v>
      </c>
      <c r="G84" s="47" t="s">
        <v>24</v>
      </c>
      <c r="H84" s="50"/>
      <c r="I84" s="52">
        <v>0</v>
      </c>
      <c r="J84" s="52">
        <v>15336.65793641689</v>
      </c>
      <c r="K84" s="52">
        <v>26724.338404231981</v>
      </c>
      <c r="L84" s="52">
        <v>58848.752518462374</v>
      </c>
      <c r="M84" s="53"/>
      <c r="N84" s="52">
        <v>0</v>
      </c>
      <c r="O84" s="52">
        <v>2529.0833600780388</v>
      </c>
      <c r="P84" s="52">
        <v>0</v>
      </c>
      <c r="Q84" s="52">
        <v>466.0288558946159</v>
      </c>
      <c r="R84" s="53"/>
      <c r="S84" s="52"/>
      <c r="T84" s="52"/>
      <c r="U84" s="52"/>
      <c r="V84" s="52">
        <v>0</v>
      </c>
      <c r="X84" s="52">
        <f t="shared" si="2"/>
        <v>97914.636643138598</v>
      </c>
      <c r="Y84" s="120"/>
      <c r="Z84" s="47" t="s">
        <v>248</v>
      </c>
    </row>
    <row r="85" spans="1:26" s="4" customFormat="1" x14ac:dyDescent="0.3">
      <c r="A85" s="107">
        <v>75</v>
      </c>
      <c r="B85" s="48"/>
      <c r="C85" s="48" t="s">
        <v>426</v>
      </c>
      <c r="D85" s="48" t="s">
        <v>73</v>
      </c>
      <c r="E85" s="48" t="s">
        <v>73</v>
      </c>
      <c r="F85" s="48" t="s">
        <v>6</v>
      </c>
      <c r="G85" s="47" t="s">
        <v>24</v>
      </c>
      <c r="H85" s="50"/>
      <c r="I85" s="52">
        <v>59663.293305350511</v>
      </c>
      <c r="J85" s="52">
        <v>20645.370997330756</v>
      </c>
      <c r="K85" s="52">
        <v>72666.7161537504</v>
      </c>
      <c r="L85" s="52">
        <v>128100.64953979965</v>
      </c>
      <c r="M85" s="53"/>
      <c r="N85" s="52">
        <v>0</v>
      </c>
      <c r="O85" s="52">
        <v>89026.460566906433</v>
      </c>
      <c r="P85" s="52">
        <v>0</v>
      </c>
      <c r="Q85" s="52">
        <v>98529.148916655715</v>
      </c>
      <c r="R85" s="53"/>
      <c r="S85" s="52"/>
      <c r="T85" s="52"/>
      <c r="U85" s="52"/>
      <c r="V85" s="52">
        <v>534.09363384187793</v>
      </c>
      <c r="X85" s="52">
        <f t="shared" si="2"/>
        <v>93520.420512669167</v>
      </c>
      <c r="Y85" s="120"/>
      <c r="Z85" s="47" t="s">
        <v>248</v>
      </c>
    </row>
    <row r="86" spans="1:26" s="4" customFormat="1" x14ac:dyDescent="0.3">
      <c r="A86" s="107">
        <v>76</v>
      </c>
      <c r="B86" s="48"/>
      <c r="C86" s="48" t="s">
        <v>427</v>
      </c>
      <c r="D86" s="48" t="s">
        <v>73</v>
      </c>
      <c r="E86" s="48" t="s">
        <v>73</v>
      </c>
      <c r="F86" s="48" t="s">
        <v>6</v>
      </c>
      <c r="G86" s="47" t="s">
        <v>24</v>
      </c>
      <c r="H86" s="50"/>
      <c r="I86" s="52">
        <v>0</v>
      </c>
      <c r="J86" s="52">
        <v>0</v>
      </c>
      <c r="K86" s="52">
        <v>14969.828337074281</v>
      </c>
      <c r="L86" s="52">
        <v>-2459.5249582312254</v>
      </c>
      <c r="M86" s="53"/>
      <c r="N86" s="52">
        <v>0</v>
      </c>
      <c r="O86" s="52">
        <v>0</v>
      </c>
      <c r="P86" s="52">
        <v>12247.384863264908</v>
      </c>
      <c r="Q86" s="52">
        <v>0</v>
      </c>
      <c r="R86" s="53"/>
      <c r="S86" s="52"/>
      <c r="T86" s="52"/>
      <c r="U86" s="52"/>
      <c r="V86" s="52">
        <v>0</v>
      </c>
      <c r="X86" s="52">
        <f t="shared" si="2"/>
        <v>262.91851557814698</v>
      </c>
      <c r="Y86" s="120"/>
      <c r="Z86" s="47" t="s">
        <v>248</v>
      </c>
    </row>
    <row r="87" spans="1:26" s="4" customFormat="1" x14ac:dyDescent="0.3">
      <c r="A87" s="107">
        <v>77</v>
      </c>
      <c r="B87" s="48"/>
      <c r="C87" s="48" t="s">
        <v>428</v>
      </c>
      <c r="D87" s="48" t="s">
        <v>73</v>
      </c>
      <c r="E87" s="48" t="s">
        <v>73</v>
      </c>
      <c r="F87" s="48" t="s">
        <v>6</v>
      </c>
      <c r="G87" s="47" t="s">
        <v>24</v>
      </c>
      <c r="H87" s="50"/>
      <c r="I87" s="52">
        <v>0</v>
      </c>
      <c r="J87" s="52">
        <v>0</v>
      </c>
      <c r="K87" s="52">
        <v>0</v>
      </c>
      <c r="L87" s="52">
        <v>0</v>
      </c>
      <c r="M87" s="53"/>
      <c r="N87" s="52">
        <v>0</v>
      </c>
      <c r="O87" s="52">
        <v>0</v>
      </c>
      <c r="P87" s="52">
        <v>0</v>
      </c>
      <c r="Q87" s="52">
        <v>0</v>
      </c>
      <c r="R87" s="53"/>
      <c r="S87" s="52"/>
      <c r="T87" s="52"/>
      <c r="U87" s="52"/>
      <c r="V87" s="52">
        <v>0</v>
      </c>
      <c r="X87" s="52">
        <f t="shared" si="2"/>
        <v>0</v>
      </c>
      <c r="Y87" s="120"/>
      <c r="Z87" s="47" t="s">
        <v>248</v>
      </c>
    </row>
    <row r="88" spans="1:26" s="4" customFormat="1" x14ac:dyDescent="0.3">
      <c r="A88" s="107">
        <v>78</v>
      </c>
      <c r="B88" s="48"/>
      <c r="C88" s="48" t="s">
        <v>429</v>
      </c>
      <c r="D88" s="48" t="s">
        <v>73</v>
      </c>
      <c r="E88" s="48" t="s">
        <v>73</v>
      </c>
      <c r="F88" s="48" t="s">
        <v>6</v>
      </c>
      <c r="G88" s="47" t="s">
        <v>24</v>
      </c>
      <c r="H88" s="50"/>
      <c r="I88" s="52">
        <v>683.03004610273422</v>
      </c>
      <c r="J88" s="52">
        <v>0</v>
      </c>
      <c r="K88" s="52">
        <v>0</v>
      </c>
      <c r="L88" s="52">
        <v>0</v>
      </c>
      <c r="M88" s="53"/>
      <c r="N88" s="52">
        <v>0</v>
      </c>
      <c r="O88" s="52">
        <v>0</v>
      </c>
      <c r="P88" s="52">
        <v>0</v>
      </c>
      <c r="Q88" s="52">
        <v>0</v>
      </c>
      <c r="R88" s="53"/>
      <c r="S88" s="52"/>
      <c r="T88" s="52"/>
      <c r="U88" s="52"/>
      <c r="V88" s="52">
        <v>0</v>
      </c>
      <c r="X88" s="52">
        <f t="shared" si="2"/>
        <v>683.03004610273422</v>
      </c>
      <c r="Y88" s="120"/>
      <c r="Z88" s="47" t="s">
        <v>248</v>
      </c>
    </row>
    <row r="89" spans="1:26" s="4" customFormat="1" x14ac:dyDescent="0.3">
      <c r="A89" s="107">
        <v>79</v>
      </c>
      <c r="B89" s="48"/>
      <c r="C89" s="48" t="s">
        <v>430</v>
      </c>
      <c r="D89" s="48" t="s">
        <v>73</v>
      </c>
      <c r="E89" s="48" t="s">
        <v>73</v>
      </c>
      <c r="F89" s="48" t="s">
        <v>6</v>
      </c>
      <c r="G89" s="47" t="s">
        <v>24</v>
      </c>
      <c r="H89" s="50"/>
      <c r="I89" s="52">
        <v>0</v>
      </c>
      <c r="J89" s="52">
        <v>0</v>
      </c>
      <c r="K89" s="52">
        <v>0</v>
      </c>
      <c r="L89" s="52">
        <v>0</v>
      </c>
      <c r="M89" s="53"/>
      <c r="N89" s="52">
        <v>0</v>
      </c>
      <c r="O89" s="52">
        <v>0</v>
      </c>
      <c r="P89" s="52">
        <v>0</v>
      </c>
      <c r="Q89" s="52">
        <v>0</v>
      </c>
      <c r="R89" s="53"/>
      <c r="S89" s="52"/>
      <c r="T89" s="52"/>
      <c r="U89" s="52"/>
      <c r="V89" s="52">
        <v>0</v>
      </c>
      <c r="X89" s="52">
        <f t="shared" si="2"/>
        <v>0</v>
      </c>
      <c r="Y89" s="120"/>
      <c r="Z89" s="47" t="s">
        <v>248</v>
      </c>
    </row>
    <row r="90" spans="1:26" s="4" customFormat="1" x14ac:dyDescent="0.3">
      <c r="A90" s="107">
        <v>80</v>
      </c>
      <c r="B90" s="48"/>
      <c r="C90" s="48" t="s">
        <v>431</v>
      </c>
      <c r="D90" s="48" t="s">
        <v>73</v>
      </c>
      <c r="E90" s="48" t="s">
        <v>73</v>
      </c>
      <c r="F90" s="48" t="s">
        <v>6</v>
      </c>
      <c r="G90" s="47" t="s">
        <v>24</v>
      </c>
      <c r="H90" s="50"/>
      <c r="I90" s="52">
        <v>51346.947920050203</v>
      </c>
      <c r="J90" s="52">
        <v>2837.2685022026276</v>
      </c>
      <c r="K90" s="52">
        <v>0</v>
      </c>
      <c r="L90" s="52">
        <v>0</v>
      </c>
      <c r="M90" s="53"/>
      <c r="N90" s="52">
        <v>36345.66338728783</v>
      </c>
      <c r="O90" s="52">
        <v>93983.761324848398</v>
      </c>
      <c r="P90" s="52">
        <v>0</v>
      </c>
      <c r="Q90" s="52">
        <v>0</v>
      </c>
      <c r="R90" s="53"/>
      <c r="S90" s="52"/>
      <c r="T90" s="52"/>
      <c r="U90" s="52"/>
      <c r="V90" s="52">
        <v>0</v>
      </c>
      <c r="X90" s="52">
        <f t="shared" si="2"/>
        <v>0</v>
      </c>
      <c r="Y90" s="120"/>
      <c r="Z90" s="47" t="s">
        <v>248</v>
      </c>
    </row>
    <row r="91" spans="1:26" s="4" customFormat="1" x14ac:dyDescent="0.3">
      <c r="A91" s="107">
        <v>81</v>
      </c>
      <c r="B91" s="48"/>
      <c r="C91" s="48" t="s">
        <v>432</v>
      </c>
      <c r="D91" s="48" t="s">
        <v>73</v>
      </c>
      <c r="E91" s="48" t="s">
        <v>73</v>
      </c>
      <c r="F91" s="48" t="s">
        <v>6</v>
      </c>
      <c r="G91" s="47" t="s">
        <v>24</v>
      </c>
      <c r="H91" s="50"/>
      <c r="I91" s="52">
        <v>0</v>
      </c>
      <c r="J91" s="52">
        <v>0</v>
      </c>
      <c r="K91" s="52">
        <v>40537.859341715543</v>
      </c>
      <c r="L91" s="52">
        <v>41852.500283106434</v>
      </c>
      <c r="M91" s="53"/>
      <c r="N91" s="52">
        <v>0</v>
      </c>
      <c r="O91" s="52">
        <v>0</v>
      </c>
      <c r="P91" s="52">
        <v>0</v>
      </c>
      <c r="Q91" s="52">
        <v>0</v>
      </c>
      <c r="R91" s="53"/>
      <c r="S91" s="52"/>
      <c r="T91" s="52"/>
      <c r="U91" s="52"/>
      <c r="V91" s="52">
        <v>0</v>
      </c>
      <c r="X91" s="52">
        <f t="shared" si="2"/>
        <v>82390.359624821984</v>
      </c>
      <c r="Y91" s="120"/>
      <c r="Z91" s="47" t="s">
        <v>248</v>
      </c>
    </row>
    <row r="92" spans="1:26" s="4" customFormat="1" x14ac:dyDescent="0.3">
      <c r="A92" s="107">
        <v>82</v>
      </c>
      <c r="B92" s="48"/>
      <c r="C92" s="48" t="s">
        <v>433</v>
      </c>
      <c r="D92" s="48" t="s">
        <v>73</v>
      </c>
      <c r="E92" s="48" t="s">
        <v>73</v>
      </c>
      <c r="F92" s="48" t="s">
        <v>6</v>
      </c>
      <c r="G92" s="47" t="s">
        <v>24</v>
      </c>
      <c r="H92" s="50"/>
      <c r="I92" s="52">
        <v>0</v>
      </c>
      <c r="J92" s="52">
        <v>0</v>
      </c>
      <c r="K92" s="52">
        <v>0</v>
      </c>
      <c r="L92" s="52">
        <v>0</v>
      </c>
      <c r="M92" s="53"/>
      <c r="N92" s="52">
        <v>0</v>
      </c>
      <c r="O92" s="52">
        <v>0</v>
      </c>
      <c r="P92" s="52">
        <v>0</v>
      </c>
      <c r="Q92" s="52">
        <v>0</v>
      </c>
      <c r="R92" s="53"/>
      <c r="S92" s="52"/>
      <c r="T92" s="52"/>
      <c r="U92" s="52"/>
      <c r="V92" s="52">
        <v>0</v>
      </c>
      <c r="X92" s="52">
        <f t="shared" si="2"/>
        <v>0</v>
      </c>
      <c r="Y92" s="120"/>
      <c r="Z92" s="47" t="s">
        <v>248</v>
      </c>
    </row>
    <row r="93" spans="1:26" s="4" customFormat="1" x14ac:dyDescent="0.3">
      <c r="A93" s="107">
        <v>83</v>
      </c>
      <c r="B93" s="48"/>
      <c r="C93" s="48" t="s">
        <v>434</v>
      </c>
      <c r="D93" s="48" t="s">
        <v>73</v>
      </c>
      <c r="E93" s="48" t="s">
        <v>73</v>
      </c>
      <c r="F93" s="48" t="s">
        <v>6</v>
      </c>
      <c r="G93" s="47" t="s">
        <v>24</v>
      </c>
      <c r="H93" s="50"/>
      <c r="I93" s="52">
        <v>8952.3976731106086</v>
      </c>
      <c r="J93" s="52">
        <v>-410.86117607553689</v>
      </c>
      <c r="K93" s="52">
        <v>0</v>
      </c>
      <c r="L93" s="52">
        <v>0</v>
      </c>
      <c r="M93" s="53"/>
      <c r="N93" s="52">
        <v>2987.3993830436343</v>
      </c>
      <c r="O93" s="52">
        <v>6425.7222533352633</v>
      </c>
      <c r="P93" s="52">
        <v>0</v>
      </c>
      <c r="Q93" s="52">
        <v>0</v>
      </c>
      <c r="R93" s="53"/>
      <c r="S93" s="52"/>
      <c r="T93" s="52"/>
      <c r="U93" s="52"/>
      <c r="V93" s="52">
        <v>0</v>
      </c>
      <c r="X93" s="52">
        <f t="shared" si="2"/>
        <v>0</v>
      </c>
      <c r="Y93" s="120"/>
      <c r="Z93" s="47" t="s">
        <v>248</v>
      </c>
    </row>
    <row r="94" spans="1:26" s="4" customFormat="1" x14ac:dyDescent="0.3">
      <c r="A94" s="107">
        <v>84</v>
      </c>
      <c r="B94" s="48"/>
      <c r="C94" s="48" t="s">
        <v>435</v>
      </c>
      <c r="D94" s="48" t="s">
        <v>73</v>
      </c>
      <c r="E94" s="48" t="s">
        <v>73</v>
      </c>
      <c r="F94" s="48" t="s">
        <v>6</v>
      </c>
      <c r="G94" s="47" t="s">
        <v>24</v>
      </c>
      <c r="H94" s="50"/>
      <c r="I94" s="52">
        <v>0</v>
      </c>
      <c r="J94" s="52">
        <v>0</v>
      </c>
      <c r="K94" s="52">
        <v>0</v>
      </c>
      <c r="L94" s="52">
        <v>0</v>
      </c>
      <c r="M94" s="53"/>
      <c r="N94" s="52">
        <v>0</v>
      </c>
      <c r="O94" s="52">
        <v>0</v>
      </c>
      <c r="P94" s="52">
        <v>0</v>
      </c>
      <c r="Q94" s="52">
        <v>0</v>
      </c>
      <c r="R94" s="53"/>
      <c r="S94" s="52"/>
      <c r="T94" s="52"/>
      <c r="U94" s="52"/>
      <c r="V94" s="52">
        <v>0</v>
      </c>
      <c r="X94" s="52">
        <f t="shared" si="2"/>
        <v>0</v>
      </c>
      <c r="Y94" s="120"/>
      <c r="Z94" s="47" t="s">
        <v>248</v>
      </c>
    </row>
    <row r="95" spans="1:26" s="4" customFormat="1" x14ac:dyDescent="0.3">
      <c r="A95" s="107">
        <v>85</v>
      </c>
      <c r="B95" s="48"/>
      <c r="C95" s="48" t="s">
        <v>436</v>
      </c>
      <c r="D95" s="48" t="s">
        <v>73</v>
      </c>
      <c r="E95" s="48" t="s">
        <v>73</v>
      </c>
      <c r="F95" s="48" t="s">
        <v>6</v>
      </c>
      <c r="G95" s="47" t="s">
        <v>24</v>
      </c>
      <c r="H95" s="50"/>
      <c r="I95" s="52">
        <v>577870.57315254654</v>
      </c>
      <c r="J95" s="52">
        <v>946049.47723803541</v>
      </c>
      <c r="K95" s="52">
        <v>1364119.345330683</v>
      </c>
      <c r="L95" s="52">
        <v>1293714.6773522103</v>
      </c>
      <c r="M95" s="53"/>
      <c r="N95" s="52">
        <v>985049.63075873605</v>
      </c>
      <c r="O95" s="52">
        <v>389985.51282389159</v>
      </c>
      <c r="P95" s="52">
        <v>246934.60558483953</v>
      </c>
      <c r="Q95" s="52">
        <v>68.245485895018888</v>
      </c>
      <c r="R95" s="53"/>
      <c r="S95" s="52"/>
      <c r="T95" s="52"/>
      <c r="U95" s="52"/>
      <c r="V95" s="52">
        <v>0</v>
      </c>
      <c r="X95" s="52">
        <f t="shared" si="2"/>
        <v>2559716.0784201133</v>
      </c>
      <c r="Y95" s="120"/>
      <c r="Z95" s="47" t="s">
        <v>248</v>
      </c>
    </row>
    <row r="96" spans="1:26" s="4" customFormat="1" x14ac:dyDescent="0.3">
      <c r="A96" s="107">
        <v>86</v>
      </c>
      <c r="B96" s="48"/>
      <c r="C96" s="48" t="s">
        <v>437</v>
      </c>
      <c r="D96" s="48" t="s">
        <v>73</v>
      </c>
      <c r="E96" s="48" t="s">
        <v>73</v>
      </c>
      <c r="F96" s="48" t="s">
        <v>6</v>
      </c>
      <c r="G96" s="47" t="s">
        <v>24</v>
      </c>
      <c r="H96" s="50"/>
      <c r="I96" s="52">
        <v>3361.7668125846453</v>
      </c>
      <c r="J96" s="52">
        <v>0</v>
      </c>
      <c r="K96" s="52">
        <v>0</v>
      </c>
      <c r="L96" s="52">
        <v>0</v>
      </c>
      <c r="M96" s="53"/>
      <c r="N96" s="52">
        <v>26940.309261218859</v>
      </c>
      <c r="O96" s="52">
        <v>1048.6911960635575</v>
      </c>
      <c r="P96" s="52">
        <v>0</v>
      </c>
      <c r="Q96" s="52">
        <v>0</v>
      </c>
      <c r="R96" s="53"/>
      <c r="S96" s="52"/>
      <c r="T96" s="52"/>
      <c r="U96" s="52"/>
      <c r="V96" s="52">
        <v>0</v>
      </c>
      <c r="X96" s="52">
        <f t="shared" si="2"/>
        <v>0</v>
      </c>
      <c r="Y96" s="120"/>
      <c r="Z96" s="47" t="s">
        <v>248</v>
      </c>
    </row>
    <row r="97" spans="1:26" s="4" customFormat="1" x14ac:dyDescent="0.3">
      <c r="A97" s="107">
        <v>87</v>
      </c>
      <c r="B97" s="48"/>
      <c r="C97" s="48" t="s">
        <v>438</v>
      </c>
      <c r="D97" s="48" t="s">
        <v>73</v>
      </c>
      <c r="E97" s="48" t="s">
        <v>73</v>
      </c>
      <c r="F97" s="48" t="s">
        <v>6</v>
      </c>
      <c r="G97" s="47" t="s">
        <v>24</v>
      </c>
      <c r="H97" s="50"/>
      <c r="I97" s="52">
        <v>0</v>
      </c>
      <c r="J97" s="52">
        <v>0</v>
      </c>
      <c r="K97" s="52">
        <v>30027.720929886753</v>
      </c>
      <c r="L97" s="52">
        <v>34607.760538083086</v>
      </c>
      <c r="M97" s="53"/>
      <c r="N97" s="52">
        <v>0</v>
      </c>
      <c r="O97" s="52">
        <v>0</v>
      </c>
      <c r="P97" s="52">
        <v>0</v>
      </c>
      <c r="Q97" s="52">
        <v>0</v>
      </c>
      <c r="R97" s="53"/>
      <c r="S97" s="52"/>
      <c r="T97" s="52"/>
      <c r="U97" s="52"/>
      <c r="V97" s="52">
        <v>0</v>
      </c>
      <c r="X97" s="52">
        <f t="shared" si="2"/>
        <v>64635.481467969839</v>
      </c>
      <c r="Y97" s="120"/>
      <c r="Z97" s="47" t="s">
        <v>248</v>
      </c>
    </row>
    <row r="98" spans="1:26" s="4" customFormat="1" x14ac:dyDescent="0.3">
      <c r="A98" s="107">
        <v>88</v>
      </c>
      <c r="B98" s="48"/>
      <c r="C98" s="48" t="s">
        <v>439</v>
      </c>
      <c r="D98" s="48" t="s">
        <v>73</v>
      </c>
      <c r="E98" s="48" t="s">
        <v>73</v>
      </c>
      <c r="F98" s="48" t="s">
        <v>6</v>
      </c>
      <c r="G98" s="47" t="s">
        <v>24</v>
      </c>
      <c r="H98" s="50"/>
      <c r="I98" s="52">
        <v>0</v>
      </c>
      <c r="J98" s="52">
        <v>0</v>
      </c>
      <c r="K98" s="52">
        <v>0</v>
      </c>
      <c r="L98" s="52">
        <v>0</v>
      </c>
      <c r="M98" s="53"/>
      <c r="N98" s="52">
        <v>0</v>
      </c>
      <c r="O98" s="52">
        <v>0</v>
      </c>
      <c r="P98" s="52">
        <v>0</v>
      </c>
      <c r="Q98" s="52">
        <v>0</v>
      </c>
      <c r="R98" s="53"/>
      <c r="S98" s="52"/>
      <c r="T98" s="52"/>
      <c r="U98" s="52"/>
      <c r="V98" s="52">
        <v>0</v>
      </c>
      <c r="X98" s="52">
        <f t="shared" si="2"/>
        <v>0</v>
      </c>
      <c r="Y98" s="120"/>
      <c r="Z98" s="47" t="s">
        <v>248</v>
      </c>
    </row>
    <row r="99" spans="1:26" s="4" customFormat="1" x14ac:dyDescent="0.3">
      <c r="A99" s="107">
        <v>89</v>
      </c>
      <c r="B99" s="48"/>
      <c r="C99" s="48" t="s">
        <v>440</v>
      </c>
      <c r="D99" s="48" t="s">
        <v>73</v>
      </c>
      <c r="E99" s="48" t="s">
        <v>73</v>
      </c>
      <c r="F99" s="48" t="s">
        <v>6</v>
      </c>
      <c r="G99" s="47" t="s">
        <v>24</v>
      </c>
      <c r="H99" s="50"/>
      <c r="I99" s="52">
        <v>318527.28579952603</v>
      </c>
      <c r="J99" s="52">
        <v>552281.47005979903</v>
      </c>
      <c r="K99" s="52">
        <v>119431.41065115503</v>
      </c>
      <c r="L99" s="52">
        <v>224005.8987253829</v>
      </c>
      <c r="M99" s="53"/>
      <c r="N99" s="52">
        <v>305903.36572810839</v>
      </c>
      <c r="O99" s="52">
        <v>487687.55637941306</v>
      </c>
      <c r="P99" s="52">
        <v>35828.944791129383</v>
      </c>
      <c r="Q99" s="52">
        <v>402599.10014692933</v>
      </c>
      <c r="R99" s="53"/>
      <c r="S99" s="52"/>
      <c r="T99" s="52"/>
      <c r="U99" s="52"/>
      <c r="V99" s="52">
        <v>2317.6839017629131</v>
      </c>
      <c r="X99" s="52">
        <f t="shared" si="2"/>
        <v>0</v>
      </c>
      <c r="Y99" s="120"/>
      <c r="Z99" s="47" t="s">
        <v>248</v>
      </c>
    </row>
    <row r="100" spans="1:26" s="4" customFormat="1" x14ac:dyDescent="0.3">
      <c r="A100" s="107">
        <v>90</v>
      </c>
      <c r="B100" s="48"/>
      <c r="C100" s="48" t="s">
        <v>441</v>
      </c>
      <c r="D100" s="48" t="s">
        <v>73</v>
      </c>
      <c r="E100" s="48" t="s">
        <v>73</v>
      </c>
      <c r="F100" s="48" t="s">
        <v>6</v>
      </c>
      <c r="G100" s="47" t="s">
        <v>24</v>
      </c>
      <c r="H100" s="50"/>
      <c r="I100" s="52">
        <v>37456.670522290369</v>
      </c>
      <c r="J100" s="52">
        <v>14876.7390228931</v>
      </c>
      <c r="K100" s="52">
        <v>19306.528654748614</v>
      </c>
      <c r="L100" s="52">
        <v>13385.759957422881</v>
      </c>
      <c r="M100" s="53"/>
      <c r="N100" s="52">
        <v>19835.949173013534</v>
      </c>
      <c r="O100" s="52">
        <v>48561.913376553799</v>
      </c>
      <c r="P100" s="52">
        <v>17583.493374510326</v>
      </c>
      <c r="Q100" s="52">
        <v>2135.3944771071001</v>
      </c>
      <c r="R100" s="53"/>
      <c r="S100" s="52"/>
      <c r="T100" s="52"/>
      <c r="U100" s="52"/>
      <c r="V100" s="52">
        <v>0</v>
      </c>
      <c r="X100" s="52">
        <f t="shared" si="2"/>
        <v>0</v>
      </c>
      <c r="Y100" s="120"/>
      <c r="Z100" s="47" t="s">
        <v>248</v>
      </c>
    </row>
    <row r="101" spans="1:26" s="4" customFormat="1" x14ac:dyDescent="0.3">
      <c r="A101" s="107">
        <v>91</v>
      </c>
      <c r="B101" s="48"/>
      <c r="C101" s="48" t="s">
        <v>442</v>
      </c>
      <c r="D101" s="48" t="s">
        <v>73</v>
      </c>
      <c r="E101" s="48" t="s">
        <v>73</v>
      </c>
      <c r="F101" s="48" t="s">
        <v>6</v>
      </c>
      <c r="G101" s="47" t="s">
        <v>24</v>
      </c>
      <c r="H101" s="50"/>
      <c r="I101" s="52">
        <v>262.76189493496105</v>
      </c>
      <c r="J101" s="52">
        <v>-4.5651241786170765E-4</v>
      </c>
      <c r="K101" s="52">
        <v>3.125395029215008E-4</v>
      </c>
      <c r="L101" s="52">
        <v>0</v>
      </c>
      <c r="M101" s="53"/>
      <c r="N101" s="52">
        <v>0</v>
      </c>
      <c r="O101" s="52">
        <v>-4.5651241786170765E-4</v>
      </c>
      <c r="P101" s="52">
        <v>0</v>
      </c>
      <c r="Q101" s="52">
        <v>0</v>
      </c>
      <c r="R101" s="53"/>
      <c r="S101" s="52"/>
      <c r="T101" s="52"/>
      <c r="U101" s="52"/>
      <c r="V101" s="52">
        <v>0</v>
      </c>
      <c r="X101" s="52">
        <f t="shared" si="2"/>
        <v>262.76220747446399</v>
      </c>
      <c r="Y101" s="120"/>
      <c r="Z101" s="47" t="s">
        <v>248</v>
      </c>
    </row>
    <row r="102" spans="1:26" s="4" customFormat="1" x14ac:dyDescent="0.3">
      <c r="A102" s="107">
        <v>92</v>
      </c>
      <c r="B102" s="48"/>
      <c r="C102" s="48" t="s">
        <v>443</v>
      </c>
      <c r="D102" s="48" t="s">
        <v>73</v>
      </c>
      <c r="E102" s="48" t="s">
        <v>73</v>
      </c>
      <c r="F102" s="48" t="s">
        <v>6</v>
      </c>
      <c r="G102" s="47" t="s">
        <v>24</v>
      </c>
      <c r="H102" s="50"/>
      <c r="I102" s="52">
        <v>0</v>
      </c>
      <c r="J102" s="52">
        <v>0</v>
      </c>
      <c r="K102" s="52">
        <v>0</v>
      </c>
      <c r="L102" s="52">
        <v>0</v>
      </c>
      <c r="M102" s="53"/>
      <c r="N102" s="52">
        <v>0</v>
      </c>
      <c r="O102" s="52">
        <v>0</v>
      </c>
      <c r="P102" s="52">
        <v>0</v>
      </c>
      <c r="Q102" s="52">
        <v>0</v>
      </c>
      <c r="R102" s="53"/>
      <c r="S102" s="52"/>
      <c r="T102" s="52"/>
      <c r="U102" s="52"/>
      <c r="V102" s="52">
        <v>0</v>
      </c>
      <c r="X102" s="52">
        <f t="shared" si="2"/>
        <v>0</v>
      </c>
      <c r="Y102" s="120"/>
      <c r="Z102" s="47" t="s">
        <v>248</v>
      </c>
    </row>
    <row r="103" spans="1:26" s="4" customFormat="1" x14ac:dyDescent="0.3">
      <c r="A103" s="107">
        <v>93</v>
      </c>
      <c r="B103" s="48"/>
      <c r="C103" s="48" t="s">
        <v>444</v>
      </c>
      <c r="D103" s="48" t="s">
        <v>73</v>
      </c>
      <c r="E103" s="48" t="s">
        <v>73</v>
      </c>
      <c r="F103" s="48" t="s">
        <v>6</v>
      </c>
      <c r="G103" s="47" t="s">
        <v>24</v>
      </c>
      <c r="H103" s="50"/>
      <c r="I103" s="52">
        <v>91633.874033413871</v>
      </c>
      <c r="J103" s="52">
        <v>-1129.5952397818451</v>
      </c>
      <c r="K103" s="52">
        <v>0</v>
      </c>
      <c r="L103" s="52">
        <v>0</v>
      </c>
      <c r="M103" s="53"/>
      <c r="N103" s="52">
        <v>111341.97608636298</v>
      </c>
      <c r="O103" s="52">
        <v>6745.9552146796395</v>
      </c>
      <c r="P103" s="52">
        <v>0</v>
      </c>
      <c r="Q103" s="52">
        <v>0</v>
      </c>
      <c r="R103" s="53"/>
      <c r="S103" s="52"/>
      <c r="T103" s="52"/>
      <c r="U103" s="52"/>
      <c r="V103" s="52">
        <v>0</v>
      </c>
      <c r="X103" s="52">
        <f t="shared" si="2"/>
        <v>0</v>
      </c>
      <c r="Y103" s="120"/>
      <c r="Z103" s="47" t="s">
        <v>248</v>
      </c>
    </row>
    <row r="104" spans="1:26" s="4" customFormat="1" x14ac:dyDescent="0.3">
      <c r="A104" s="107">
        <v>94</v>
      </c>
      <c r="B104" s="48"/>
      <c r="C104" s="48" t="s">
        <v>445</v>
      </c>
      <c r="D104" s="48" t="s">
        <v>73</v>
      </c>
      <c r="E104" s="48" t="s">
        <v>73</v>
      </c>
      <c r="F104" s="48" t="s">
        <v>6</v>
      </c>
      <c r="G104" s="47" t="s">
        <v>24</v>
      </c>
      <c r="H104" s="50"/>
      <c r="I104" s="52">
        <v>453117.43210020039</v>
      </c>
      <c r="J104" s="52">
        <v>80343.633182732272</v>
      </c>
      <c r="K104" s="52">
        <v>138176.24237363462</v>
      </c>
      <c r="L104" s="52">
        <v>8371.0957716652974</v>
      </c>
      <c r="M104" s="53"/>
      <c r="N104" s="52">
        <v>452035.66467843397</v>
      </c>
      <c r="O104" s="52">
        <v>87.796468203163613</v>
      </c>
      <c r="P104" s="52">
        <v>0</v>
      </c>
      <c r="Q104" s="52">
        <v>219896.28827218403</v>
      </c>
      <c r="R104" s="53"/>
      <c r="S104" s="52"/>
      <c r="T104" s="52"/>
      <c r="U104" s="52"/>
      <c r="V104" s="52">
        <v>1913.9758522824093</v>
      </c>
      <c r="X104" s="52">
        <f t="shared" si="2"/>
        <v>7988.6540094114607</v>
      </c>
      <c r="Y104" s="120"/>
      <c r="Z104" s="47" t="s">
        <v>248</v>
      </c>
    </row>
    <row r="105" spans="1:26" s="4" customFormat="1" x14ac:dyDescent="0.3">
      <c r="A105" s="107">
        <v>95</v>
      </c>
      <c r="B105" s="48"/>
      <c r="C105" s="48" t="s">
        <v>446</v>
      </c>
      <c r="D105" s="48" t="s">
        <v>73</v>
      </c>
      <c r="E105" s="48" t="s">
        <v>73</v>
      </c>
      <c r="F105" s="48" t="s">
        <v>6</v>
      </c>
      <c r="G105" s="47" t="s">
        <v>24</v>
      </c>
      <c r="H105" s="50"/>
      <c r="I105" s="52">
        <v>47544.761934865441</v>
      </c>
      <c r="J105" s="52">
        <v>77151.3377122331</v>
      </c>
      <c r="K105" s="52">
        <v>41021.261065489198</v>
      </c>
      <c r="L105" s="52">
        <v>47288.170786643524</v>
      </c>
      <c r="M105" s="53"/>
      <c r="N105" s="52">
        <v>64705.935557979952</v>
      </c>
      <c r="O105" s="52">
        <v>73459.95410624519</v>
      </c>
      <c r="P105" s="52">
        <v>43834.196914436376</v>
      </c>
      <c r="Q105" s="52">
        <v>44045.591984370607</v>
      </c>
      <c r="R105" s="53"/>
      <c r="S105" s="52"/>
      <c r="T105" s="52"/>
      <c r="U105" s="52"/>
      <c r="V105" s="52">
        <v>854.64666231275578</v>
      </c>
      <c r="X105" s="52">
        <f t="shared" si="2"/>
        <v>0</v>
      </c>
      <c r="Y105" s="120"/>
      <c r="Z105" s="47" t="s">
        <v>248</v>
      </c>
    </row>
    <row r="106" spans="1:26" s="4" customFormat="1" x14ac:dyDescent="0.3">
      <c r="A106" s="107">
        <v>96</v>
      </c>
      <c r="B106" s="48"/>
      <c r="C106" s="48" t="s">
        <v>447</v>
      </c>
      <c r="D106" s="48" t="s">
        <v>73</v>
      </c>
      <c r="E106" s="48" t="s">
        <v>73</v>
      </c>
      <c r="F106" s="48" t="s">
        <v>6</v>
      </c>
      <c r="G106" s="47" t="s">
        <v>24</v>
      </c>
      <c r="H106" s="50"/>
      <c r="I106" s="52">
        <v>8111.8048104176196</v>
      </c>
      <c r="J106" s="52">
        <v>0</v>
      </c>
      <c r="K106" s="52">
        <v>0</v>
      </c>
      <c r="L106" s="52">
        <v>0</v>
      </c>
      <c r="M106" s="53"/>
      <c r="N106" s="52">
        <v>0</v>
      </c>
      <c r="O106" s="52">
        <v>0</v>
      </c>
      <c r="P106" s="52">
        <v>0</v>
      </c>
      <c r="Q106" s="52">
        <v>0</v>
      </c>
      <c r="R106" s="53"/>
      <c r="S106" s="52"/>
      <c r="T106" s="52"/>
      <c r="U106" s="52"/>
      <c r="V106" s="52">
        <v>0</v>
      </c>
      <c r="X106" s="52">
        <f t="shared" si="2"/>
        <v>8111.8048104176196</v>
      </c>
      <c r="Y106" s="120"/>
      <c r="Z106" s="47" t="s">
        <v>248</v>
      </c>
    </row>
    <row r="107" spans="1:26" s="4" customFormat="1" x14ac:dyDescent="0.3">
      <c r="A107" s="107">
        <v>97</v>
      </c>
      <c r="B107" s="48"/>
      <c r="C107" s="48" t="s">
        <v>448</v>
      </c>
      <c r="D107" s="48" t="s">
        <v>73</v>
      </c>
      <c r="E107" s="48" t="s">
        <v>73</v>
      </c>
      <c r="F107" s="48" t="s">
        <v>6</v>
      </c>
      <c r="G107" s="47" t="s">
        <v>24</v>
      </c>
      <c r="H107" s="50"/>
      <c r="I107" s="52">
        <v>203847.70532595308</v>
      </c>
      <c r="J107" s="52">
        <v>260984.04067977751</v>
      </c>
      <c r="K107" s="52">
        <v>111542.9176604299</v>
      </c>
      <c r="L107" s="52">
        <v>25495.779686697479</v>
      </c>
      <c r="M107" s="53"/>
      <c r="N107" s="52">
        <v>289757.33779869066</v>
      </c>
      <c r="O107" s="52">
        <v>444559.69154809718</v>
      </c>
      <c r="P107" s="52">
        <v>9257.6404168844147</v>
      </c>
      <c r="Q107" s="52">
        <v>208849.56681353779</v>
      </c>
      <c r="R107" s="53"/>
      <c r="S107" s="52"/>
      <c r="T107" s="52"/>
      <c r="U107" s="52"/>
      <c r="V107" s="52">
        <v>270.16233488273309</v>
      </c>
      <c r="X107" s="52">
        <f t="shared" si="2"/>
        <v>0</v>
      </c>
      <c r="Z107" s="47" t="s">
        <v>248</v>
      </c>
    </row>
    <row r="108" spans="1:26" s="4" customFormat="1" x14ac:dyDescent="0.3">
      <c r="A108" s="107">
        <v>98</v>
      </c>
      <c r="B108" s="48"/>
      <c r="C108" s="48" t="s">
        <v>449</v>
      </c>
      <c r="D108" s="48" t="s">
        <v>73</v>
      </c>
      <c r="E108" s="48" t="s">
        <v>73</v>
      </c>
      <c r="F108" s="48" t="s">
        <v>6</v>
      </c>
      <c r="G108" s="47" t="s">
        <v>24</v>
      </c>
      <c r="H108" s="50"/>
      <c r="I108" s="52">
        <v>0</v>
      </c>
      <c r="J108" s="52">
        <v>0</v>
      </c>
      <c r="K108" s="52">
        <v>0</v>
      </c>
      <c r="L108" s="52">
        <v>0</v>
      </c>
      <c r="M108" s="53"/>
      <c r="N108" s="52">
        <v>0</v>
      </c>
      <c r="O108" s="52">
        <v>0</v>
      </c>
      <c r="P108" s="52">
        <v>0</v>
      </c>
      <c r="Q108" s="52">
        <v>0</v>
      </c>
      <c r="R108" s="53"/>
      <c r="S108" s="52"/>
      <c r="T108" s="52"/>
      <c r="U108" s="52"/>
      <c r="V108" s="52">
        <v>0</v>
      </c>
      <c r="X108" s="52">
        <f t="shared" si="2"/>
        <v>0</v>
      </c>
      <c r="Z108" s="47" t="s">
        <v>248</v>
      </c>
    </row>
    <row r="109" spans="1:26" s="4" customFormat="1" x14ac:dyDescent="0.3">
      <c r="A109" s="107">
        <v>99</v>
      </c>
      <c r="B109" s="48"/>
      <c r="C109" s="48" t="s">
        <v>450</v>
      </c>
      <c r="D109" s="48" t="s">
        <v>73</v>
      </c>
      <c r="E109" s="48" t="s">
        <v>73</v>
      </c>
      <c r="F109" s="48" t="s">
        <v>6</v>
      </c>
      <c r="G109" s="47" t="s">
        <v>24</v>
      </c>
      <c r="H109" s="50"/>
      <c r="I109" s="52">
        <v>0</v>
      </c>
      <c r="J109" s="52">
        <v>0</v>
      </c>
      <c r="K109" s="52">
        <v>0</v>
      </c>
      <c r="L109" s="52">
        <v>0</v>
      </c>
      <c r="M109" s="53"/>
      <c r="N109" s="52">
        <v>0</v>
      </c>
      <c r="O109" s="52">
        <v>0</v>
      </c>
      <c r="P109" s="52">
        <v>0</v>
      </c>
      <c r="Q109" s="52">
        <v>0</v>
      </c>
      <c r="R109" s="53"/>
      <c r="S109" s="52"/>
      <c r="T109" s="52"/>
      <c r="U109" s="52"/>
      <c r="V109" s="52">
        <v>0</v>
      </c>
      <c r="X109" s="52">
        <f t="shared" si="2"/>
        <v>0</v>
      </c>
      <c r="Z109" s="47" t="s">
        <v>248</v>
      </c>
    </row>
    <row r="110" spans="1:26" s="4" customFormat="1" x14ac:dyDescent="0.3">
      <c r="A110" s="107">
        <v>100</v>
      </c>
      <c r="B110" s="48"/>
      <c r="C110" s="48" t="s">
        <v>451</v>
      </c>
      <c r="D110" s="48" t="s">
        <v>73</v>
      </c>
      <c r="E110" s="48" t="s">
        <v>73</v>
      </c>
      <c r="F110" s="48" t="s">
        <v>6</v>
      </c>
      <c r="G110" s="47" t="s">
        <v>24</v>
      </c>
      <c r="H110" s="50"/>
      <c r="I110" s="52">
        <v>14569.199648325186</v>
      </c>
      <c r="J110" s="52">
        <v>-1249.3014694811243</v>
      </c>
      <c r="K110" s="52">
        <v>1422.3672777957499</v>
      </c>
      <c r="L110" s="52">
        <v>295335.47747008054</v>
      </c>
      <c r="M110" s="53"/>
      <c r="N110" s="52">
        <v>21120.912467080103</v>
      </c>
      <c r="O110" s="52">
        <v>13829.868854864391</v>
      </c>
      <c r="P110" s="52">
        <v>0</v>
      </c>
      <c r="Q110" s="52">
        <v>670842.40048426704</v>
      </c>
      <c r="R110" s="53"/>
      <c r="S110" s="52"/>
      <c r="T110" s="52"/>
      <c r="U110" s="52"/>
      <c r="V110" s="52">
        <v>19808.040231546784</v>
      </c>
      <c r="X110" s="52">
        <f t="shared" si="2"/>
        <v>0</v>
      </c>
      <c r="Z110" s="47" t="s">
        <v>248</v>
      </c>
    </row>
    <row r="111" spans="1:26" s="4" customFormat="1" x14ac:dyDescent="0.3">
      <c r="A111" s="107">
        <v>101</v>
      </c>
      <c r="B111" s="48"/>
      <c r="C111" s="48" t="s">
        <v>452</v>
      </c>
      <c r="D111" s="48" t="s">
        <v>73</v>
      </c>
      <c r="E111" s="48" t="s">
        <v>73</v>
      </c>
      <c r="F111" s="48" t="s">
        <v>6</v>
      </c>
      <c r="G111" s="47" t="s">
        <v>24</v>
      </c>
      <c r="H111" s="50"/>
      <c r="I111" s="52">
        <v>696.95902990397906</v>
      </c>
      <c r="J111" s="52">
        <v>-798.79629852605876</v>
      </c>
      <c r="K111" s="52">
        <v>0</v>
      </c>
      <c r="L111" s="52">
        <v>0</v>
      </c>
      <c r="M111" s="53"/>
      <c r="N111" s="52">
        <v>0</v>
      </c>
      <c r="O111" s="52">
        <v>0</v>
      </c>
      <c r="P111" s="52">
        <v>0</v>
      </c>
      <c r="Q111" s="52">
        <v>0</v>
      </c>
      <c r="R111" s="53"/>
      <c r="S111" s="52"/>
      <c r="T111" s="52"/>
      <c r="U111" s="52"/>
      <c r="V111" s="52">
        <v>0</v>
      </c>
      <c r="X111" s="52">
        <f t="shared" si="2"/>
        <v>0</v>
      </c>
      <c r="Z111" s="47" t="s">
        <v>248</v>
      </c>
    </row>
    <row r="112" spans="1:26" s="4" customFormat="1" x14ac:dyDescent="0.3">
      <c r="A112" s="107">
        <v>102</v>
      </c>
      <c r="B112" s="48"/>
      <c r="C112" s="48" t="s">
        <v>453</v>
      </c>
      <c r="D112" s="48" t="s">
        <v>73</v>
      </c>
      <c r="E112" s="48" t="s">
        <v>73</v>
      </c>
      <c r="F112" s="48" t="s">
        <v>6</v>
      </c>
      <c r="G112" s="47" t="s">
        <v>24</v>
      </c>
      <c r="H112" s="50"/>
      <c r="I112" s="52">
        <v>23971.433793550135</v>
      </c>
      <c r="J112" s="52">
        <v>42452.764681021326</v>
      </c>
      <c r="K112" s="52">
        <v>0</v>
      </c>
      <c r="L112" s="52">
        <v>0</v>
      </c>
      <c r="M112" s="53"/>
      <c r="N112" s="52">
        <v>0</v>
      </c>
      <c r="O112" s="52">
        <v>69926.82235595872</v>
      </c>
      <c r="P112" s="52">
        <v>442.83253359693066</v>
      </c>
      <c r="Q112" s="52">
        <v>0</v>
      </c>
      <c r="R112" s="53"/>
      <c r="S112" s="52"/>
      <c r="T112" s="52"/>
      <c r="U112" s="52"/>
      <c r="V112" s="52">
        <v>0</v>
      </c>
      <c r="X112" s="52">
        <f t="shared" si="2"/>
        <v>0</v>
      </c>
      <c r="Z112" s="47" t="s">
        <v>248</v>
      </c>
    </row>
    <row r="113" spans="1:26" s="4" customFormat="1" x14ac:dyDescent="0.3">
      <c r="A113" s="107">
        <v>103</v>
      </c>
      <c r="B113" s="48"/>
      <c r="C113" s="48" t="s">
        <v>454</v>
      </c>
      <c r="D113" s="48" t="s">
        <v>73</v>
      </c>
      <c r="E113" s="48" t="s">
        <v>73</v>
      </c>
      <c r="F113" s="48" t="s">
        <v>6</v>
      </c>
      <c r="G113" s="47" t="s">
        <v>24</v>
      </c>
      <c r="H113" s="50"/>
      <c r="I113" s="52">
        <v>64.73850715424426</v>
      </c>
      <c r="J113" s="52">
        <v>0</v>
      </c>
      <c r="K113" s="52">
        <v>0</v>
      </c>
      <c r="L113" s="52">
        <v>0</v>
      </c>
      <c r="M113" s="53"/>
      <c r="N113" s="52">
        <v>34848.630219488266</v>
      </c>
      <c r="O113" s="52">
        <v>20286.96675016687</v>
      </c>
      <c r="P113" s="52">
        <v>0</v>
      </c>
      <c r="Q113" s="52">
        <v>12155.907124333393</v>
      </c>
      <c r="R113" s="53"/>
      <c r="S113" s="52"/>
      <c r="T113" s="52"/>
      <c r="U113" s="52"/>
      <c r="V113" s="52">
        <v>0</v>
      </c>
      <c r="X113" s="52">
        <f t="shared" si="2"/>
        <v>0</v>
      </c>
      <c r="Z113" s="47" t="s">
        <v>248</v>
      </c>
    </row>
    <row r="114" spans="1:26" s="4" customFormat="1" x14ac:dyDescent="0.3">
      <c r="A114" s="107">
        <v>104</v>
      </c>
      <c r="B114" s="48"/>
      <c r="C114" s="48" t="s">
        <v>455</v>
      </c>
      <c r="D114" s="48" t="s">
        <v>73</v>
      </c>
      <c r="E114" s="48" t="s">
        <v>73</v>
      </c>
      <c r="F114" s="48" t="s">
        <v>6</v>
      </c>
      <c r="G114" s="47" t="s">
        <v>24</v>
      </c>
      <c r="H114" s="50"/>
      <c r="I114" s="52">
        <v>-162.28879293574457</v>
      </c>
      <c r="J114" s="52">
        <v>0</v>
      </c>
      <c r="K114" s="52">
        <v>0</v>
      </c>
      <c r="L114" s="52">
        <v>0</v>
      </c>
      <c r="M114" s="53"/>
      <c r="N114" s="52">
        <v>6730.3244528738214</v>
      </c>
      <c r="O114" s="52">
        <v>0</v>
      </c>
      <c r="P114" s="52">
        <v>0</v>
      </c>
      <c r="Q114" s="52">
        <v>0</v>
      </c>
      <c r="R114" s="53"/>
      <c r="S114" s="52"/>
      <c r="T114" s="52"/>
      <c r="U114" s="52"/>
      <c r="V114" s="52">
        <v>0</v>
      </c>
      <c r="X114" s="52">
        <f>IF((SUM(I114:L114)-SUM(N114:Q114))&gt;0,SUM(I114:L114)-SUM(N114:Q114),0)</f>
        <v>0</v>
      </c>
      <c r="Z114" s="47" t="s">
        <v>248</v>
      </c>
    </row>
    <row r="115" spans="1:26" s="4" customFormat="1" x14ac:dyDescent="0.3">
      <c r="A115" s="107">
        <v>105</v>
      </c>
      <c r="B115" s="48"/>
      <c r="C115" s="48" t="s">
        <v>456</v>
      </c>
      <c r="D115" s="48" t="s">
        <v>73</v>
      </c>
      <c r="E115" s="48" t="s">
        <v>74</v>
      </c>
      <c r="F115" s="48" t="s">
        <v>6</v>
      </c>
      <c r="G115" s="47" t="s">
        <v>24</v>
      </c>
      <c r="H115" s="50"/>
      <c r="I115" s="52">
        <v>0</v>
      </c>
      <c r="J115" s="52">
        <v>-63097.840314817724</v>
      </c>
      <c r="K115" s="52">
        <v>26740.904560584338</v>
      </c>
      <c r="L115" s="52">
        <v>32477.962077876902</v>
      </c>
      <c r="M115" s="53"/>
      <c r="N115" s="52">
        <v>0</v>
      </c>
      <c r="O115" s="52">
        <v>0</v>
      </c>
      <c r="P115" s="52">
        <v>0</v>
      </c>
      <c r="Q115" s="52">
        <v>0</v>
      </c>
      <c r="R115" s="53"/>
      <c r="S115" s="52"/>
      <c r="T115" s="52"/>
      <c r="U115" s="52"/>
      <c r="V115" s="52">
        <v>0</v>
      </c>
      <c r="X115" s="52">
        <f t="shared" ref="X115:X148" si="3">IF((SUM(I115:L115)-SUM(N115:Q115))&gt;0,SUM(I115:L115)-SUM(N115:Q115),0)</f>
        <v>0</v>
      </c>
      <c r="Z115" s="47" t="s">
        <v>248</v>
      </c>
    </row>
    <row r="116" spans="1:26" s="4" customFormat="1" x14ac:dyDescent="0.3">
      <c r="A116" s="107">
        <v>106</v>
      </c>
      <c r="B116" s="48"/>
      <c r="C116" s="48" t="s">
        <v>457</v>
      </c>
      <c r="D116" s="48" t="s">
        <v>73</v>
      </c>
      <c r="E116" s="48" t="s">
        <v>73</v>
      </c>
      <c r="F116" s="48" t="s">
        <v>6</v>
      </c>
      <c r="G116" s="47" t="s">
        <v>24</v>
      </c>
      <c r="H116" s="50"/>
      <c r="I116" s="52">
        <v>15600.32722781098</v>
      </c>
      <c r="J116" s="52">
        <v>371290.58519721363</v>
      </c>
      <c r="K116" s="52">
        <v>244064.34249010994</v>
      </c>
      <c r="L116" s="52">
        <v>-14738.893728965222</v>
      </c>
      <c r="M116" s="53"/>
      <c r="N116" s="52">
        <v>15261.73940241347</v>
      </c>
      <c r="O116" s="52">
        <v>386604.27508086298</v>
      </c>
      <c r="P116" s="52">
        <v>33760.615555523931</v>
      </c>
      <c r="Q116" s="52">
        <v>202444.94961188242</v>
      </c>
      <c r="R116" s="53"/>
      <c r="S116" s="52"/>
      <c r="T116" s="52"/>
      <c r="U116" s="52"/>
      <c r="V116" s="52">
        <v>1158.7165847427004</v>
      </c>
      <c r="X116" s="52">
        <f t="shared" si="3"/>
        <v>0</v>
      </c>
      <c r="Z116" s="47" t="s">
        <v>248</v>
      </c>
    </row>
    <row r="117" spans="1:26" s="4" customFormat="1" x14ac:dyDescent="0.3">
      <c r="A117" s="107">
        <v>107</v>
      </c>
      <c r="B117" s="48"/>
      <c r="C117" s="48" t="s">
        <v>458</v>
      </c>
      <c r="D117" s="48" t="s">
        <v>73</v>
      </c>
      <c r="E117" s="48" t="s">
        <v>73</v>
      </c>
      <c r="F117" s="48" t="s">
        <v>6</v>
      </c>
      <c r="G117" s="47" t="s">
        <v>24</v>
      </c>
      <c r="H117" s="50"/>
      <c r="I117" s="52">
        <v>0</v>
      </c>
      <c r="J117" s="52">
        <v>6080.1062885329393</v>
      </c>
      <c r="K117" s="52">
        <v>0</v>
      </c>
      <c r="L117" s="52">
        <v>0</v>
      </c>
      <c r="M117" s="53"/>
      <c r="N117" s="52">
        <v>0</v>
      </c>
      <c r="O117" s="52">
        <v>0</v>
      </c>
      <c r="P117" s="52">
        <v>4162.5886236103006</v>
      </c>
      <c r="Q117" s="52">
        <v>0</v>
      </c>
      <c r="R117" s="53"/>
      <c r="S117" s="52"/>
      <c r="T117" s="52"/>
      <c r="U117" s="52"/>
      <c r="V117" s="52">
        <v>0</v>
      </c>
      <c r="X117" s="52">
        <f t="shared" si="3"/>
        <v>1917.5176649226387</v>
      </c>
      <c r="Z117" s="47" t="s">
        <v>248</v>
      </c>
    </row>
    <row r="118" spans="1:26" s="4" customFormat="1" x14ac:dyDescent="0.3">
      <c r="A118" s="107">
        <v>108</v>
      </c>
      <c r="B118" s="48"/>
      <c r="C118" s="48" t="s">
        <v>459</v>
      </c>
      <c r="D118" s="48" t="s">
        <v>73</v>
      </c>
      <c r="E118" s="48" t="s">
        <v>73</v>
      </c>
      <c r="F118" s="48" t="s">
        <v>6</v>
      </c>
      <c r="G118" s="47" t="s">
        <v>24</v>
      </c>
      <c r="H118" s="50"/>
      <c r="I118" s="52">
        <v>64854.569007717</v>
      </c>
      <c r="J118" s="52">
        <v>0</v>
      </c>
      <c r="K118" s="52">
        <v>0</v>
      </c>
      <c r="L118" s="52">
        <v>0</v>
      </c>
      <c r="M118" s="53"/>
      <c r="N118" s="52">
        <v>64840.727652638554</v>
      </c>
      <c r="O118" s="52">
        <v>0</v>
      </c>
      <c r="P118" s="52">
        <v>0</v>
      </c>
      <c r="Q118" s="52">
        <v>0</v>
      </c>
      <c r="R118" s="53"/>
      <c r="S118" s="52"/>
      <c r="T118" s="52"/>
      <c r="U118" s="52"/>
      <c r="V118" s="52">
        <v>0</v>
      </c>
      <c r="X118" s="52">
        <f t="shared" si="3"/>
        <v>13.841355078446213</v>
      </c>
      <c r="Z118" s="47" t="s">
        <v>248</v>
      </c>
    </row>
    <row r="119" spans="1:26" s="4" customFormat="1" x14ac:dyDescent="0.3">
      <c r="A119" s="107">
        <v>109</v>
      </c>
      <c r="B119" s="48"/>
      <c r="C119" s="48" t="s">
        <v>460</v>
      </c>
      <c r="D119" s="48" t="s">
        <v>73</v>
      </c>
      <c r="E119" s="48" t="s">
        <v>73</v>
      </c>
      <c r="F119" s="48" t="s">
        <v>6</v>
      </c>
      <c r="G119" s="47" t="s">
        <v>24</v>
      </c>
      <c r="H119" s="50"/>
      <c r="I119" s="52">
        <v>0</v>
      </c>
      <c r="J119" s="52">
        <v>0</v>
      </c>
      <c r="K119" s="52">
        <v>0</v>
      </c>
      <c r="L119" s="52">
        <v>0</v>
      </c>
      <c r="M119" s="53"/>
      <c r="N119" s="52">
        <v>0</v>
      </c>
      <c r="O119" s="52">
        <v>0</v>
      </c>
      <c r="P119" s="52">
        <v>0</v>
      </c>
      <c r="Q119" s="52">
        <v>0</v>
      </c>
      <c r="R119" s="53"/>
      <c r="S119" s="52"/>
      <c r="T119" s="52"/>
      <c r="U119" s="52"/>
      <c r="V119" s="52">
        <v>0</v>
      </c>
      <c r="X119" s="52">
        <f t="shared" si="3"/>
        <v>0</v>
      </c>
      <c r="Z119" s="47" t="s">
        <v>248</v>
      </c>
    </row>
    <row r="120" spans="1:26" s="4" customFormat="1" x14ac:dyDescent="0.3">
      <c r="A120" s="107">
        <v>110</v>
      </c>
      <c r="B120" s="48"/>
      <c r="C120" s="48" t="s">
        <v>461</v>
      </c>
      <c r="D120" s="48" t="s">
        <v>73</v>
      </c>
      <c r="E120" s="48" t="s">
        <v>73</v>
      </c>
      <c r="F120" s="48" t="s">
        <v>6</v>
      </c>
      <c r="G120" s="47" t="s">
        <v>24</v>
      </c>
      <c r="H120" s="50"/>
      <c r="I120" s="52">
        <v>0</v>
      </c>
      <c r="J120" s="52">
        <v>0</v>
      </c>
      <c r="K120" s="52">
        <v>0</v>
      </c>
      <c r="L120" s="52">
        <v>0</v>
      </c>
      <c r="M120" s="53"/>
      <c r="N120" s="52">
        <v>0</v>
      </c>
      <c r="O120" s="52">
        <v>0</v>
      </c>
      <c r="P120" s="52">
        <v>0</v>
      </c>
      <c r="Q120" s="52">
        <v>0</v>
      </c>
      <c r="R120" s="53"/>
      <c r="S120" s="52"/>
      <c r="T120" s="52"/>
      <c r="U120" s="52"/>
      <c r="V120" s="52">
        <v>0</v>
      </c>
      <c r="X120" s="52">
        <f t="shared" si="3"/>
        <v>0</v>
      </c>
      <c r="Z120" s="47" t="s">
        <v>248</v>
      </c>
    </row>
    <row r="121" spans="1:26" s="4" customFormat="1" x14ac:dyDescent="0.3">
      <c r="A121" s="107">
        <v>111</v>
      </c>
      <c r="B121" s="48"/>
      <c r="C121" s="48" t="s">
        <v>462</v>
      </c>
      <c r="D121" s="48" t="s">
        <v>73</v>
      </c>
      <c r="E121" s="48" t="s">
        <v>73</v>
      </c>
      <c r="F121" s="48" t="s">
        <v>6</v>
      </c>
      <c r="G121" s="47" t="s">
        <v>24</v>
      </c>
      <c r="H121" s="50"/>
      <c r="I121" s="52">
        <v>0</v>
      </c>
      <c r="J121" s="52">
        <v>0</v>
      </c>
      <c r="K121" s="52">
        <v>0</v>
      </c>
      <c r="L121" s="52">
        <v>0</v>
      </c>
      <c r="M121" s="53"/>
      <c r="N121" s="52">
        <v>0</v>
      </c>
      <c r="O121" s="52">
        <v>0</v>
      </c>
      <c r="P121" s="52">
        <v>0</v>
      </c>
      <c r="Q121" s="52">
        <v>0</v>
      </c>
      <c r="R121" s="53"/>
      <c r="S121" s="52"/>
      <c r="T121" s="52"/>
      <c r="U121" s="52"/>
      <c r="V121" s="52">
        <v>0</v>
      </c>
      <c r="X121" s="52">
        <f t="shared" si="3"/>
        <v>0</v>
      </c>
      <c r="Z121" s="47" t="s">
        <v>248</v>
      </c>
    </row>
    <row r="122" spans="1:26" s="4" customFormat="1" x14ac:dyDescent="0.3">
      <c r="A122" s="107">
        <v>112</v>
      </c>
      <c r="B122" s="48"/>
      <c r="C122" s="48" t="s">
        <v>463</v>
      </c>
      <c r="D122" s="48" t="s">
        <v>73</v>
      </c>
      <c r="E122" s="48" t="s">
        <v>73</v>
      </c>
      <c r="F122" s="48" t="s">
        <v>6</v>
      </c>
      <c r="G122" s="47" t="s">
        <v>24</v>
      </c>
      <c r="H122" s="50"/>
      <c r="I122" s="52">
        <v>8417.1427135738813</v>
      </c>
      <c r="J122" s="52">
        <v>0</v>
      </c>
      <c r="K122" s="52">
        <v>0</v>
      </c>
      <c r="L122" s="52">
        <v>0</v>
      </c>
      <c r="M122" s="53"/>
      <c r="N122" s="52">
        <v>8417.1427135738813</v>
      </c>
      <c r="O122" s="52">
        <v>0</v>
      </c>
      <c r="P122" s="52">
        <v>0</v>
      </c>
      <c r="Q122" s="52">
        <v>0</v>
      </c>
      <c r="R122" s="53"/>
      <c r="S122" s="52"/>
      <c r="T122" s="52"/>
      <c r="U122" s="52"/>
      <c r="V122" s="52">
        <v>0</v>
      </c>
      <c r="X122" s="52">
        <f t="shared" si="3"/>
        <v>0</v>
      </c>
      <c r="Z122" s="47" t="s">
        <v>248</v>
      </c>
    </row>
    <row r="123" spans="1:26" x14ac:dyDescent="0.3">
      <c r="A123" s="107">
        <v>113</v>
      </c>
      <c r="B123" s="48"/>
      <c r="C123" s="48" t="s">
        <v>464</v>
      </c>
      <c r="D123" s="48" t="s">
        <v>73</v>
      </c>
      <c r="E123" s="48" t="s">
        <v>73</v>
      </c>
      <c r="F123" s="48" t="s">
        <v>6</v>
      </c>
      <c r="G123" s="47" t="s">
        <v>24</v>
      </c>
      <c r="H123" s="50"/>
      <c r="I123" s="52">
        <v>0</v>
      </c>
      <c r="J123" s="52">
        <v>0</v>
      </c>
      <c r="K123" s="52">
        <v>0</v>
      </c>
      <c r="L123" s="52">
        <v>0</v>
      </c>
      <c r="M123" s="55"/>
      <c r="N123" s="52">
        <v>0</v>
      </c>
      <c r="O123" s="52">
        <v>0</v>
      </c>
      <c r="P123" s="52">
        <v>0</v>
      </c>
      <c r="Q123" s="52">
        <v>0</v>
      </c>
      <c r="R123" s="55"/>
      <c r="S123" s="52"/>
      <c r="T123" s="52"/>
      <c r="U123" s="52"/>
      <c r="V123" s="52">
        <v>0</v>
      </c>
      <c r="X123" s="52">
        <f t="shared" si="3"/>
        <v>0</v>
      </c>
      <c r="Y123" s="4"/>
      <c r="Z123" s="47" t="s">
        <v>248</v>
      </c>
    </row>
    <row r="124" spans="1:26" x14ac:dyDescent="0.3">
      <c r="A124" s="107">
        <v>114</v>
      </c>
      <c r="B124" s="48"/>
      <c r="C124" s="48" t="s">
        <v>25</v>
      </c>
      <c r="D124" s="48" t="s">
        <v>73</v>
      </c>
      <c r="E124" s="48" t="s">
        <v>73</v>
      </c>
      <c r="F124" s="48" t="s">
        <v>6</v>
      </c>
      <c r="G124" s="47" t="s">
        <v>24</v>
      </c>
      <c r="H124" s="50"/>
      <c r="I124" s="52">
        <v>378011.81252724322</v>
      </c>
      <c r="J124" s="52">
        <v>414994.20851157332</v>
      </c>
      <c r="K124" s="52">
        <v>31990.971571754471</v>
      </c>
      <c r="L124" s="52">
        <v>43114.275739879471</v>
      </c>
      <c r="M124" s="55"/>
      <c r="N124" s="52">
        <v>434291.9038394753</v>
      </c>
      <c r="O124" s="52">
        <v>272811.26853413088</v>
      </c>
      <c r="P124" s="52">
        <v>42165.7563471065</v>
      </c>
      <c r="Q124" s="52">
        <v>74596.365917778559</v>
      </c>
      <c r="R124" s="55"/>
      <c r="S124" s="52"/>
      <c r="T124" s="52"/>
      <c r="U124" s="52"/>
      <c r="V124" s="52">
        <v>640.63056915422032</v>
      </c>
      <c r="X124" s="52">
        <f t="shared" si="3"/>
        <v>44245.973711959203</v>
      </c>
      <c r="Y124" s="120"/>
      <c r="Z124" s="47" t="s">
        <v>248</v>
      </c>
    </row>
    <row r="125" spans="1:26" x14ac:dyDescent="0.3">
      <c r="A125" s="107">
        <v>115</v>
      </c>
      <c r="B125" s="48"/>
      <c r="C125" s="48" t="s">
        <v>465</v>
      </c>
      <c r="D125" s="48" t="s">
        <v>73</v>
      </c>
      <c r="E125" s="48" t="s">
        <v>73</v>
      </c>
      <c r="F125" s="48" t="s">
        <v>6</v>
      </c>
      <c r="G125" s="47" t="s">
        <v>24</v>
      </c>
      <c r="H125" s="50"/>
      <c r="I125" s="52">
        <v>0</v>
      </c>
      <c r="J125" s="52">
        <v>0</v>
      </c>
      <c r="K125" s="52">
        <v>0</v>
      </c>
      <c r="L125" s="52">
        <v>-79.332765558402087</v>
      </c>
      <c r="M125" s="55"/>
      <c r="N125" s="52">
        <v>0</v>
      </c>
      <c r="O125" s="52">
        <v>0</v>
      </c>
      <c r="P125" s="52">
        <v>0</v>
      </c>
      <c r="Q125" s="52">
        <v>0</v>
      </c>
      <c r="R125" s="55"/>
      <c r="S125" s="52"/>
      <c r="T125" s="52"/>
      <c r="U125" s="52"/>
      <c r="V125" s="52">
        <v>79.332765558402031</v>
      </c>
      <c r="X125" s="52">
        <f t="shared" si="3"/>
        <v>0</v>
      </c>
      <c r="Y125" s="120"/>
      <c r="Z125" s="47" t="s">
        <v>248</v>
      </c>
    </row>
    <row r="126" spans="1:26" x14ac:dyDescent="0.3">
      <c r="A126" s="107">
        <v>116</v>
      </c>
      <c r="B126" s="48"/>
      <c r="C126" s="48" t="s">
        <v>466</v>
      </c>
      <c r="D126" s="48" t="s">
        <v>68</v>
      </c>
      <c r="E126" s="48" t="s">
        <v>74</v>
      </c>
      <c r="F126" s="48" t="s">
        <v>6</v>
      </c>
      <c r="G126" s="47" t="s">
        <v>24</v>
      </c>
      <c r="H126" s="50"/>
      <c r="I126" s="52">
        <v>0</v>
      </c>
      <c r="J126" s="52">
        <v>0</v>
      </c>
      <c r="K126" s="52">
        <v>15657.052072599186</v>
      </c>
      <c r="L126" s="52">
        <v>24856.233365229771</v>
      </c>
      <c r="M126" s="55"/>
      <c r="N126" s="52">
        <v>0</v>
      </c>
      <c r="O126" s="52">
        <v>0</v>
      </c>
      <c r="P126" s="52">
        <v>15941.836192424242</v>
      </c>
      <c r="Q126" s="52">
        <v>0</v>
      </c>
      <c r="R126" s="55"/>
      <c r="S126" s="52"/>
      <c r="T126" s="52"/>
      <c r="U126" s="52"/>
      <c r="V126" s="52">
        <v>0</v>
      </c>
      <c r="X126" s="52">
        <f t="shared" si="3"/>
        <v>24571.449245404714</v>
      </c>
      <c r="Y126" s="120"/>
      <c r="Z126" s="47" t="s">
        <v>248</v>
      </c>
    </row>
    <row r="127" spans="1:26" x14ac:dyDescent="0.3">
      <c r="A127" s="107">
        <v>117</v>
      </c>
      <c r="B127" s="48"/>
      <c r="C127" s="48" t="s">
        <v>467</v>
      </c>
      <c r="D127" s="48" t="s">
        <v>73</v>
      </c>
      <c r="E127" s="48" t="s">
        <v>73</v>
      </c>
      <c r="F127" s="48" t="s">
        <v>6</v>
      </c>
      <c r="G127" s="47" t="s">
        <v>24</v>
      </c>
      <c r="H127" s="50"/>
      <c r="I127" s="52">
        <v>0</v>
      </c>
      <c r="J127" s="52">
        <v>0</v>
      </c>
      <c r="K127" s="52">
        <v>0</v>
      </c>
      <c r="L127" s="52">
        <v>0</v>
      </c>
      <c r="M127" s="55"/>
      <c r="N127" s="52">
        <v>0</v>
      </c>
      <c r="O127" s="52">
        <v>0</v>
      </c>
      <c r="P127" s="52">
        <v>0</v>
      </c>
      <c r="Q127" s="52">
        <v>0</v>
      </c>
      <c r="R127" s="55"/>
      <c r="S127" s="52"/>
      <c r="T127" s="52"/>
      <c r="U127" s="52"/>
      <c r="V127" s="52">
        <v>0</v>
      </c>
      <c r="X127" s="52">
        <f t="shared" si="3"/>
        <v>0</v>
      </c>
      <c r="Y127" s="120"/>
      <c r="Z127" s="47" t="s">
        <v>248</v>
      </c>
    </row>
    <row r="128" spans="1:26" x14ac:dyDescent="0.3">
      <c r="A128" s="107">
        <v>118</v>
      </c>
      <c r="B128" s="48"/>
      <c r="C128" s="48" t="s">
        <v>468</v>
      </c>
      <c r="D128" s="48" t="s">
        <v>175</v>
      </c>
      <c r="E128" s="48" t="s">
        <v>74</v>
      </c>
      <c r="F128" s="48" t="s">
        <v>6</v>
      </c>
      <c r="G128" s="47" t="s">
        <v>24</v>
      </c>
      <c r="H128" s="50"/>
      <c r="I128" s="52">
        <v>0</v>
      </c>
      <c r="J128" s="52">
        <v>330.55470711223029</v>
      </c>
      <c r="K128" s="52">
        <v>0</v>
      </c>
      <c r="L128" s="52">
        <v>0</v>
      </c>
      <c r="M128" s="55"/>
      <c r="N128" s="52">
        <v>0</v>
      </c>
      <c r="O128" s="52">
        <v>2233.1765759442583</v>
      </c>
      <c r="P128" s="52">
        <v>0</v>
      </c>
      <c r="Q128" s="52">
        <v>0</v>
      </c>
      <c r="R128" s="55"/>
      <c r="S128" s="52"/>
      <c r="T128" s="52"/>
      <c r="U128" s="52"/>
      <c r="V128" s="52">
        <v>0</v>
      </c>
      <c r="X128" s="52">
        <f t="shared" si="3"/>
        <v>0</v>
      </c>
      <c r="Y128" s="120"/>
      <c r="Z128" s="47" t="s">
        <v>248</v>
      </c>
    </row>
    <row r="129" spans="1:26" s="4" customFormat="1" x14ac:dyDescent="0.3">
      <c r="A129" s="107">
        <v>119</v>
      </c>
      <c r="B129" s="48"/>
      <c r="C129" s="48" t="s">
        <v>469</v>
      </c>
      <c r="D129" s="48" t="s">
        <v>175</v>
      </c>
      <c r="E129" s="48" t="s">
        <v>74</v>
      </c>
      <c r="F129" s="48" t="s">
        <v>6</v>
      </c>
      <c r="G129" s="47" t="s">
        <v>24</v>
      </c>
      <c r="H129" s="50"/>
      <c r="I129" s="52">
        <v>0</v>
      </c>
      <c r="J129" s="52">
        <v>0</v>
      </c>
      <c r="K129" s="52">
        <v>0</v>
      </c>
      <c r="L129" s="52">
        <v>0</v>
      </c>
      <c r="M129" s="53"/>
      <c r="N129" s="52">
        <v>0</v>
      </c>
      <c r="O129" s="52">
        <v>0</v>
      </c>
      <c r="P129" s="52">
        <v>0</v>
      </c>
      <c r="Q129" s="52">
        <v>0</v>
      </c>
      <c r="R129" s="53"/>
      <c r="S129" s="52"/>
      <c r="T129" s="52"/>
      <c r="U129" s="52"/>
      <c r="V129" s="52">
        <v>0</v>
      </c>
      <c r="X129" s="52">
        <f t="shared" si="3"/>
        <v>0</v>
      </c>
      <c r="Y129" s="120"/>
      <c r="Z129" s="47" t="s">
        <v>248</v>
      </c>
    </row>
    <row r="130" spans="1:26" s="4" customFormat="1" x14ac:dyDescent="0.3">
      <c r="A130" s="107">
        <v>120</v>
      </c>
      <c r="B130" s="48"/>
      <c r="C130" s="48" t="s">
        <v>470</v>
      </c>
      <c r="D130" s="48" t="s">
        <v>175</v>
      </c>
      <c r="E130" s="48" t="s">
        <v>74</v>
      </c>
      <c r="F130" s="48" t="s">
        <v>6</v>
      </c>
      <c r="G130" s="47" t="s">
        <v>24</v>
      </c>
      <c r="H130" s="50"/>
      <c r="I130" s="52">
        <v>93995.236693350729</v>
      </c>
      <c r="J130" s="52">
        <v>655464.35559641384</v>
      </c>
      <c r="K130" s="52">
        <v>17112.294130549239</v>
      </c>
      <c r="L130" s="52">
        <v>10974.76327149323</v>
      </c>
      <c r="M130" s="53"/>
      <c r="N130" s="52">
        <v>0</v>
      </c>
      <c r="O130" s="52">
        <v>1057389.9488834287</v>
      </c>
      <c r="P130" s="52">
        <v>26529.090288664382</v>
      </c>
      <c r="Q130" s="52">
        <v>3361.2979944695999</v>
      </c>
      <c r="R130" s="53"/>
      <c r="S130" s="52"/>
      <c r="T130" s="52"/>
      <c r="U130" s="52"/>
      <c r="V130" s="52">
        <v>441.62142398838</v>
      </c>
      <c r="X130" s="52">
        <f t="shared" si="3"/>
        <v>0</v>
      </c>
      <c r="Y130" s="120"/>
      <c r="Z130" s="47" t="s">
        <v>248</v>
      </c>
    </row>
    <row r="131" spans="1:26" x14ac:dyDescent="0.3">
      <c r="A131" s="107">
        <v>121</v>
      </c>
      <c r="B131" s="48"/>
      <c r="C131" s="48" t="s">
        <v>471</v>
      </c>
      <c r="D131" s="48" t="s">
        <v>175</v>
      </c>
      <c r="E131" s="48" t="s">
        <v>74</v>
      </c>
      <c r="F131" s="48" t="s">
        <v>6</v>
      </c>
      <c r="G131" s="47" t="s">
        <v>24</v>
      </c>
      <c r="H131" s="50"/>
      <c r="I131" s="52">
        <v>0</v>
      </c>
      <c r="J131" s="52">
        <v>0</v>
      </c>
      <c r="K131" s="52">
        <v>0</v>
      </c>
      <c r="L131" s="52">
        <v>0</v>
      </c>
      <c r="M131" s="55"/>
      <c r="N131" s="52">
        <v>6819.2206056541872</v>
      </c>
      <c r="O131" s="52">
        <v>0</v>
      </c>
      <c r="P131" s="52">
        <v>0</v>
      </c>
      <c r="Q131" s="52">
        <v>0</v>
      </c>
      <c r="R131" s="55"/>
      <c r="S131" s="52"/>
      <c r="T131" s="52"/>
      <c r="U131" s="52"/>
      <c r="V131" s="52">
        <v>0</v>
      </c>
      <c r="X131" s="52">
        <f t="shared" si="3"/>
        <v>0</v>
      </c>
      <c r="Y131" s="120"/>
      <c r="Z131" s="47" t="s">
        <v>248</v>
      </c>
    </row>
    <row r="132" spans="1:26" x14ac:dyDescent="0.3">
      <c r="A132" s="107">
        <v>122</v>
      </c>
      <c r="B132" s="48"/>
      <c r="C132" s="48" t="s">
        <v>472</v>
      </c>
      <c r="D132" s="48" t="s">
        <v>175</v>
      </c>
      <c r="E132" s="48" t="s">
        <v>74</v>
      </c>
      <c r="F132" s="48" t="s">
        <v>6</v>
      </c>
      <c r="G132" s="47" t="s">
        <v>24</v>
      </c>
      <c r="H132" s="50"/>
      <c r="I132" s="52">
        <v>1501.2417363681584</v>
      </c>
      <c r="J132" s="52">
        <v>2375.590189820397</v>
      </c>
      <c r="K132" s="52">
        <v>18492.48607766275</v>
      </c>
      <c r="L132" s="52">
        <v>11236.404944283071</v>
      </c>
      <c r="M132" s="55"/>
      <c r="N132" s="52">
        <v>1501.2417363681584</v>
      </c>
      <c r="O132" s="52">
        <v>2375.590189820397</v>
      </c>
      <c r="P132" s="52">
        <v>0</v>
      </c>
      <c r="Q132" s="52">
        <v>27942.989115932898</v>
      </c>
      <c r="R132" s="55"/>
      <c r="S132" s="52"/>
      <c r="T132" s="52"/>
      <c r="U132" s="52"/>
      <c r="V132" s="52">
        <v>508.20129084618452</v>
      </c>
      <c r="X132" s="52">
        <f t="shared" si="3"/>
        <v>1785.9019060129212</v>
      </c>
      <c r="Y132" s="120"/>
      <c r="Z132" s="47" t="s">
        <v>248</v>
      </c>
    </row>
    <row r="133" spans="1:26" x14ac:dyDescent="0.3">
      <c r="A133" s="107">
        <v>123</v>
      </c>
      <c r="B133" s="48"/>
      <c r="C133" s="48" t="s">
        <v>473</v>
      </c>
      <c r="D133" s="48" t="s">
        <v>175</v>
      </c>
      <c r="E133" s="48" t="s">
        <v>74</v>
      </c>
      <c r="F133" s="48" t="s">
        <v>6</v>
      </c>
      <c r="G133" s="47" t="s">
        <v>24</v>
      </c>
      <c r="H133" s="50"/>
      <c r="I133" s="52">
        <v>210173.32409051582</v>
      </c>
      <c r="J133" s="52">
        <v>228.2562089308538</v>
      </c>
      <c r="K133" s="52">
        <v>0</v>
      </c>
      <c r="L133" s="52">
        <v>0</v>
      </c>
      <c r="M133" s="55"/>
      <c r="N133" s="52">
        <v>0</v>
      </c>
      <c r="O133" s="52">
        <v>0</v>
      </c>
      <c r="P133" s="52">
        <v>0</v>
      </c>
      <c r="Q133" s="52">
        <v>0</v>
      </c>
      <c r="R133" s="55"/>
      <c r="S133" s="52"/>
      <c r="T133" s="52"/>
      <c r="U133" s="52"/>
      <c r="V133" s="52">
        <v>0</v>
      </c>
      <c r="X133" s="52">
        <f t="shared" si="3"/>
        <v>210401.58029944668</v>
      </c>
      <c r="Y133" s="120"/>
      <c r="Z133" s="47" t="s">
        <v>248</v>
      </c>
    </row>
    <row r="134" spans="1:26" x14ac:dyDescent="0.3">
      <c r="A134" s="107">
        <v>124</v>
      </c>
      <c r="B134" s="48"/>
      <c r="C134" s="48" t="s">
        <v>474</v>
      </c>
      <c r="D134" s="48" t="s">
        <v>175</v>
      </c>
      <c r="E134" s="48" t="s">
        <v>74</v>
      </c>
      <c r="F134" s="48" t="s">
        <v>6</v>
      </c>
      <c r="G134" s="47" t="s">
        <v>24</v>
      </c>
      <c r="H134" s="50"/>
      <c r="I134" s="52">
        <v>22392.507202858964</v>
      </c>
      <c r="J134" s="52">
        <v>43473.575750701231</v>
      </c>
      <c r="K134" s="52">
        <v>22738.585881532679</v>
      </c>
      <c r="L134" s="52">
        <v>247296.77659936188</v>
      </c>
      <c r="M134" s="55"/>
      <c r="N134" s="52">
        <v>0</v>
      </c>
      <c r="O134" s="52">
        <v>57525.494071663234</v>
      </c>
      <c r="P134" s="52">
        <v>7950.2011027214658</v>
      </c>
      <c r="Q134" s="52">
        <v>0</v>
      </c>
      <c r="R134" s="55"/>
      <c r="S134" s="52"/>
      <c r="T134" s="52"/>
      <c r="U134" s="52"/>
      <c r="V134" s="52">
        <v>0</v>
      </c>
      <c r="X134" s="52">
        <f t="shared" si="3"/>
        <v>270425.75026007008</v>
      </c>
      <c r="Y134" s="120"/>
      <c r="Z134" s="47" t="s">
        <v>248</v>
      </c>
    </row>
    <row r="135" spans="1:26" x14ac:dyDescent="0.3">
      <c r="A135" s="107">
        <v>125</v>
      </c>
      <c r="B135" s="48"/>
      <c r="C135" s="48" t="s">
        <v>475</v>
      </c>
      <c r="D135" s="48" t="s">
        <v>175</v>
      </c>
      <c r="E135" s="48" t="s">
        <v>74</v>
      </c>
      <c r="F135" s="48" t="s">
        <v>6</v>
      </c>
      <c r="G135" s="47" t="s">
        <v>24</v>
      </c>
      <c r="H135" s="50"/>
      <c r="I135" s="52">
        <v>319199.12406447786</v>
      </c>
      <c r="J135" s="52">
        <v>-1103.6516390747643</v>
      </c>
      <c r="K135" s="52">
        <v>0</v>
      </c>
      <c r="L135" s="52">
        <v>0</v>
      </c>
      <c r="M135" s="55"/>
      <c r="N135" s="52">
        <v>332757.97449674242</v>
      </c>
      <c r="O135" s="52">
        <v>18676.178661676462</v>
      </c>
      <c r="P135" s="52">
        <v>0</v>
      </c>
      <c r="Q135" s="52">
        <v>0</v>
      </c>
      <c r="R135" s="55"/>
      <c r="S135" s="52"/>
      <c r="T135" s="52"/>
      <c r="U135" s="52"/>
      <c r="V135" s="52">
        <v>0</v>
      </c>
      <c r="X135" s="52">
        <f t="shared" si="3"/>
        <v>0</v>
      </c>
      <c r="Y135" s="120"/>
      <c r="Z135" s="47" t="s">
        <v>248</v>
      </c>
    </row>
    <row r="136" spans="1:26" x14ac:dyDescent="0.3">
      <c r="A136" s="107">
        <v>126</v>
      </c>
      <c r="B136" s="48"/>
      <c r="C136" s="48" t="s">
        <v>476</v>
      </c>
      <c r="D136" s="48" t="s">
        <v>175</v>
      </c>
      <c r="E136" s="48" t="s">
        <v>74</v>
      </c>
      <c r="F136" s="48" t="s">
        <v>6</v>
      </c>
      <c r="G136" s="47" t="s">
        <v>24</v>
      </c>
      <c r="H136" s="50"/>
      <c r="I136" s="52">
        <v>0</v>
      </c>
      <c r="J136" s="52">
        <v>0</v>
      </c>
      <c r="K136" s="52">
        <v>0</v>
      </c>
      <c r="L136" s="52">
        <v>-947.828997929705</v>
      </c>
      <c r="M136" s="55"/>
      <c r="N136" s="52">
        <v>0</v>
      </c>
      <c r="O136" s="52">
        <v>0</v>
      </c>
      <c r="P136" s="52">
        <v>0</v>
      </c>
      <c r="Q136" s="52">
        <v>0</v>
      </c>
      <c r="R136" s="55"/>
      <c r="S136" s="52"/>
      <c r="T136" s="52"/>
      <c r="U136" s="52"/>
      <c r="V136" s="52">
        <v>0</v>
      </c>
      <c r="X136" s="52">
        <f t="shared" si="3"/>
        <v>0</v>
      </c>
      <c r="Y136" s="120"/>
      <c r="Z136" s="47" t="s">
        <v>248</v>
      </c>
    </row>
    <row r="137" spans="1:26" x14ac:dyDescent="0.3">
      <c r="A137" s="107">
        <v>127</v>
      </c>
      <c r="B137" s="48"/>
      <c r="C137" s="48" t="s">
        <v>477</v>
      </c>
      <c r="D137" s="48" t="s">
        <v>73</v>
      </c>
      <c r="E137" s="48" t="s">
        <v>73</v>
      </c>
      <c r="F137" s="48" t="s">
        <v>6</v>
      </c>
      <c r="G137" s="47" t="s">
        <v>24</v>
      </c>
      <c r="H137" s="50"/>
      <c r="I137" s="52">
        <v>0</v>
      </c>
      <c r="J137" s="52">
        <v>0</v>
      </c>
      <c r="K137" s="52">
        <v>0</v>
      </c>
      <c r="L137" s="52">
        <v>0</v>
      </c>
      <c r="M137" s="55"/>
      <c r="N137" s="52">
        <v>0</v>
      </c>
      <c r="O137" s="52">
        <v>0</v>
      </c>
      <c r="P137" s="52">
        <v>0</v>
      </c>
      <c r="Q137" s="52">
        <v>0</v>
      </c>
      <c r="R137" s="55"/>
      <c r="S137" s="52"/>
      <c r="T137" s="52"/>
      <c r="U137" s="52"/>
      <c r="V137" s="52">
        <v>0</v>
      </c>
      <c r="X137" s="52">
        <f t="shared" si="3"/>
        <v>0</v>
      </c>
      <c r="Y137" s="120"/>
      <c r="Z137" s="47" t="s">
        <v>248</v>
      </c>
    </row>
    <row r="138" spans="1:26" x14ac:dyDescent="0.3">
      <c r="A138" s="107">
        <v>128</v>
      </c>
      <c r="B138" s="48"/>
      <c r="C138" s="48" t="s">
        <v>478</v>
      </c>
      <c r="D138" s="48" t="s">
        <v>73</v>
      </c>
      <c r="E138" s="48" t="s">
        <v>73</v>
      </c>
      <c r="F138" s="48" t="s">
        <v>6</v>
      </c>
      <c r="G138" s="47" t="s">
        <v>24</v>
      </c>
      <c r="H138" s="50"/>
      <c r="I138" s="52">
        <v>0</v>
      </c>
      <c r="J138" s="52">
        <v>9.1302483572341525E-3</v>
      </c>
      <c r="K138" s="52">
        <v>-6.250790058430016E-3</v>
      </c>
      <c r="L138" s="52">
        <v>0</v>
      </c>
      <c r="M138" s="55"/>
      <c r="N138" s="52">
        <v>0</v>
      </c>
      <c r="O138" s="52">
        <v>0</v>
      </c>
      <c r="P138" s="52">
        <v>0</v>
      </c>
      <c r="Q138" s="52">
        <v>0</v>
      </c>
      <c r="R138" s="55"/>
      <c r="S138" s="52"/>
      <c r="T138" s="52"/>
      <c r="U138" s="52"/>
      <c r="V138" s="52">
        <v>0</v>
      </c>
      <c r="X138" s="52">
        <f t="shared" si="3"/>
        <v>2.8794582988041365E-3</v>
      </c>
      <c r="Y138" s="120"/>
      <c r="Z138" s="47" t="s">
        <v>248</v>
      </c>
    </row>
    <row r="139" spans="1:26" x14ac:dyDescent="0.3">
      <c r="A139" s="107">
        <v>129</v>
      </c>
      <c r="B139" s="48"/>
      <c r="C139" s="48" t="s">
        <v>479</v>
      </c>
      <c r="D139" s="48" t="s">
        <v>73</v>
      </c>
      <c r="E139" s="48" t="s">
        <v>73</v>
      </c>
      <c r="F139" s="48" t="s">
        <v>6</v>
      </c>
      <c r="G139" s="47" t="s">
        <v>24</v>
      </c>
      <c r="H139" s="50"/>
      <c r="I139" s="52">
        <v>56019.031007768994</v>
      </c>
      <c r="J139" s="52">
        <v>91020.569806840052</v>
      </c>
      <c r="K139" s="52">
        <v>51804.143325332487</v>
      </c>
      <c r="L139" s="52">
        <v>55133.562573297764</v>
      </c>
      <c r="M139" s="55"/>
      <c r="N139" s="52">
        <v>0</v>
      </c>
      <c r="O139" s="52">
        <v>0</v>
      </c>
      <c r="P139" s="52">
        <v>0</v>
      </c>
      <c r="Q139" s="52">
        <v>224159.84297900836</v>
      </c>
      <c r="R139" s="55"/>
      <c r="S139" s="52"/>
      <c r="T139" s="52"/>
      <c r="U139" s="52"/>
      <c r="V139" s="52">
        <v>984.96589297456285</v>
      </c>
      <c r="X139" s="52">
        <f t="shared" si="3"/>
        <v>29817.463734230929</v>
      </c>
      <c r="Y139" s="120"/>
      <c r="Z139" s="47" t="s">
        <v>248</v>
      </c>
    </row>
    <row r="140" spans="1:26" x14ac:dyDescent="0.3">
      <c r="A140" s="107">
        <v>130</v>
      </c>
      <c r="B140" s="48"/>
      <c r="C140" s="48" t="s">
        <v>480</v>
      </c>
      <c r="D140" s="48" t="s">
        <v>73</v>
      </c>
      <c r="E140" s="48" t="s">
        <v>73</v>
      </c>
      <c r="F140" s="48" t="s">
        <v>6</v>
      </c>
      <c r="G140" s="47" t="s">
        <v>24</v>
      </c>
      <c r="H140" s="50"/>
      <c r="I140" s="52">
        <v>0</v>
      </c>
      <c r="J140" s="52">
        <v>0</v>
      </c>
      <c r="K140" s="52">
        <v>0</v>
      </c>
      <c r="L140" s="52">
        <v>0</v>
      </c>
      <c r="M140" s="55"/>
      <c r="N140" s="52">
        <v>0</v>
      </c>
      <c r="O140" s="52">
        <v>0</v>
      </c>
      <c r="P140" s="52">
        <v>0</v>
      </c>
      <c r="Q140" s="52">
        <v>0</v>
      </c>
      <c r="R140" s="55"/>
      <c r="S140" s="52"/>
      <c r="T140" s="52"/>
      <c r="U140" s="52"/>
      <c r="V140" s="52">
        <v>0</v>
      </c>
      <c r="X140" s="52">
        <f t="shared" si="3"/>
        <v>0</v>
      </c>
      <c r="Y140" s="120"/>
      <c r="Z140" s="47" t="s">
        <v>248</v>
      </c>
    </row>
    <row r="141" spans="1:26" x14ac:dyDescent="0.3">
      <c r="A141" s="107">
        <v>131</v>
      </c>
      <c r="B141" s="48"/>
      <c r="C141" s="48" t="s">
        <v>481</v>
      </c>
      <c r="D141" s="48" t="s">
        <v>73</v>
      </c>
      <c r="E141" s="48" t="s">
        <v>73</v>
      </c>
      <c r="F141" s="48" t="s">
        <v>6</v>
      </c>
      <c r="G141" s="47" t="s">
        <v>24</v>
      </c>
      <c r="H141" s="50"/>
      <c r="I141" s="52">
        <v>32177.721486138926</v>
      </c>
      <c r="J141" s="52">
        <v>29252.073566289226</v>
      </c>
      <c r="K141" s="52">
        <v>15427.017685277411</v>
      </c>
      <c r="L141" s="52">
        <v>16135.493691422598</v>
      </c>
      <c r="M141" s="55"/>
      <c r="N141" s="52">
        <v>6232.3180735246024</v>
      </c>
      <c r="O141" s="52">
        <v>8266.811726388547</v>
      </c>
      <c r="P141" s="52">
        <v>0</v>
      </c>
      <c r="Q141" s="52">
        <v>5587.866407768036</v>
      </c>
      <c r="R141" s="55"/>
      <c r="S141" s="52"/>
      <c r="T141" s="52"/>
      <c r="U141" s="52"/>
      <c r="V141" s="52">
        <v>-948.38891021158179</v>
      </c>
      <c r="X141" s="52">
        <f t="shared" si="3"/>
        <v>72905.310221446969</v>
      </c>
      <c r="Y141" s="120"/>
      <c r="Z141" s="47" t="s">
        <v>248</v>
      </c>
    </row>
    <row r="142" spans="1:26" x14ac:dyDescent="0.3">
      <c r="A142" s="107">
        <v>132</v>
      </c>
      <c r="B142" s="48"/>
      <c r="C142" s="48" t="s">
        <v>482</v>
      </c>
      <c r="D142" s="48" t="s">
        <v>73</v>
      </c>
      <c r="E142" s="48" t="s">
        <v>73</v>
      </c>
      <c r="F142" s="48" t="s">
        <v>6</v>
      </c>
      <c r="G142" s="47" t="s">
        <v>24</v>
      </c>
      <c r="H142" s="50"/>
      <c r="I142" s="52">
        <v>0</v>
      </c>
      <c r="J142" s="52">
        <v>0</v>
      </c>
      <c r="K142" s="52">
        <v>0</v>
      </c>
      <c r="L142" s="52">
        <v>0</v>
      </c>
      <c r="M142" s="55"/>
      <c r="N142" s="52">
        <v>0</v>
      </c>
      <c r="O142" s="52">
        <v>0</v>
      </c>
      <c r="P142" s="52">
        <v>0</v>
      </c>
      <c r="Q142" s="52">
        <v>0</v>
      </c>
      <c r="R142" s="55"/>
      <c r="S142" s="52"/>
      <c r="T142" s="52"/>
      <c r="U142" s="52"/>
      <c r="V142" s="52">
        <v>0</v>
      </c>
      <c r="X142" s="52">
        <f t="shared" si="3"/>
        <v>0</v>
      </c>
      <c r="Y142" s="120"/>
      <c r="Z142" s="47" t="s">
        <v>248</v>
      </c>
    </row>
    <row r="143" spans="1:26" x14ac:dyDescent="0.3">
      <c r="A143" s="107">
        <v>133</v>
      </c>
      <c r="B143" s="48"/>
      <c r="C143" s="48" t="s">
        <v>483</v>
      </c>
      <c r="D143" s="48" t="s">
        <v>73</v>
      </c>
      <c r="E143" s="48" t="s">
        <v>73</v>
      </c>
      <c r="F143" s="48" t="s">
        <v>6</v>
      </c>
      <c r="G143" s="47" t="s">
        <v>24</v>
      </c>
      <c r="H143" s="50"/>
      <c r="I143" s="52">
        <v>0</v>
      </c>
      <c r="J143" s="52">
        <v>0</v>
      </c>
      <c r="K143" s="52">
        <v>0</v>
      </c>
      <c r="L143" s="52">
        <v>663.34584054341428</v>
      </c>
      <c r="M143" s="55"/>
      <c r="N143" s="52">
        <v>0</v>
      </c>
      <c r="O143" s="52">
        <v>0</v>
      </c>
      <c r="P143" s="52">
        <v>0</v>
      </c>
      <c r="Q143" s="52">
        <v>0</v>
      </c>
      <c r="R143" s="55"/>
      <c r="S143" s="52"/>
      <c r="T143" s="52"/>
      <c r="U143" s="52"/>
      <c r="V143" s="52">
        <v>0</v>
      </c>
      <c r="X143" s="52">
        <f t="shared" si="3"/>
        <v>663.34584054341428</v>
      </c>
      <c r="Y143" s="120"/>
      <c r="Z143" s="47" t="s">
        <v>248</v>
      </c>
    </row>
    <row r="144" spans="1:26" x14ac:dyDescent="0.3">
      <c r="A144" s="107">
        <v>134</v>
      </c>
      <c r="B144" s="48"/>
      <c r="C144" s="48" t="s">
        <v>484</v>
      </c>
      <c r="D144" s="48" t="s">
        <v>73</v>
      </c>
      <c r="E144" s="48" t="s">
        <v>73</v>
      </c>
      <c r="F144" s="48" t="s">
        <v>6</v>
      </c>
      <c r="G144" s="47" t="s">
        <v>24</v>
      </c>
      <c r="H144" s="50"/>
      <c r="I144" s="52">
        <v>1375.9159336460748</v>
      </c>
      <c r="J144" s="52">
        <v>0</v>
      </c>
      <c r="K144" s="52">
        <v>0</v>
      </c>
      <c r="L144" s="52">
        <v>0</v>
      </c>
      <c r="M144" s="55"/>
      <c r="N144" s="52">
        <v>0</v>
      </c>
      <c r="O144" s="52">
        <v>0</v>
      </c>
      <c r="P144" s="52">
        <v>0</v>
      </c>
      <c r="Q144" s="52">
        <v>0</v>
      </c>
      <c r="R144" s="55"/>
      <c r="S144" s="52"/>
      <c r="T144" s="52"/>
      <c r="U144" s="52"/>
      <c r="V144" s="52">
        <v>0</v>
      </c>
      <c r="X144" s="52">
        <f t="shared" si="3"/>
        <v>1375.9159336460748</v>
      </c>
      <c r="Y144" s="120"/>
      <c r="Z144" s="47" t="s">
        <v>248</v>
      </c>
    </row>
    <row r="145" spans="1:26" x14ac:dyDescent="0.3">
      <c r="A145" s="107">
        <v>135</v>
      </c>
      <c r="B145" s="48"/>
      <c r="C145" s="48" t="s">
        <v>485</v>
      </c>
      <c r="D145" s="48" t="s">
        <v>68</v>
      </c>
      <c r="E145" s="48" t="s">
        <v>74</v>
      </c>
      <c r="F145" s="48" t="s">
        <v>6</v>
      </c>
      <c r="G145" s="47" t="s">
        <v>24</v>
      </c>
      <c r="H145" s="50"/>
      <c r="I145" s="52">
        <v>0</v>
      </c>
      <c r="J145" s="52">
        <v>12669.068708759609</v>
      </c>
      <c r="K145" s="52">
        <v>30921.565468411569</v>
      </c>
      <c r="L145" s="52">
        <v>-10390.70699601446</v>
      </c>
      <c r="M145" s="55"/>
      <c r="N145" s="52">
        <v>0</v>
      </c>
      <c r="O145" s="52">
        <v>0</v>
      </c>
      <c r="P145" s="52">
        <v>0</v>
      </c>
      <c r="Q145" s="52">
        <v>3170.3498355545539</v>
      </c>
      <c r="R145" s="55"/>
      <c r="S145" s="52"/>
      <c r="T145" s="52"/>
      <c r="U145" s="52"/>
      <c r="V145" s="52">
        <v>0</v>
      </c>
      <c r="X145" s="52">
        <f t="shared" si="3"/>
        <v>30029.577345602163</v>
      </c>
      <c r="Y145" s="120"/>
      <c r="Z145" s="47" t="s">
        <v>248</v>
      </c>
    </row>
    <row r="146" spans="1:26" x14ac:dyDescent="0.3">
      <c r="A146" s="107">
        <v>136</v>
      </c>
      <c r="B146" s="48"/>
      <c r="C146" s="48" t="s">
        <v>486</v>
      </c>
      <c r="D146" s="48" t="s">
        <v>73</v>
      </c>
      <c r="E146" s="48" t="s">
        <v>73</v>
      </c>
      <c r="F146" s="48" t="s">
        <v>6</v>
      </c>
      <c r="G146" s="47" t="s">
        <v>24</v>
      </c>
      <c r="H146" s="50"/>
      <c r="I146" s="52">
        <v>0</v>
      </c>
      <c r="J146" s="52">
        <v>0</v>
      </c>
      <c r="K146" s="52">
        <v>0</v>
      </c>
      <c r="L146" s="52">
        <v>0</v>
      </c>
      <c r="M146" s="55"/>
      <c r="N146" s="52">
        <v>0</v>
      </c>
      <c r="O146" s="52">
        <v>0</v>
      </c>
      <c r="P146" s="52">
        <v>0</v>
      </c>
      <c r="Q146" s="52">
        <v>0</v>
      </c>
      <c r="R146" s="55"/>
      <c r="S146" s="52"/>
      <c r="T146" s="52"/>
      <c r="U146" s="52"/>
      <c r="V146" s="52">
        <v>0</v>
      </c>
      <c r="X146" s="52">
        <f t="shared" si="3"/>
        <v>0</v>
      </c>
      <c r="Y146" s="120"/>
      <c r="Z146" s="47" t="s">
        <v>248</v>
      </c>
    </row>
    <row r="147" spans="1:26" x14ac:dyDescent="0.3">
      <c r="A147" s="107">
        <v>137</v>
      </c>
      <c r="B147" s="48"/>
      <c r="C147" s="48" t="s">
        <v>487</v>
      </c>
      <c r="D147" s="48" t="s">
        <v>73</v>
      </c>
      <c r="E147" s="48" t="s">
        <v>73</v>
      </c>
      <c r="F147" s="48" t="s">
        <v>6</v>
      </c>
      <c r="G147" s="47" t="s">
        <v>24</v>
      </c>
      <c r="H147" s="50"/>
      <c r="I147" s="52">
        <v>0</v>
      </c>
      <c r="J147" s="52">
        <v>7277.9501347851092</v>
      </c>
      <c r="K147" s="52">
        <v>-1311.3216798682379</v>
      </c>
      <c r="L147" s="52">
        <v>9713.6874933053932</v>
      </c>
      <c r="M147" s="55"/>
      <c r="N147" s="52">
        <v>0</v>
      </c>
      <c r="O147" s="52">
        <v>7277.9501347851092</v>
      </c>
      <c r="P147" s="52">
        <v>0</v>
      </c>
      <c r="Q147" s="52">
        <v>14879.237168316495</v>
      </c>
      <c r="R147" s="55"/>
      <c r="S147" s="52"/>
      <c r="T147" s="52"/>
      <c r="U147" s="52"/>
      <c r="V147" s="52">
        <v>0</v>
      </c>
      <c r="X147" s="52">
        <f t="shared" si="3"/>
        <v>0</v>
      </c>
      <c r="Y147" s="120"/>
      <c r="Z147" s="47" t="s">
        <v>248</v>
      </c>
    </row>
    <row r="148" spans="1:26" x14ac:dyDescent="0.3">
      <c r="A148" s="107">
        <v>138</v>
      </c>
      <c r="B148" s="48"/>
      <c r="C148" s="48" t="s">
        <v>488</v>
      </c>
      <c r="D148" s="48" t="s">
        <v>73</v>
      </c>
      <c r="E148" s="48" t="s">
        <v>73</v>
      </c>
      <c r="F148" s="48" t="s">
        <v>6</v>
      </c>
      <c r="G148" s="47" t="s">
        <v>24</v>
      </c>
      <c r="H148" s="50"/>
      <c r="I148" s="52">
        <v>0</v>
      </c>
      <c r="J148" s="52">
        <v>0</v>
      </c>
      <c r="K148" s="52">
        <v>0</v>
      </c>
      <c r="L148" s="52">
        <v>6010.6826285868055</v>
      </c>
      <c r="M148" s="55"/>
      <c r="N148" s="52">
        <v>0</v>
      </c>
      <c r="O148" s="52">
        <v>0</v>
      </c>
      <c r="P148" s="52">
        <v>0</v>
      </c>
      <c r="Q148" s="52">
        <v>16627.303359626407</v>
      </c>
      <c r="R148" s="55"/>
      <c r="S148" s="52"/>
      <c r="T148" s="52"/>
      <c r="U148" s="52"/>
      <c r="V148" s="52">
        <v>0</v>
      </c>
      <c r="X148" s="52">
        <f t="shared" si="3"/>
        <v>0</v>
      </c>
      <c r="Y148" s="120"/>
      <c r="Z148" s="47" t="s">
        <v>248</v>
      </c>
    </row>
    <row r="149" spans="1:26" x14ac:dyDescent="0.3">
      <c r="A149" s="107">
        <v>139</v>
      </c>
      <c r="B149" s="48"/>
      <c r="C149" s="48" t="s">
        <v>489</v>
      </c>
      <c r="D149" s="48" t="s">
        <v>73</v>
      </c>
      <c r="E149" s="48" t="s">
        <v>73</v>
      </c>
      <c r="F149" s="48" t="s">
        <v>6</v>
      </c>
      <c r="G149" s="47" t="s">
        <v>24</v>
      </c>
      <c r="H149" s="50"/>
      <c r="I149" s="52">
        <v>0</v>
      </c>
      <c r="J149" s="52">
        <v>0</v>
      </c>
      <c r="K149" s="52">
        <v>628.5960128693772</v>
      </c>
      <c r="L149" s="52">
        <v>0</v>
      </c>
      <c r="M149" s="55"/>
      <c r="N149" s="52">
        <v>0</v>
      </c>
      <c r="O149" s="52">
        <v>0</v>
      </c>
      <c r="P149" s="52">
        <v>0</v>
      </c>
      <c r="Q149" s="52">
        <v>-15667.475636321822</v>
      </c>
      <c r="R149" s="55"/>
      <c r="S149" s="52"/>
      <c r="T149" s="52"/>
      <c r="U149" s="52"/>
      <c r="V149" s="52">
        <v>0</v>
      </c>
      <c r="X149" s="52">
        <f>IF((SUM(I149:L149)-SUM(N149:Q149))&gt;0,SUM(I149:L149)-SUM(N149:Q149),0)</f>
        <v>16296.071649191199</v>
      </c>
      <c r="Y149" s="120"/>
      <c r="Z149" s="47" t="s">
        <v>248</v>
      </c>
    </row>
    <row r="150" spans="1:26" x14ac:dyDescent="0.3">
      <c r="A150" s="107">
        <v>140</v>
      </c>
      <c r="B150" s="48"/>
      <c r="C150" s="48" t="s">
        <v>490</v>
      </c>
      <c r="D150" s="48" t="s">
        <v>73</v>
      </c>
      <c r="E150" s="48" t="s">
        <v>73</v>
      </c>
      <c r="F150" s="48" t="s">
        <v>6</v>
      </c>
      <c r="G150" s="47" t="s">
        <v>24</v>
      </c>
      <c r="H150" s="50"/>
      <c r="I150" s="52">
        <v>0</v>
      </c>
      <c r="J150" s="52">
        <v>0</v>
      </c>
      <c r="K150" s="52">
        <v>0</v>
      </c>
      <c r="L150" s="52">
        <v>626258.31271207263</v>
      </c>
      <c r="M150" s="55"/>
      <c r="N150" s="52">
        <v>0</v>
      </c>
      <c r="O150" s="52">
        <v>0</v>
      </c>
      <c r="P150" s="52">
        <v>0</v>
      </c>
      <c r="Q150" s="52">
        <v>0</v>
      </c>
      <c r="R150" s="55"/>
      <c r="S150" s="52"/>
      <c r="T150" s="52"/>
      <c r="U150" s="52"/>
      <c r="V150" s="52">
        <v>0</v>
      </c>
      <c r="X150" s="52">
        <f t="shared" ref="X150:X160" si="4">IF((SUM(I150:L150)-SUM(N150:Q150))&gt;0,SUM(I150:L150)-SUM(N150:Q150),0)</f>
        <v>626258.31271207263</v>
      </c>
      <c r="Y150" s="120"/>
      <c r="Z150" s="47" t="s">
        <v>248</v>
      </c>
    </row>
    <row r="151" spans="1:26" x14ac:dyDescent="0.3">
      <c r="A151" s="107">
        <v>141</v>
      </c>
      <c r="B151" s="48"/>
      <c r="C151" s="48"/>
      <c r="D151" s="49"/>
      <c r="E151" s="49"/>
      <c r="F151" s="47"/>
      <c r="G151" s="47"/>
      <c r="H151" s="50"/>
      <c r="I151" s="52"/>
      <c r="J151" s="52"/>
      <c r="K151" s="52"/>
      <c r="L151" s="52"/>
      <c r="M151" s="55"/>
      <c r="N151" s="52"/>
      <c r="O151" s="52"/>
      <c r="P151" s="52"/>
      <c r="Q151" s="52"/>
      <c r="R151" s="55"/>
      <c r="S151" s="52"/>
      <c r="T151" s="52"/>
      <c r="U151" s="52"/>
      <c r="V151" s="48"/>
      <c r="X151" s="52">
        <f t="shared" si="4"/>
        <v>0</v>
      </c>
      <c r="Y151" s="4"/>
    </row>
    <row r="152" spans="1:26" x14ac:dyDescent="0.3">
      <c r="A152" s="107">
        <v>142</v>
      </c>
      <c r="B152" s="48"/>
      <c r="C152" s="48"/>
      <c r="D152" s="49"/>
      <c r="E152" s="49"/>
      <c r="F152" s="47"/>
      <c r="G152" s="47"/>
      <c r="H152" s="50"/>
      <c r="I152" s="52"/>
      <c r="J152" s="52"/>
      <c r="K152" s="52"/>
      <c r="L152" s="52"/>
      <c r="M152" s="55"/>
      <c r="N152" s="52"/>
      <c r="O152" s="52"/>
      <c r="P152" s="52"/>
      <c r="Q152" s="52"/>
      <c r="R152" s="55"/>
      <c r="S152" s="52"/>
      <c r="T152" s="52"/>
      <c r="U152" s="52"/>
      <c r="V152" s="48"/>
      <c r="X152" s="52">
        <f t="shared" si="4"/>
        <v>0</v>
      </c>
      <c r="Y152" s="4"/>
    </row>
    <row r="153" spans="1:26" x14ac:dyDescent="0.3">
      <c r="A153" s="107">
        <v>143</v>
      </c>
      <c r="B153" s="48"/>
      <c r="C153" s="48"/>
      <c r="D153" s="49"/>
      <c r="E153" s="49"/>
      <c r="F153" s="47"/>
      <c r="G153" s="47"/>
      <c r="H153" s="50"/>
      <c r="I153" s="52"/>
      <c r="J153" s="52"/>
      <c r="K153" s="52"/>
      <c r="L153" s="52"/>
      <c r="M153" s="55"/>
      <c r="N153" s="52"/>
      <c r="O153" s="52"/>
      <c r="P153" s="52"/>
      <c r="Q153" s="52"/>
      <c r="R153" s="55"/>
      <c r="S153" s="52"/>
      <c r="T153" s="52"/>
      <c r="U153" s="52"/>
      <c r="V153" s="48"/>
      <c r="X153" s="52">
        <f t="shared" si="4"/>
        <v>0</v>
      </c>
      <c r="Y153" s="4"/>
    </row>
    <row r="154" spans="1:26" x14ac:dyDescent="0.3">
      <c r="A154" s="107">
        <v>144</v>
      </c>
      <c r="B154" s="48"/>
      <c r="C154" s="48"/>
      <c r="D154" s="49"/>
      <c r="E154" s="49"/>
      <c r="F154" s="47"/>
      <c r="G154" s="47"/>
      <c r="H154" s="50"/>
      <c r="I154" s="52"/>
      <c r="J154" s="52"/>
      <c r="K154" s="52"/>
      <c r="L154" s="52"/>
      <c r="M154" s="55"/>
      <c r="N154" s="52"/>
      <c r="O154" s="52"/>
      <c r="P154" s="52"/>
      <c r="Q154" s="52"/>
      <c r="R154" s="55"/>
      <c r="S154" s="52"/>
      <c r="T154" s="52"/>
      <c r="U154" s="52"/>
      <c r="V154" s="48"/>
      <c r="X154" s="52">
        <f t="shared" si="4"/>
        <v>0</v>
      </c>
      <c r="Y154" s="4"/>
    </row>
    <row r="155" spans="1:26" x14ac:dyDescent="0.3">
      <c r="A155" s="107">
        <v>145</v>
      </c>
      <c r="B155" s="48"/>
      <c r="C155" s="48"/>
      <c r="D155" s="49"/>
      <c r="E155" s="49"/>
      <c r="F155" s="47"/>
      <c r="G155" s="47"/>
      <c r="H155" s="50"/>
      <c r="I155" s="52"/>
      <c r="J155" s="52"/>
      <c r="K155" s="52"/>
      <c r="L155" s="52"/>
      <c r="M155" s="55"/>
      <c r="N155" s="52"/>
      <c r="O155" s="52"/>
      <c r="P155" s="52"/>
      <c r="Q155" s="52"/>
      <c r="R155" s="55"/>
      <c r="S155" s="52"/>
      <c r="T155" s="52"/>
      <c r="U155" s="52"/>
      <c r="V155" s="48"/>
      <c r="X155" s="52">
        <f t="shared" si="4"/>
        <v>0</v>
      </c>
      <c r="Y155" s="4"/>
    </row>
    <row r="156" spans="1:26" x14ac:dyDescent="0.3">
      <c r="A156" s="107">
        <v>146</v>
      </c>
      <c r="B156" s="48"/>
      <c r="C156" s="48"/>
      <c r="D156" s="49"/>
      <c r="E156" s="49"/>
      <c r="F156" s="47"/>
      <c r="G156" s="47"/>
      <c r="H156" s="50"/>
      <c r="I156" s="52"/>
      <c r="J156" s="52"/>
      <c r="K156" s="52"/>
      <c r="L156" s="52"/>
      <c r="M156" s="55"/>
      <c r="N156" s="52"/>
      <c r="O156" s="52"/>
      <c r="P156" s="52"/>
      <c r="Q156" s="52"/>
      <c r="R156" s="55"/>
      <c r="S156" s="52"/>
      <c r="T156" s="52"/>
      <c r="U156" s="52"/>
      <c r="V156" s="48"/>
      <c r="X156" s="52">
        <f t="shared" si="4"/>
        <v>0</v>
      </c>
      <c r="Y156" s="4"/>
    </row>
    <row r="157" spans="1:26" x14ac:dyDescent="0.3">
      <c r="A157" s="107">
        <v>147</v>
      </c>
      <c r="B157" s="48"/>
      <c r="C157" s="48"/>
      <c r="D157" s="49"/>
      <c r="E157" s="49"/>
      <c r="F157" s="47"/>
      <c r="G157" s="47"/>
      <c r="H157" s="50"/>
      <c r="I157" s="52"/>
      <c r="J157" s="52"/>
      <c r="K157" s="52"/>
      <c r="L157" s="52"/>
      <c r="M157" s="55"/>
      <c r="N157" s="52"/>
      <c r="O157" s="52"/>
      <c r="P157" s="52"/>
      <c r="Q157" s="52"/>
      <c r="R157" s="55"/>
      <c r="S157" s="52"/>
      <c r="T157" s="52"/>
      <c r="U157" s="52"/>
      <c r="V157" s="48"/>
      <c r="X157" s="52">
        <f t="shared" si="4"/>
        <v>0</v>
      </c>
      <c r="Y157" s="4"/>
    </row>
    <row r="158" spans="1:26" x14ac:dyDescent="0.3">
      <c r="A158" s="107">
        <v>148</v>
      </c>
      <c r="B158" s="48"/>
      <c r="C158" s="48"/>
      <c r="D158" s="49"/>
      <c r="E158" s="49"/>
      <c r="F158" s="47"/>
      <c r="G158" s="47"/>
      <c r="H158" s="50"/>
      <c r="I158" s="52"/>
      <c r="J158" s="52"/>
      <c r="K158" s="52"/>
      <c r="L158" s="52"/>
      <c r="M158" s="55"/>
      <c r="N158" s="52"/>
      <c r="O158" s="52"/>
      <c r="P158" s="52"/>
      <c r="Q158" s="52"/>
      <c r="R158" s="55"/>
      <c r="S158" s="52"/>
      <c r="T158" s="52"/>
      <c r="U158" s="52"/>
      <c r="V158" s="48"/>
      <c r="X158" s="52">
        <f t="shared" si="4"/>
        <v>0</v>
      </c>
      <c r="Y158" s="4"/>
    </row>
    <row r="159" spans="1:26" x14ac:dyDescent="0.3">
      <c r="A159" s="107">
        <v>149</v>
      </c>
      <c r="B159" s="48"/>
      <c r="C159" s="48"/>
      <c r="D159" s="49"/>
      <c r="E159" s="49"/>
      <c r="F159" s="47"/>
      <c r="G159" s="47"/>
      <c r="H159" s="50"/>
      <c r="I159" s="52"/>
      <c r="J159" s="52"/>
      <c r="K159" s="52"/>
      <c r="L159" s="52"/>
      <c r="M159" s="55"/>
      <c r="N159" s="52"/>
      <c r="O159" s="52"/>
      <c r="P159" s="52"/>
      <c r="Q159" s="52"/>
      <c r="R159" s="55"/>
      <c r="S159" s="52"/>
      <c r="T159" s="52"/>
      <c r="U159" s="52"/>
      <c r="V159" s="48"/>
      <c r="X159" s="52">
        <f t="shared" si="4"/>
        <v>0</v>
      </c>
      <c r="Y159" s="4"/>
    </row>
    <row r="160" spans="1:26" x14ac:dyDescent="0.3">
      <c r="A160" s="108">
        <v>150</v>
      </c>
      <c r="B160" s="48"/>
      <c r="C160" s="48"/>
      <c r="D160" s="49"/>
      <c r="E160" s="49"/>
      <c r="F160" s="47"/>
      <c r="G160" s="47"/>
      <c r="H160" s="50"/>
      <c r="I160" s="52"/>
      <c r="J160" s="52"/>
      <c r="K160" s="52"/>
      <c r="L160" s="52"/>
      <c r="M160" s="55"/>
      <c r="N160" s="52"/>
      <c r="O160" s="52"/>
      <c r="P160" s="52"/>
      <c r="Q160" s="52"/>
      <c r="R160" s="55"/>
      <c r="S160" s="52"/>
      <c r="T160" s="52"/>
      <c r="U160" s="52"/>
      <c r="V160" s="48"/>
      <c r="X160" s="52">
        <f t="shared" si="4"/>
        <v>0</v>
      </c>
      <c r="Y160" s="4"/>
    </row>
    <row r="161" spans="1:25" x14ac:dyDescent="0.3">
      <c r="A161" s="13"/>
      <c r="B161" s="10" t="s">
        <v>26</v>
      </c>
      <c r="C161" s="10"/>
      <c r="D161" s="9"/>
      <c r="E161" s="9"/>
      <c r="F161" s="14"/>
      <c r="G161" s="12" t="s">
        <v>24</v>
      </c>
      <c r="H161" s="19"/>
      <c r="I161" s="20">
        <f>SUM(I11:I160)</f>
        <v>12280746.566014212</v>
      </c>
      <c r="J161" s="20">
        <f>SUM(J11:J160)</f>
        <v>13172122.896388661</v>
      </c>
      <c r="K161" s="20">
        <f>SUM(K11:K160)</f>
        <v>14042166.931691974</v>
      </c>
      <c r="L161" s="20">
        <f>SUM(L11:L160)</f>
        <v>10860656.768699516</v>
      </c>
      <c r="N161" s="20">
        <f>SUM(N11:N160)</f>
        <v>19966951.539234485</v>
      </c>
      <c r="O161" s="20">
        <f>SUM(O11:O160)</f>
        <v>9356754.5231289398</v>
      </c>
      <c r="P161" s="20">
        <f>SUM(P11:P160)</f>
        <v>8594600.9640079588</v>
      </c>
      <c r="Q161" s="20">
        <f>SUM(Q11:Q160)</f>
        <v>22958486.230481662</v>
      </c>
      <c r="S161" s="20">
        <f>SUM(S11:S160)</f>
        <v>0</v>
      </c>
      <c r="T161" s="20">
        <f>SUM(T11:T160)</f>
        <v>0</v>
      </c>
      <c r="U161" s="20">
        <f>SUM(U11:U160)</f>
        <v>0</v>
      </c>
      <c r="V161" s="20">
        <f>SUM(V11:V160)</f>
        <v>3285923.8252687594</v>
      </c>
      <c r="X161" s="20">
        <f>SUM(X11:X160)</f>
        <v>8418103.413147388</v>
      </c>
      <c r="Y161" s="119"/>
    </row>
    <row r="163" spans="1:25" s="42" customFormat="1" x14ac:dyDescent="0.3">
      <c r="D163" s="44"/>
      <c r="E163" s="44"/>
      <c r="F163" s="43"/>
      <c r="I163" s="3" t="s">
        <v>491</v>
      </c>
      <c r="J163" s="3" t="s">
        <v>491</v>
      </c>
      <c r="K163" s="3" t="s">
        <v>491</v>
      </c>
      <c r="L163" s="3" t="s">
        <v>491</v>
      </c>
      <c r="M163" s="43"/>
      <c r="N163" s="3" t="s">
        <v>491</v>
      </c>
      <c r="O163" s="3" t="s">
        <v>491</v>
      </c>
      <c r="P163" s="3" t="s">
        <v>491</v>
      </c>
      <c r="Q163" s="3" t="s">
        <v>491</v>
      </c>
      <c r="X163" s="3"/>
    </row>
    <row r="164" spans="1:25" s="42" customFormat="1" x14ac:dyDescent="0.3">
      <c r="D164" s="5"/>
      <c r="E164" s="44"/>
      <c r="F164" s="43"/>
      <c r="I164" s="46"/>
      <c r="J164" s="46"/>
      <c r="K164" s="46"/>
      <c r="N164" s="46"/>
      <c r="O164" s="46"/>
      <c r="P164" s="46"/>
      <c r="X164" s="46"/>
    </row>
    <row r="165" spans="1:25" x14ac:dyDescent="0.3">
      <c r="N165" s="6"/>
      <c r="P165" s="6"/>
      <c r="X165" s="6"/>
    </row>
    <row r="166" spans="1:25" x14ac:dyDescent="0.3">
      <c r="I166" s="45"/>
      <c r="J166" s="45"/>
      <c r="K166" s="45"/>
      <c r="L166" s="45"/>
    </row>
    <row r="167" spans="1:25" x14ac:dyDescent="0.3">
      <c r="I167" s="29"/>
      <c r="N167" s="29"/>
      <c r="X167" s="29"/>
    </row>
    <row r="168" spans="1:25" x14ac:dyDescent="0.3">
      <c r="N168" s="6"/>
      <c r="X168" s="6"/>
    </row>
    <row r="169" spans="1:25" x14ac:dyDescent="0.3">
      <c r="I169" s="6"/>
    </row>
    <row r="170" spans="1:25" x14ac:dyDescent="0.3">
      <c r="N170" s="6"/>
      <c r="X170" s="6"/>
    </row>
  </sheetData>
  <autoFilter ref="A10:Y161" xr:uid="{C0543C2F-A589-4FB2-B6F2-BC34465398BA}"/>
  <phoneticPr fontId="15" type="noConversion"/>
  <conditionalFormatting sqref="B1:B160 B162:B1048576">
    <cfRule type="duplicateValues" dxfId="44" priority="8"/>
  </conditionalFormatting>
  <conditionalFormatting sqref="I163:L163">
    <cfRule type="cellIs" dxfId="43" priority="6" operator="equal">
      <formula>"ERROR"</formula>
    </cfRule>
    <cfRule type="cellIs" dxfId="42" priority="7" operator="equal">
      <formula>"OK"</formula>
    </cfRule>
  </conditionalFormatting>
  <conditionalFormatting sqref="N163:Q163">
    <cfRule type="cellIs" dxfId="41" priority="4" operator="equal">
      <formula>"ERROR"</formula>
    </cfRule>
    <cfRule type="cellIs" dxfId="40" priority="5" operator="equal">
      <formula>"OK"</formula>
    </cfRule>
  </conditionalFormatting>
  <conditionalFormatting sqref="X163">
    <cfRule type="cellIs" dxfId="39" priority="2" operator="equal">
      <formula>"ERROR"</formula>
    </cfRule>
    <cfRule type="cellIs" dxfId="38" priority="3" operator="equal">
      <formula>"OK"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F142C9E-D63A-49C9-8045-1B3B516F19FE}">
          <x14:formula1>
            <xm:f>Mapping!$E$2:$E$8</xm:f>
          </x14:formula1>
          <xm:sqref>F151:F160</xm:sqref>
        </x14:dataValidation>
        <x14:dataValidation type="list" allowBlank="1" showInputMessage="1" showErrorMessage="1" xr:uid="{A6B5CAB5-1C39-4BE6-BABC-28C91528CC3D}">
          <x14:formula1>
            <xm:f>Mapping!$A$2:$A$11</xm:f>
          </x14:formula1>
          <xm:sqref>E151:E160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FEA0D-7F66-49D6-A9E6-C6B2A39BDE95}">
  <sheetPr>
    <tabColor theme="5" tint="0.79998168889431442"/>
  </sheetPr>
  <dimension ref="A6:AA169"/>
  <sheetViews>
    <sheetView showGridLines="0" zoomScale="70" zoomScaleNormal="70" workbookViewId="0">
      <pane ySplit="10" topLeftCell="A11" activePane="bottomLeft" state="frozen"/>
      <selection pane="bottomLeft" activeCell="B54" sqref="B54"/>
    </sheetView>
  </sheetViews>
  <sheetFormatPr defaultColWidth="8.625" defaultRowHeight="16.5" x14ac:dyDescent="0.3"/>
  <cols>
    <col min="1" max="1" width="4.625" style="2" customWidth="1"/>
    <col min="2" max="2" width="48.375" style="2" bestFit="1" customWidth="1"/>
    <col min="3" max="3" width="15.25" style="3" bestFit="1" customWidth="1"/>
    <col min="4" max="4" width="16.875" style="3" customWidth="1"/>
    <col min="5" max="5" width="21.375" style="5" customWidth="1"/>
    <col min="6" max="6" width="13" style="3" customWidth="1"/>
    <col min="7" max="7" width="15.375" style="3" customWidth="1"/>
    <col min="8" max="8" width="10.75" style="2" customWidth="1"/>
    <col min="9" max="9" width="8.375" style="2" customWidth="1"/>
    <col min="10" max="10" width="11.25" style="2" customWidth="1"/>
    <col min="11" max="11" width="2.625" style="2" customWidth="1"/>
    <col min="12" max="12" width="13.625" style="2" bestFit="1" customWidth="1"/>
    <col min="13" max="13" width="13.625" style="2" customWidth="1"/>
    <col min="14" max="18" width="12.625" style="2" customWidth="1"/>
    <col min="19" max="19" width="16.5" style="2" bestFit="1" customWidth="1"/>
    <col min="20" max="20" width="2.625" style="2" customWidth="1"/>
    <col min="21" max="22" width="12.625" style="2" customWidth="1"/>
    <col min="23" max="23" width="11.5" style="2" customWidth="1"/>
    <col min="24" max="25" width="12.625" style="2" customWidth="1"/>
    <col min="26" max="26" width="2.625" style="2" customWidth="1"/>
    <col min="27" max="27" width="31.125" style="2" bestFit="1" customWidth="1"/>
    <col min="28" max="16384" width="8.625" style="2"/>
  </cols>
  <sheetData>
    <row r="6" spans="1:27" s="24" customFormat="1" ht="18.75" x14ac:dyDescent="0.3">
      <c r="A6" s="27" t="s">
        <v>48</v>
      </c>
      <c r="C6" s="26"/>
      <c r="D6" s="26"/>
      <c r="E6" s="25"/>
      <c r="F6" s="26"/>
      <c r="G6" s="26"/>
      <c r="L6" s="127" t="s">
        <v>36</v>
      </c>
      <c r="M6" s="128">
        <f>L161+M161</f>
        <v>24824858.727540791</v>
      </c>
      <c r="R6" s="66" t="s">
        <v>36</v>
      </c>
      <c r="S6" s="92">
        <f>S161</f>
        <v>76145481.390062943</v>
      </c>
    </row>
    <row r="7" spans="1:27" s="24" customFormat="1" ht="18.75" x14ac:dyDescent="0.3">
      <c r="A7" s="23" t="s">
        <v>27</v>
      </c>
      <c r="C7" s="26"/>
      <c r="D7" s="26"/>
      <c r="E7" s="25"/>
      <c r="F7" s="26"/>
      <c r="G7" s="26"/>
      <c r="S7" s="97" t="s">
        <v>508</v>
      </c>
    </row>
    <row r="8" spans="1:27" x14ac:dyDescent="0.3">
      <c r="A8" s="18"/>
    </row>
    <row r="9" spans="1:27" ht="18.75" x14ac:dyDescent="0.3">
      <c r="A9" s="7" t="s">
        <v>28</v>
      </c>
      <c r="B9" s="7"/>
      <c r="C9" s="17"/>
      <c r="D9" s="17"/>
      <c r="E9" s="16"/>
      <c r="F9" s="17"/>
      <c r="G9" s="17"/>
      <c r="H9" s="15"/>
      <c r="I9" s="15"/>
      <c r="J9" s="15"/>
      <c r="L9" s="7" t="s">
        <v>20</v>
      </c>
      <c r="M9" s="7"/>
      <c r="N9" s="15"/>
      <c r="O9" s="15"/>
      <c r="P9" s="15"/>
      <c r="Q9" s="15"/>
      <c r="R9" s="15"/>
      <c r="S9" s="15"/>
      <c r="U9" s="7" t="s">
        <v>29</v>
      </c>
      <c r="V9" s="7"/>
      <c r="W9" s="15"/>
      <c r="X9" s="15"/>
      <c r="Y9" s="15"/>
      <c r="AA9" s="7" t="s">
        <v>8</v>
      </c>
    </row>
    <row r="10" spans="1:27" s="68" customFormat="1" ht="36" x14ac:dyDescent="0.2">
      <c r="A10" s="64" t="s">
        <v>30</v>
      </c>
      <c r="B10" s="65" t="s">
        <v>22</v>
      </c>
      <c r="C10" s="65" t="s">
        <v>142</v>
      </c>
      <c r="D10" s="65" t="s">
        <v>103</v>
      </c>
      <c r="E10" s="65" t="s">
        <v>0</v>
      </c>
      <c r="F10" s="65" t="s">
        <v>141</v>
      </c>
      <c r="G10" s="65" t="s">
        <v>31</v>
      </c>
      <c r="H10" s="65" t="s">
        <v>23</v>
      </c>
      <c r="I10" s="65" t="s">
        <v>32</v>
      </c>
      <c r="J10" s="65" t="s">
        <v>104</v>
      </c>
      <c r="K10" s="67"/>
      <c r="L10" s="94" t="s">
        <v>120</v>
      </c>
      <c r="M10" s="94" t="s">
        <v>119</v>
      </c>
      <c r="N10" s="66" t="s">
        <v>53</v>
      </c>
      <c r="O10" s="66" t="s">
        <v>52</v>
      </c>
      <c r="P10" s="66" t="s">
        <v>51</v>
      </c>
      <c r="Q10" s="66" t="s">
        <v>50</v>
      </c>
      <c r="R10" s="66" t="s">
        <v>49</v>
      </c>
      <c r="S10" s="66" t="s">
        <v>33</v>
      </c>
      <c r="U10" s="66" t="s">
        <v>34</v>
      </c>
      <c r="V10" s="66" t="s">
        <v>35</v>
      </c>
      <c r="W10" s="66" t="s">
        <v>100</v>
      </c>
      <c r="X10" s="66" t="s">
        <v>25</v>
      </c>
      <c r="Y10" s="66" t="s">
        <v>36</v>
      </c>
      <c r="AA10" s="66" t="s">
        <v>36</v>
      </c>
    </row>
    <row r="11" spans="1:27" s="4" customFormat="1" x14ac:dyDescent="0.3">
      <c r="A11" s="56">
        <v>1</v>
      </c>
      <c r="B11" s="48" t="s">
        <v>509</v>
      </c>
      <c r="C11" s="49" t="s">
        <v>76</v>
      </c>
      <c r="D11" s="49" t="s">
        <v>85</v>
      </c>
      <c r="E11" s="49" t="s">
        <v>2</v>
      </c>
      <c r="F11" s="49" t="s">
        <v>3</v>
      </c>
      <c r="G11" s="49" t="s">
        <v>20</v>
      </c>
      <c r="H11" s="49" t="s">
        <v>111</v>
      </c>
      <c r="I11" s="49" t="s">
        <v>37</v>
      </c>
      <c r="J11" s="49" t="s">
        <v>248</v>
      </c>
      <c r="K11" s="50"/>
      <c r="L11" s="51">
        <v>0</v>
      </c>
      <c r="M11" s="51">
        <v>0</v>
      </c>
      <c r="N11" s="52">
        <v>0</v>
      </c>
      <c r="O11" s="52">
        <v>0</v>
      </c>
      <c r="P11" s="52">
        <v>0</v>
      </c>
      <c r="Q11" s="52">
        <v>100000</v>
      </c>
      <c r="R11" s="52">
        <v>100000</v>
      </c>
      <c r="S11" s="54">
        <f>SUM(N11:R11)</f>
        <v>200000</v>
      </c>
      <c r="T11" s="53"/>
      <c r="U11" s="58">
        <v>0.38426218921688254</v>
      </c>
      <c r="V11" s="58">
        <v>0</v>
      </c>
      <c r="W11" s="58">
        <v>0</v>
      </c>
      <c r="X11" s="58">
        <v>0</v>
      </c>
      <c r="Y11" s="57">
        <f t="shared" ref="Y11:Y77" si="0">SUM(U11:X11)</f>
        <v>0.38426218921688254</v>
      </c>
      <c r="Z11" s="53"/>
      <c r="AA11" s="74">
        <v>0.09</v>
      </c>
    </row>
    <row r="12" spans="1:27" s="4" customFormat="1" x14ac:dyDescent="0.3">
      <c r="A12" s="56">
        <f>A11+1</f>
        <v>2</v>
      </c>
      <c r="B12" s="48" t="s">
        <v>148</v>
      </c>
      <c r="C12" s="49" t="s">
        <v>169</v>
      </c>
      <c r="D12" s="49" t="s">
        <v>82</v>
      </c>
      <c r="E12" s="49" t="s">
        <v>169</v>
      </c>
      <c r="F12" s="49" t="s">
        <v>3</v>
      </c>
      <c r="G12" s="49" t="s">
        <v>20</v>
      </c>
      <c r="H12" s="49" t="s">
        <v>111</v>
      </c>
      <c r="I12" s="49" t="s">
        <v>37</v>
      </c>
      <c r="J12" s="49" t="s">
        <v>204</v>
      </c>
      <c r="K12" s="50"/>
      <c r="L12" s="51">
        <v>0</v>
      </c>
      <c r="M12" s="51">
        <v>0</v>
      </c>
      <c r="N12" s="52">
        <v>500000</v>
      </c>
      <c r="O12" s="52">
        <v>0</v>
      </c>
      <c r="P12" s="52">
        <v>0</v>
      </c>
      <c r="Q12" s="52">
        <v>0</v>
      </c>
      <c r="R12" s="52">
        <v>0</v>
      </c>
      <c r="S12" s="54">
        <f t="shared" ref="S12:S78" si="1">SUM(N12:R12)</f>
        <v>500000</v>
      </c>
      <c r="T12" s="53"/>
      <c r="U12" s="58">
        <v>0.38426218921688254</v>
      </c>
      <c r="V12" s="58">
        <v>0</v>
      </c>
      <c r="W12" s="58">
        <v>0</v>
      </c>
      <c r="X12" s="58">
        <v>0</v>
      </c>
      <c r="Y12" s="57">
        <f t="shared" si="0"/>
        <v>0.38426218921688254</v>
      </c>
      <c r="Z12" s="53"/>
      <c r="AA12" s="74">
        <v>0.09</v>
      </c>
    </row>
    <row r="13" spans="1:27" s="4" customFormat="1" x14ac:dyDescent="0.3">
      <c r="A13" s="56">
        <f t="shared" ref="A13:A77" si="2">A12+1</f>
        <v>3</v>
      </c>
      <c r="B13" s="48" t="s">
        <v>297</v>
      </c>
      <c r="C13" s="49" t="s">
        <v>169</v>
      </c>
      <c r="D13" s="49" t="s">
        <v>82</v>
      </c>
      <c r="E13" s="49" t="s">
        <v>169</v>
      </c>
      <c r="F13" s="49" t="s">
        <v>3</v>
      </c>
      <c r="G13" s="49" t="s">
        <v>20</v>
      </c>
      <c r="H13" s="49" t="s">
        <v>111</v>
      </c>
      <c r="I13" s="49" t="s">
        <v>37</v>
      </c>
      <c r="J13" s="49" t="s">
        <v>204</v>
      </c>
      <c r="K13" s="50"/>
      <c r="L13" s="51">
        <v>0</v>
      </c>
      <c r="M13" s="51">
        <v>0</v>
      </c>
      <c r="N13" s="52">
        <v>0</v>
      </c>
      <c r="O13" s="52">
        <v>600000</v>
      </c>
      <c r="P13" s="52">
        <v>0</v>
      </c>
      <c r="Q13" s="52">
        <v>0</v>
      </c>
      <c r="R13" s="52">
        <v>0</v>
      </c>
      <c r="S13" s="54">
        <f t="shared" si="1"/>
        <v>600000</v>
      </c>
      <c r="T13" s="53"/>
      <c r="U13" s="58">
        <v>0.38426218921688254</v>
      </c>
      <c r="V13" s="58">
        <v>0</v>
      </c>
      <c r="W13" s="58">
        <v>0</v>
      </c>
      <c r="X13" s="58">
        <v>0</v>
      </c>
      <c r="Y13" s="57">
        <f t="shared" si="0"/>
        <v>0.38426218921688254</v>
      </c>
      <c r="Z13" s="53"/>
      <c r="AA13" s="74">
        <v>0.09</v>
      </c>
    </row>
    <row r="14" spans="1:27" s="4" customFormat="1" x14ac:dyDescent="0.3">
      <c r="A14" s="56">
        <f t="shared" si="2"/>
        <v>4</v>
      </c>
      <c r="B14" s="48" t="s">
        <v>298</v>
      </c>
      <c r="C14" s="49" t="s">
        <v>169</v>
      </c>
      <c r="D14" s="49" t="s">
        <v>83</v>
      </c>
      <c r="E14" s="49" t="s">
        <v>169</v>
      </c>
      <c r="F14" s="49" t="s">
        <v>3</v>
      </c>
      <c r="G14" s="49" t="s">
        <v>20</v>
      </c>
      <c r="H14" s="49" t="s">
        <v>111</v>
      </c>
      <c r="I14" s="49" t="s">
        <v>37</v>
      </c>
      <c r="J14" s="49" t="s">
        <v>204</v>
      </c>
      <c r="K14" s="50"/>
      <c r="L14" s="51">
        <v>0</v>
      </c>
      <c r="M14" s="51">
        <v>0</v>
      </c>
      <c r="N14" s="52">
        <v>0</v>
      </c>
      <c r="O14" s="52">
        <v>0</v>
      </c>
      <c r="P14" s="52">
        <v>900000</v>
      </c>
      <c r="Q14" s="52">
        <v>0</v>
      </c>
      <c r="R14" s="52">
        <v>0</v>
      </c>
      <c r="S14" s="54">
        <f t="shared" si="1"/>
        <v>900000</v>
      </c>
      <c r="T14" s="53"/>
      <c r="U14" s="58">
        <v>0.38426218921688254</v>
      </c>
      <c r="V14" s="58">
        <v>0</v>
      </c>
      <c r="W14" s="58">
        <v>0</v>
      </c>
      <c r="X14" s="58">
        <v>0</v>
      </c>
      <c r="Y14" s="57">
        <f t="shared" si="0"/>
        <v>0.38426218921688254</v>
      </c>
      <c r="Z14" s="53"/>
      <c r="AA14" s="74">
        <v>0.09</v>
      </c>
    </row>
    <row r="15" spans="1:27" s="4" customFormat="1" x14ac:dyDescent="0.3">
      <c r="A15" s="56">
        <f t="shared" si="2"/>
        <v>5</v>
      </c>
      <c r="B15" s="48" t="s">
        <v>58</v>
      </c>
      <c r="C15" s="49" t="s">
        <v>169</v>
      </c>
      <c r="D15" s="49" t="s">
        <v>82</v>
      </c>
      <c r="E15" s="49" t="s">
        <v>169</v>
      </c>
      <c r="F15" s="49" t="s">
        <v>3</v>
      </c>
      <c r="G15" s="49" t="s">
        <v>20</v>
      </c>
      <c r="H15" s="49" t="s">
        <v>111</v>
      </c>
      <c r="I15" s="49" t="s">
        <v>37</v>
      </c>
      <c r="J15" s="49" t="s">
        <v>204</v>
      </c>
      <c r="K15" s="50"/>
      <c r="L15" s="51">
        <v>0</v>
      </c>
      <c r="M15" s="51">
        <v>0</v>
      </c>
      <c r="N15" s="52">
        <v>0</v>
      </c>
      <c r="O15" s="52">
        <v>0</v>
      </c>
      <c r="P15" s="52">
        <v>80000</v>
      </c>
      <c r="Q15" s="52">
        <v>1425087</v>
      </c>
      <c r="R15" s="52">
        <v>752189</v>
      </c>
      <c r="S15" s="54">
        <f t="shared" si="1"/>
        <v>2257276</v>
      </c>
      <c r="T15" s="53"/>
      <c r="U15" s="58">
        <v>0.38426218921688254</v>
      </c>
      <c r="V15" s="58">
        <v>0</v>
      </c>
      <c r="W15" s="58">
        <v>0</v>
      </c>
      <c r="X15" s="58">
        <v>0</v>
      </c>
      <c r="Y15" s="57">
        <f t="shared" si="0"/>
        <v>0.38426218921688254</v>
      </c>
      <c r="Z15" s="53"/>
      <c r="AA15" s="74">
        <v>0.09</v>
      </c>
    </row>
    <row r="16" spans="1:27" s="4" customFormat="1" x14ac:dyDescent="0.3">
      <c r="A16" s="56">
        <f t="shared" si="2"/>
        <v>6</v>
      </c>
      <c r="B16" s="48" t="s">
        <v>299</v>
      </c>
      <c r="C16" s="49" t="s">
        <v>169</v>
      </c>
      <c r="D16" s="49" t="s">
        <v>83</v>
      </c>
      <c r="E16" s="49" t="s">
        <v>169</v>
      </c>
      <c r="F16" s="49" t="s">
        <v>3</v>
      </c>
      <c r="G16" s="49" t="s">
        <v>20</v>
      </c>
      <c r="H16" s="49" t="s">
        <v>111</v>
      </c>
      <c r="I16" s="49" t="s">
        <v>37</v>
      </c>
      <c r="J16" s="49" t="s">
        <v>204</v>
      </c>
      <c r="K16" s="50"/>
      <c r="L16" s="51">
        <v>0</v>
      </c>
      <c r="M16" s="51">
        <v>0</v>
      </c>
      <c r="N16" s="52">
        <v>1600000</v>
      </c>
      <c r="O16" s="52">
        <v>0</v>
      </c>
      <c r="P16" s="52">
        <v>0</v>
      </c>
      <c r="Q16" s="52">
        <v>0</v>
      </c>
      <c r="R16" s="52">
        <v>0</v>
      </c>
      <c r="S16" s="54">
        <f t="shared" si="1"/>
        <v>1600000</v>
      </c>
      <c r="T16" s="53"/>
      <c r="U16" s="58">
        <v>0.38426218921688254</v>
      </c>
      <c r="V16" s="58">
        <v>0</v>
      </c>
      <c r="W16" s="58">
        <v>0</v>
      </c>
      <c r="X16" s="58">
        <v>0</v>
      </c>
      <c r="Y16" s="57">
        <f t="shared" si="0"/>
        <v>0.38426218921688254</v>
      </c>
      <c r="Z16" s="53"/>
      <c r="AA16" s="74">
        <v>0.09</v>
      </c>
    </row>
    <row r="17" spans="1:27" s="4" customFormat="1" x14ac:dyDescent="0.3">
      <c r="A17" s="56">
        <f t="shared" si="2"/>
        <v>7</v>
      </c>
      <c r="B17" s="48" t="s">
        <v>300</v>
      </c>
      <c r="C17" s="49" t="s">
        <v>169</v>
      </c>
      <c r="D17" s="49" t="s">
        <v>82</v>
      </c>
      <c r="E17" s="49" t="s">
        <v>169</v>
      </c>
      <c r="F17" s="49" t="s">
        <v>3</v>
      </c>
      <c r="G17" s="49" t="s">
        <v>20</v>
      </c>
      <c r="H17" s="49" t="s">
        <v>111</v>
      </c>
      <c r="I17" s="49" t="s">
        <v>37</v>
      </c>
      <c r="J17" s="49" t="s">
        <v>204</v>
      </c>
      <c r="K17" s="50"/>
      <c r="L17" s="51">
        <v>0</v>
      </c>
      <c r="M17" s="51">
        <v>0</v>
      </c>
      <c r="N17" s="52">
        <v>1000000</v>
      </c>
      <c r="O17" s="52">
        <v>500000</v>
      </c>
      <c r="P17" s="52">
        <v>0</v>
      </c>
      <c r="Q17" s="52">
        <v>0</v>
      </c>
      <c r="R17" s="52">
        <v>0</v>
      </c>
      <c r="S17" s="54">
        <f t="shared" si="1"/>
        <v>1500000</v>
      </c>
      <c r="T17" s="53"/>
      <c r="U17" s="58">
        <v>0.38426218921688254</v>
      </c>
      <c r="V17" s="58">
        <v>0</v>
      </c>
      <c r="W17" s="58">
        <v>0</v>
      </c>
      <c r="X17" s="58">
        <v>0</v>
      </c>
      <c r="Y17" s="57">
        <f t="shared" si="0"/>
        <v>0.38426218921688254</v>
      </c>
      <c r="Z17" s="53"/>
      <c r="AA17" s="74">
        <v>0.09</v>
      </c>
    </row>
    <row r="18" spans="1:27" s="4" customFormat="1" x14ac:dyDescent="0.3">
      <c r="A18" s="56">
        <f t="shared" si="2"/>
        <v>8</v>
      </c>
      <c r="B18" s="48" t="s">
        <v>313</v>
      </c>
      <c r="C18" s="49" t="s">
        <v>169</v>
      </c>
      <c r="D18" s="49" t="s">
        <v>82</v>
      </c>
      <c r="E18" s="49" t="s">
        <v>169</v>
      </c>
      <c r="F18" s="49" t="s">
        <v>3</v>
      </c>
      <c r="G18" s="49" t="s">
        <v>20</v>
      </c>
      <c r="H18" s="49" t="s">
        <v>111</v>
      </c>
      <c r="I18" s="49" t="s">
        <v>37</v>
      </c>
      <c r="J18" s="49" t="s">
        <v>204</v>
      </c>
      <c r="K18" s="50"/>
      <c r="L18" s="51">
        <v>0</v>
      </c>
      <c r="M18" s="51">
        <v>0</v>
      </c>
      <c r="N18" s="52">
        <v>323189</v>
      </c>
      <c r="O18" s="52">
        <v>0</v>
      </c>
      <c r="P18" s="52">
        <v>0</v>
      </c>
      <c r="Q18" s="52">
        <v>0</v>
      </c>
      <c r="R18" s="52">
        <v>0</v>
      </c>
      <c r="S18" s="54">
        <f t="shared" si="1"/>
        <v>323189</v>
      </c>
      <c r="T18" s="53"/>
      <c r="U18" s="58">
        <v>0.38426218921688254</v>
      </c>
      <c r="V18" s="58">
        <v>0</v>
      </c>
      <c r="W18" s="58">
        <v>0</v>
      </c>
      <c r="X18" s="58">
        <v>0</v>
      </c>
      <c r="Y18" s="57">
        <f t="shared" si="0"/>
        <v>0.38426218921688254</v>
      </c>
      <c r="Z18" s="53"/>
      <c r="AA18" s="74">
        <v>0.09</v>
      </c>
    </row>
    <row r="19" spans="1:27" s="4" customFormat="1" x14ac:dyDescent="0.3">
      <c r="A19" s="56">
        <f t="shared" si="2"/>
        <v>9</v>
      </c>
      <c r="B19" s="48" t="s">
        <v>301</v>
      </c>
      <c r="C19" s="49" t="s">
        <v>169</v>
      </c>
      <c r="D19" s="49" t="s">
        <v>83</v>
      </c>
      <c r="E19" s="49" t="s">
        <v>169</v>
      </c>
      <c r="F19" s="49" t="s">
        <v>3</v>
      </c>
      <c r="G19" s="49" t="s">
        <v>20</v>
      </c>
      <c r="H19" s="49" t="s">
        <v>111</v>
      </c>
      <c r="I19" s="49" t="s">
        <v>37</v>
      </c>
      <c r="J19" s="49" t="s">
        <v>204</v>
      </c>
      <c r="K19" s="50"/>
      <c r="L19" s="51">
        <v>0</v>
      </c>
      <c r="M19" s="51">
        <v>0</v>
      </c>
      <c r="N19" s="52">
        <v>0</v>
      </c>
      <c r="O19" s="52">
        <v>850000</v>
      </c>
      <c r="P19" s="52">
        <v>850000</v>
      </c>
      <c r="Q19" s="52">
        <v>850000</v>
      </c>
      <c r="R19" s="52">
        <v>225000</v>
      </c>
      <c r="S19" s="54">
        <f t="shared" si="1"/>
        <v>2775000</v>
      </c>
      <c r="T19" s="53"/>
      <c r="U19" s="58">
        <v>0.38426218921688254</v>
      </c>
      <c r="V19" s="58">
        <v>0</v>
      </c>
      <c r="W19" s="58">
        <v>0</v>
      </c>
      <c r="X19" s="58">
        <v>0</v>
      </c>
      <c r="Y19" s="57">
        <f t="shared" si="0"/>
        <v>0.38426218921688254</v>
      </c>
      <c r="Z19" s="53"/>
      <c r="AA19" s="74">
        <v>0.09</v>
      </c>
    </row>
    <row r="20" spans="1:27" s="4" customFormat="1" x14ac:dyDescent="0.3">
      <c r="A20" s="56">
        <f t="shared" si="2"/>
        <v>10</v>
      </c>
      <c r="B20" s="48" t="s">
        <v>302</v>
      </c>
      <c r="C20" s="49" t="s">
        <v>169</v>
      </c>
      <c r="D20" s="49" t="s">
        <v>83</v>
      </c>
      <c r="E20" s="49" t="s">
        <v>169</v>
      </c>
      <c r="F20" s="49" t="s">
        <v>3</v>
      </c>
      <c r="G20" s="49" t="s">
        <v>20</v>
      </c>
      <c r="H20" s="49" t="s">
        <v>111</v>
      </c>
      <c r="I20" s="49" t="s">
        <v>37</v>
      </c>
      <c r="J20" s="49" t="s">
        <v>204</v>
      </c>
      <c r="K20" s="50"/>
      <c r="L20" s="51">
        <v>0</v>
      </c>
      <c r="M20" s="51">
        <v>0</v>
      </c>
      <c r="N20" s="52">
        <v>0</v>
      </c>
      <c r="O20" s="52">
        <v>850000</v>
      </c>
      <c r="P20" s="52">
        <v>850000</v>
      </c>
      <c r="Q20" s="52">
        <v>850000</v>
      </c>
      <c r="R20" s="52">
        <v>225000</v>
      </c>
      <c r="S20" s="54">
        <f t="shared" si="1"/>
        <v>2775000</v>
      </c>
      <c r="T20" s="53"/>
      <c r="U20" s="58">
        <v>0.38426218921688254</v>
      </c>
      <c r="V20" s="58">
        <v>0</v>
      </c>
      <c r="W20" s="58">
        <v>0</v>
      </c>
      <c r="X20" s="58">
        <v>0</v>
      </c>
      <c r="Y20" s="57">
        <f t="shared" si="0"/>
        <v>0.38426218921688254</v>
      </c>
      <c r="Z20" s="53"/>
      <c r="AA20" s="74">
        <v>0.09</v>
      </c>
    </row>
    <row r="21" spans="1:27" s="4" customFormat="1" x14ac:dyDescent="0.3">
      <c r="A21" s="56">
        <f t="shared" si="2"/>
        <v>11</v>
      </c>
      <c r="B21" s="48" t="s">
        <v>303</v>
      </c>
      <c r="C21" s="49" t="s">
        <v>169</v>
      </c>
      <c r="D21" s="49" t="s">
        <v>84</v>
      </c>
      <c r="E21" s="49" t="s">
        <v>2</v>
      </c>
      <c r="F21" s="49" t="s">
        <v>3</v>
      </c>
      <c r="G21" s="49" t="s">
        <v>20</v>
      </c>
      <c r="H21" s="49" t="s">
        <v>111</v>
      </c>
      <c r="I21" s="49" t="s">
        <v>37</v>
      </c>
      <c r="J21" s="49" t="s">
        <v>204</v>
      </c>
      <c r="K21" s="50"/>
      <c r="L21" s="51">
        <v>0</v>
      </c>
      <c r="M21" s="51">
        <v>0</v>
      </c>
      <c r="N21" s="52">
        <v>1500000</v>
      </c>
      <c r="O21" s="52">
        <v>1500000</v>
      </c>
      <c r="P21" s="52">
        <v>1500000</v>
      </c>
      <c r="Q21" s="52">
        <v>1500000</v>
      </c>
      <c r="R21" s="52">
        <v>1500000</v>
      </c>
      <c r="S21" s="54">
        <f t="shared" si="1"/>
        <v>7500000</v>
      </c>
      <c r="T21" s="53"/>
      <c r="U21" s="58">
        <v>0.38426218921688254</v>
      </c>
      <c r="V21" s="58">
        <v>0</v>
      </c>
      <c r="W21" s="58">
        <v>0</v>
      </c>
      <c r="X21" s="58">
        <v>0</v>
      </c>
      <c r="Y21" s="57">
        <f t="shared" si="0"/>
        <v>0.38426218921688254</v>
      </c>
      <c r="Z21" s="53"/>
      <c r="AA21" s="74">
        <v>0.09</v>
      </c>
    </row>
    <row r="22" spans="1:27" s="4" customFormat="1" x14ac:dyDescent="0.3">
      <c r="A22" s="56">
        <f t="shared" si="2"/>
        <v>12</v>
      </c>
      <c r="B22" s="48" t="s">
        <v>304</v>
      </c>
      <c r="C22" s="49" t="s">
        <v>169</v>
      </c>
      <c r="D22" s="49" t="s">
        <v>84</v>
      </c>
      <c r="E22" s="49" t="s">
        <v>2</v>
      </c>
      <c r="F22" s="49" t="s">
        <v>3</v>
      </c>
      <c r="G22" s="49" t="s">
        <v>20</v>
      </c>
      <c r="H22" s="49" t="s">
        <v>111</v>
      </c>
      <c r="I22" s="49" t="s">
        <v>37</v>
      </c>
      <c r="J22" s="49" t="s">
        <v>204</v>
      </c>
      <c r="K22" s="50"/>
      <c r="L22" s="51">
        <v>0</v>
      </c>
      <c r="M22" s="51">
        <v>0</v>
      </c>
      <c r="N22" s="52">
        <v>800000</v>
      </c>
      <c r="O22" s="52">
        <v>800000</v>
      </c>
      <c r="P22" s="52">
        <v>800000</v>
      </c>
      <c r="Q22" s="52">
        <v>800000</v>
      </c>
      <c r="R22" s="52">
        <v>800000</v>
      </c>
      <c r="S22" s="54">
        <f t="shared" si="1"/>
        <v>4000000</v>
      </c>
      <c r="T22" s="53"/>
      <c r="U22" s="58">
        <v>0.38426218921688254</v>
      </c>
      <c r="V22" s="58">
        <v>0</v>
      </c>
      <c r="W22" s="58">
        <v>0</v>
      </c>
      <c r="X22" s="58">
        <v>0</v>
      </c>
      <c r="Y22" s="57">
        <f t="shared" si="0"/>
        <v>0.38426218921688254</v>
      </c>
      <c r="Z22" s="53"/>
      <c r="AA22" s="74">
        <v>0.09</v>
      </c>
    </row>
    <row r="23" spans="1:27" s="4" customFormat="1" x14ac:dyDescent="0.3">
      <c r="A23" s="56">
        <f t="shared" si="2"/>
        <v>13</v>
      </c>
      <c r="B23" s="48" t="s">
        <v>305</v>
      </c>
      <c r="C23" s="49" t="s">
        <v>169</v>
      </c>
      <c r="D23" s="49" t="s">
        <v>83</v>
      </c>
      <c r="E23" s="49" t="s">
        <v>169</v>
      </c>
      <c r="F23" s="49" t="s">
        <v>3</v>
      </c>
      <c r="G23" s="49" t="s">
        <v>20</v>
      </c>
      <c r="H23" s="49" t="s">
        <v>111</v>
      </c>
      <c r="I23" s="49" t="s">
        <v>37</v>
      </c>
      <c r="J23" s="49" t="s">
        <v>204</v>
      </c>
      <c r="K23" s="50"/>
      <c r="L23" s="51">
        <v>0</v>
      </c>
      <c r="M23" s="51">
        <v>0</v>
      </c>
      <c r="N23" s="52">
        <v>800000</v>
      </c>
      <c r="O23" s="52">
        <v>0</v>
      </c>
      <c r="P23" s="52">
        <v>0</v>
      </c>
      <c r="Q23" s="52">
        <v>0</v>
      </c>
      <c r="R23" s="52">
        <v>0</v>
      </c>
      <c r="S23" s="54">
        <f t="shared" si="1"/>
        <v>800000</v>
      </c>
      <c r="T23" s="53"/>
      <c r="U23" s="58">
        <v>0.38426218921688254</v>
      </c>
      <c r="V23" s="58">
        <v>0</v>
      </c>
      <c r="W23" s="58">
        <v>0</v>
      </c>
      <c r="X23" s="58">
        <v>0</v>
      </c>
      <c r="Y23" s="57">
        <f t="shared" si="0"/>
        <v>0.38426218921688254</v>
      </c>
      <c r="Z23" s="53"/>
      <c r="AA23" s="74">
        <v>0.09</v>
      </c>
    </row>
    <row r="24" spans="1:27" s="4" customFormat="1" x14ac:dyDescent="0.3">
      <c r="A24" s="56">
        <f t="shared" si="2"/>
        <v>14</v>
      </c>
      <c r="B24" s="48" t="s">
        <v>306</v>
      </c>
      <c r="C24" s="49" t="s">
        <v>249</v>
      </c>
      <c r="D24" s="49" t="s">
        <v>87</v>
      </c>
      <c r="E24" s="49" t="s">
        <v>2</v>
      </c>
      <c r="F24" s="49" t="s">
        <v>3</v>
      </c>
      <c r="G24" s="49" t="s">
        <v>20</v>
      </c>
      <c r="H24" s="49" t="s">
        <v>111</v>
      </c>
      <c r="I24" s="49" t="s">
        <v>37</v>
      </c>
      <c r="J24" s="49" t="s">
        <v>204</v>
      </c>
      <c r="K24" s="50"/>
      <c r="L24" s="51">
        <v>0</v>
      </c>
      <c r="M24" s="51">
        <v>0</v>
      </c>
      <c r="N24" s="52">
        <v>3110928</v>
      </c>
      <c r="O24" s="52">
        <v>3735101</v>
      </c>
      <c r="P24" s="52">
        <v>0</v>
      </c>
      <c r="Q24" s="52">
        <v>0</v>
      </c>
      <c r="R24" s="52">
        <v>0</v>
      </c>
      <c r="S24" s="54">
        <f t="shared" si="1"/>
        <v>6846029</v>
      </c>
      <c r="T24" s="53"/>
      <c r="U24" s="58">
        <v>0.38426218921688254</v>
      </c>
      <c r="V24" s="58">
        <v>0</v>
      </c>
      <c r="W24" s="58">
        <v>0</v>
      </c>
      <c r="X24" s="58">
        <v>0</v>
      </c>
      <c r="Y24" s="57">
        <f t="shared" si="0"/>
        <v>0.38426218921688254</v>
      </c>
      <c r="Z24" s="53"/>
      <c r="AA24" s="74">
        <v>0.09</v>
      </c>
    </row>
    <row r="25" spans="1:27" s="4" customFormat="1" x14ac:dyDescent="0.3">
      <c r="A25" s="56">
        <f t="shared" si="2"/>
        <v>15</v>
      </c>
      <c r="B25" s="48" t="s">
        <v>510</v>
      </c>
      <c r="C25" s="49" t="s">
        <v>169</v>
      </c>
      <c r="D25" s="49" t="s">
        <v>86</v>
      </c>
      <c r="E25" s="49" t="s">
        <v>2</v>
      </c>
      <c r="F25" s="49" t="s">
        <v>3</v>
      </c>
      <c r="G25" s="49" t="s">
        <v>20</v>
      </c>
      <c r="H25" s="49" t="s">
        <v>111</v>
      </c>
      <c r="I25" s="49" t="s">
        <v>37</v>
      </c>
      <c r="J25" s="49" t="s">
        <v>204</v>
      </c>
      <c r="K25" s="50"/>
      <c r="L25" s="51">
        <v>0</v>
      </c>
      <c r="M25" s="51">
        <v>0</v>
      </c>
      <c r="N25" s="52">
        <v>0</v>
      </c>
      <c r="O25" s="52">
        <v>1830000</v>
      </c>
      <c r="P25" s="52">
        <v>0</v>
      </c>
      <c r="Q25" s="52">
        <v>0</v>
      </c>
      <c r="R25" s="52">
        <v>0</v>
      </c>
      <c r="S25" s="54">
        <f t="shared" si="1"/>
        <v>1830000</v>
      </c>
      <c r="T25" s="53"/>
      <c r="U25" s="58">
        <v>0.38426218921688254</v>
      </c>
      <c r="V25" s="58">
        <v>0</v>
      </c>
      <c r="W25" s="58">
        <v>0</v>
      </c>
      <c r="X25" s="58">
        <v>0</v>
      </c>
      <c r="Y25" s="57">
        <f t="shared" si="0"/>
        <v>0.38426218921688254</v>
      </c>
      <c r="Z25" s="53"/>
      <c r="AA25" s="74">
        <v>0.09</v>
      </c>
    </row>
    <row r="26" spans="1:27" s="4" customFormat="1" x14ac:dyDescent="0.3">
      <c r="A26" s="56">
        <f t="shared" si="2"/>
        <v>16</v>
      </c>
      <c r="B26" s="48" t="s">
        <v>308</v>
      </c>
      <c r="C26" s="49" t="s">
        <v>249</v>
      </c>
      <c r="D26" s="49" t="s">
        <v>88</v>
      </c>
      <c r="E26" s="49" t="s">
        <v>2</v>
      </c>
      <c r="F26" s="49" t="s">
        <v>3</v>
      </c>
      <c r="G26" s="49" t="s">
        <v>20</v>
      </c>
      <c r="H26" s="49" t="s">
        <v>111</v>
      </c>
      <c r="I26" s="49" t="s">
        <v>37</v>
      </c>
      <c r="J26" s="49" t="s">
        <v>204</v>
      </c>
      <c r="K26" s="50"/>
      <c r="L26" s="51">
        <v>0</v>
      </c>
      <c r="M26" s="51">
        <v>0</v>
      </c>
      <c r="N26" s="52">
        <v>250000</v>
      </c>
      <c r="O26" s="52">
        <v>250000</v>
      </c>
      <c r="P26" s="52">
        <v>250000</v>
      </c>
      <c r="Q26" s="52">
        <v>250000</v>
      </c>
      <c r="R26" s="52">
        <v>250000</v>
      </c>
      <c r="S26" s="54">
        <f t="shared" si="1"/>
        <v>1250000</v>
      </c>
      <c r="T26" s="53"/>
      <c r="U26" s="58">
        <v>0.38426218921688254</v>
      </c>
      <c r="V26" s="58">
        <v>0</v>
      </c>
      <c r="W26" s="58">
        <v>0</v>
      </c>
      <c r="X26" s="58">
        <v>0</v>
      </c>
      <c r="Y26" s="57">
        <f t="shared" si="0"/>
        <v>0.38426218921688254</v>
      </c>
      <c r="Z26" s="53"/>
      <c r="AA26" s="74">
        <v>0.09</v>
      </c>
    </row>
    <row r="27" spans="1:27" s="4" customFormat="1" x14ac:dyDescent="0.3">
      <c r="A27" s="56">
        <f t="shared" si="2"/>
        <v>17</v>
      </c>
      <c r="B27" s="48" t="s">
        <v>309</v>
      </c>
      <c r="C27" s="49" t="s">
        <v>249</v>
      </c>
      <c r="D27" s="49" t="s">
        <v>515</v>
      </c>
      <c r="E27" s="49" t="s">
        <v>2</v>
      </c>
      <c r="F27" s="49" t="s">
        <v>3</v>
      </c>
      <c r="G27" s="49" t="s">
        <v>20</v>
      </c>
      <c r="H27" s="49" t="s">
        <v>111</v>
      </c>
      <c r="I27" s="49" t="s">
        <v>37</v>
      </c>
      <c r="J27" s="49" t="s">
        <v>204</v>
      </c>
      <c r="K27" s="50"/>
      <c r="L27" s="51">
        <v>0</v>
      </c>
      <c r="M27" s="51">
        <v>0</v>
      </c>
      <c r="N27" s="52">
        <v>1046799</v>
      </c>
      <c r="O27" s="52">
        <v>1046799</v>
      </c>
      <c r="P27" s="52">
        <v>1010114</v>
      </c>
      <c r="Q27" s="52">
        <v>992864</v>
      </c>
      <c r="R27" s="52">
        <v>1948928</v>
      </c>
      <c r="S27" s="54">
        <f t="shared" si="1"/>
        <v>6045504</v>
      </c>
      <c r="T27" s="53"/>
      <c r="U27" s="58">
        <v>0.38426218921688254</v>
      </c>
      <c r="V27" s="58">
        <v>0</v>
      </c>
      <c r="W27" s="58">
        <v>0</v>
      </c>
      <c r="X27" s="58">
        <v>0</v>
      </c>
      <c r="Y27" s="57">
        <f t="shared" si="0"/>
        <v>0.38426218921688254</v>
      </c>
      <c r="Z27" s="53"/>
      <c r="AA27" s="74">
        <v>0.09</v>
      </c>
    </row>
    <row r="28" spans="1:27" s="4" customFormat="1" x14ac:dyDescent="0.3">
      <c r="A28" s="56">
        <f t="shared" si="2"/>
        <v>18</v>
      </c>
      <c r="B28" s="48" t="s">
        <v>310</v>
      </c>
      <c r="C28" s="49" t="s">
        <v>78</v>
      </c>
      <c r="D28" s="49" t="s">
        <v>90</v>
      </c>
      <c r="E28" s="49" t="s">
        <v>2</v>
      </c>
      <c r="F28" s="49" t="s">
        <v>3</v>
      </c>
      <c r="G28" s="49" t="s">
        <v>20</v>
      </c>
      <c r="H28" s="49" t="s">
        <v>111</v>
      </c>
      <c r="I28" s="49" t="s">
        <v>37</v>
      </c>
      <c r="J28" s="49" t="s">
        <v>204</v>
      </c>
      <c r="K28" s="50"/>
      <c r="L28" s="51">
        <v>0</v>
      </c>
      <c r="M28" s="51">
        <v>0</v>
      </c>
      <c r="N28" s="52">
        <v>9000000</v>
      </c>
      <c r="O28" s="52">
        <v>0</v>
      </c>
      <c r="P28" s="52">
        <v>0</v>
      </c>
      <c r="Q28" s="52">
        <v>0</v>
      </c>
      <c r="R28" s="52">
        <v>0</v>
      </c>
      <c r="S28" s="54">
        <f t="shared" si="1"/>
        <v>9000000</v>
      </c>
      <c r="T28" s="53"/>
      <c r="U28" s="58">
        <v>0.38426218921688254</v>
      </c>
      <c r="V28" s="58">
        <v>0</v>
      </c>
      <c r="W28" s="58">
        <v>0</v>
      </c>
      <c r="X28" s="58">
        <v>0</v>
      </c>
      <c r="Y28" s="57">
        <f t="shared" si="0"/>
        <v>0.38426218921688254</v>
      </c>
      <c r="Z28" s="53"/>
      <c r="AA28" s="74">
        <v>0.09</v>
      </c>
    </row>
    <row r="29" spans="1:27" s="4" customFormat="1" x14ac:dyDescent="0.3">
      <c r="A29" s="56">
        <f t="shared" si="2"/>
        <v>19</v>
      </c>
      <c r="B29" s="48" t="s">
        <v>59</v>
      </c>
      <c r="C29" s="49" t="s">
        <v>80</v>
      </c>
      <c r="D29" s="49" t="s">
        <v>91</v>
      </c>
      <c r="E29" s="49" t="s">
        <v>4</v>
      </c>
      <c r="F29" s="49" t="s">
        <v>3</v>
      </c>
      <c r="G29" s="49" t="s">
        <v>20</v>
      </c>
      <c r="H29" s="49" t="s">
        <v>111</v>
      </c>
      <c r="I29" s="49" t="s">
        <v>37</v>
      </c>
      <c r="J29" s="49" t="s">
        <v>204</v>
      </c>
      <c r="K29" s="50"/>
      <c r="L29" s="51">
        <v>0</v>
      </c>
      <c r="M29" s="51">
        <v>0</v>
      </c>
      <c r="N29" s="52">
        <v>200000</v>
      </c>
      <c r="O29" s="52">
        <v>200000</v>
      </c>
      <c r="P29" s="52">
        <v>200000</v>
      </c>
      <c r="Q29" s="52">
        <v>200000</v>
      </c>
      <c r="R29" s="52">
        <v>200000</v>
      </c>
      <c r="S29" s="54">
        <f t="shared" si="1"/>
        <v>1000000</v>
      </c>
      <c r="T29" s="53"/>
      <c r="U29" s="58">
        <v>0.38426218921688254</v>
      </c>
      <c r="V29" s="58">
        <v>0</v>
      </c>
      <c r="W29" s="58">
        <v>0</v>
      </c>
      <c r="X29" s="58">
        <v>0</v>
      </c>
      <c r="Y29" s="57">
        <f t="shared" si="0"/>
        <v>0.38426218921688254</v>
      </c>
      <c r="Z29" s="53"/>
      <c r="AA29" s="74">
        <v>0.09</v>
      </c>
    </row>
    <row r="30" spans="1:27" s="4" customFormat="1" x14ac:dyDescent="0.3">
      <c r="A30" s="56">
        <f t="shared" si="2"/>
        <v>20</v>
      </c>
      <c r="B30" s="48" t="s">
        <v>278</v>
      </c>
      <c r="C30" s="49" t="s">
        <v>76</v>
      </c>
      <c r="D30" s="49" t="s">
        <v>76</v>
      </c>
      <c r="E30" s="49" t="s">
        <v>496</v>
      </c>
      <c r="F30" s="49" t="s">
        <v>3</v>
      </c>
      <c r="G30" s="49" t="s">
        <v>20</v>
      </c>
      <c r="H30" s="49" t="s">
        <v>111</v>
      </c>
      <c r="I30" s="49" t="s">
        <v>37</v>
      </c>
      <c r="J30" s="49" t="s">
        <v>204</v>
      </c>
      <c r="K30" s="50"/>
      <c r="L30" s="51">
        <v>0</v>
      </c>
      <c r="M30" s="51">
        <v>0</v>
      </c>
      <c r="N30" s="52">
        <v>0</v>
      </c>
      <c r="O30" s="52">
        <v>250000</v>
      </c>
      <c r="P30" s="52">
        <v>0</v>
      </c>
      <c r="Q30" s="52">
        <v>0</v>
      </c>
      <c r="R30" s="52">
        <v>0</v>
      </c>
      <c r="S30" s="54">
        <f t="shared" si="1"/>
        <v>250000</v>
      </c>
      <c r="T30" s="53"/>
      <c r="U30" s="58">
        <v>0.38426218921688254</v>
      </c>
      <c r="V30" s="58">
        <v>0</v>
      </c>
      <c r="W30" s="58">
        <v>0</v>
      </c>
      <c r="X30" s="58">
        <v>0</v>
      </c>
      <c r="Y30" s="57">
        <f t="shared" si="0"/>
        <v>0.38426218921688254</v>
      </c>
      <c r="Z30" s="53"/>
      <c r="AA30" s="74">
        <v>0.09</v>
      </c>
    </row>
    <row r="31" spans="1:27" s="4" customFormat="1" x14ac:dyDescent="0.3">
      <c r="A31" s="56">
        <f t="shared" si="2"/>
        <v>21</v>
      </c>
      <c r="B31" s="48" t="s">
        <v>285</v>
      </c>
      <c r="C31" s="49" t="s">
        <v>76</v>
      </c>
      <c r="D31" s="49" t="s">
        <v>76</v>
      </c>
      <c r="E31" s="49" t="s">
        <v>496</v>
      </c>
      <c r="F31" s="49" t="s">
        <v>3</v>
      </c>
      <c r="G31" s="49" t="s">
        <v>20</v>
      </c>
      <c r="H31" s="49" t="s">
        <v>111</v>
      </c>
      <c r="I31" s="49" t="s">
        <v>37</v>
      </c>
      <c r="J31" s="49" t="s">
        <v>204</v>
      </c>
      <c r="K31" s="50"/>
      <c r="L31" s="51">
        <v>0</v>
      </c>
      <c r="M31" s="51">
        <v>0</v>
      </c>
      <c r="N31" s="52">
        <v>0</v>
      </c>
      <c r="O31" s="52">
        <v>0</v>
      </c>
      <c r="P31" s="52">
        <v>0</v>
      </c>
      <c r="Q31" s="52">
        <v>100000</v>
      </c>
      <c r="R31" s="52">
        <v>100000</v>
      </c>
      <c r="S31" s="54">
        <f t="shared" si="1"/>
        <v>200000</v>
      </c>
      <c r="T31" s="53"/>
      <c r="U31" s="58">
        <v>0.38426218921688254</v>
      </c>
      <c r="V31" s="58">
        <v>0</v>
      </c>
      <c r="W31" s="58">
        <v>0</v>
      </c>
      <c r="X31" s="58">
        <v>0</v>
      </c>
      <c r="Y31" s="57">
        <f t="shared" si="0"/>
        <v>0.38426218921688254</v>
      </c>
      <c r="Z31" s="53"/>
      <c r="AA31" s="74">
        <v>0.09</v>
      </c>
    </row>
    <row r="32" spans="1:27" s="4" customFormat="1" x14ac:dyDescent="0.3">
      <c r="A32" s="56">
        <f t="shared" si="2"/>
        <v>22</v>
      </c>
      <c r="B32" s="48" t="s">
        <v>279</v>
      </c>
      <c r="C32" s="49" t="s">
        <v>76</v>
      </c>
      <c r="D32" s="49" t="s">
        <v>76</v>
      </c>
      <c r="E32" s="49" t="s">
        <v>496</v>
      </c>
      <c r="F32" s="49" t="s">
        <v>3</v>
      </c>
      <c r="G32" s="49" t="s">
        <v>20</v>
      </c>
      <c r="H32" s="49" t="s">
        <v>111</v>
      </c>
      <c r="I32" s="49" t="s">
        <v>37</v>
      </c>
      <c r="J32" s="49" t="s">
        <v>204</v>
      </c>
      <c r="K32" s="50"/>
      <c r="L32" s="51">
        <v>0</v>
      </c>
      <c r="M32" s="51">
        <v>0</v>
      </c>
      <c r="N32" s="52">
        <v>0</v>
      </c>
      <c r="O32" s="52">
        <v>0</v>
      </c>
      <c r="P32" s="52">
        <v>100000</v>
      </c>
      <c r="Q32" s="52">
        <v>0</v>
      </c>
      <c r="R32" s="52">
        <v>0</v>
      </c>
      <c r="S32" s="54">
        <f t="shared" si="1"/>
        <v>100000</v>
      </c>
      <c r="T32" s="53"/>
      <c r="U32" s="58">
        <v>0.38426218921688254</v>
      </c>
      <c r="V32" s="58">
        <v>0</v>
      </c>
      <c r="W32" s="58">
        <v>0</v>
      </c>
      <c r="X32" s="58">
        <v>0</v>
      </c>
      <c r="Y32" s="57">
        <f t="shared" si="0"/>
        <v>0.38426218921688254</v>
      </c>
      <c r="Z32" s="53"/>
      <c r="AA32" s="74">
        <v>0.09</v>
      </c>
    </row>
    <row r="33" spans="1:27" s="4" customFormat="1" x14ac:dyDescent="0.3">
      <c r="A33" s="56">
        <f t="shared" si="2"/>
        <v>23</v>
      </c>
      <c r="B33" s="48" t="s">
        <v>511</v>
      </c>
      <c r="C33" s="49" t="s">
        <v>76</v>
      </c>
      <c r="D33" s="49" t="s">
        <v>76</v>
      </c>
      <c r="E33" s="49" t="s">
        <v>496</v>
      </c>
      <c r="F33" s="49" t="s">
        <v>3</v>
      </c>
      <c r="G33" s="49" t="s">
        <v>20</v>
      </c>
      <c r="H33" s="49" t="s">
        <v>111</v>
      </c>
      <c r="I33" s="49" t="s">
        <v>37</v>
      </c>
      <c r="J33" s="49" t="s">
        <v>204</v>
      </c>
      <c r="K33" s="50"/>
      <c r="L33" s="51">
        <v>0</v>
      </c>
      <c r="M33" s="51">
        <v>0</v>
      </c>
      <c r="N33" s="52">
        <v>0</v>
      </c>
      <c r="O33" s="52">
        <v>0</v>
      </c>
      <c r="P33" s="52">
        <v>50000</v>
      </c>
      <c r="Q33" s="52">
        <v>50000</v>
      </c>
      <c r="R33" s="52">
        <v>50000</v>
      </c>
      <c r="S33" s="54">
        <f t="shared" si="1"/>
        <v>150000</v>
      </c>
      <c r="T33" s="53"/>
      <c r="U33" s="58">
        <v>0.38426218921688254</v>
      </c>
      <c r="V33" s="58">
        <v>0</v>
      </c>
      <c r="W33" s="58">
        <v>0</v>
      </c>
      <c r="X33" s="58">
        <v>0</v>
      </c>
      <c r="Y33" s="57">
        <f t="shared" si="0"/>
        <v>0.38426218921688254</v>
      </c>
      <c r="Z33" s="53"/>
      <c r="AA33" s="74">
        <v>0.09</v>
      </c>
    </row>
    <row r="34" spans="1:27" s="4" customFormat="1" x14ac:dyDescent="0.3">
      <c r="A34" s="56">
        <f t="shared" si="2"/>
        <v>24</v>
      </c>
      <c r="B34" s="48" t="s">
        <v>60</v>
      </c>
      <c r="C34" s="49" t="s">
        <v>81</v>
      </c>
      <c r="D34" s="49" t="s">
        <v>92</v>
      </c>
      <c r="E34" s="49" t="s">
        <v>69</v>
      </c>
      <c r="F34" s="49" t="s">
        <v>3</v>
      </c>
      <c r="G34" s="49" t="s">
        <v>20</v>
      </c>
      <c r="H34" s="49" t="s">
        <v>111</v>
      </c>
      <c r="I34" s="49" t="s">
        <v>37</v>
      </c>
      <c r="J34" s="49" t="s">
        <v>204</v>
      </c>
      <c r="K34" s="50"/>
      <c r="L34" s="51">
        <v>0</v>
      </c>
      <c r="M34" s="51">
        <v>0</v>
      </c>
      <c r="N34" s="52">
        <v>350000</v>
      </c>
      <c r="O34" s="52">
        <v>350000</v>
      </c>
      <c r="P34" s="52">
        <v>350000</v>
      </c>
      <c r="Q34" s="52">
        <v>350000</v>
      </c>
      <c r="R34" s="52">
        <v>350000</v>
      </c>
      <c r="S34" s="54">
        <f t="shared" si="1"/>
        <v>1750000</v>
      </c>
      <c r="T34" s="53"/>
      <c r="U34" s="58">
        <v>0.38426218921688254</v>
      </c>
      <c r="V34" s="58">
        <v>0</v>
      </c>
      <c r="W34" s="58">
        <v>0</v>
      </c>
      <c r="X34" s="58">
        <v>0</v>
      </c>
      <c r="Y34" s="57">
        <f t="shared" si="0"/>
        <v>0.38426218921688254</v>
      </c>
      <c r="Z34" s="53"/>
      <c r="AA34" s="74">
        <v>0.09</v>
      </c>
    </row>
    <row r="35" spans="1:27" s="4" customFormat="1" x14ac:dyDescent="0.3">
      <c r="A35" s="56">
        <f t="shared" si="2"/>
        <v>25</v>
      </c>
      <c r="B35" s="48" t="s">
        <v>512</v>
      </c>
      <c r="C35" s="49" t="s">
        <v>76</v>
      </c>
      <c r="D35" s="49" t="s">
        <v>76</v>
      </c>
      <c r="E35" s="49" t="s">
        <v>4</v>
      </c>
      <c r="F35" s="49" t="s">
        <v>3</v>
      </c>
      <c r="G35" s="49" t="s">
        <v>20</v>
      </c>
      <c r="H35" s="49" t="s">
        <v>111</v>
      </c>
      <c r="I35" s="49" t="s">
        <v>37</v>
      </c>
      <c r="J35" s="49" t="s">
        <v>204</v>
      </c>
      <c r="K35" s="50"/>
      <c r="L35" s="51">
        <v>0</v>
      </c>
      <c r="M35" s="51">
        <v>0</v>
      </c>
      <c r="N35" s="52">
        <v>0</v>
      </c>
      <c r="O35" s="52">
        <v>100000</v>
      </c>
      <c r="P35" s="52">
        <v>0</v>
      </c>
      <c r="Q35" s="52">
        <v>0</v>
      </c>
      <c r="R35" s="52">
        <v>0</v>
      </c>
      <c r="S35" s="54">
        <f t="shared" si="1"/>
        <v>100000</v>
      </c>
      <c r="T35" s="53"/>
      <c r="U35" s="58">
        <v>0.38426218921688254</v>
      </c>
      <c r="V35" s="58">
        <v>0</v>
      </c>
      <c r="W35" s="58">
        <v>0</v>
      </c>
      <c r="X35" s="58">
        <v>0</v>
      </c>
      <c r="Y35" s="57">
        <f t="shared" si="0"/>
        <v>0.38426218921688254</v>
      </c>
      <c r="Z35" s="53"/>
      <c r="AA35" s="74">
        <v>0.09</v>
      </c>
    </row>
    <row r="36" spans="1:27" s="4" customFormat="1" x14ac:dyDescent="0.3">
      <c r="A36" s="56">
        <f t="shared" si="2"/>
        <v>26</v>
      </c>
      <c r="B36" s="48" t="s">
        <v>93</v>
      </c>
      <c r="C36" s="49" t="s">
        <v>80</v>
      </c>
      <c r="D36" s="49" t="s">
        <v>93</v>
      </c>
      <c r="E36" s="49" t="s">
        <v>496</v>
      </c>
      <c r="F36" s="49" t="s">
        <v>3</v>
      </c>
      <c r="G36" s="49" t="s">
        <v>20</v>
      </c>
      <c r="H36" s="49" t="s">
        <v>111</v>
      </c>
      <c r="I36" s="49" t="s">
        <v>37</v>
      </c>
      <c r="J36" s="49" t="s">
        <v>204</v>
      </c>
      <c r="K36" s="50"/>
      <c r="L36" s="51">
        <v>0</v>
      </c>
      <c r="M36" s="51">
        <v>0</v>
      </c>
      <c r="N36" s="52">
        <v>200000</v>
      </c>
      <c r="O36" s="52">
        <v>200000</v>
      </c>
      <c r="P36" s="52">
        <v>200000</v>
      </c>
      <c r="Q36" s="52">
        <v>200000</v>
      </c>
      <c r="R36" s="52">
        <v>200000</v>
      </c>
      <c r="S36" s="54">
        <f t="shared" si="1"/>
        <v>1000000</v>
      </c>
      <c r="T36" s="53"/>
      <c r="U36" s="58">
        <v>0.38426218921688254</v>
      </c>
      <c r="V36" s="58">
        <v>0</v>
      </c>
      <c r="W36" s="58">
        <v>0</v>
      </c>
      <c r="X36" s="58">
        <v>0</v>
      </c>
      <c r="Y36" s="57">
        <f t="shared" si="0"/>
        <v>0.38426218921688254</v>
      </c>
      <c r="Z36" s="53"/>
      <c r="AA36" s="74">
        <v>0.09</v>
      </c>
    </row>
    <row r="37" spans="1:27" s="4" customFormat="1" x14ac:dyDescent="0.3">
      <c r="A37" s="56">
        <f t="shared" si="2"/>
        <v>27</v>
      </c>
      <c r="B37" s="48" t="s">
        <v>61</v>
      </c>
      <c r="C37" s="49" t="s">
        <v>81</v>
      </c>
      <c r="D37" s="49" t="s">
        <v>95</v>
      </c>
      <c r="E37" s="49" t="s">
        <v>69</v>
      </c>
      <c r="F37" s="49" t="s">
        <v>3</v>
      </c>
      <c r="G37" s="49" t="s">
        <v>20</v>
      </c>
      <c r="H37" s="49" t="s">
        <v>111</v>
      </c>
      <c r="I37" s="49" t="s">
        <v>37</v>
      </c>
      <c r="J37" s="49" t="s">
        <v>204</v>
      </c>
      <c r="K37" s="50"/>
      <c r="L37" s="51">
        <v>0</v>
      </c>
      <c r="M37" s="51">
        <v>0</v>
      </c>
      <c r="N37" s="52">
        <v>400000</v>
      </c>
      <c r="O37" s="52">
        <v>0</v>
      </c>
      <c r="P37" s="52">
        <v>0</v>
      </c>
      <c r="Q37" s="52">
        <v>0</v>
      </c>
      <c r="R37" s="52">
        <v>0</v>
      </c>
      <c r="S37" s="54">
        <f t="shared" si="1"/>
        <v>400000</v>
      </c>
      <c r="T37" s="53"/>
      <c r="U37" s="58">
        <v>0.38426218921688254</v>
      </c>
      <c r="V37" s="58">
        <v>0</v>
      </c>
      <c r="W37" s="58">
        <v>0</v>
      </c>
      <c r="X37" s="58">
        <v>0</v>
      </c>
      <c r="Y37" s="57">
        <f t="shared" si="0"/>
        <v>0.38426218921688254</v>
      </c>
      <c r="Z37" s="53"/>
      <c r="AA37" s="74">
        <v>0.09</v>
      </c>
    </row>
    <row r="38" spans="1:27" s="4" customFormat="1" x14ac:dyDescent="0.3">
      <c r="A38" s="56">
        <f t="shared" si="2"/>
        <v>28</v>
      </c>
      <c r="B38" s="48" t="s">
        <v>62</v>
      </c>
      <c r="C38" s="49" t="s">
        <v>81</v>
      </c>
      <c r="D38" s="49" t="s">
        <v>95</v>
      </c>
      <c r="E38" s="49" t="s">
        <v>69</v>
      </c>
      <c r="F38" s="49" t="s">
        <v>3</v>
      </c>
      <c r="G38" s="49" t="s">
        <v>20</v>
      </c>
      <c r="H38" s="49" t="s">
        <v>111</v>
      </c>
      <c r="I38" s="49" t="s">
        <v>37</v>
      </c>
      <c r="J38" s="49" t="s">
        <v>204</v>
      </c>
      <c r="K38" s="50"/>
      <c r="L38" s="51">
        <v>0</v>
      </c>
      <c r="M38" s="51">
        <v>0</v>
      </c>
      <c r="N38" s="52">
        <v>0</v>
      </c>
      <c r="O38" s="52">
        <v>400000</v>
      </c>
      <c r="P38" s="52">
        <v>0</v>
      </c>
      <c r="Q38" s="52">
        <v>0</v>
      </c>
      <c r="R38" s="52">
        <v>0</v>
      </c>
      <c r="S38" s="54">
        <f t="shared" si="1"/>
        <v>400000</v>
      </c>
      <c r="T38" s="53"/>
      <c r="U38" s="58">
        <v>0.38426218921688254</v>
      </c>
      <c r="V38" s="58">
        <v>0</v>
      </c>
      <c r="W38" s="58">
        <v>0</v>
      </c>
      <c r="X38" s="58">
        <v>0</v>
      </c>
      <c r="Y38" s="57">
        <f t="shared" si="0"/>
        <v>0.38426218921688254</v>
      </c>
      <c r="Z38" s="53"/>
      <c r="AA38" s="74">
        <v>0.09</v>
      </c>
    </row>
    <row r="39" spans="1:27" s="4" customFormat="1" x14ac:dyDescent="0.3">
      <c r="A39" s="56">
        <f t="shared" si="2"/>
        <v>29</v>
      </c>
      <c r="B39" s="48" t="s">
        <v>63</v>
      </c>
      <c r="C39" s="49" t="s">
        <v>81</v>
      </c>
      <c r="D39" s="49" t="s">
        <v>95</v>
      </c>
      <c r="E39" s="49" t="s">
        <v>69</v>
      </c>
      <c r="F39" s="49" t="s">
        <v>3</v>
      </c>
      <c r="G39" s="49" t="s">
        <v>20</v>
      </c>
      <c r="H39" s="49" t="s">
        <v>111</v>
      </c>
      <c r="I39" s="49" t="s">
        <v>37</v>
      </c>
      <c r="J39" s="49" t="s">
        <v>204</v>
      </c>
      <c r="K39" s="50"/>
      <c r="L39" s="51">
        <v>0</v>
      </c>
      <c r="M39" s="51">
        <v>0</v>
      </c>
      <c r="N39" s="52">
        <v>0</v>
      </c>
      <c r="O39" s="52">
        <v>0</v>
      </c>
      <c r="P39" s="52">
        <v>250000</v>
      </c>
      <c r="Q39" s="52">
        <v>0</v>
      </c>
      <c r="R39" s="52">
        <v>0</v>
      </c>
      <c r="S39" s="54">
        <f t="shared" si="1"/>
        <v>250000</v>
      </c>
      <c r="T39" s="53"/>
      <c r="U39" s="58">
        <v>0.38426218921688254</v>
      </c>
      <c r="V39" s="58">
        <v>0</v>
      </c>
      <c r="W39" s="58">
        <v>0</v>
      </c>
      <c r="X39" s="58">
        <v>0</v>
      </c>
      <c r="Y39" s="57">
        <f t="shared" si="0"/>
        <v>0.38426218921688254</v>
      </c>
      <c r="Z39" s="53"/>
      <c r="AA39" s="74">
        <v>0.09</v>
      </c>
    </row>
    <row r="40" spans="1:27" s="4" customFormat="1" x14ac:dyDescent="0.3">
      <c r="A40" s="56">
        <f t="shared" si="2"/>
        <v>30</v>
      </c>
      <c r="B40" s="48" t="s">
        <v>64</v>
      </c>
      <c r="C40" s="49" t="s">
        <v>81</v>
      </c>
      <c r="D40" s="49" t="s">
        <v>95</v>
      </c>
      <c r="E40" s="49" t="s">
        <v>69</v>
      </c>
      <c r="F40" s="49" t="s">
        <v>3</v>
      </c>
      <c r="G40" s="49" t="s">
        <v>20</v>
      </c>
      <c r="H40" s="49" t="s">
        <v>111</v>
      </c>
      <c r="I40" s="49" t="s">
        <v>37</v>
      </c>
      <c r="J40" s="49" t="s">
        <v>204</v>
      </c>
      <c r="K40" s="50"/>
      <c r="L40" s="51">
        <v>0</v>
      </c>
      <c r="M40" s="51">
        <v>0</v>
      </c>
      <c r="N40" s="52">
        <v>0</v>
      </c>
      <c r="O40" s="52">
        <v>0</v>
      </c>
      <c r="P40" s="52">
        <v>0</v>
      </c>
      <c r="Q40" s="52">
        <v>200000</v>
      </c>
      <c r="R40" s="52">
        <v>0</v>
      </c>
      <c r="S40" s="54">
        <f t="shared" si="1"/>
        <v>200000</v>
      </c>
      <c r="T40" s="53"/>
      <c r="U40" s="58">
        <v>0.38426218921688254</v>
      </c>
      <c r="V40" s="58">
        <v>0</v>
      </c>
      <c r="W40" s="58">
        <v>0</v>
      </c>
      <c r="X40" s="58">
        <v>0</v>
      </c>
      <c r="Y40" s="57">
        <f t="shared" si="0"/>
        <v>0.38426218921688254</v>
      </c>
      <c r="Z40" s="53"/>
      <c r="AA40" s="74">
        <v>0.09</v>
      </c>
    </row>
    <row r="41" spans="1:27" s="4" customFormat="1" x14ac:dyDescent="0.3">
      <c r="A41" s="56">
        <f t="shared" si="2"/>
        <v>31</v>
      </c>
      <c r="B41" s="48" t="s">
        <v>65</v>
      </c>
      <c r="C41" s="49" t="s">
        <v>81</v>
      </c>
      <c r="D41" s="49" t="s">
        <v>96</v>
      </c>
      <c r="E41" s="49" t="s">
        <v>69</v>
      </c>
      <c r="F41" s="49" t="s">
        <v>3</v>
      </c>
      <c r="G41" s="49" t="s">
        <v>20</v>
      </c>
      <c r="H41" s="49" t="s">
        <v>111</v>
      </c>
      <c r="I41" s="49" t="s">
        <v>37</v>
      </c>
      <c r="J41" s="49" t="s">
        <v>204</v>
      </c>
      <c r="K41" s="50"/>
      <c r="L41" s="51">
        <v>0</v>
      </c>
      <c r="M41" s="51">
        <v>0</v>
      </c>
      <c r="N41" s="52">
        <v>0</v>
      </c>
      <c r="O41" s="52">
        <v>0</v>
      </c>
      <c r="P41" s="52">
        <v>0</v>
      </c>
      <c r="Q41" s="52">
        <v>0</v>
      </c>
      <c r="R41" s="52">
        <v>140000</v>
      </c>
      <c r="S41" s="54">
        <f t="shared" si="1"/>
        <v>140000</v>
      </c>
      <c r="T41" s="53"/>
      <c r="U41" s="58">
        <v>0.38426218921688254</v>
      </c>
      <c r="V41" s="58">
        <v>0</v>
      </c>
      <c r="W41" s="58">
        <v>0</v>
      </c>
      <c r="X41" s="58">
        <v>0</v>
      </c>
      <c r="Y41" s="57">
        <f t="shared" si="0"/>
        <v>0.38426218921688254</v>
      </c>
      <c r="Z41" s="53"/>
      <c r="AA41" s="74">
        <v>0.09</v>
      </c>
    </row>
    <row r="42" spans="1:27" s="4" customFormat="1" x14ac:dyDescent="0.3">
      <c r="A42" s="56">
        <f t="shared" si="2"/>
        <v>32</v>
      </c>
      <c r="B42" s="48" t="s">
        <v>66</v>
      </c>
      <c r="C42" s="49" t="s">
        <v>81</v>
      </c>
      <c r="D42" s="49" t="s">
        <v>96</v>
      </c>
      <c r="E42" s="49" t="s">
        <v>69</v>
      </c>
      <c r="F42" s="49" t="s">
        <v>3</v>
      </c>
      <c r="G42" s="49" t="s">
        <v>20</v>
      </c>
      <c r="H42" s="49" t="s">
        <v>111</v>
      </c>
      <c r="I42" s="49" t="s">
        <v>37</v>
      </c>
      <c r="J42" s="49" t="s">
        <v>204</v>
      </c>
      <c r="K42" s="50"/>
      <c r="L42" s="51">
        <v>0</v>
      </c>
      <c r="M42" s="51">
        <v>0</v>
      </c>
      <c r="N42" s="52">
        <v>0</v>
      </c>
      <c r="O42" s="52">
        <v>0</v>
      </c>
      <c r="P42" s="52">
        <v>0</v>
      </c>
      <c r="Q42" s="52">
        <v>0</v>
      </c>
      <c r="R42" s="52">
        <v>200000</v>
      </c>
      <c r="S42" s="54">
        <f t="shared" si="1"/>
        <v>200000</v>
      </c>
      <c r="T42" s="53"/>
      <c r="U42" s="58">
        <v>0.38426218921688254</v>
      </c>
      <c r="V42" s="58">
        <v>0</v>
      </c>
      <c r="W42" s="58">
        <v>0</v>
      </c>
      <c r="X42" s="58">
        <v>0</v>
      </c>
      <c r="Y42" s="57">
        <f t="shared" si="0"/>
        <v>0.38426218921688254</v>
      </c>
      <c r="Z42" s="53"/>
      <c r="AA42" s="74">
        <v>0.09</v>
      </c>
    </row>
    <row r="43" spans="1:27" s="4" customFormat="1" x14ac:dyDescent="0.3">
      <c r="A43" s="56">
        <f t="shared" si="2"/>
        <v>33</v>
      </c>
      <c r="B43" s="48" t="s">
        <v>513</v>
      </c>
      <c r="C43" s="49" t="s">
        <v>79</v>
      </c>
      <c r="D43" s="49" t="s">
        <v>94</v>
      </c>
      <c r="E43" s="49" t="s">
        <v>496</v>
      </c>
      <c r="F43" s="49" t="s">
        <v>3</v>
      </c>
      <c r="G43" s="49" t="s">
        <v>20</v>
      </c>
      <c r="H43" s="49" t="s">
        <v>111</v>
      </c>
      <c r="I43" s="49" t="s">
        <v>37</v>
      </c>
      <c r="J43" s="49" t="s">
        <v>204</v>
      </c>
      <c r="K43" s="50"/>
      <c r="L43" s="51">
        <v>0</v>
      </c>
      <c r="M43" s="51">
        <v>0</v>
      </c>
      <c r="N43" s="52">
        <v>0</v>
      </c>
      <c r="O43" s="52">
        <v>60000</v>
      </c>
      <c r="P43" s="52">
        <v>0</v>
      </c>
      <c r="Q43" s="52">
        <v>0</v>
      </c>
      <c r="R43" s="52">
        <v>0</v>
      </c>
      <c r="S43" s="54">
        <f t="shared" si="1"/>
        <v>60000</v>
      </c>
      <c r="T43" s="53"/>
      <c r="U43" s="58">
        <v>0.38426218921688254</v>
      </c>
      <c r="V43" s="58">
        <v>0</v>
      </c>
      <c r="W43" s="58">
        <v>0</v>
      </c>
      <c r="X43" s="58">
        <v>0</v>
      </c>
      <c r="Y43" s="57">
        <f t="shared" si="0"/>
        <v>0.38426218921688254</v>
      </c>
      <c r="Z43" s="53"/>
      <c r="AA43" s="74">
        <v>0.09</v>
      </c>
    </row>
    <row r="44" spans="1:27" s="4" customFormat="1" x14ac:dyDescent="0.3">
      <c r="A44" s="56">
        <f t="shared" si="2"/>
        <v>34</v>
      </c>
      <c r="B44" s="48" t="s">
        <v>262</v>
      </c>
      <c r="C44" s="49" t="s">
        <v>169</v>
      </c>
      <c r="D44" s="49" t="s">
        <v>97</v>
      </c>
      <c r="E44" s="49" t="s">
        <v>2</v>
      </c>
      <c r="F44" s="49" t="s">
        <v>3</v>
      </c>
      <c r="G44" s="49" t="s">
        <v>20</v>
      </c>
      <c r="H44" s="49" t="s">
        <v>111</v>
      </c>
      <c r="I44" s="49" t="s">
        <v>37</v>
      </c>
      <c r="J44" s="49" t="s">
        <v>204</v>
      </c>
      <c r="K44" s="50"/>
      <c r="L44" s="51">
        <v>0</v>
      </c>
      <c r="M44" s="51">
        <v>0</v>
      </c>
      <c r="N44" s="52">
        <v>400000</v>
      </c>
      <c r="O44" s="52">
        <v>1200000</v>
      </c>
      <c r="P44" s="52">
        <v>400000</v>
      </c>
      <c r="Q44" s="52">
        <v>1200000</v>
      </c>
      <c r="R44" s="52">
        <v>400000</v>
      </c>
      <c r="S44" s="54">
        <f t="shared" si="1"/>
        <v>3600000</v>
      </c>
      <c r="T44" s="53"/>
      <c r="U44" s="58">
        <v>0.38426218921688254</v>
      </c>
      <c r="V44" s="58">
        <v>0</v>
      </c>
      <c r="W44" s="58">
        <v>0</v>
      </c>
      <c r="X44" s="58">
        <v>0</v>
      </c>
      <c r="Y44" s="57">
        <f t="shared" si="0"/>
        <v>0.38426218921688254</v>
      </c>
      <c r="Z44" s="53"/>
      <c r="AA44" s="74">
        <v>0.09</v>
      </c>
    </row>
    <row r="45" spans="1:27" s="4" customFormat="1" x14ac:dyDescent="0.3">
      <c r="A45" s="56">
        <f t="shared" si="2"/>
        <v>35</v>
      </c>
      <c r="B45" s="48" t="s">
        <v>263</v>
      </c>
      <c r="C45" s="49" t="s">
        <v>169</v>
      </c>
      <c r="D45" s="49" t="s">
        <v>97</v>
      </c>
      <c r="E45" s="49" t="s">
        <v>2</v>
      </c>
      <c r="F45" s="49" t="s">
        <v>3</v>
      </c>
      <c r="G45" s="49" t="s">
        <v>20</v>
      </c>
      <c r="H45" s="49" t="s">
        <v>111</v>
      </c>
      <c r="I45" s="49" t="s">
        <v>37</v>
      </c>
      <c r="J45" s="49" t="s">
        <v>204</v>
      </c>
      <c r="K45" s="50"/>
      <c r="L45" s="51">
        <v>0</v>
      </c>
      <c r="M45" s="51">
        <v>0</v>
      </c>
      <c r="N45" s="52">
        <v>225000</v>
      </c>
      <c r="O45" s="52">
        <v>1125000</v>
      </c>
      <c r="P45" s="52">
        <v>675000</v>
      </c>
      <c r="Q45" s="52">
        <v>675000</v>
      </c>
      <c r="R45" s="52">
        <v>225000</v>
      </c>
      <c r="S45" s="54">
        <f t="shared" si="1"/>
        <v>2925000</v>
      </c>
      <c r="T45" s="53"/>
      <c r="U45" s="58">
        <v>0.38426218921688254</v>
      </c>
      <c r="V45" s="58">
        <v>0</v>
      </c>
      <c r="W45" s="58">
        <v>0</v>
      </c>
      <c r="X45" s="58">
        <v>0</v>
      </c>
      <c r="Y45" s="57">
        <f t="shared" si="0"/>
        <v>0.38426218921688254</v>
      </c>
      <c r="Z45" s="53"/>
      <c r="AA45" s="74">
        <v>0.09</v>
      </c>
    </row>
    <row r="46" spans="1:27" s="4" customFormat="1" x14ac:dyDescent="0.3">
      <c r="A46" s="56">
        <f t="shared" si="2"/>
        <v>36</v>
      </c>
      <c r="B46" s="48" t="s">
        <v>311</v>
      </c>
      <c r="C46" s="49" t="s">
        <v>76</v>
      </c>
      <c r="D46" s="49" t="s">
        <v>98</v>
      </c>
      <c r="E46" s="49" t="s">
        <v>2</v>
      </c>
      <c r="F46" s="49" t="s">
        <v>3</v>
      </c>
      <c r="G46" s="49" t="s">
        <v>20</v>
      </c>
      <c r="H46" s="49" t="s">
        <v>111</v>
      </c>
      <c r="I46" s="49" t="s">
        <v>37</v>
      </c>
      <c r="J46" s="49" t="s">
        <v>204</v>
      </c>
      <c r="K46" s="50"/>
      <c r="L46" s="51">
        <v>0</v>
      </c>
      <c r="M46" s="51">
        <v>0</v>
      </c>
      <c r="N46" s="52">
        <v>0</v>
      </c>
      <c r="O46" s="52">
        <v>0</v>
      </c>
      <c r="P46" s="52">
        <v>0</v>
      </c>
      <c r="Q46" s="52">
        <v>2000000</v>
      </c>
      <c r="R46" s="52">
        <v>0</v>
      </c>
      <c r="S46" s="54">
        <f t="shared" si="1"/>
        <v>2000000</v>
      </c>
      <c r="T46" s="53"/>
      <c r="U46" s="58">
        <v>0.38426218921688254</v>
      </c>
      <c r="V46" s="58">
        <v>0</v>
      </c>
      <c r="W46" s="58">
        <v>0</v>
      </c>
      <c r="X46" s="58">
        <v>0</v>
      </c>
      <c r="Y46" s="57">
        <f t="shared" si="0"/>
        <v>0.38426218921688254</v>
      </c>
      <c r="Z46" s="53"/>
      <c r="AA46" s="74">
        <v>0.09</v>
      </c>
    </row>
    <row r="47" spans="1:27" s="4" customFormat="1" x14ac:dyDescent="0.3">
      <c r="A47" s="56">
        <f t="shared" si="2"/>
        <v>37</v>
      </c>
      <c r="B47" s="48" t="s">
        <v>514</v>
      </c>
      <c r="C47" s="49" t="s">
        <v>79</v>
      </c>
      <c r="D47" s="49" t="s">
        <v>94</v>
      </c>
      <c r="E47" s="49" t="s">
        <v>496</v>
      </c>
      <c r="F47" s="49" t="s">
        <v>3</v>
      </c>
      <c r="G47" s="49" t="s">
        <v>20</v>
      </c>
      <c r="H47" s="49" t="s">
        <v>111</v>
      </c>
      <c r="I47" s="49" t="s">
        <v>37</v>
      </c>
      <c r="J47" s="49" t="s">
        <v>204</v>
      </c>
      <c r="K47" s="50"/>
      <c r="L47" s="51">
        <v>0</v>
      </c>
      <c r="M47" s="51">
        <v>0</v>
      </c>
      <c r="N47" s="52">
        <v>50000</v>
      </c>
      <c r="O47" s="52">
        <v>50000</v>
      </c>
      <c r="P47" s="52">
        <v>50000</v>
      </c>
      <c r="Q47" s="52">
        <v>50000</v>
      </c>
      <c r="R47" s="52">
        <v>50000</v>
      </c>
      <c r="S47" s="54">
        <f t="shared" si="1"/>
        <v>250000</v>
      </c>
      <c r="T47" s="53"/>
      <c r="U47" s="58">
        <v>0.38426218921688254</v>
      </c>
      <c r="V47" s="58">
        <v>0</v>
      </c>
      <c r="W47" s="58">
        <v>0</v>
      </c>
      <c r="X47" s="58">
        <v>0</v>
      </c>
      <c r="Y47" s="57">
        <f t="shared" si="0"/>
        <v>0.38426218921688254</v>
      </c>
      <c r="Z47" s="53"/>
      <c r="AA47" s="74">
        <v>0.09</v>
      </c>
    </row>
    <row r="48" spans="1:27" s="4" customFormat="1" x14ac:dyDescent="0.3">
      <c r="A48" s="56">
        <f t="shared" si="2"/>
        <v>38</v>
      </c>
      <c r="B48" s="48" t="s">
        <v>67</v>
      </c>
      <c r="C48" s="49" t="s">
        <v>169</v>
      </c>
      <c r="D48" s="49" t="s">
        <v>67</v>
      </c>
      <c r="E48" s="49" t="s">
        <v>2</v>
      </c>
      <c r="F48" s="49" t="s">
        <v>3</v>
      </c>
      <c r="G48" s="49" t="s">
        <v>20</v>
      </c>
      <c r="H48" s="49" t="s">
        <v>111</v>
      </c>
      <c r="I48" s="49" t="s">
        <v>37</v>
      </c>
      <c r="J48" s="49" t="s">
        <v>204</v>
      </c>
      <c r="K48" s="50"/>
      <c r="L48" s="51">
        <v>0</v>
      </c>
      <c r="M48" s="51">
        <v>0</v>
      </c>
      <c r="N48" s="52">
        <v>0</v>
      </c>
      <c r="O48" s="52">
        <v>0</v>
      </c>
      <c r="P48" s="52">
        <v>2500000</v>
      </c>
      <c r="Q48" s="52">
        <v>0</v>
      </c>
      <c r="R48" s="52">
        <v>0</v>
      </c>
      <c r="S48" s="54">
        <f t="shared" si="1"/>
        <v>2500000</v>
      </c>
      <c r="T48" s="53"/>
      <c r="U48" s="58">
        <v>0.38426218921688254</v>
      </c>
      <c r="V48" s="58">
        <v>0</v>
      </c>
      <c r="W48" s="58">
        <v>0</v>
      </c>
      <c r="X48" s="58">
        <v>0</v>
      </c>
      <c r="Y48" s="57">
        <f t="shared" si="0"/>
        <v>0.38426218921688254</v>
      </c>
      <c r="Z48" s="53"/>
      <c r="AA48" s="74">
        <v>0.09</v>
      </c>
    </row>
    <row r="49" spans="1:27" s="4" customFormat="1" x14ac:dyDescent="0.3">
      <c r="A49" s="56">
        <f t="shared" si="2"/>
        <v>39</v>
      </c>
      <c r="B49" s="48" t="s">
        <v>68</v>
      </c>
      <c r="C49" s="49" t="s">
        <v>76</v>
      </c>
      <c r="D49" s="49" t="s">
        <v>76</v>
      </c>
      <c r="E49" s="49" t="s">
        <v>74</v>
      </c>
      <c r="F49" s="49" t="s">
        <v>3</v>
      </c>
      <c r="G49" s="49" t="s">
        <v>20</v>
      </c>
      <c r="H49" s="49" t="s">
        <v>112</v>
      </c>
      <c r="I49" s="49" t="s">
        <v>37</v>
      </c>
      <c r="J49" s="49" t="s">
        <v>204</v>
      </c>
      <c r="K49" s="50"/>
      <c r="L49" s="51">
        <v>0</v>
      </c>
      <c r="M49" s="51">
        <v>0</v>
      </c>
      <c r="N49" s="52">
        <v>334427.74753297766</v>
      </c>
      <c r="O49" s="52">
        <v>334427.74753297766</v>
      </c>
      <c r="P49" s="52">
        <v>334427.74753297766</v>
      </c>
      <c r="Q49" s="52">
        <v>334427.74753297766</v>
      </c>
      <c r="R49" s="52">
        <v>334427.74753297766</v>
      </c>
      <c r="S49" s="54">
        <f t="shared" si="1"/>
        <v>1672138.7376648884</v>
      </c>
      <c r="T49" s="53"/>
      <c r="U49" s="58">
        <v>0</v>
      </c>
      <c r="V49" s="58">
        <v>0</v>
      </c>
      <c r="W49" s="58">
        <v>0</v>
      </c>
      <c r="X49" s="58">
        <v>0</v>
      </c>
      <c r="Y49" s="57">
        <f t="shared" si="0"/>
        <v>0</v>
      </c>
      <c r="Z49" s="53"/>
      <c r="AA49" s="74">
        <v>0.09</v>
      </c>
    </row>
    <row r="50" spans="1:27" s="4" customFormat="1" x14ac:dyDescent="0.3">
      <c r="A50" s="56">
        <f t="shared" si="2"/>
        <v>40</v>
      </c>
      <c r="B50" s="48" t="s">
        <v>332</v>
      </c>
      <c r="C50" s="49" t="s">
        <v>332</v>
      </c>
      <c r="D50" s="49" t="s">
        <v>332</v>
      </c>
      <c r="E50" s="49" t="s">
        <v>74</v>
      </c>
      <c r="F50" s="49" t="s">
        <v>6</v>
      </c>
      <c r="G50" s="49" t="s">
        <v>20</v>
      </c>
      <c r="H50" s="49" t="s">
        <v>112</v>
      </c>
      <c r="I50" s="49" t="s">
        <v>37</v>
      </c>
      <c r="J50" s="49" t="s">
        <v>248</v>
      </c>
      <c r="K50" s="50"/>
      <c r="L50" s="51">
        <v>146444.86857194186</v>
      </c>
      <c r="M50" s="51">
        <v>146444.86857194186</v>
      </c>
      <c r="N50" s="52">
        <v>146444.86857194186</v>
      </c>
      <c r="O50" s="52">
        <v>146444.86857194186</v>
      </c>
      <c r="P50" s="52">
        <v>146444.86857194186</v>
      </c>
      <c r="Q50" s="52">
        <v>146444.86857194186</v>
      </c>
      <c r="R50" s="52">
        <v>146444.86857194186</v>
      </c>
      <c r="S50" s="54">
        <f t="shared" si="1"/>
        <v>732224.34285970929</v>
      </c>
      <c r="T50" s="53"/>
      <c r="U50" s="58">
        <v>0</v>
      </c>
      <c r="V50" s="58">
        <v>0</v>
      </c>
      <c r="W50" s="58">
        <v>0</v>
      </c>
      <c r="X50" s="58">
        <v>0</v>
      </c>
      <c r="Y50" s="57">
        <f t="shared" si="0"/>
        <v>0</v>
      </c>
      <c r="Z50" s="53"/>
      <c r="AA50" s="74">
        <v>0.09</v>
      </c>
    </row>
    <row r="51" spans="1:27" s="4" customFormat="1" x14ac:dyDescent="0.3">
      <c r="A51" s="56">
        <f t="shared" si="2"/>
        <v>41</v>
      </c>
      <c r="B51" s="48" t="s">
        <v>73</v>
      </c>
      <c r="C51" s="49" t="s">
        <v>73</v>
      </c>
      <c r="D51" s="49" t="s">
        <v>73</v>
      </c>
      <c r="E51" s="49" t="s">
        <v>73</v>
      </c>
      <c r="F51" s="49" t="s">
        <v>6</v>
      </c>
      <c r="G51" s="49" t="s">
        <v>20</v>
      </c>
      <c r="H51" s="49" t="s">
        <v>112</v>
      </c>
      <c r="I51" s="49" t="s">
        <v>37</v>
      </c>
      <c r="J51" s="49" t="s">
        <v>248</v>
      </c>
      <c r="K51" s="50"/>
      <c r="L51" s="51">
        <v>3662960.911453519</v>
      </c>
      <c r="M51" s="51">
        <v>598970.68677140202</v>
      </c>
      <c r="N51" s="52">
        <v>598970.68677140202</v>
      </c>
      <c r="O51" s="52">
        <v>598970.68677140202</v>
      </c>
      <c r="P51" s="52">
        <v>598970.68677140202</v>
      </c>
      <c r="Q51" s="52">
        <v>598970.68677140202</v>
      </c>
      <c r="R51" s="52">
        <v>598970.68677140202</v>
      </c>
      <c r="S51" s="54">
        <f t="shared" si="1"/>
        <v>2994853.4338570102</v>
      </c>
      <c r="T51" s="53"/>
      <c r="U51" s="58">
        <v>0</v>
      </c>
      <c r="V51" s="58">
        <v>0</v>
      </c>
      <c r="W51" s="58">
        <v>0</v>
      </c>
      <c r="X51" s="58">
        <v>0</v>
      </c>
      <c r="Y51" s="57">
        <f t="shared" si="0"/>
        <v>0</v>
      </c>
      <c r="Z51" s="53"/>
      <c r="AA51" s="74">
        <v>0.09</v>
      </c>
    </row>
    <row r="52" spans="1:27" s="4" customFormat="1" x14ac:dyDescent="0.3">
      <c r="A52" s="56">
        <f t="shared" si="2"/>
        <v>42</v>
      </c>
      <c r="B52" s="48" t="s">
        <v>175</v>
      </c>
      <c r="C52" s="49" t="s">
        <v>175</v>
      </c>
      <c r="D52" s="49" t="s">
        <v>175</v>
      </c>
      <c r="E52" s="49" t="s">
        <v>74</v>
      </c>
      <c r="F52" s="49" t="s">
        <v>6</v>
      </c>
      <c r="G52" s="49" t="s">
        <v>20</v>
      </c>
      <c r="H52" s="49" t="s">
        <v>112</v>
      </c>
      <c r="I52" s="49" t="s">
        <v>37</v>
      </c>
      <c r="J52" s="49" t="s">
        <v>248</v>
      </c>
      <c r="K52" s="50"/>
      <c r="L52" s="51">
        <v>193256.8684771501</v>
      </c>
      <c r="M52" s="51">
        <v>193256.8684771501</v>
      </c>
      <c r="N52" s="52">
        <v>193256.8684771501</v>
      </c>
      <c r="O52" s="52">
        <v>193256.8684771501</v>
      </c>
      <c r="P52" s="52">
        <v>193256.8684771501</v>
      </c>
      <c r="Q52" s="52">
        <v>193256.8684771501</v>
      </c>
      <c r="R52" s="52">
        <v>193256.8684771501</v>
      </c>
      <c r="S52" s="54">
        <f t="shared" si="1"/>
        <v>966284.3423857505</v>
      </c>
      <c r="T52" s="53"/>
      <c r="U52" s="58">
        <v>0</v>
      </c>
      <c r="V52" s="58">
        <v>0</v>
      </c>
      <c r="W52" s="58">
        <v>0</v>
      </c>
      <c r="X52" s="58">
        <v>0</v>
      </c>
      <c r="Y52" s="57">
        <f t="shared" si="0"/>
        <v>0</v>
      </c>
      <c r="Z52" s="53"/>
      <c r="AA52" s="74">
        <v>0.09</v>
      </c>
    </row>
    <row r="53" spans="1:27" s="4" customFormat="1" x14ac:dyDescent="0.3">
      <c r="A53" s="56">
        <f t="shared" si="2"/>
        <v>43</v>
      </c>
      <c r="B53" s="48" t="s">
        <v>176</v>
      </c>
      <c r="C53" s="49" t="s">
        <v>176</v>
      </c>
      <c r="D53" s="49" t="s">
        <v>176</v>
      </c>
      <c r="E53" s="49" t="s">
        <v>74</v>
      </c>
      <c r="F53" s="49" t="s">
        <v>6</v>
      </c>
      <c r="G53" s="49" t="s">
        <v>20</v>
      </c>
      <c r="H53" s="49" t="s">
        <v>112</v>
      </c>
      <c r="I53" s="49" t="s">
        <v>37</v>
      </c>
      <c r="J53" s="49" t="s">
        <v>248</v>
      </c>
      <c r="K53" s="50"/>
      <c r="L53" s="51">
        <v>206891.43512188923</v>
      </c>
      <c r="M53" s="51">
        <v>206891.43512188923</v>
      </c>
      <c r="N53" s="52">
        <v>206891.43512188923</v>
      </c>
      <c r="O53" s="52">
        <v>206891.43512188923</v>
      </c>
      <c r="P53" s="52">
        <v>206891.43512188923</v>
      </c>
      <c r="Q53" s="52">
        <v>206891.43512188923</v>
      </c>
      <c r="R53" s="52">
        <v>206891.43512188923</v>
      </c>
      <c r="S53" s="54">
        <f t="shared" ref="S53" si="3">SUM(N53:R53)</f>
        <v>1034457.1756094461</v>
      </c>
      <c r="T53" s="53"/>
      <c r="U53" s="58">
        <v>0</v>
      </c>
      <c r="V53" s="58">
        <v>0</v>
      </c>
      <c r="W53" s="58">
        <v>0</v>
      </c>
      <c r="X53" s="58">
        <v>0</v>
      </c>
      <c r="Y53" s="57">
        <f t="shared" ref="Y53" si="4">SUM(U53:X53)</f>
        <v>0</v>
      </c>
      <c r="Z53" s="53"/>
      <c r="AA53" s="74">
        <v>0.09</v>
      </c>
    </row>
    <row r="54" spans="1:27" s="4" customFormat="1" x14ac:dyDescent="0.3">
      <c r="A54" s="56">
        <f t="shared" si="2"/>
        <v>44</v>
      </c>
      <c r="B54" s="48" t="s">
        <v>140</v>
      </c>
      <c r="C54" s="49" t="s">
        <v>140</v>
      </c>
      <c r="D54" s="49" t="s">
        <v>140</v>
      </c>
      <c r="E54" s="49" t="s">
        <v>72</v>
      </c>
      <c r="F54" s="49" t="s">
        <v>6</v>
      </c>
      <c r="G54" s="49" t="s">
        <v>20</v>
      </c>
      <c r="H54" s="49" t="s">
        <v>112</v>
      </c>
      <c r="I54" s="49" t="s">
        <v>37</v>
      </c>
      <c r="J54" s="49" t="s">
        <v>204</v>
      </c>
      <c r="K54" s="50"/>
      <c r="L54" s="51">
        <v>321560</v>
      </c>
      <c r="M54" s="51">
        <v>60000</v>
      </c>
      <c r="N54" s="52">
        <v>0</v>
      </c>
      <c r="O54" s="52">
        <v>0</v>
      </c>
      <c r="P54" s="52">
        <v>79586.721322500001</v>
      </c>
      <c r="Q54" s="52">
        <v>413938.63636363635</v>
      </c>
      <c r="R54" s="52">
        <v>75000</v>
      </c>
      <c r="S54" s="54">
        <f t="shared" si="1"/>
        <v>568525.35768613638</v>
      </c>
      <c r="T54" s="53"/>
      <c r="U54" s="58">
        <v>1</v>
      </c>
      <c r="V54" s="58">
        <v>0</v>
      </c>
      <c r="W54" s="58">
        <v>0</v>
      </c>
      <c r="X54" s="58">
        <v>0</v>
      </c>
      <c r="Y54" s="57">
        <f t="shared" si="0"/>
        <v>1</v>
      </c>
      <c r="Z54" s="53"/>
      <c r="AA54" s="74">
        <v>0.09</v>
      </c>
    </row>
    <row r="55" spans="1:27" s="4" customFormat="1" x14ac:dyDescent="0.3">
      <c r="A55" s="56">
        <f t="shared" si="2"/>
        <v>45</v>
      </c>
      <c r="B55" s="48" t="s">
        <v>312</v>
      </c>
      <c r="C55" s="49" t="s">
        <v>169</v>
      </c>
      <c r="D55" s="49"/>
      <c r="E55" s="49" t="s">
        <v>2</v>
      </c>
      <c r="F55" s="49" t="s">
        <v>3</v>
      </c>
      <c r="G55" s="49" t="s">
        <v>20</v>
      </c>
      <c r="H55" s="49" t="s">
        <v>111</v>
      </c>
      <c r="I55" s="49" t="s">
        <v>113</v>
      </c>
      <c r="J55" s="49" t="s">
        <v>204</v>
      </c>
      <c r="K55" s="50"/>
      <c r="L55" s="51">
        <v>1425087</v>
      </c>
      <c r="M55" s="51">
        <v>715512.01</v>
      </c>
      <c r="N55" s="52">
        <v>0</v>
      </c>
      <c r="O55" s="52">
        <v>0</v>
      </c>
      <c r="P55" s="52">
        <v>0</v>
      </c>
      <c r="Q55" s="52">
        <v>0</v>
      </c>
      <c r="R55" s="52">
        <v>0</v>
      </c>
      <c r="S55" s="54">
        <f t="shared" si="1"/>
        <v>0</v>
      </c>
      <c r="T55" s="53"/>
      <c r="U55" s="58">
        <v>0</v>
      </c>
      <c r="V55" s="58">
        <v>0</v>
      </c>
      <c r="W55" s="58">
        <v>0</v>
      </c>
      <c r="X55" s="58">
        <v>0</v>
      </c>
      <c r="Y55" s="57">
        <f t="shared" ref="Y55:Y61" si="5">SUM(U55:X55)</f>
        <v>0</v>
      </c>
      <c r="Z55" s="53"/>
      <c r="AA55" s="74">
        <v>0.09</v>
      </c>
    </row>
    <row r="56" spans="1:27" s="4" customFormat="1" x14ac:dyDescent="0.3">
      <c r="A56" s="56">
        <f t="shared" si="2"/>
        <v>46</v>
      </c>
      <c r="B56" s="48" t="s">
        <v>493</v>
      </c>
      <c r="C56" s="49" t="s">
        <v>249</v>
      </c>
      <c r="D56" s="49"/>
      <c r="E56" s="49" t="s">
        <v>2</v>
      </c>
      <c r="F56" s="49" t="s">
        <v>3</v>
      </c>
      <c r="G56" s="49" t="s">
        <v>20</v>
      </c>
      <c r="H56" s="49" t="s">
        <v>111</v>
      </c>
      <c r="I56" s="49" t="s">
        <v>113</v>
      </c>
      <c r="J56" s="49" t="s">
        <v>204</v>
      </c>
      <c r="K56" s="50"/>
      <c r="L56" s="51">
        <v>908354</v>
      </c>
      <c r="M56" s="51">
        <v>5057569.01</v>
      </c>
      <c r="N56" s="52">
        <v>0</v>
      </c>
      <c r="O56" s="52">
        <v>0</v>
      </c>
      <c r="P56" s="52">
        <v>0</v>
      </c>
      <c r="Q56" s="52">
        <v>0</v>
      </c>
      <c r="R56" s="52">
        <v>0</v>
      </c>
      <c r="S56" s="54">
        <f t="shared" si="1"/>
        <v>0</v>
      </c>
      <c r="T56" s="53"/>
      <c r="U56" s="58">
        <v>0</v>
      </c>
      <c r="V56" s="58">
        <v>0</v>
      </c>
      <c r="W56" s="58">
        <v>0</v>
      </c>
      <c r="X56" s="58">
        <v>0</v>
      </c>
      <c r="Y56" s="57">
        <f t="shared" si="5"/>
        <v>0</v>
      </c>
      <c r="Z56" s="53"/>
      <c r="AA56" s="74">
        <v>0.09</v>
      </c>
    </row>
    <row r="57" spans="1:27" s="4" customFormat="1" x14ac:dyDescent="0.3">
      <c r="A57" s="56">
        <f t="shared" si="2"/>
        <v>47</v>
      </c>
      <c r="B57" s="48" t="s">
        <v>494</v>
      </c>
      <c r="C57" s="49" t="s">
        <v>169</v>
      </c>
      <c r="D57" s="49"/>
      <c r="E57" s="49" t="s">
        <v>2</v>
      </c>
      <c r="F57" s="49" t="s">
        <v>3</v>
      </c>
      <c r="G57" s="49" t="s">
        <v>20</v>
      </c>
      <c r="H57" s="49" t="s">
        <v>111</v>
      </c>
      <c r="I57" s="49" t="s">
        <v>113</v>
      </c>
      <c r="J57" s="49" t="s">
        <v>204</v>
      </c>
      <c r="K57" s="50"/>
      <c r="L57" s="51">
        <v>763762</v>
      </c>
      <c r="M57" s="51">
        <v>2078406.95</v>
      </c>
      <c r="N57" s="52">
        <v>0</v>
      </c>
      <c r="O57" s="52">
        <v>0</v>
      </c>
      <c r="P57" s="52">
        <v>0</v>
      </c>
      <c r="Q57" s="52">
        <v>0</v>
      </c>
      <c r="R57" s="52">
        <v>0</v>
      </c>
      <c r="S57" s="54">
        <f t="shared" si="1"/>
        <v>0</v>
      </c>
      <c r="T57" s="53"/>
      <c r="U57" s="58">
        <v>0</v>
      </c>
      <c r="V57" s="58">
        <v>0</v>
      </c>
      <c r="W57" s="58">
        <v>0</v>
      </c>
      <c r="X57" s="58">
        <v>0</v>
      </c>
      <c r="Y57" s="57">
        <f t="shared" si="5"/>
        <v>0</v>
      </c>
      <c r="Z57" s="53"/>
      <c r="AA57" s="74">
        <v>0.09</v>
      </c>
    </row>
    <row r="58" spans="1:27" s="4" customFormat="1" x14ac:dyDescent="0.3">
      <c r="A58" s="56">
        <f t="shared" si="2"/>
        <v>48</v>
      </c>
      <c r="B58" s="48" t="s">
        <v>314</v>
      </c>
      <c r="C58" s="49" t="s">
        <v>169</v>
      </c>
      <c r="D58" s="49"/>
      <c r="E58" s="49" t="s">
        <v>2</v>
      </c>
      <c r="F58" s="49" t="s">
        <v>3</v>
      </c>
      <c r="G58" s="49" t="s">
        <v>20</v>
      </c>
      <c r="H58" s="49" t="s">
        <v>111</v>
      </c>
      <c r="I58" s="49" t="s">
        <v>113</v>
      </c>
      <c r="J58" s="49" t="s">
        <v>204</v>
      </c>
      <c r="K58" s="50"/>
      <c r="L58" s="51">
        <v>735000</v>
      </c>
      <c r="M58" s="51">
        <v>51012</v>
      </c>
      <c r="N58" s="52">
        <v>0</v>
      </c>
      <c r="O58" s="52">
        <v>0</v>
      </c>
      <c r="P58" s="52">
        <v>0</v>
      </c>
      <c r="Q58" s="52">
        <v>0</v>
      </c>
      <c r="R58" s="52">
        <v>0</v>
      </c>
      <c r="S58" s="54">
        <f t="shared" si="1"/>
        <v>0</v>
      </c>
      <c r="T58" s="53"/>
      <c r="U58" s="58">
        <v>0</v>
      </c>
      <c r="V58" s="58">
        <v>0</v>
      </c>
      <c r="W58" s="58">
        <v>0</v>
      </c>
      <c r="X58" s="58">
        <v>0</v>
      </c>
      <c r="Y58" s="57">
        <f t="shared" si="5"/>
        <v>0</v>
      </c>
      <c r="Z58" s="53"/>
      <c r="AA58" s="74">
        <v>0.09</v>
      </c>
    </row>
    <row r="59" spans="1:27" s="4" customFormat="1" x14ac:dyDescent="0.3">
      <c r="A59" s="56">
        <f t="shared" si="2"/>
        <v>49</v>
      </c>
      <c r="B59" s="48" t="s">
        <v>315</v>
      </c>
      <c r="C59" s="49" t="s">
        <v>495</v>
      </c>
      <c r="D59" s="49"/>
      <c r="E59" s="49" t="s">
        <v>496</v>
      </c>
      <c r="F59" s="49" t="s">
        <v>3</v>
      </c>
      <c r="G59" s="49" t="s">
        <v>20</v>
      </c>
      <c r="H59" s="49" t="s">
        <v>111</v>
      </c>
      <c r="I59" s="49" t="s">
        <v>113</v>
      </c>
      <c r="J59" s="49" t="s">
        <v>204</v>
      </c>
      <c r="K59" s="50"/>
      <c r="L59" s="51">
        <v>650000</v>
      </c>
      <c r="M59" s="51">
        <v>267857.43</v>
      </c>
      <c r="N59" s="52">
        <v>0</v>
      </c>
      <c r="O59" s="52">
        <v>0</v>
      </c>
      <c r="P59" s="52">
        <v>0</v>
      </c>
      <c r="Q59" s="52">
        <v>0</v>
      </c>
      <c r="R59" s="52">
        <v>0</v>
      </c>
      <c r="S59" s="54">
        <f t="shared" si="1"/>
        <v>0</v>
      </c>
      <c r="T59" s="53"/>
      <c r="U59" s="58">
        <v>0</v>
      </c>
      <c r="V59" s="58">
        <v>0</v>
      </c>
      <c r="W59" s="58">
        <v>0</v>
      </c>
      <c r="X59" s="58">
        <v>0</v>
      </c>
      <c r="Y59" s="57">
        <f t="shared" si="5"/>
        <v>0</v>
      </c>
      <c r="Z59" s="53"/>
      <c r="AA59" s="74">
        <v>0.09</v>
      </c>
    </row>
    <row r="60" spans="1:27" s="4" customFormat="1" x14ac:dyDescent="0.3">
      <c r="A60" s="56">
        <f t="shared" si="2"/>
        <v>50</v>
      </c>
      <c r="B60" s="48" t="s">
        <v>497</v>
      </c>
      <c r="C60" s="49" t="s">
        <v>78</v>
      </c>
      <c r="D60" s="49"/>
      <c r="E60" s="49" t="s">
        <v>2</v>
      </c>
      <c r="F60" s="49" t="s">
        <v>3</v>
      </c>
      <c r="G60" s="49" t="s">
        <v>20</v>
      </c>
      <c r="H60" s="49" t="s">
        <v>111</v>
      </c>
      <c r="I60" s="49" t="s">
        <v>113</v>
      </c>
      <c r="J60" s="49" t="s">
        <v>204</v>
      </c>
      <c r="K60" s="50"/>
      <c r="L60" s="51">
        <v>300000</v>
      </c>
      <c r="M60" s="51">
        <v>0</v>
      </c>
      <c r="N60" s="52">
        <v>0</v>
      </c>
      <c r="O60" s="52">
        <v>0</v>
      </c>
      <c r="P60" s="52">
        <v>0</v>
      </c>
      <c r="Q60" s="52">
        <v>0</v>
      </c>
      <c r="R60" s="52">
        <v>0</v>
      </c>
      <c r="S60" s="54">
        <f t="shared" si="1"/>
        <v>0</v>
      </c>
      <c r="T60" s="53"/>
      <c r="U60" s="58">
        <v>0</v>
      </c>
      <c r="V60" s="58">
        <v>0</v>
      </c>
      <c r="W60" s="58">
        <v>0</v>
      </c>
      <c r="X60" s="58">
        <v>0</v>
      </c>
      <c r="Y60" s="57">
        <f t="shared" si="5"/>
        <v>0</v>
      </c>
      <c r="Z60" s="53"/>
      <c r="AA60" s="74">
        <v>0.09</v>
      </c>
    </row>
    <row r="61" spans="1:27" s="4" customFormat="1" x14ac:dyDescent="0.3">
      <c r="A61" s="56">
        <f t="shared" si="2"/>
        <v>51</v>
      </c>
      <c r="B61" s="48" t="s">
        <v>498</v>
      </c>
      <c r="C61" s="49" t="s">
        <v>169</v>
      </c>
      <c r="D61" s="49"/>
      <c r="E61" s="49" t="s">
        <v>2</v>
      </c>
      <c r="F61" s="49" t="s">
        <v>3</v>
      </c>
      <c r="G61" s="49" t="s">
        <v>20</v>
      </c>
      <c r="H61" s="49" t="s">
        <v>111</v>
      </c>
      <c r="I61" s="49" t="s">
        <v>113</v>
      </c>
      <c r="J61" s="49" t="s">
        <v>204</v>
      </c>
      <c r="K61" s="50"/>
      <c r="L61" s="51">
        <v>200000</v>
      </c>
      <c r="M61" s="51">
        <v>21248.799999999999</v>
      </c>
      <c r="N61" s="52">
        <v>0</v>
      </c>
      <c r="O61" s="52">
        <v>0</v>
      </c>
      <c r="P61" s="52">
        <v>0</v>
      </c>
      <c r="Q61" s="52">
        <v>0</v>
      </c>
      <c r="R61" s="52">
        <v>0</v>
      </c>
      <c r="S61" s="54">
        <f t="shared" si="1"/>
        <v>0</v>
      </c>
      <c r="T61" s="53"/>
      <c r="U61" s="58">
        <v>0</v>
      </c>
      <c r="V61" s="58">
        <v>0</v>
      </c>
      <c r="W61" s="58">
        <v>0</v>
      </c>
      <c r="X61" s="58">
        <v>0</v>
      </c>
      <c r="Y61" s="57">
        <f t="shared" si="5"/>
        <v>0</v>
      </c>
      <c r="Z61" s="53"/>
      <c r="AA61" s="74">
        <v>0.09</v>
      </c>
    </row>
    <row r="62" spans="1:27" s="4" customFormat="1" x14ac:dyDescent="0.3">
      <c r="A62" s="56">
        <f t="shared" si="2"/>
        <v>52</v>
      </c>
      <c r="B62" s="48" t="s">
        <v>499</v>
      </c>
      <c r="C62" s="49" t="s">
        <v>169</v>
      </c>
      <c r="D62" s="49"/>
      <c r="E62" s="49" t="s">
        <v>2</v>
      </c>
      <c r="F62" s="49" t="s">
        <v>3</v>
      </c>
      <c r="G62" s="49" t="s">
        <v>20</v>
      </c>
      <c r="H62" s="49" t="s">
        <v>111</v>
      </c>
      <c r="I62" s="49" t="s">
        <v>113</v>
      </c>
      <c r="J62" s="49" t="s">
        <v>204</v>
      </c>
      <c r="K62" s="50"/>
      <c r="L62" s="51">
        <v>200000</v>
      </c>
      <c r="M62" s="51">
        <v>112512.1</v>
      </c>
      <c r="N62" s="52">
        <v>0</v>
      </c>
      <c r="O62" s="52">
        <v>0</v>
      </c>
      <c r="P62" s="52">
        <v>0</v>
      </c>
      <c r="Q62" s="52">
        <v>0</v>
      </c>
      <c r="R62" s="52">
        <v>0</v>
      </c>
      <c r="S62" s="54">
        <f t="shared" si="1"/>
        <v>0</v>
      </c>
      <c r="T62" s="53"/>
      <c r="U62" s="58">
        <v>0</v>
      </c>
      <c r="V62" s="58">
        <v>0</v>
      </c>
      <c r="W62" s="58">
        <v>0</v>
      </c>
      <c r="X62" s="58">
        <v>0</v>
      </c>
      <c r="Y62" s="57">
        <f t="shared" si="0"/>
        <v>0</v>
      </c>
      <c r="Z62" s="53"/>
      <c r="AA62" s="74">
        <v>0.09</v>
      </c>
    </row>
    <row r="63" spans="1:27" s="4" customFormat="1" x14ac:dyDescent="0.3">
      <c r="A63" s="56">
        <f t="shared" si="2"/>
        <v>53</v>
      </c>
      <c r="B63" s="48" t="s">
        <v>316</v>
      </c>
      <c r="C63" s="49" t="s">
        <v>249</v>
      </c>
      <c r="D63" s="49"/>
      <c r="E63" s="49" t="s">
        <v>2</v>
      </c>
      <c r="F63" s="49" t="s">
        <v>3</v>
      </c>
      <c r="G63" s="49" t="s">
        <v>20</v>
      </c>
      <c r="H63" s="49" t="s">
        <v>111</v>
      </c>
      <c r="I63" s="49" t="s">
        <v>113</v>
      </c>
      <c r="J63" s="49" t="s">
        <v>204</v>
      </c>
      <c r="K63" s="50"/>
      <c r="L63" s="51">
        <v>50000</v>
      </c>
      <c r="M63" s="51">
        <v>755666</v>
      </c>
      <c r="N63" s="52">
        <v>0</v>
      </c>
      <c r="O63" s="52">
        <v>0</v>
      </c>
      <c r="P63" s="52">
        <v>0</v>
      </c>
      <c r="Q63" s="52">
        <v>0</v>
      </c>
      <c r="R63" s="52">
        <v>0</v>
      </c>
      <c r="S63" s="54">
        <f t="shared" si="1"/>
        <v>0</v>
      </c>
      <c r="T63" s="53"/>
      <c r="U63" s="58">
        <v>0</v>
      </c>
      <c r="V63" s="58">
        <v>0</v>
      </c>
      <c r="W63" s="58">
        <v>0</v>
      </c>
      <c r="X63" s="58">
        <v>0</v>
      </c>
      <c r="Y63" s="57">
        <f t="shared" ref="Y63:Y66" si="6">SUM(U63:X63)</f>
        <v>0</v>
      </c>
      <c r="Z63" s="53"/>
      <c r="AA63" s="74">
        <v>0.09</v>
      </c>
    </row>
    <row r="64" spans="1:27" s="4" customFormat="1" x14ac:dyDescent="0.3">
      <c r="A64" s="56">
        <f t="shared" si="2"/>
        <v>54</v>
      </c>
      <c r="B64" s="48" t="s">
        <v>317</v>
      </c>
      <c r="C64" s="49" t="s">
        <v>249</v>
      </c>
      <c r="D64" s="49"/>
      <c r="E64" s="49" t="s">
        <v>2</v>
      </c>
      <c r="F64" s="49" t="s">
        <v>3</v>
      </c>
      <c r="G64" s="49" t="s">
        <v>20</v>
      </c>
      <c r="H64" s="49" t="s">
        <v>111</v>
      </c>
      <c r="I64" s="49" t="s">
        <v>113</v>
      </c>
      <c r="J64" s="49" t="s">
        <v>204</v>
      </c>
      <c r="K64" s="50"/>
      <c r="L64" s="51">
        <v>0</v>
      </c>
      <c r="M64" s="51">
        <v>1149648.05</v>
      </c>
      <c r="N64" s="52">
        <v>0</v>
      </c>
      <c r="O64" s="52">
        <v>0</v>
      </c>
      <c r="P64" s="52">
        <v>0</v>
      </c>
      <c r="Q64" s="52">
        <v>0</v>
      </c>
      <c r="R64" s="52">
        <v>0</v>
      </c>
      <c r="S64" s="54">
        <f t="shared" si="1"/>
        <v>0</v>
      </c>
      <c r="T64" s="53"/>
      <c r="U64" s="58">
        <v>0</v>
      </c>
      <c r="V64" s="58">
        <v>0</v>
      </c>
      <c r="W64" s="58">
        <v>0</v>
      </c>
      <c r="X64" s="58">
        <v>0</v>
      </c>
      <c r="Y64" s="57">
        <f t="shared" si="6"/>
        <v>0</v>
      </c>
      <c r="Z64" s="53"/>
      <c r="AA64" s="74">
        <v>0.09</v>
      </c>
    </row>
    <row r="65" spans="1:27" s="4" customFormat="1" x14ac:dyDescent="0.3">
      <c r="A65" s="56">
        <f t="shared" si="2"/>
        <v>55</v>
      </c>
      <c r="B65" s="48" t="s">
        <v>307</v>
      </c>
      <c r="C65" s="49" t="s">
        <v>500</v>
      </c>
      <c r="D65" s="49"/>
      <c r="E65" s="49" t="s">
        <v>2</v>
      </c>
      <c r="F65" s="49" t="s">
        <v>3</v>
      </c>
      <c r="G65" s="49" t="s">
        <v>20</v>
      </c>
      <c r="H65" s="49" t="s">
        <v>111</v>
      </c>
      <c r="I65" s="49" t="s">
        <v>113</v>
      </c>
      <c r="J65" s="49" t="s">
        <v>204</v>
      </c>
      <c r="K65" s="50"/>
      <c r="L65" s="51">
        <v>0</v>
      </c>
      <c r="M65" s="51">
        <v>640000</v>
      </c>
      <c r="N65" s="52">
        <v>0</v>
      </c>
      <c r="O65" s="52">
        <v>0</v>
      </c>
      <c r="P65" s="52">
        <v>0</v>
      </c>
      <c r="Q65" s="52">
        <v>0</v>
      </c>
      <c r="R65" s="52">
        <v>0</v>
      </c>
      <c r="S65" s="54">
        <f t="shared" ref="S65" si="7">SUM(N65:R65)</f>
        <v>0</v>
      </c>
      <c r="T65" s="53"/>
      <c r="U65" s="58">
        <v>0</v>
      </c>
      <c r="V65" s="58">
        <v>0</v>
      </c>
      <c r="W65" s="58">
        <v>0</v>
      </c>
      <c r="X65" s="58">
        <v>0</v>
      </c>
      <c r="Y65" s="57">
        <f t="shared" si="6"/>
        <v>0</v>
      </c>
      <c r="Z65" s="53"/>
      <c r="AA65" s="74">
        <v>0.09</v>
      </c>
    </row>
    <row r="66" spans="1:27" s="4" customFormat="1" x14ac:dyDescent="0.3">
      <c r="A66" s="56">
        <f t="shared" si="2"/>
        <v>56</v>
      </c>
      <c r="B66" s="48" t="s">
        <v>501</v>
      </c>
      <c r="C66" s="49" t="s">
        <v>169</v>
      </c>
      <c r="D66" s="49"/>
      <c r="E66" s="49" t="s">
        <v>2</v>
      </c>
      <c r="F66" s="49" t="s">
        <v>3</v>
      </c>
      <c r="G66" s="49" t="s">
        <v>20</v>
      </c>
      <c r="H66" s="49" t="s">
        <v>111</v>
      </c>
      <c r="I66" s="49" t="s">
        <v>113</v>
      </c>
      <c r="J66" s="49" t="s">
        <v>204</v>
      </c>
      <c r="K66" s="50"/>
      <c r="L66" s="51">
        <v>0</v>
      </c>
      <c r="M66" s="51">
        <v>1500000</v>
      </c>
      <c r="N66" s="52">
        <v>0</v>
      </c>
      <c r="O66" s="52">
        <v>0</v>
      </c>
      <c r="P66" s="52">
        <v>0</v>
      </c>
      <c r="Q66" s="52">
        <v>0</v>
      </c>
      <c r="R66" s="52">
        <v>0</v>
      </c>
      <c r="S66" s="54">
        <f t="shared" si="1"/>
        <v>0</v>
      </c>
      <c r="T66" s="53"/>
      <c r="U66" s="58">
        <v>0</v>
      </c>
      <c r="V66" s="58">
        <v>0</v>
      </c>
      <c r="W66" s="58">
        <v>0</v>
      </c>
      <c r="X66" s="58">
        <v>0</v>
      </c>
      <c r="Y66" s="57">
        <f t="shared" si="6"/>
        <v>0</v>
      </c>
      <c r="Z66" s="53"/>
      <c r="AA66" s="74">
        <v>0.09</v>
      </c>
    </row>
    <row r="67" spans="1:27" s="4" customFormat="1" x14ac:dyDescent="0.3">
      <c r="A67" s="56">
        <f t="shared" si="2"/>
        <v>57</v>
      </c>
      <c r="B67" s="48" t="s">
        <v>502</v>
      </c>
      <c r="C67" s="49" t="s">
        <v>169</v>
      </c>
      <c r="D67" s="49"/>
      <c r="E67" s="49" t="s">
        <v>2</v>
      </c>
      <c r="F67" s="49" t="s">
        <v>3</v>
      </c>
      <c r="G67" s="49" t="s">
        <v>20</v>
      </c>
      <c r="H67" s="49" t="s">
        <v>111</v>
      </c>
      <c r="I67" s="49" t="s">
        <v>113</v>
      </c>
      <c r="J67" s="49" t="s">
        <v>204</v>
      </c>
      <c r="K67" s="50"/>
      <c r="L67" s="51">
        <v>0</v>
      </c>
      <c r="M67" s="51">
        <v>210000</v>
      </c>
      <c r="N67" s="52">
        <v>0</v>
      </c>
      <c r="O67" s="52">
        <v>0</v>
      </c>
      <c r="P67" s="52">
        <v>0</v>
      </c>
      <c r="Q67" s="52">
        <v>0</v>
      </c>
      <c r="R67" s="52">
        <v>0</v>
      </c>
      <c r="S67" s="54">
        <f t="shared" si="1"/>
        <v>0</v>
      </c>
      <c r="T67" s="53"/>
      <c r="U67" s="58">
        <v>0</v>
      </c>
      <c r="V67" s="58">
        <v>0</v>
      </c>
      <c r="W67" s="58">
        <v>0</v>
      </c>
      <c r="X67" s="58">
        <v>0</v>
      </c>
      <c r="Y67" s="57">
        <f t="shared" si="0"/>
        <v>0</v>
      </c>
      <c r="Z67" s="53"/>
      <c r="AA67" s="74">
        <v>0.09</v>
      </c>
    </row>
    <row r="68" spans="1:27" s="4" customFormat="1" x14ac:dyDescent="0.3">
      <c r="A68" s="56">
        <f t="shared" si="2"/>
        <v>58</v>
      </c>
      <c r="B68" s="48" t="s">
        <v>319</v>
      </c>
      <c r="C68" s="49" t="s">
        <v>68</v>
      </c>
      <c r="D68" s="49"/>
      <c r="E68" s="49" t="s">
        <v>496</v>
      </c>
      <c r="F68" s="49" t="s">
        <v>3</v>
      </c>
      <c r="G68" s="49" t="s">
        <v>20</v>
      </c>
      <c r="H68" s="49" t="s">
        <v>111</v>
      </c>
      <c r="I68" s="49" t="s">
        <v>113</v>
      </c>
      <c r="J68" s="49" t="s">
        <v>204</v>
      </c>
      <c r="K68" s="50"/>
      <c r="L68" s="51">
        <v>324226.21748695325</v>
      </c>
      <c r="M68" s="51">
        <v>324226.21748695325</v>
      </c>
      <c r="N68" s="52">
        <v>0</v>
      </c>
      <c r="O68" s="52">
        <v>0</v>
      </c>
      <c r="P68" s="52">
        <v>0</v>
      </c>
      <c r="Q68" s="52">
        <v>0</v>
      </c>
      <c r="R68" s="52">
        <v>0</v>
      </c>
      <c r="S68" s="54">
        <f t="shared" si="1"/>
        <v>0</v>
      </c>
      <c r="T68" s="53"/>
      <c r="U68" s="58">
        <v>0</v>
      </c>
      <c r="V68" s="58">
        <v>0</v>
      </c>
      <c r="W68" s="58">
        <v>0</v>
      </c>
      <c r="X68" s="58">
        <v>0</v>
      </c>
      <c r="Y68" s="57">
        <f t="shared" si="0"/>
        <v>0</v>
      </c>
      <c r="Z68" s="53"/>
      <c r="AA68" s="74">
        <v>0.09</v>
      </c>
    </row>
    <row r="69" spans="1:27" s="4" customFormat="1" x14ac:dyDescent="0.3">
      <c r="A69" s="56">
        <f t="shared" si="2"/>
        <v>59</v>
      </c>
      <c r="B69" s="48" t="s">
        <v>503</v>
      </c>
      <c r="C69" s="49" t="s">
        <v>504</v>
      </c>
      <c r="D69" s="49"/>
      <c r="E69" s="49" t="s">
        <v>69</v>
      </c>
      <c r="F69" s="49" t="s">
        <v>3</v>
      </c>
      <c r="G69" s="49" t="s">
        <v>20</v>
      </c>
      <c r="H69" s="49" t="s">
        <v>111</v>
      </c>
      <c r="I69" s="49" t="s">
        <v>113</v>
      </c>
      <c r="J69" s="49" t="s">
        <v>204</v>
      </c>
      <c r="K69" s="50"/>
      <c r="L69" s="51">
        <v>547600</v>
      </c>
      <c r="M69" s="51">
        <v>0</v>
      </c>
      <c r="N69" s="52">
        <v>0</v>
      </c>
      <c r="O69" s="52">
        <v>0</v>
      </c>
      <c r="P69" s="52">
        <v>0</v>
      </c>
      <c r="Q69" s="52">
        <v>0</v>
      </c>
      <c r="R69" s="52">
        <v>0</v>
      </c>
      <c r="S69" s="54">
        <f t="shared" si="1"/>
        <v>0</v>
      </c>
      <c r="T69" s="53"/>
      <c r="U69" s="58">
        <v>0</v>
      </c>
      <c r="V69" s="58">
        <v>0</v>
      </c>
      <c r="W69" s="58">
        <v>0</v>
      </c>
      <c r="X69" s="58">
        <v>0</v>
      </c>
      <c r="Y69" s="57">
        <f t="shared" si="0"/>
        <v>0</v>
      </c>
      <c r="Z69" s="53"/>
      <c r="AA69" s="74">
        <v>0.09</v>
      </c>
    </row>
    <row r="70" spans="1:27" s="4" customFormat="1" x14ac:dyDescent="0.3">
      <c r="A70" s="56">
        <f t="shared" si="2"/>
        <v>60</v>
      </c>
      <c r="B70" s="48" t="s">
        <v>505</v>
      </c>
      <c r="C70" s="49" t="s">
        <v>249</v>
      </c>
      <c r="D70" s="49"/>
      <c r="E70" s="49" t="s">
        <v>2</v>
      </c>
      <c r="F70" s="49" t="s">
        <v>3</v>
      </c>
      <c r="G70" s="49" t="s">
        <v>20</v>
      </c>
      <c r="H70" s="49" t="s">
        <v>111</v>
      </c>
      <c r="I70" s="49" t="s">
        <v>113</v>
      </c>
      <c r="J70" s="49" t="s">
        <v>204</v>
      </c>
      <c r="K70" s="50"/>
      <c r="L70" s="51">
        <v>493</v>
      </c>
      <c r="M70" s="51">
        <v>0</v>
      </c>
      <c r="N70" s="52">
        <v>0</v>
      </c>
      <c r="O70" s="52">
        <v>0</v>
      </c>
      <c r="P70" s="52">
        <v>0</v>
      </c>
      <c r="Q70" s="52">
        <v>0</v>
      </c>
      <c r="R70" s="52">
        <v>0</v>
      </c>
      <c r="S70" s="54">
        <f t="shared" si="1"/>
        <v>0</v>
      </c>
      <c r="T70" s="53"/>
      <c r="U70" s="58">
        <v>0</v>
      </c>
      <c r="V70" s="58">
        <v>0</v>
      </c>
      <c r="W70" s="58">
        <v>0</v>
      </c>
      <c r="X70" s="58">
        <v>0</v>
      </c>
      <c r="Y70" s="57">
        <f t="shared" si="0"/>
        <v>0</v>
      </c>
      <c r="Z70" s="53"/>
      <c r="AA70" s="74">
        <v>0.09</v>
      </c>
    </row>
    <row r="71" spans="1:27" s="4" customFormat="1" x14ac:dyDescent="0.3">
      <c r="A71" s="56">
        <f t="shared" si="2"/>
        <v>61</v>
      </c>
      <c r="B71" s="48" t="s">
        <v>506</v>
      </c>
      <c r="C71" s="49" t="s">
        <v>169</v>
      </c>
      <c r="D71" s="49"/>
      <c r="E71" s="49" t="s">
        <v>2</v>
      </c>
      <c r="F71" s="49" t="s">
        <v>3</v>
      </c>
      <c r="G71" s="49" t="s">
        <v>20</v>
      </c>
      <c r="H71" s="49" t="s">
        <v>111</v>
      </c>
      <c r="I71" s="49" t="s">
        <v>113</v>
      </c>
      <c r="J71" s="49" t="s">
        <v>204</v>
      </c>
      <c r="K71" s="50"/>
      <c r="L71" s="51">
        <v>100000</v>
      </c>
      <c r="M71" s="51">
        <v>0</v>
      </c>
      <c r="N71" s="52">
        <v>0</v>
      </c>
      <c r="O71" s="52">
        <v>0</v>
      </c>
      <c r="P71" s="52">
        <v>0</v>
      </c>
      <c r="Q71" s="52">
        <v>0</v>
      </c>
      <c r="R71" s="52">
        <v>0</v>
      </c>
      <c r="S71" s="54">
        <f t="shared" si="1"/>
        <v>0</v>
      </c>
      <c r="T71" s="53"/>
      <c r="U71" s="58">
        <v>0</v>
      </c>
      <c r="V71" s="58">
        <v>0</v>
      </c>
      <c r="W71" s="58">
        <v>0</v>
      </c>
      <c r="X71" s="58">
        <v>0</v>
      </c>
      <c r="Y71" s="57">
        <f t="shared" si="0"/>
        <v>0</v>
      </c>
      <c r="Z71" s="53"/>
      <c r="AA71" s="74">
        <v>0.09</v>
      </c>
    </row>
    <row r="72" spans="1:27" s="4" customFormat="1" x14ac:dyDescent="0.3">
      <c r="A72" s="56">
        <f t="shared" si="2"/>
        <v>62</v>
      </c>
      <c r="B72" s="48"/>
      <c r="C72" s="49"/>
      <c r="D72" s="49"/>
      <c r="E72" s="49"/>
      <c r="F72" s="49"/>
      <c r="G72" s="49"/>
      <c r="H72" s="49"/>
      <c r="I72" s="49"/>
      <c r="J72" s="49"/>
      <c r="K72" s="50"/>
      <c r="L72" s="51"/>
      <c r="M72" s="51"/>
      <c r="N72" s="52">
        <v>0</v>
      </c>
      <c r="O72" s="52">
        <v>0</v>
      </c>
      <c r="P72" s="52">
        <v>0</v>
      </c>
      <c r="Q72" s="52">
        <v>0</v>
      </c>
      <c r="R72" s="52">
        <v>0</v>
      </c>
      <c r="S72" s="54">
        <f t="shared" si="1"/>
        <v>0</v>
      </c>
      <c r="T72" s="53"/>
      <c r="U72" s="58">
        <v>0</v>
      </c>
      <c r="V72" s="58">
        <v>0</v>
      </c>
      <c r="W72" s="58">
        <v>0</v>
      </c>
      <c r="X72" s="58">
        <v>0</v>
      </c>
      <c r="Y72" s="57">
        <f t="shared" si="0"/>
        <v>0</v>
      </c>
      <c r="Z72" s="53"/>
      <c r="AA72" s="74">
        <v>0.09</v>
      </c>
    </row>
    <row r="73" spans="1:27" s="4" customFormat="1" x14ac:dyDescent="0.3">
      <c r="A73" s="56">
        <f t="shared" si="2"/>
        <v>63</v>
      </c>
      <c r="B73" s="48"/>
      <c r="C73" s="49"/>
      <c r="D73" s="49"/>
      <c r="E73" s="49"/>
      <c r="F73" s="49"/>
      <c r="G73" s="49"/>
      <c r="H73" s="49"/>
      <c r="I73" s="49"/>
      <c r="J73" s="49"/>
      <c r="K73" s="50"/>
      <c r="L73" s="51"/>
      <c r="M73" s="51"/>
      <c r="N73" s="52">
        <v>0</v>
      </c>
      <c r="O73" s="52">
        <v>0</v>
      </c>
      <c r="P73" s="52">
        <v>0</v>
      </c>
      <c r="Q73" s="52">
        <v>0</v>
      </c>
      <c r="R73" s="52">
        <v>0</v>
      </c>
      <c r="S73" s="54">
        <f t="shared" si="1"/>
        <v>0</v>
      </c>
      <c r="T73" s="53"/>
      <c r="U73" s="58">
        <v>0</v>
      </c>
      <c r="V73" s="58">
        <v>0</v>
      </c>
      <c r="W73" s="58">
        <v>0</v>
      </c>
      <c r="X73" s="58">
        <v>0</v>
      </c>
      <c r="Y73" s="57">
        <f t="shared" si="0"/>
        <v>0</v>
      </c>
      <c r="Z73" s="53"/>
      <c r="AA73" s="74">
        <v>0.09</v>
      </c>
    </row>
    <row r="74" spans="1:27" s="4" customFormat="1" x14ac:dyDescent="0.3">
      <c r="A74" s="56">
        <f t="shared" si="2"/>
        <v>64</v>
      </c>
      <c r="B74" s="48"/>
      <c r="C74" s="49"/>
      <c r="D74" s="49"/>
      <c r="E74" s="49"/>
      <c r="F74" s="49"/>
      <c r="G74" s="49"/>
      <c r="H74" s="49"/>
      <c r="I74" s="49"/>
      <c r="J74" s="49"/>
      <c r="K74" s="50"/>
      <c r="L74" s="51"/>
      <c r="M74" s="51"/>
      <c r="N74" s="52">
        <v>0</v>
      </c>
      <c r="O74" s="52">
        <v>0</v>
      </c>
      <c r="P74" s="52">
        <v>0</v>
      </c>
      <c r="Q74" s="52">
        <v>0</v>
      </c>
      <c r="R74" s="52">
        <v>0</v>
      </c>
      <c r="S74" s="54">
        <f t="shared" si="1"/>
        <v>0</v>
      </c>
      <c r="T74" s="53"/>
      <c r="U74" s="58">
        <v>0</v>
      </c>
      <c r="V74" s="58">
        <v>0</v>
      </c>
      <c r="W74" s="58">
        <v>0</v>
      </c>
      <c r="X74" s="58">
        <v>0</v>
      </c>
      <c r="Y74" s="57">
        <f t="shared" si="0"/>
        <v>0</v>
      </c>
      <c r="Z74" s="53"/>
      <c r="AA74" s="74">
        <v>0.09</v>
      </c>
    </row>
    <row r="75" spans="1:27" s="4" customFormat="1" x14ac:dyDescent="0.3">
      <c r="A75" s="56">
        <f t="shared" si="2"/>
        <v>65</v>
      </c>
      <c r="B75" s="48"/>
      <c r="C75" s="49"/>
      <c r="D75" s="49"/>
      <c r="E75" s="49"/>
      <c r="F75" s="49"/>
      <c r="G75" s="49"/>
      <c r="H75" s="49"/>
      <c r="I75" s="49"/>
      <c r="J75" s="49"/>
      <c r="K75" s="50"/>
      <c r="L75" s="51"/>
      <c r="M75" s="51"/>
      <c r="N75" s="52">
        <v>0</v>
      </c>
      <c r="O75" s="52">
        <v>0</v>
      </c>
      <c r="P75" s="52">
        <v>0</v>
      </c>
      <c r="Q75" s="52">
        <v>0</v>
      </c>
      <c r="R75" s="52">
        <v>0</v>
      </c>
      <c r="S75" s="54">
        <f t="shared" si="1"/>
        <v>0</v>
      </c>
      <c r="T75" s="53"/>
      <c r="U75" s="58">
        <v>0</v>
      </c>
      <c r="V75" s="58">
        <v>0</v>
      </c>
      <c r="W75" s="58">
        <v>0</v>
      </c>
      <c r="X75" s="58">
        <v>0</v>
      </c>
      <c r="Y75" s="57">
        <f t="shared" si="0"/>
        <v>0</v>
      </c>
      <c r="Z75" s="53"/>
      <c r="AA75" s="74">
        <v>0.09</v>
      </c>
    </row>
    <row r="76" spans="1:27" s="4" customFormat="1" x14ac:dyDescent="0.3">
      <c r="A76" s="56">
        <f t="shared" si="2"/>
        <v>66</v>
      </c>
      <c r="B76" s="48"/>
      <c r="C76" s="49"/>
      <c r="D76" s="49"/>
      <c r="E76" s="49"/>
      <c r="F76" s="49"/>
      <c r="G76" s="49"/>
      <c r="H76" s="49"/>
      <c r="I76" s="49"/>
      <c r="J76" s="49"/>
      <c r="K76" s="50"/>
      <c r="L76" s="51"/>
      <c r="M76" s="51"/>
      <c r="N76" s="52">
        <v>0</v>
      </c>
      <c r="O76" s="52">
        <v>0</v>
      </c>
      <c r="P76" s="52">
        <v>0</v>
      </c>
      <c r="Q76" s="52">
        <v>0</v>
      </c>
      <c r="R76" s="52">
        <v>0</v>
      </c>
      <c r="S76" s="54">
        <f t="shared" si="1"/>
        <v>0</v>
      </c>
      <c r="T76" s="53"/>
      <c r="U76" s="58">
        <v>0</v>
      </c>
      <c r="V76" s="58">
        <v>0</v>
      </c>
      <c r="W76" s="58">
        <v>0</v>
      </c>
      <c r="X76" s="58">
        <v>0</v>
      </c>
      <c r="Y76" s="57">
        <f t="shared" si="0"/>
        <v>0</v>
      </c>
      <c r="Z76" s="53"/>
      <c r="AA76" s="74">
        <v>0.09</v>
      </c>
    </row>
    <row r="77" spans="1:27" s="4" customFormat="1" x14ac:dyDescent="0.3">
      <c r="A77" s="56">
        <f t="shared" si="2"/>
        <v>67</v>
      </c>
      <c r="B77" s="48"/>
      <c r="C77" s="49"/>
      <c r="D77" s="49"/>
      <c r="E77" s="49"/>
      <c r="F77" s="49"/>
      <c r="G77" s="49"/>
      <c r="H77" s="49"/>
      <c r="I77" s="49"/>
      <c r="J77" s="49"/>
      <c r="K77" s="50"/>
      <c r="L77" s="51"/>
      <c r="M77" s="51"/>
      <c r="N77" s="52">
        <v>0</v>
      </c>
      <c r="O77" s="52">
        <v>0</v>
      </c>
      <c r="P77" s="52">
        <v>0</v>
      </c>
      <c r="Q77" s="52">
        <v>0</v>
      </c>
      <c r="R77" s="52">
        <v>0</v>
      </c>
      <c r="S77" s="54">
        <f t="shared" si="1"/>
        <v>0</v>
      </c>
      <c r="T77" s="53"/>
      <c r="U77" s="58">
        <v>0</v>
      </c>
      <c r="V77" s="58">
        <v>0</v>
      </c>
      <c r="W77" s="58">
        <v>0</v>
      </c>
      <c r="X77" s="58">
        <v>0</v>
      </c>
      <c r="Y77" s="57">
        <f t="shared" si="0"/>
        <v>0</v>
      </c>
      <c r="Z77" s="53"/>
      <c r="AA77" s="74">
        <v>0.09</v>
      </c>
    </row>
    <row r="78" spans="1:27" s="4" customFormat="1" x14ac:dyDescent="0.3">
      <c r="A78" s="56">
        <f t="shared" ref="A78:A141" si="8">A77+1</f>
        <v>68</v>
      </c>
      <c r="B78" s="48"/>
      <c r="C78" s="49"/>
      <c r="D78" s="49"/>
      <c r="E78" s="49"/>
      <c r="F78" s="49"/>
      <c r="G78" s="49"/>
      <c r="H78" s="49"/>
      <c r="I78" s="49"/>
      <c r="J78" s="49"/>
      <c r="K78" s="50"/>
      <c r="L78" s="51"/>
      <c r="M78" s="51"/>
      <c r="N78" s="52">
        <v>0</v>
      </c>
      <c r="O78" s="52">
        <v>0</v>
      </c>
      <c r="P78" s="52">
        <v>0</v>
      </c>
      <c r="Q78" s="52">
        <v>0</v>
      </c>
      <c r="R78" s="52">
        <v>0</v>
      </c>
      <c r="S78" s="54">
        <f t="shared" si="1"/>
        <v>0</v>
      </c>
      <c r="T78" s="53"/>
      <c r="U78" s="58">
        <v>0</v>
      </c>
      <c r="V78" s="58">
        <v>0</v>
      </c>
      <c r="W78" s="58">
        <v>0</v>
      </c>
      <c r="X78" s="58">
        <v>0</v>
      </c>
      <c r="Y78" s="57">
        <f t="shared" ref="Y78:Y141" si="9">SUM(U78:X78)</f>
        <v>0</v>
      </c>
      <c r="Z78" s="53"/>
      <c r="AA78" s="74">
        <v>0.09</v>
      </c>
    </row>
    <row r="79" spans="1:27" s="4" customFormat="1" x14ac:dyDescent="0.3">
      <c r="A79" s="56">
        <f t="shared" si="8"/>
        <v>69</v>
      </c>
      <c r="B79" s="48"/>
      <c r="C79" s="49"/>
      <c r="D79" s="49"/>
      <c r="E79" s="49"/>
      <c r="F79" s="49"/>
      <c r="G79" s="49"/>
      <c r="H79" s="49"/>
      <c r="I79" s="49"/>
      <c r="J79" s="49"/>
      <c r="K79" s="50"/>
      <c r="L79" s="51"/>
      <c r="M79" s="51"/>
      <c r="N79" s="52">
        <v>0</v>
      </c>
      <c r="O79" s="52">
        <v>0</v>
      </c>
      <c r="P79" s="52">
        <v>0</v>
      </c>
      <c r="Q79" s="52">
        <v>0</v>
      </c>
      <c r="R79" s="52">
        <v>0</v>
      </c>
      <c r="S79" s="54">
        <f t="shared" ref="S79:S142" si="10">SUM(N79:R79)</f>
        <v>0</v>
      </c>
      <c r="T79" s="53"/>
      <c r="U79" s="58">
        <v>0</v>
      </c>
      <c r="V79" s="58">
        <v>0</v>
      </c>
      <c r="W79" s="58">
        <v>0</v>
      </c>
      <c r="X79" s="58">
        <v>0</v>
      </c>
      <c r="Y79" s="57">
        <f t="shared" si="9"/>
        <v>0</v>
      </c>
      <c r="Z79" s="53"/>
      <c r="AA79" s="74">
        <v>0.09</v>
      </c>
    </row>
    <row r="80" spans="1:27" s="4" customFormat="1" x14ac:dyDescent="0.3">
      <c r="A80" s="56">
        <f t="shared" si="8"/>
        <v>70</v>
      </c>
      <c r="B80" s="48"/>
      <c r="C80" s="49"/>
      <c r="D80" s="49"/>
      <c r="E80" s="49"/>
      <c r="F80" s="49"/>
      <c r="G80" s="49"/>
      <c r="H80" s="49"/>
      <c r="I80" s="49"/>
      <c r="J80" s="49"/>
      <c r="K80" s="50"/>
      <c r="L80" s="51"/>
      <c r="M80" s="51"/>
      <c r="N80" s="52">
        <v>0</v>
      </c>
      <c r="O80" s="52">
        <v>0</v>
      </c>
      <c r="P80" s="52">
        <v>0</v>
      </c>
      <c r="Q80" s="52">
        <v>0</v>
      </c>
      <c r="R80" s="52">
        <v>0</v>
      </c>
      <c r="S80" s="54">
        <f t="shared" si="10"/>
        <v>0</v>
      </c>
      <c r="T80" s="53"/>
      <c r="U80" s="58">
        <v>0</v>
      </c>
      <c r="V80" s="58">
        <v>0</v>
      </c>
      <c r="W80" s="58">
        <v>0</v>
      </c>
      <c r="X80" s="58">
        <v>0</v>
      </c>
      <c r="Y80" s="57">
        <f t="shared" si="9"/>
        <v>0</v>
      </c>
      <c r="Z80" s="53"/>
      <c r="AA80" s="74">
        <v>0.09</v>
      </c>
    </row>
    <row r="81" spans="1:27" s="4" customFormat="1" x14ac:dyDescent="0.3">
      <c r="A81" s="56">
        <f t="shared" si="8"/>
        <v>71</v>
      </c>
      <c r="B81" s="48"/>
      <c r="C81" s="49"/>
      <c r="D81" s="49"/>
      <c r="E81" s="49"/>
      <c r="F81" s="49"/>
      <c r="G81" s="49"/>
      <c r="H81" s="49"/>
      <c r="I81" s="49"/>
      <c r="J81" s="49"/>
      <c r="K81" s="50"/>
      <c r="L81" s="51"/>
      <c r="M81" s="51"/>
      <c r="N81" s="52">
        <v>0</v>
      </c>
      <c r="O81" s="52">
        <v>0</v>
      </c>
      <c r="P81" s="52">
        <v>0</v>
      </c>
      <c r="Q81" s="52">
        <v>0</v>
      </c>
      <c r="R81" s="52">
        <v>0</v>
      </c>
      <c r="S81" s="54">
        <f t="shared" si="10"/>
        <v>0</v>
      </c>
      <c r="T81" s="53"/>
      <c r="U81" s="58">
        <v>0</v>
      </c>
      <c r="V81" s="58">
        <v>0</v>
      </c>
      <c r="W81" s="58">
        <v>0</v>
      </c>
      <c r="X81" s="58">
        <v>0</v>
      </c>
      <c r="Y81" s="57">
        <f t="shared" si="9"/>
        <v>0</v>
      </c>
      <c r="Z81" s="53"/>
      <c r="AA81" s="74">
        <v>0.09</v>
      </c>
    </row>
    <row r="82" spans="1:27" s="4" customFormat="1" x14ac:dyDescent="0.3">
      <c r="A82" s="56">
        <f t="shared" si="8"/>
        <v>72</v>
      </c>
      <c r="B82" s="48"/>
      <c r="C82" s="49"/>
      <c r="D82" s="49"/>
      <c r="E82" s="49"/>
      <c r="F82" s="49"/>
      <c r="G82" s="49"/>
      <c r="H82" s="49"/>
      <c r="I82" s="49"/>
      <c r="J82" s="49"/>
      <c r="K82" s="50"/>
      <c r="L82" s="51"/>
      <c r="M82" s="51"/>
      <c r="N82" s="52">
        <v>0</v>
      </c>
      <c r="O82" s="52">
        <v>0</v>
      </c>
      <c r="P82" s="52">
        <v>0</v>
      </c>
      <c r="Q82" s="52">
        <v>0</v>
      </c>
      <c r="R82" s="52">
        <v>0</v>
      </c>
      <c r="S82" s="54">
        <f t="shared" si="10"/>
        <v>0</v>
      </c>
      <c r="T82" s="53"/>
      <c r="U82" s="58">
        <v>0</v>
      </c>
      <c r="V82" s="58">
        <v>0</v>
      </c>
      <c r="W82" s="58">
        <v>0</v>
      </c>
      <c r="X82" s="58">
        <v>0</v>
      </c>
      <c r="Y82" s="57">
        <f t="shared" si="9"/>
        <v>0</v>
      </c>
      <c r="Z82" s="53"/>
      <c r="AA82" s="74">
        <v>0.09</v>
      </c>
    </row>
    <row r="83" spans="1:27" s="4" customFormat="1" x14ac:dyDescent="0.3">
      <c r="A83" s="56">
        <f t="shared" si="8"/>
        <v>73</v>
      </c>
      <c r="B83" s="48"/>
      <c r="C83" s="49"/>
      <c r="D83" s="49"/>
      <c r="E83" s="49"/>
      <c r="F83" s="49"/>
      <c r="G83" s="49"/>
      <c r="H83" s="49"/>
      <c r="I83" s="49"/>
      <c r="J83" s="49"/>
      <c r="K83" s="50"/>
      <c r="L83" s="51"/>
      <c r="M83" s="51"/>
      <c r="N83" s="52">
        <v>0</v>
      </c>
      <c r="O83" s="52">
        <v>0</v>
      </c>
      <c r="P83" s="52">
        <v>0</v>
      </c>
      <c r="Q83" s="52">
        <v>0</v>
      </c>
      <c r="R83" s="52">
        <v>0</v>
      </c>
      <c r="S83" s="54">
        <f t="shared" si="10"/>
        <v>0</v>
      </c>
      <c r="T83" s="53"/>
      <c r="U83" s="58">
        <v>0</v>
      </c>
      <c r="V83" s="58">
        <v>0</v>
      </c>
      <c r="W83" s="58">
        <v>0</v>
      </c>
      <c r="X83" s="58">
        <v>0</v>
      </c>
      <c r="Y83" s="57">
        <f t="shared" si="9"/>
        <v>0</v>
      </c>
      <c r="Z83" s="53"/>
      <c r="AA83" s="74">
        <v>0.09</v>
      </c>
    </row>
    <row r="84" spans="1:27" s="4" customFormat="1" x14ac:dyDescent="0.3">
      <c r="A84" s="56">
        <f t="shared" si="8"/>
        <v>74</v>
      </c>
      <c r="B84" s="48"/>
      <c r="C84" s="49"/>
      <c r="D84" s="49"/>
      <c r="E84" s="49"/>
      <c r="F84" s="49"/>
      <c r="G84" s="49"/>
      <c r="H84" s="49"/>
      <c r="I84" s="49"/>
      <c r="J84" s="49"/>
      <c r="K84" s="50"/>
      <c r="L84" s="51"/>
      <c r="M84" s="51"/>
      <c r="N84" s="52">
        <v>0</v>
      </c>
      <c r="O84" s="52">
        <v>0</v>
      </c>
      <c r="P84" s="52">
        <v>0</v>
      </c>
      <c r="Q84" s="52">
        <v>0</v>
      </c>
      <c r="R84" s="52">
        <v>0</v>
      </c>
      <c r="S84" s="54">
        <f t="shared" si="10"/>
        <v>0</v>
      </c>
      <c r="T84" s="53"/>
      <c r="U84" s="58">
        <v>0</v>
      </c>
      <c r="V84" s="58">
        <v>0</v>
      </c>
      <c r="W84" s="58">
        <v>0</v>
      </c>
      <c r="X84" s="58">
        <v>0</v>
      </c>
      <c r="Y84" s="57">
        <f t="shared" si="9"/>
        <v>0</v>
      </c>
      <c r="Z84" s="53"/>
      <c r="AA84" s="74">
        <v>0</v>
      </c>
    </row>
    <row r="85" spans="1:27" s="4" customFormat="1" x14ac:dyDescent="0.3">
      <c r="A85" s="56">
        <f t="shared" si="8"/>
        <v>75</v>
      </c>
      <c r="B85" s="48"/>
      <c r="C85" s="49"/>
      <c r="D85" s="49"/>
      <c r="E85" s="49"/>
      <c r="F85" s="49"/>
      <c r="G85" s="49"/>
      <c r="H85" s="49"/>
      <c r="I85" s="49"/>
      <c r="J85" s="49"/>
      <c r="K85" s="50"/>
      <c r="L85" s="51"/>
      <c r="M85" s="51"/>
      <c r="N85" s="52">
        <v>0</v>
      </c>
      <c r="O85" s="52">
        <v>0</v>
      </c>
      <c r="P85" s="52">
        <v>0</v>
      </c>
      <c r="Q85" s="52">
        <v>0</v>
      </c>
      <c r="R85" s="52">
        <v>0</v>
      </c>
      <c r="S85" s="54">
        <f t="shared" si="10"/>
        <v>0</v>
      </c>
      <c r="T85" s="53"/>
      <c r="U85" s="58">
        <v>0</v>
      </c>
      <c r="V85" s="58">
        <v>0</v>
      </c>
      <c r="W85" s="58">
        <v>0</v>
      </c>
      <c r="X85" s="58">
        <v>0</v>
      </c>
      <c r="Y85" s="57">
        <f t="shared" si="9"/>
        <v>0</v>
      </c>
      <c r="Z85" s="53"/>
      <c r="AA85" s="74">
        <v>0</v>
      </c>
    </row>
    <row r="86" spans="1:27" s="4" customFormat="1" x14ac:dyDescent="0.3">
      <c r="A86" s="56">
        <f t="shared" si="8"/>
        <v>76</v>
      </c>
      <c r="B86" s="48"/>
      <c r="C86" s="49"/>
      <c r="D86" s="49"/>
      <c r="E86" s="49"/>
      <c r="F86" s="49"/>
      <c r="G86" s="49"/>
      <c r="H86" s="49"/>
      <c r="I86" s="49"/>
      <c r="J86" s="49"/>
      <c r="K86" s="50"/>
      <c r="L86" s="51"/>
      <c r="M86" s="51"/>
      <c r="N86" s="52">
        <v>0</v>
      </c>
      <c r="O86" s="52">
        <v>0</v>
      </c>
      <c r="P86" s="52">
        <v>0</v>
      </c>
      <c r="Q86" s="52">
        <v>0</v>
      </c>
      <c r="R86" s="52">
        <v>0</v>
      </c>
      <c r="S86" s="54">
        <f t="shared" si="10"/>
        <v>0</v>
      </c>
      <c r="T86" s="53"/>
      <c r="U86" s="58">
        <v>0</v>
      </c>
      <c r="V86" s="58">
        <v>0</v>
      </c>
      <c r="W86" s="58">
        <v>0</v>
      </c>
      <c r="X86" s="58">
        <v>0</v>
      </c>
      <c r="Y86" s="57">
        <f t="shared" si="9"/>
        <v>0</v>
      </c>
      <c r="Z86" s="53"/>
      <c r="AA86" s="74">
        <v>0</v>
      </c>
    </row>
    <row r="87" spans="1:27" s="4" customFormat="1" x14ac:dyDescent="0.3">
      <c r="A87" s="56">
        <f t="shared" si="8"/>
        <v>77</v>
      </c>
      <c r="B87" s="48"/>
      <c r="C87" s="49"/>
      <c r="D87" s="49"/>
      <c r="E87" s="49"/>
      <c r="F87" s="49"/>
      <c r="G87" s="49"/>
      <c r="H87" s="49"/>
      <c r="I87" s="49"/>
      <c r="J87" s="49"/>
      <c r="K87" s="50"/>
      <c r="L87" s="51"/>
      <c r="M87" s="51"/>
      <c r="N87" s="52">
        <v>0</v>
      </c>
      <c r="O87" s="52">
        <v>0</v>
      </c>
      <c r="P87" s="52">
        <v>0</v>
      </c>
      <c r="Q87" s="52">
        <v>0</v>
      </c>
      <c r="R87" s="52">
        <v>0</v>
      </c>
      <c r="S87" s="54">
        <f t="shared" si="10"/>
        <v>0</v>
      </c>
      <c r="T87" s="53"/>
      <c r="U87" s="58">
        <v>0</v>
      </c>
      <c r="V87" s="58">
        <v>0</v>
      </c>
      <c r="W87" s="58">
        <v>0</v>
      </c>
      <c r="X87" s="58">
        <v>0</v>
      </c>
      <c r="Y87" s="57">
        <f t="shared" si="9"/>
        <v>0</v>
      </c>
      <c r="Z87" s="53"/>
      <c r="AA87" s="74">
        <v>0</v>
      </c>
    </row>
    <row r="88" spans="1:27" s="4" customFormat="1" x14ac:dyDescent="0.3">
      <c r="A88" s="56">
        <f t="shared" si="8"/>
        <v>78</v>
      </c>
      <c r="B88" s="48"/>
      <c r="C88" s="49"/>
      <c r="D88" s="49"/>
      <c r="E88" s="49"/>
      <c r="F88" s="49"/>
      <c r="G88" s="49"/>
      <c r="H88" s="49"/>
      <c r="I88" s="49"/>
      <c r="J88" s="49"/>
      <c r="K88" s="50"/>
      <c r="L88" s="51"/>
      <c r="M88" s="51"/>
      <c r="N88" s="52">
        <v>0</v>
      </c>
      <c r="O88" s="52">
        <v>0</v>
      </c>
      <c r="P88" s="52">
        <v>0</v>
      </c>
      <c r="Q88" s="52">
        <v>0</v>
      </c>
      <c r="R88" s="52">
        <v>0</v>
      </c>
      <c r="S88" s="54">
        <f t="shared" si="10"/>
        <v>0</v>
      </c>
      <c r="T88" s="53"/>
      <c r="U88" s="58">
        <v>0</v>
      </c>
      <c r="V88" s="58">
        <v>0</v>
      </c>
      <c r="W88" s="58">
        <v>0</v>
      </c>
      <c r="X88" s="58">
        <v>0</v>
      </c>
      <c r="Y88" s="57">
        <f t="shared" si="9"/>
        <v>0</v>
      </c>
      <c r="Z88" s="53"/>
      <c r="AA88" s="74">
        <v>0</v>
      </c>
    </row>
    <row r="89" spans="1:27" s="4" customFormat="1" x14ac:dyDescent="0.3">
      <c r="A89" s="56">
        <f t="shared" si="8"/>
        <v>79</v>
      </c>
      <c r="B89" s="48"/>
      <c r="C89" s="49"/>
      <c r="D89" s="49"/>
      <c r="E89" s="49"/>
      <c r="F89" s="49"/>
      <c r="G89" s="49"/>
      <c r="H89" s="49"/>
      <c r="I89" s="49"/>
      <c r="J89" s="49"/>
      <c r="K89" s="50"/>
      <c r="L89" s="51"/>
      <c r="M89" s="51"/>
      <c r="N89" s="52">
        <v>0</v>
      </c>
      <c r="O89" s="52">
        <v>0</v>
      </c>
      <c r="P89" s="52">
        <v>0</v>
      </c>
      <c r="Q89" s="52">
        <v>0</v>
      </c>
      <c r="R89" s="52">
        <v>0</v>
      </c>
      <c r="S89" s="54">
        <f t="shared" si="10"/>
        <v>0</v>
      </c>
      <c r="T89" s="53"/>
      <c r="U89" s="58">
        <v>0</v>
      </c>
      <c r="V89" s="58">
        <v>0</v>
      </c>
      <c r="W89" s="58">
        <v>0</v>
      </c>
      <c r="X89" s="58">
        <v>0</v>
      </c>
      <c r="Y89" s="57">
        <f t="shared" si="9"/>
        <v>0</v>
      </c>
      <c r="Z89" s="53"/>
      <c r="AA89" s="74">
        <v>0</v>
      </c>
    </row>
    <row r="90" spans="1:27" s="4" customFormat="1" x14ac:dyDescent="0.3">
      <c r="A90" s="56">
        <f t="shared" si="8"/>
        <v>80</v>
      </c>
      <c r="B90" s="48"/>
      <c r="C90" s="49"/>
      <c r="D90" s="49"/>
      <c r="E90" s="49"/>
      <c r="F90" s="49"/>
      <c r="G90" s="49"/>
      <c r="H90" s="49"/>
      <c r="I90" s="49"/>
      <c r="J90" s="49"/>
      <c r="K90" s="50"/>
      <c r="L90" s="51"/>
      <c r="M90" s="51"/>
      <c r="N90" s="52">
        <v>0</v>
      </c>
      <c r="O90" s="52">
        <v>0</v>
      </c>
      <c r="P90" s="52">
        <v>0</v>
      </c>
      <c r="Q90" s="52">
        <v>0</v>
      </c>
      <c r="R90" s="52">
        <v>0</v>
      </c>
      <c r="S90" s="54">
        <f t="shared" si="10"/>
        <v>0</v>
      </c>
      <c r="T90" s="53"/>
      <c r="U90" s="58">
        <v>0</v>
      </c>
      <c r="V90" s="58">
        <v>0</v>
      </c>
      <c r="W90" s="58">
        <v>0</v>
      </c>
      <c r="X90" s="58">
        <v>0</v>
      </c>
      <c r="Y90" s="57">
        <f t="shared" si="9"/>
        <v>0</v>
      </c>
      <c r="Z90" s="53"/>
      <c r="AA90" s="74">
        <v>0</v>
      </c>
    </row>
    <row r="91" spans="1:27" s="4" customFormat="1" x14ac:dyDescent="0.3">
      <c r="A91" s="56">
        <f t="shared" si="8"/>
        <v>81</v>
      </c>
      <c r="B91" s="48"/>
      <c r="C91" s="49"/>
      <c r="D91" s="49"/>
      <c r="E91" s="49"/>
      <c r="F91" s="49"/>
      <c r="G91" s="49"/>
      <c r="H91" s="49"/>
      <c r="I91" s="49"/>
      <c r="J91" s="49"/>
      <c r="K91" s="50"/>
      <c r="L91" s="51"/>
      <c r="M91" s="51"/>
      <c r="N91" s="52"/>
      <c r="O91" s="52"/>
      <c r="P91" s="52"/>
      <c r="Q91" s="52"/>
      <c r="R91" s="52"/>
      <c r="S91" s="54">
        <f t="shared" si="10"/>
        <v>0</v>
      </c>
      <c r="T91" s="53"/>
      <c r="U91" s="58"/>
      <c r="V91" s="58"/>
      <c r="W91" s="58"/>
      <c r="X91" s="58"/>
      <c r="Y91" s="57">
        <f t="shared" si="9"/>
        <v>0</v>
      </c>
      <c r="Z91" s="53"/>
      <c r="AA91" s="74"/>
    </row>
    <row r="92" spans="1:27" s="4" customFormat="1" x14ac:dyDescent="0.3">
      <c r="A92" s="56">
        <f t="shared" si="8"/>
        <v>82</v>
      </c>
      <c r="B92" s="48"/>
      <c r="C92" s="49"/>
      <c r="D92" s="49"/>
      <c r="E92" s="49"/>
      <c r="F92" s="49"/>
      <c r="G92" s="49"/>
      <c r="H92" s="49"/>
      <c r="I92" s="49"/>
      <c r="J92" s="49"/>
      <c r="K92" s="50"/>
      <c r="L92" s="51"/>
      <c r="M92" s="51"/>
      <c r="N92" s="52"/>
      <c r="O92" s="52"/>
      <c r="P92" s="52"/>
      <c r="Q92" s="52"/>
      <c r="R92" s="52"/>
      <c r="S92" s="54">
        <f t="shared" si="10"/>
        <v>0</v>
      </c>
      <c r="T92" s="53"/>
      <c r="U92" s="58"/>
      <c r="V92" s="58"/>
      <c r="W92" s="58"/>
      <c r="X92" s="58"/>
      <c r="Y92" s="57">
        <f t="shared" si="9"/>
        <v>0</v>
      </c>
      <c r="Z92" s="53"/>
      <c r="AA92" s="74"/>
    </row>
    <row r="93" spans="1:27" s="4" customFormat="1" x14ac:dyDescent="0.3">
      <c r="A93" s="56">
        <f t="shared" si="8"/>
        <v>83</v>
      </c>
      <c r="B93" s="48"/>
      <c r="C93" s="49"/>
      <c r="D93" s="49"/>
      <c r="E93" s="49"/>
      <c r="F93" s="49"/>
      <c r="G93" s="49"/>
      <c r="H93" s="49"/>
      <c r="I93" s="49"/>
      <c r="J93" s="49"/>
      <c r="K93" s="50"/>
      <c r="L93" s="51"/>
      <c r="M93" s="51"/>
      <c r="N93" s="52"/>
      <c r="O93" s="52"/>
      <c r="P93" s="47"/>
      <c r="Q93" s="47"/>
      <c r="R93" s="47"/>
      <c r="S93" s="54">
        <f t="shared" si="10"/>
        <v>0</v>
      </c>
      <c r="T93" s="53"/>
      <c r="U93" s="58"/>
      <c r="V93" s="58"/>
      <c r="W93" s="58"/>
      <c r="X93" s="58"/>
      <c r="Y93" s="57">
        <f t="shared" si="9"/>
        <v>0</v>
      </c>
      <c r="Z93" s="53"/>
      <c r="AA93" s="57"/>
    </row>
    <row r="94" spans="1:27" s="4" customFormat="1" x14ac:dyDescent="0.3">
      <c r="A94" s="56">
        <f t="shared" si="8"/>
        <v>84</v>
      </c>
      <c r="B94" s="48"/>
      <c r="C94" s="49"/>
      <c r="D94" s="49"/>
      <c r="E94" s="49"/>
      <c r="F94" s="49"/>
      <c r="G94" s="49"/>
      <c r="H94" s="49"/>
      <c r="I94" s="49"/>
      <c r="J94" s="49"/>
      <c r="K94" s="50"/>
      <c r="L94" s="51"/>
      <c r="M94" s="51"/>
      <c r="N94" s="52"/>
      <c r="O94" s="52"/>
      <c r="P94" s="47"/>
      <c r="Q94" s="47"/>
      <c r="R94" s="47"/>
      <c r="S94" s="54">
        <f t="shared" si="10"/>
        <v>0</v>
      </c>
      <c r="T94" s="53"/>
      <c r="U94" s="58"/>
      <c r="V94" s="58"/>
      <c r="W94" s="58"/>
      <c r="X94" s="58"/>
      <c r="Y94" s="57">
        <f t="shared" si="9"/>
        <v>0</v>
      </c>
      <c r="Z94" s="53"/>
      <c r="AA94" s="57"/>
    </row>
    <row r="95" spans="1:27" s="4" customFormat="1" x14ac:dyDescent="0.3">
      <c r="A95" s="56">
        <f t="shared" si="8"/>
        <v>85</v>
      </c>
      <c r="B95" s="48"/>
      <c r="C95" s="49"/>
      <c r="D95" s="49"/>
      <c r="E95" s="49"/>
      <c r="F95" s="49"/>
      <c r="G95" s="49"/>
      <c r="H95" s="49"/>
      <c r="I95" s="49"/>
      <c r="J95" s="49"/>
      <c r="K95" s="50"/>
      <c r="L95" s="51"/>
      <c r="M95" s="51"/>
      <c r="N95" s="52"/>
      <c r="O95" s="52"/>
      <c r="P95" s="47"/>
      <c r="Q95" s="47"/>
      <c r="R95" s="47"/>
      <c r="S95" s="54">
        <f t="shared" si="10"/>
        <v>0</v>
      </c>
      <c r="T95" s="53"/>
      <c r="U95" s="58"/>
      <c r="V95" s="58"/>
      <c r="W95" s="58"/>
      <c r="X95" s="58"/>
      <c r="Y95" s="57">
        <f t="shared" si="9"/>
        <v>0</v>
      </c>
      <c r="Z95" s="53"/>
      <c r="AA95" s="57"/>
    </row>
    <row r="96" spans="1:27" s="4" customFormat="1" x14ac:dyDescent="0.3">
      <c r="A96" s="56">
        <f t="shared" si="8"/>
        <v>86</v>
      </c>
      <c r="B96" s="48"/>
      <c r="C96" s="49"/>
      <c r="D96" s="49"/>
      <c r="E96" s="49"/>
      <c r="F96" s="49"/>
      <c r="G96" s="49"/>
      <c r="H96" s="49"/>
      <c r="I96" s="49"/>
      <c r="J96" s="49"/>
      <c r="K96" s="50"/>
      <c r="L96" s="51"/>
      <c r="M96" s="51"/>
      <c r="N96" s="52"/>
      <c r="O96" s="52"/>
      <c r="P96" s="47"/>
      <c r="Q96" s="47"/>
      <c r="R96" s="47"/>
      <c r="S96" s="54">
        <f t="shared" si="10"/>
        <v>0</v>
      </c>
      <c r="T96" s="53"/>
      <c r="U96" s="58"/>
      <c r="V96" s="58"/>
      <c r="W96" s="58"/>
      <c r="X96" s="58"/>
      <c r="Y96" s="57">
        <f t="shared" si="9"/>
        <v>0</v>
      </c>
      <c r="Z96" s="53"/>
      <c r="AA96" s="57"/>
    </row>
    <row r="97" spans="1:27" s="4" customFormat="1" x14ac:dyDescent="0.3">
      <c r="A97" s="56">
        <f t="shared" si="8"/>
        <v>87</v>
      </c>
      <c r="B97" s="48"/>
      <c r="C97" s="49"/>
      <c r="D97" s="49"/>
      <c r="E97" s="49"/>
      <c r="F97" s="49"/>
      <c r="G97" s="49"/>
      <c r="H97" s="49"/>
      <c r="I97" s="49"/>
      <c r="J97" s="49"/>
      <c r="K97" s="50"/>
      <c r="L97" s="51"/>
      <c r="M97" s="51"/>
      <c r="N97" s="52"/>
      <c r="O97" s="52"/>
      <c r="P97" s="47"/>
      <c r="Q97" s="47"/>
      <c r="R97" s="47"/>
      <c r="S97" s="54">
        <f t="shared" si="10"/>
        <v>0</v>
      </c>
      <c r="T97" s="53"/>
      <c r="U97" s="58"/>
      <c r="V97" s="58"/>
      <c r="W97" s="58"/>
      <c r="X97" s="58"/>
      <c r="Y97" s="57">
        <f t="shared" si="9"/>
        <v>0</v>
      </c>
      <c r="Z97" s="53"/>
      <c r="AA97" s="57"/>
    </row>
    <row r="98" spans="1:27" s="4" customFormat="1" x14ac:dyDescent="0.3">
      <c r="A98" s="56">
        <f t="shared" si="8"/>
        <v>88</v>
      </c>
      <c r="B98" s="48"/>
      <c r="C98" s="49"/>
      <c r="D98" s="49"/>
      <c r="E98" s="49"/>
      <c r="F98" s="49"/>
      <c r="G98" s="49"/>
      <c r="H98" s="49"/>
      <c r="I98" s="49"/>
      <c r="J98" s="49"/>
      <c r="K98" s="50"/>
      <c r="L98" s="51"/>
      <c r="M98" s="51"/>
      <c r="N98" s="52"/>
      <c r="O98" s="52"/>
      <c r="P98" s="47"/>
      <c r="Q98" s="47"/>
      <c r="R98" s="47"/>
      <c r="S98" s="54">
        <f t="shared" si="10"/>
        <v>0</v>
      </c>
      <c r="T98" s="53"/>
      <c r="U98" s="58"/>
      <c r="V98" s="58"/>
      <c r="W98" s="58"/>
      <c r="X98" s="58"/>
      <c r="Y98" s="57">
        <f t="shared" si="9"/>
        <v>0</v>
      </c>
      <c r="Z98" s="53"/>
      <c r="AA98" s="57"/>
    </row>
    <row r="99" spans="1:27" s="4" customFormat="1" x14ac:dyDescent="0.3">
      <c r="A99" s="56">
        <f t="shared" si="8"/>
        <v>89</v>
      </c>
      <c r="B99" s="48"/>
      <c r="C99" s="49"/>
      <c r="D99" s="49"/>
      <c r="E99" s="49"/>
      <c r="F99" s="49"/>
      <c r="G99" s="49"/>
      <c r="H99" s="49"/>
      <c r="I99" s="49"/>
      <c r="J99" s="49"/>
      <c r="K99" s="50"/>
      <c r="L99" s="51"/>
      <c r="M99" s="51"/>
      <c r="N99" s="52"/>
      <c r="O99" s="52"/>
      <c r="P99" s="47"/>
      <c r="Q99" s="47"/>
      <c r="R99" s="47"/>
      <c r="S99" s="54">
        <f t="shared" si="10"/>
        <v>0</v>
      </c>
      <c r="T99" s="53"/>
      <c r="U99" s="58"/>
      <c r="V99" s="58"/>
      <c r="W99" s="58"/>
      <c r="X99" s="58"/>
      <c r="Y99" s="57">
        <f t="shared" si="9"/>
        <v>0</v>
      </c>
      <c r="Z99" s="53"/>
      <c r="AA99" s="57"/>
    </row>
    <row r="100" spans="1:27" s="4" customFormat="1" x14ac:dyDescent="0.3">
      <c r="A100" s="56">
        <f t="shared" si="8"/>
        <v>90</v>
      </c>
      <c r="B100" s="48"/>
      <c r="C100" s="49"/>
      <c r="D100" s="49"/>
      <c r="E100" s="49"/>
      <c r="F100" s="49"/>
      <c r="G100" s="49"/>
      <c r="H100" s="49"/>
      <c r="I100" s="49"/>
      <c r="J100" s="49"/>
      <c r="K100" s="50"/>
      <c r="L100" s="51"/>
      <c r="M100" s="51"/>
      <c r="N100" s="52"/>
      <c r="O100" s="52"/>
      <c r="P100" s="47"/>
      <c r="Q100" s="47"/>
      <c r="R100" s="47"/>
      <c r="S100" s="54">
        <f t="shared" si="10"/>
        <v>0</v>
      </c>
      <c r="T100" s="53"/>
      <c r="U100" s="58"/>
      <c r="V100" s="58"/>
      <c r="W100" s="58"/>
      <c r="X100" s="58"/>
      <c r="Y100" s="57">
        <f t="shared" si="9"/>
        <v>0</v>
      </c>
      <c r="Z100" s="53"/>
      <c r="AA100" s="57"/>
    </row>
    <row r="101" spans="1:27" s="4" customFormat="1" x14ac:dyDescent="0.3">
      <c r="A101" s="56">
        <f t="shared" si="8"/>
        <v>91</v>
      </c>
      <c r="B101" s="48"/>
      <c r="C101" s="49"/>
      <c r="D101" s="49"/>
      <c r="E101" s="49"/>
      <c r="F101" s="49"/>
      <c r="G101" s="49"/>
      <c r="H101" s="49"/>
      <c r="I101" s="49"/>
      <c r="J101" s="49"/>
      <c r="K101" s="50"/>
      <c r="L101" s="51"/>
      <c r="M101" s="51"/>
      <c r="N101" s="52"/>
      <c r="O101" s="52"/>
      <c r="P101" s="47"/>
      <c r="Q101" s="47"/>
      <c r="R101" s="47"/>
      <c r="S101" s="54">
        <f t="shared" si="10"/>
        <v>0</v>
      </c>
      <c r="T101" s="53"/>
      <c r="U101" s="58"/>
      <c r="V101" s="58"/>
      <c r="W101" s="58"/>
      <c r="X101" s="58"/>
      <c r="Y101" s="57">
        <f t="shared" si="9"/>
        <v>0</v>
      </c>
      <c r="Z101" s="53"/>
      <c r="AA101" s="57"/>
    </row>
    <row r="102" spans="1:27" s="4" customFormat="1" x14ac:dyDescent="0.3">
      <c r="A102" s="56">
        <f t="shared" si="8"/>
        <v>92</v>
      </c>
      <c r="B102" s="48"/>
      <c r="C102" s="49"/>
      <c r="D102" s="49"/>
      <c r="E102" s="49"/>
      <c r="F102" s="49"/>
      <c r="G102" s="49"/>
      <c r="H102" s="49"/>
      <c r="I102" s="49"/>
      <c r="J102" s="49"/>
      <c r="K102" s="50"/>
      <c r="L102" s="51"/>
      <c r="M102" s="51"/>
      <c r="N102" s="52"/>
      <c r="O102" s="52"/>
      <c r="P102" s="47"/>
      <c r="Q102" s="47"/>
      <c r="R102" s="47"/>
      <c r="S102" s="54">
        <f t="shared" si="10"/>
        <v>0</v>
      </c>
      <c r="T102" s="53"/>
      <c r="U102" s="58"/>
      <c r="V102" s="58"/>
      <c r="W102" s="58"/>
      <c r="X102" s="58"/>
      <c r="Y102" s="57">
        <f t="shared" si="9"/>
        <v>0</v>
      </c>
      <c r="Z102" s="53"/>
      <c r="AA102" s="57"/>
    </row>
    <row r="103" spans="1:27" s="4" customFormat="1" x14ac:dyDescent="0.3">
      <c r="A103" s="56">
        <f t="shared" si="8"/>
        <v>93</v>
      </c>
      <c r="B103" s="48"/>
      <c r="C103" s="49"/>
      <c r="D103" s="49"/>
      <c r="E103" s="49"/>
      <c r="F103" s="49"/>
      <c r="G103" s="49"/>
      <c r="H103" s="49"/>
      <c r="I103" s="49"/>
      <c r="J103" s="49"/>
      <c r="K103" s="50"/>
      <c r="L103" s="51"/>
      <c r="M103" s="51"/>
      <c r="N103" s="52"/>
      <c r="O103" s="52"/>
      <c r="P103" s="47"/>
      <c r="Q103" s="47"/>
      <c r="R103" s="47"/>
      <c r="S103" s="54">
        <f t="shared" si="10"/>
        <v>0</v>
      </c>
      <c r="T103" s="53"/>
      <c r="U103" s="58"/>
      <c r="V103" s="58"/>
      <c r="W103" s="58"/>
      <c r="X103" s="58"/>
      <c r="Y103" s="57">
        <f t="shared" si="9"/>
        <v>0</v>
      </c>
      <c r="Z103" s="53"/>
      <c r="AA103" s="57"/>
    </row>
    <row r="104" spans="1:27" s="4" customFormat="1" x14ac:dyDescent="0.3">
      <c r="A104" s="56">
        <f t="shared" si="8"/>
        <v>94</v>
      </c>
      <c r="B104" s="48"/>
      <c r="C104" s="49"/>
      <c r="D104" s="49"/>
      <c r="E104" s="49"/>
      <c r="F104" s="49"/>
      <c r="G104" s="49"/>
      <c r="H104" s="49"/>
      <c r="I104" s="49"/>
      <c r="J104" s="49"/>
      <c r="K104" s="50"/>
      <c r="L104" s="51"/>
      <c r="M104" s="51"/>
      <c r="N104" s="52"/>
      <c r="O104" s="52"/>
      <c r="P104" s="47"/>
      <c r="Q104" s="47"/>
      <c r="R104" s="47"/>
      <c r="S104" s="54">
        <f t="shared" si="10"/>
        <v>0</v>
      </c>
      <c r="T104" s="53"/>
      <c r="U104" s="58"/>
      <c r="V104" s="58"/>
      <c r="W104" s="58"/>
      <c r="X104" s="58"/>
      <c r="Y104" s="57">
        <f t="shared" si="9"/>
        <v>0</v>
      </c>
      <c r="Z104" s="53"/>
      <c r="AA104" s="57"/>
    </row>
    <row r="105" spans="1:27" s="4" customFormat="1" x14ac:dyDescent="0.3">
      <c r="A105" s="56">
        <f t="shared" si="8"/>
        <v>95</v>
      </c>
      <c r="B105" s="48"/>
      <c r="C105" s="49"/>
      <c r="D105" s="49"/>
      <c r="E105" s="49"/>
      <c r="F105" s="49"/>
      <c r="G105" s="49"/>
      <c r="H105" s="49"/>
      <c r="I105" s="49"/>
      <c r="J105" s="49"/>
      <c r="K105" s="50"/>
      <c r="L105" s="51"/>
      <c r="M105" s="51"/>
      <c r="N105" s="52"/>
      <c r="O105" s="52"/>
      <c r="P105" s="47"/>
      <c r="Q105" s="47"/>
      <c r="R105" s="47"/>
      <c r="S105" s="54">
        <f t="shared" si="10"/>
        <v>0</v>
      </c>
      <c r="T105" s="53"/>
      <c r="U105" s="58"/>
      <c r="V105" s="58"/>
      <c r="W105" s="58"/>
      <c r="X105" s="58"/>
      <c r="Y105" s="57">
        <f t="shared" si="9"/>
        <v>0</v>
      </c>
      <c r="Z105" s="53"/>
      <c r="AA105" s="57"/>
    </row>
    <row r="106" spans="1:27" s="4" customFormat="1" x14ac:dyDescent="0.3">
      <c r="A106" s="56">
        <f t="shared" si="8"/>
        <v>96</v>
      </c>
      <c r="B106" s="48"/>
      <c r="C106" s="49"/>
      <c r="D106" s="49"/>
      <c r="E106" s="49"/>
      <c r="F106" s="49"/>
      <c r="G106" s="49"/>
      <c r="H106" s="49"/>
      <c r="I106" s="49"/>
      <c r="J106" s="49"/>
      <c r="K106" s="50"/>
      <c r="L106" s="51"/>
      <c r="M106" s="51"/>
      <c r="N106" s="52"/>
      <c r="O106" s="52"/>
      <c r="P106" s="47"/>
      <c r="Q106" s="47"/>
      <c r="R106" s="47"/>
      <c r="S106" s="54">
        <f t="shared" si="10"/>
        <v>0</v>
      </c>
      <c r="T106" s="53"/>
      <c r="U106" s="58"/>
      <c r="V106" s="58"/>
      <c r="W106" s="58"/>
      <c r="X106" s="58"/>
      <c r="Y106" s="57">
        <f t="shared" si="9"/>
        <v>0</v>
      </c>
      <c r="Z106" s="53"/>
      <c r="AA106" s="57"/>
    </row>
    <row r="107" spans="1:27" s="4" customFormat="1" x14ac:dyDescent="0.3">
      <c r="A107" s="56">
        <f t="shared" si="8"/>
        <v>97</v>
      </c>
      <c r="B107" s="48"/>
      <c r="C107" s="49"/>
      <c r="D107" s="49"/>
      <c r="E107" s="49"/>
      <c r="F107" s="49"/>
      <c r="G107" s="49"/>
      <c r="H107" s="49"/>
      <c r="I107" s="49"/>
      <c r="J107" s="49"/>
      <c r="K107" s="50"/>
      <c r="L107" s="51"/>
      <c r="M107" s="51"/>
      <c r="N107" s="52"/>
      <c r="O107" s="52"/>
      <c r="P107" s="47"/>
      <c r="Q107" s="47"/>
      <c r="R107" s="47"/>
      <c r="S107" s="54">
        <f t="shared" si="10"/>
        <v>0</v>
      </c>
      <c r="T107" s="53"/>
      <c r="U107" s="58"/>
      <c r="V107" s="58"/>
      <c r="W107" s="58"/>
      <c r="X107" s="58"/>
      <c r="Y107" s="57">
        <f t="shared" si="9"/>
        <v>0</v>
      </c>
      <c r="Z107" s="53"/>
      <c r="AA107" s="57"/>
    </row>
    <row r="108" spans="1:27" s="4" customFormat="1" x14ac:dyDescent="0.3">
      <c r="A108" s="56">
        <f t="shared" si="8"/>
        <v>98</v>
      </c>
      <c r="B108" s="48"/>
      <c r="C108" s="49"/>
      <c r="D108" s="49"/>
      <c r="E108" s="49"/>
      <c r="F108" s="49"/>
      <c r="G108" s="49"/>
      <c r="H108" s="49"/>
      <c r="I108" s="49"/>
      <c r="J108" s="49"/>
      <c r="K108" s="50"/>
      <c r="L108" s="51"/>
      <c r="M108" s="51"/>
      <c r="N108" s="52"/>
      <c r="O108" s="52"/>
      <c r="P108" s="47"/>
      <c r="Q108" s="47"/>
      <c r="R108" s="47"/>
      <c r="S108" s="54">
        <f t="shared" si="10"/>
        <v>0</v>
      </c>
      <c r="T108" s="53"/>
      <c r="U108" s="58"/>
      <c r="V108" s="58"/>
      <c r="W108" s="58"/>
      <c r="X108" s="58"/>
      <c r="Y108" s="57">
        <f t="shared" si="9"/>
        <v>0</v>
      </c>
      <c r="Z108" s="53"/>
      <c r="AA108" s="57"/>
    </row>
    <row r="109" spans="1:27" s="4" customFormat="1" x14ac:dyDescent="0.3">
      <c r="A109" s="56">
        <f t="shared" si="8"/>
        <v>99</v>
      </c>
      <c r="B109" s="48"/>
      <c r="C109" s="49"/>
      <c r="D109" s="49"/>
      <c r="E109" s="49"/>
      <c r="F109" s="49"/>
      <c r="G109" s="49"/>
      <c r="H109" s="49"/>
      <c r="I109" s="49"/>
      <c r="J109" s="49"/>
      <c r="K109" s="50"/>
      <c r="L109" s="51"/>
      <c r="M109" s="51"/>
      <c r="N109" s="52"/>
      <c r="O109" s="52"/>
      <c r="P109" s="47"/>
      <c r="Q109" s="47"/>
      <c r="R109" s="47"/>
      <c r="S109" s="54">
        <f t="shared" si="10"/>
        <v>0</v>
      </c>
      <c r="T109" s="53"/>
      <c r="U109" s="58"/>
      <c r="V109" s="58"/>
      <c r="W109" s="58"/>
      <c r="X109" s="58"/>
      <c r="Y109" s="57">
        <f t="shared" si="9"/>
        <v>0</v>
      </c>
      <c r="Z109" s="53"/>
      <c r="AA109" s="57"/>
    </row>
    <row r="110" spans="1:27" s="4" customFormat="1" x14ac:dyDescent="0.3">
      <c r="A110" s="56">
        <f t="shared" si="8"/>
        <v>100</v>
      </c>
      <c r="B110" s="48"/>
      <c r="C110" s="49"/>
      <c r="D110" s="49"/>
      <c r="E110" s="49"/>
      <c r="F110" s="49"/>
      <c r="G110" s="49"/>
      <c r="H110" s="49"/>
      <c r="I110" s="49"/>
      <c r="J110" s="49"/>
      <c r="K110" s="50"/>
      <c r="L110" s="51"/>
      <c r="M110" s="51"/>
      <c r="N110" s="52"/>
      <c r="O110" s="52"/>
      <c r="P110" s="47"/>
      <c r="Q110" s="47"/>
      <c r="R110" s="47"/>
      <c r="S110" s="54">
        <f t="shared" si="10"/>
        <v>0</v>
      </c>
      <c r="T110" s="53"/>
      <c r="U110" s="58"/>
      <c r="V110" s="58"/>
      <c r="W110" s="58"/>
      <c r="X110" s="58"/>
      <c r="Y110" s="57">
        <f t="shared" si="9"/>
        <v>0</v>
      </c>
      <c r="Z110" s="53"/>
      <c r="AA110" s="57"/>
    </row>
    <row r="111" spans="1:27" s="4" customFormat="1" x14ac:dyDescent="0.3">
      <c r="A111" s="56">
        <f t="shared" si="8"/>
        <v>101</v>
      </c>
      <c r="B111" s="48"/>
      <c r="C111" s="49"/>
      <c r="D111" s="49"/>
      <c r="E111" s="49"/>
      <c r="F111" s="49"/>
      <c r="G111" s="49"/>
      <c r="H111" s="49"/>
      <c r="I111" s="49"/>
      <c r="J111" s="49"/>
      <c r="K111" s="50"/>
      <c r="L111" s="51"/>
      <c r="M111" s="51"/>
      <c r="N111" s="52"/>
      <c r="O111" s="52"/>
      <c r="P111" s="47"/>
      <c r="Q111" s="47"/>
      <c r="R111" s="47"/>
      <c r="S111" s="54">
        <f t="shared" si="10"/>
        <v>0</v>
      </c>
      <c r="T111" s="53"/>
      <c r="U111" s="58"/>
      <c r="V111" s="58"/>
      <c r="W111" s="58"/>
      <c r="X111" s="58"/>
      <c r="Y111" s="57">
        <f t="shared" si="9"/>
        <v>0</v>
      </c>
      <c r="Z111" s="53"/>
      <c r="AA111" s="57"/>
    </row>
    <row r="112" spans="1:27" s="4" customFormat="1" x14ac:dyDescent="0.3">
      <c r="A112" s="56">
        <f t="shared" si="8"/>
        <v>102</v>
      </c>
      <c r="B112" s="48"/>
      <c r="C112" s="49"/>
      <c r="D112" s="49"/>
      <c r="E112" s="49"/>
      <c r="F112" s="49"/>
      <c r="G112" s="49"/>
      <c r="H112" s="49"/>
      <c r="I112" s="49"/>
      <c r="J112" s="49"/>
      <c r="K112" s="50"/>
      <c r="L112" s="51"/>
      <c r="M112" s="51"/>
      <c r="N112" s="52"/>
      <c r="O112" s="52"/>
      <c r="P112" s="47"/>
      <c r="Q112" s="47"/>
      <c r="R112" s="47"/>
      <c r="S112" s="54">
        <f t="shared" si="10"/>
        <v>0</v>
      </c>
      <c r="T112" s="53"/>
      <c r="U112" s="58"/>
      <c r="V112" s="58"/>
      <c r="W112" s="58"/>
      <c r="X112" s="58"/>
      <c r="Y112" s="57">
        <f t="shared" si="9"/>
        <v>0</v>
      </c>
      <c r="Z112" s="53"/>
      <c r="AA112" s="57"/>
    </row>
    <row r="113" spans="1:27" s="4" customFormat="1" x14ac:dyDescent="0.3">
      <c r="A113" s="56">
        <f t="shared" si="8"/>
        <v>103</v>
      </c>
      <c r="B113" s="48"/>
      <c r="C113" s="49"/>
      <c r="D113" s="49"/>
      <c r="E113" s="49"/>
      <c r="F113" s="49"/>
      <c r="G113" s="49"/>
      <c r="H113" s="49"/>
      <c r="I113" s="49"/>
      <c r="J113" s="49"/>
      <c r="K113" s="50"/>
      <c r="L113" s="51"/>
      <c r="M113" s="51"/>
      <c r="N113" s="52"/>
      <c r="O113" s="52"/>
      <c r="P113" s="47"/>
      <c r="Q113" s="47"/>
      <c r="R113" s="47"/>
      <c r="S113" s="54">
        <f t="shared" si="10"/>
        <v>0</v>
      </c>
      <c r="T113" s="53"/>
      <c r="U113" s="58"/>
      <c r="V113" s="58"/>
      <c r="W113" s="58"/>
      <c r="X113" s="58"/>
      <c r="Y113" s="57">
        <f t="shared" si="9"/>
        <v>0</v>
      </c>
      <c r="Z113" s="53"/>
      <c r="AA113" s="57"/>
    </row>
    <row r="114" spans="1:27" s="4" customFormat="1" x14ac:dyDescent="0.3">
      <c r="A114" s="56">
        <f t="shared" si="8"/>
        <v>104</v>
      </c>
      <c r="B114" s="48"/>
      <c r="C114" s="49"/>
      <c r="D114" s="49"/>
      <c r="E114" s="49"/>
      <c r="F114" s="49"/>
      <c r="G114" s="49"/>
      <c r="H114" s="49"/>
      <c r="I114" s="49"/>
      <c r="J114" s="49"/>
      <c r="K114" s="50"/>
      <c r="L114" s="51"/>
      <c r="M114" s="51"/>
      <c r="N114" s="52"/>
      <c r="O114" s="52"/>
      <c r="P114" s="47"/>
      <c r="Q114" s="47"/>
      <c r="R114" s="47"/>
      <c r="S114" s="54">
        <f t="shared" si="10"/>
        <v>0</v>
      </c>
      <c r="T114" s="53"/>
      <c r="U114" s="58"/>
      <c r="V114" s="58"/>
      <c r="W114" s="58"/>
      <c r="X114" s="58"/>
      <c r="Y114" s="57">
        <f t="shared" si="9"/>
        <v>0</v>
      </c>
      <c r="Z114" s="53"/>
      <c r="AA114" s="57"/>
    </row>
    <row r="115" spans="1:27" s="4" customFormat="1" x14ac:dyDescent="0.3">
      <c r="A115" s="56">
        <f t="shared" si="8"/>
        <v>105</v>
      </c>
      <c r="B115" s="48"/>
      <c r="C115" s="49"/>
      <c r="D115" s="49"/>
      <c r="E115" s="49"/>
      <c r="F115" s="49"/>
      <c r="G115" s="49"/>
      <c r="H115" s="49"/>
      <c r="I115" s="49"/>
      <c r="J115" s="49"/>
      <c r="K115" s="50"/>
      <c r="L115" s="51"/>
      <c r="M115" s="51"/>
      <c r="N115" s="52"/>
      <c r="O115" s="52"/>
      <c r="P115" s="47"/>
      <c r="Q115" s="47"/>
      <c r="R115" s="47"/>
      <c r="S115" s="54">
        <f t="shared" si="10"/>
        <v>0</v>
      </c>
      <c r="T115" s="53"/>
      <c r="U115" s="58"/>
      <c r="V115" s="58"/>
      <c r="W115" s="58"/>
      <c r="X115" s="58"/>
      <c r="Y115" s="57">
        <f t="shared" si="9"/>
        <v>0</v>
      </c>
      <c r="Z115" s="53"/>
      <c r="AA115" s="57"/>
    </row>
    <row r="116" spans="1:27" s="4" customFormat="1" x14ac:dyDescent="0.3">
      <c r="A116" s="56">
        <f t="shared" si="8"/>
        <v>106</v>
      </c>
      <c r="B116" s="48"/>
      <c r="C116" s="49"/>
      <c r="D116" s="49"/>
      <c r="E116" s="49"/>
      <c r="F116" s="49"/>
      <c r="G116" s="49"/>
      <c r="H116" s="49"/>
      <c r="I116" s="49"/>
      <c r="J116" s="49"/>
      <c r="K116" s="50"/>
      <c r="L116" s="51"/>
      <c r="M116" s="51"/>
      <c r="N116" s="52"/>
      <c r="O116" s="52"/>
      <c r="P116" s="47"/>
      <c r="Q116" s="47"/>
      <c r="R116" s="47"/>
      <c r="S116" s="54">
        <f t="shared" si="10"/>
        <v>0</v>
      </c>
      <c r="T116" s="53"/>
      <c r="U116" s="58"/>
      <c r="V116" s="58"/>
      <c r="W116" s="58"/>
      <c r="X116" s="58"/>
      <c r="Y116" s="57">
        <f t="shared" si="9"/>
        <v>0</v>
      </c>
      <c r="Z116" s="53"/>
      <c r="AA116" s="57"/>
    </row>
    <row r="117" spans="1:27" s="4" customFormat="1" x14ac:dyDescent="0.3">
      <c r="A117" s="56">
        <f t="shared" si="8"/>
        <v>107</v>
      </c>
      <c r="B117" s="48"/>
      <c r="C117" s="49"/>
      <c r="D117" s="49"/>
      <c r="E117" s="49"/>
      <c r="F117" s="49"/>
      <c r="G117" s="49"/>
      <c r="H117" s="49"/>
      <c r="I117" s="49"/>
      <c r="J117" s="49"/>
      <c r="K117" s="50"/>
      <c r="L117" s="51"/>
      <c r="M117" s="51"/>
      <c r="N117" s="52"/>
      <c r="O117" s="52"/>
      <c r="P117" s="47"/>
      <c r="Q117" s="47"/>
      <c r="R117" s="47"/>
      <c r="S117" s="54">
        <f t="shared" si="10"/>
        <v>0</v>
      </c>
      <c r="T117" s="53"/>
      <c r="U117" s="58"/>
      <c r="V117" s="58"/>
      <c r="W117" s="58"/>
      <c r="X117" s="58"/>
      <c r="Y117" s="57">
        <f t="shared" si="9"/>
        <v>0</v>
      </c>
      <c r="Z117" s="53"/>
      <c r="AA117" s="57"/>
    </row>
    <row r="118" spans="1:27" s="4" customFormat="1" x14ac:dyDescent="0.3">
      <c r="A118" s="56">
        <f t="shared" si="8"/>
        <v>108</v>
      </c>
      <c r="B118" s="48"/>
      <c r="C118" s="49"/>
      <c r="D118" s="49"/>
      <c r="E118" s="49"/>
      <c r="F118" s="49"/>
      <c r="G118" s="49"/>
      <c r="H118" s="49"/>
      <c r="I118" s="49"/>
      <c r="J118" s="49"/>
      <c r="K118" s="50"/>
      <c r="L118" s="51"/>
      <c r="M118" s="51"/>
      <c r="N118" s="52"/>
      <c r="O118" s="52"/>
      <c r="P118" s="47"/>
      <c r="Q118" s="47"/>
      <c r="R118" s="47"/>
      <c r="S118" s="54">
        <f t="shared" si="10"/>
        <v>0</v>
      </c>
      <c r="T118" s="53"/>
      <c r="U118" s="58"/>
      <c r="V118" s="58"/>
      <c r="W118" s="58"/>
      <c r="X118" s="58"/>
      <c r="Y118" s="57">
        <f t="shared" si="9"/>
        <v>0</v>
      </c>
      <c r="Z118" s="53"/>
      <c r="AA118" s="57"/>
    </row>
    <row r="119" spans="1:27" s="4" customFormat="1" x14ac:dyDescent="0.3">
      <c r="A119" s="56">
        <f t="shared" si="8"/>
        <v>109</v>
      </c>
      <c r="B119" s="48"/>
      <c r="C119" s="49"/>
      <c r="D119" s="49"/>
      <c r="E119" s="49"/>
      <c r="F119" s="49"/>
      <c r="G119" s="49"/>
      <c r="H119" s="49"/>
      <c r="I119" s="49"/>
      <c r="J119" s="49"/>
      <c r="K119" s="50"/>
      <c r="L119" s="51"/>
      <c r="M119" s="51"/>
      <c r="N119" s="52"/>
      <c r="O119" s="52"/>
      <c r="P119" s="47"/>
      <c r="Q119" s="47"/>
      <c r="R119" s="47"/>
      <c r="S119" s="54">
        <f t="shared" si="10"/>
        <v>0</v>
      </c>
      <c r="T119" s="53"/>
      <c r="U119" s="58"/>
      <c r="V119" s="58"/>
      <c r="W119" s="58"/>
      <c r="X119" s="58"/>
      <c r="Y119" s="57">
        <f t="shared" si="9"/>
        <v>0</v>
      </c>
      <c r="Z119" s="53"/>
      <c r="AA119" s="57"/>
    </row>
    <row r="120" spans="1:27" s="4" customFormat="1" x14ac:dyDescent="0.3">
      <c r="A120" s="56">
        <f t="shared" si="8"/>
        <v>110</v>
      </c>
      <c r="B120" s="48"/>
      <c r="C120" s="49"/>
      <c r="D120" s="49"/>
      <c r="E120" s="49"/>
      <c r="F120" s="49"/>
      <c r="G120" s="49"/>
      <c r="H120" s="49"/>
      <c r="I120" s="49"/>
      <c r="J120" s="49"/>
      <c r="K120" s="50"/>
      <c r="L120" s="51"/>
      <c r="M120" s="51"/>
      <c r="N120" s="52"/>
      <c r="O120" s="52"/>
      <c r="P120" s="47"/>
      <c r="Q120" s="47"/>
      <c r="R120" s="47"/>
      <c r="S120" s="54">
        <f t="shared" si="10"/>
        <v>0</v>
      </c>
      <c r="T120" s="53"/>
      <c r="U120" s="58"/>
      <c r="V120" s="58"/>
      <c r="W120" s="58"/>
      <c r="X120" s="58"/>
      <c r="Y120" s="57">
        <f t="shared" si="9"/>
        <v>0</v>
      </c>
      <c r="Z120" s="53"/>
      <c r="AA120" s="57"/>
    </row>
    <row r="121" spans="1:27" s="4" customFormat="1" x14ac:dyDescent="0.3">
      <c r="A121" s="56">
        <f t="shared" si="8"/>
        <v>111</v>
      </c>
      <c r="B121" s="48"/>
      <c r="C121" s="49"/>
      <c r="D121" s="49"/>
      <c r="E121" s="49"/>
      <c r="F121" s="49"/>
      <c r="G121" s="49"/>
      <c r="H121" s="49"/>
      <c r="I121" s="49"/>
      <c r="J121" s="49"/>
      <c r="K121" s="50"/>
      <c r="L121" s="51"/>
      <c r="M121" s="51"/>
      <c r="N121" s="52"/>
      <c r="O121" s="52"/>
      <c r="P121" s="47"/>
      <c r="Q121" s="47"/>
      <c r="R121" s="47"/>
      <c r="S121" s="54">
        <f t="shared" si="10"/>
        <v>0</v>
      </c>
      <c r="T121" s="53"/>
      <c r="U121" s="58"/>
      <c r="V121" s="58"/>
      <c r="W121" s="58"/>
      <c r="X121" s="58"/>
      <c r="Y121" s="57">
        <f t="shared" si="9"/>
        <v>0</v>
      </c>
      <c r="Z121" s="53"/>
      <c r="AA121" s="57"/>
    </row>
    <row r="122" spans="1:27" s="4" customFormat="1" x14ac:dyDescent="0.3">
      <c r="A122" s="56">
        <f t="shared" si="8"/>
        <v>112</v>
      </c>
      <c r="B122" s="48"/>
      <c r="C122" s="49"/>
      <c r="D122" s="49"/>
      <c r="E122" s="49"/>
      <c r="F122" s="49"/>
      <c r="G122" s="49"/>
      <c r="H122" s="49"/>
      <c r="I122" s="49"/>
      <c r="J122" s="49"/>
      <c r="K122" s="50"/>
      <c r="L122" s="51"/>
      <c r="M122" s="51"/>
      <c r="N122" s="52"/>
      <c r="O122" s="52"/>
      <c r="P122" s="47"/>
      <c r="Q122" s="47"/>
      <c r="R122" s="47"/>
      <c r="S122" s="54">
        <f t="shared" si="10"/>
        <v>0</v>
      </c>
      <c r="T122" s="53"/>
      <c r="U122" s="58"/>
      <c r="V122" s="58"/>
      <c r="W122" s="58"/>
      <c r="X122" s="58"/>
      <c r="Y122" s="57">
        <f t="shared" si="9"/>
        <v>0</v>
      </c>
      <c r="Z122" s="53"/>
      <c r="AA122" s="57"/>
    </row>
    <row r="123" spans="1:27" s="4" customFormat="1" x14ac:dyDescent="0.3">
      <c r="A123" s="56">
        <f t="shared" si="8"/>
        <v>113</v>
      </c>
      <c r="B123" s="48"/>
      <c r="C123" s="49"/>
      <c r="D123" s="49"/>
      <c r="E123" s="49"/>
      <c r="F123" s="49"/>
      <c r="G123" s="49"/>
      <c r="H123" s="49"/>
      <c r="I123" s="49"/>
      <c r="J123" s="49"/>
      <c r="K123" s="50"/>
      <c r="L123" s="51"/>
      <c r="M123" s="51"/>
      <c r="N123" s="52"/>
      <c r="O123" s="52"/>
      <c r="P123" s="47"/>
      <c r="Q123" s="47"/>
      <c r="R123" s="47"/>
      <c r="S123" s="54">
        <f t="shared" si="10"/>
        <v>0</v>
      </c>
      <c r="T123" s="53"/>
      <c r="U123" s="58"/>
      <c r="V123" s="58"/>
      <c r="W123" s="58"/>
      <c r="X123" s="58"/>
      <c r="Y123" s="57">
        <f t="shared" si="9"/>
        <v>0</v>
      </c>
      <c r="Z123" s="53"/>
      <c r="AA123" s="57"/>
    </row>
    <row r="124" spans="1:27" s="4" customFormat="1" x14ac:dyDescent="0.3">
      <c r="A124" s="56">
        <f t="shared" si="8"/>
        <v>114</v>
      </c>
      <c r="B124" s="48"/>
      <c r="C124" s="49"/>
      <c r="D124" s="49"/>
      <c r="E124" s="49"/>
      <c r="F124" s="49"/>
      <c r="G124" s="49"/>
      <c r="H124" s="49"/>
      <c r="I124" s="49"/>
      <c r="J124" s="49"/>
      <c r="K124" s="50"/>
      <c r="L124" s="51"/>
      <c r="M124" s="51"/>
      <c r="N124" s="52"/>
      <c r="O124" s="52"/>
      <c r="P124" s="47"/>
      <c r="Q124" s="47"/>
      <c r="R124" s="47"/>
      <c r="S124" s="54">
        <f t="shared" si="10"/>
        <v>0</v>
      </c>
      <c r="T124" s="53"/>
      <c r="U124" s="58"/>
      <c r="V124" s="58"/>
      <c r="W124" s="58"/>
      <c r="X124" s="58"/>
      <c r="Y124" s="57">
        <f t="shared" si="9"/>
        <v>0</v>
      </c>
      <c r="Z124" s="53"/>
      <c r="AA124" s="57"/>
    </row>
    <row r="125" spans="1:27" s="4" customFormat="1" x14ac:dyDescent="0.3">
      <c r="A125" s="56">
        <f t="shared" si="8"/>
        <v>115</v>
      </c>
      <c r="B125" s="48"/>
      <c r="C125" s="49"/>
      <c r="D125" s="49"/>
      <c r="E125" s="49"/>
      <c r="F125" s="49"/>
      <c r="G125" s="49"/>
      <c r="H125" s="49"/>
      <c r="I125" s="49"/>
      <c r="J125" s="49"/>
      <c r="K125" s="50"/>
      <c r="L125" s="51"/>
      <c r="M125" s="51"/>
      <c r="N125" s="52"/>
      <c r="O125" s="52"/>
      <c r="P125" s="47"/>
      <c r="Q125" s="47"/>
      <c r="R125" s="47"/>
      <c r="S125" s="54">
        <f t="shared" si="10"/>
        <v>0</v>
      </c>
      <c r="T125" s="53"/>
      <c r="U125" s="58"/>
      <c r="V125" s="58"/>
      <c r="W125" s="58"/>
      <c r="X125" s="58"/>
      <c r="Y125" s="57">
        <f t="shared" si="9"/>
        <v>0</v>
      </c>
      <c r="Z125" s="53"/>
      <c r="AA125" s="57"/>
    </row>
    <row r="126" spans="1:27" s="4" customFormat="1" x14ac:dyDescent="0.3">
      <c r="A126" s="56">
        <f t="shared" si="8"/>
        <v>116</v>
      </c>
      <c r="B126" s="48"/>
      <c r="C126" s="49"/>
      <c r="D126" s="49"/>
      <c r="E126" s="49"/>
      <c r="F126" s="49"/>
      <c r="G126" s="49"/>
      <c r="H126" s="49"/>
      <c r="I126" s="49"/>
      <c r="J126" s="49"/>
      <c r="K126" s="50"/>
      <c r="L126" s="51"/>
      <c r="M126" s="51"/>
      <c r="N126" s="52"/>
      <c r="O126" s="52"/>
      <c r="P126" s="47"/>
      <c r="Q126" s="47"/>
      <c r="R126" s="47"/>
      <c r="S126" s="54">
        <f t="shared" si="10"/>
        <v>0</v>
      </c>
      <c r="T126" s="53"/>
      <c r="U126" s="58"/>
      <c r="V126" s="58"/>
      <c r="W126" s="58"/>
      <c r="X126" s="58"/>
      <c r="Y126" s="57">
        <f t="shared" si="9"/>
        <v>0</v>
      </c>
      <c r="Z126" s="53"/>
      <c r="AA126" s="57"/>
    </row>
    <row r="127" spans="1:27" s="4" customFormat="1" x14ac:dyDescent="0.3">
      <c r="A127" s="56">
        <f t="shared" si="8"/>
        <v>117</v>
      </c>
      <c r="B127" s="48"/>
      <c r="C127" s="49"/>
      <c r="D127" s="49"/>
      <c r="E127" s="49"/>
      <c r="F127" s="49"/>
      <c r="G127" s="49"/>
      <c r="H127" s="49"/>
      <c r="I127" s="49"/>
      <c r="J127" s="49"/>
      <c r="K127" s="50"/>
      <c r="L127" s="51"/>
      <c r="M127" s="51"/>
      <c r="N127" s="52"/>
      <c r="O127" s="52"/>
      <c r="P127" s="47"/>
      <c r="Q127" s="47"/>
      <c r="R127" s="47"/>
      <c r="S127" s="54">
        <f t="shared" si="10"/>
        <v>0</v>
      </c>
      <c r="T127" s="53"/>
      <c r="U127" s="58"/>
      <c r="V127" s="58"/>
      <c r="W127" s="58"/>
      <c r="X127" s="58"/>
      <c r="Y127" s="57">
        <f t="shared" si="9"/>
        <v>0</v>
      </c>
      <c r="Z127" s="53"/>
      <c r="AA127" s="57"/>
    </row>
    <row r="128" spans="1:27" x14ac:dyDescent="0.3">
      <c r="A128" s="56">
        <f t="shared" si="8"/>
        <v>118</v>
      </c>
      <c r="B128" s="48"/>
      <c r="C128" s="49"/>
      <c r="D128" s="49"/>
      <c r="E128" s="49"/>
      <c r="F128" s="49"/>
      <c r="G128" s="49"/>
      <c r="H128" s="49"/>
      <c r="I128" s="49"/>
      <c r="J128" s="49"/>
      <c r="K128" s="50"/>
      <c r="L128" s="51"/>
      <c r="M128" s="51"/>
      <c r="N128" s="52"/>
      <c r="O128" s="52"/>
      <c r="P128" s="47"/>
      <c r="Q128" s="47"/>
      <c r="R128" s="47"/>
      <c r="S128" s="54">
        <f t="shared" si="10"/>
        <v>0</v>
      </c>
      <c r="T128" s="53"/>
      <c r="U128" s="58"/>
      <c r="V128" s="58"/>
      <c r="W128" s="58"/>
      <c r="X128" s="58"/>
      <c r="Y128" s="57">
        <f t="shared" si="9"/>
        <v>0</v>
      </c>
      <c r="Z128" s="53"/>
      <c r="AA128" s="57"/>
    </row>
    <row r="129" spans="1:27" x14ac:dyDescent="0.3">
      <c r="A129" s="56">
        <f t="shared" si="8"/>
        <v>119</v>
      </c>
      <c r="B129" s="48"/>
      <c r="C129" s="49"/>
      <c r="D129" s="49"/>
      <c r="E129" s="49"/>
      <c r="F129" s="49"/>
      <c r="G129" s="49"/>
      <c r="H129" s="49"/>
      <c r="I129" s="49"/>
      <c r="J129" s="49"/>
      <c r="K129" s="50"/>
      <c r="L129" s="51"/>
      <c r="M129" s="51"/>
      <c r="N129" s="52"/>
      <c r="O129" s="52"/>
      <c r="P129" s="47"/>
      <c r="Q129" s="47"/>
      <c r="R129" s="47"/>
      <c r="S129" s="54">
        <f t="shared" si="10"/>
        <v>0</v>
      </c>
      <c r="T129" s="53"/>
      <c r="U129" s="58"/>
      <c r="V129" s="58"/>
      <c r="W129" s="58"/>
      <c r="X129" s="58"/>
      <c r="Y129" s="57">
        <f t="shared" si="9"/>
        <v>0</v>
      </c>
      <c r="Z129" s="53"/>
      <c r="AA129" s="57"/>
    </row>
    <row r="130" spans="1:27" x14ac:dyDescent="0.3">
      <c r="A130" s="56">
        <f t="shared" si="8"/>
        <v>120</v>
      </c>
      <c r="B130" s="48"/>
      <c r="C130" s="49"/>
      <c r="D130" s="49"/>
      <c r="E130" s="49"/>
      <c r="F130" s="49"/>
      <c r="G130" s="49"/>
      <c r="H130" s="49"/>
      <c r="I130" s="49"/>
      <c r="J130" s="49"/>
      <c r="K130" s="50"/>
      <c r="L130" s="51"/>
      <c r="M130" s="51"/>
      <c r="N130" s="52"/>
      <c r="O130" s="52"/>
      <c r="P130" s="47"/>
      <c r="Q130" s="47"/>
      <c r="R130" s="47"/>
      <c r="S130" s="54">
        <f t="shared" si="10"/>
        <v>0</v>
      </c>
      <c r="T130" s="53"/>
      <c r="U130" s="58"/>
      <c r="V130" s="58"/>
      <c r="W130" s="58"/>
      <c r="X130" s="58"/>
      <c r="Y130" s="57">
        <f t="shared" si="9"/>
        <v>0</v>
      </c>
      <c r="Z130" s="53"/>
      <c r="AA130" s="57"/>
    </row>
    <row r="131" spans="1:27" x14ac:dyDescent="0.3">
      <c r="A131" s="56">
        <f t="shared" si="8"/>
        <v>121</v>
      </c>
      <c r="B131" s="48"/>
      <c r="C131" s="49"/>
      <c r="D131" s="49"/>
      <c r="E131" s="49"/>
      <c r="F131" s="49"/>
      <c r="G131" s="49"/>
      <c r="H131" s="49"/>
      <c r="I131" s="49"/>
      <c r="J131" s="49"/>
      <c r="K131" s="50"/>
      <c r="L131" s="51"/>
      <c r="M131" s="51"/>
      <c r="N131" s="52"/>
      <c r="O131" s="52"/>
      <c r="P131" s="47"/>
      <c r="Q131" s="47"/>
      <c r="R131" s="47"/>
      <c r="S131" s="54">
        <f t="shared" si="10"/>
        <v>0</v>
      </c>
      <c r="T131" s="53"/>
      <c r="U131" s="58"/>
      <c r="V131" s="58"/>
      <c r="W131" s="58"/>
      <c r="X131" s="58"/>
      <c r="Y131" s="57">
        <f t="shared" si="9"/>
        <v>0</v>
      </c>
      <c r="Z131" s="53"/>
      <c r="AA131" s="57"/>
    </row>
    <row r="132" spans="1:27" x14ac:dyDescent="0.3">
      <c r="A132" s="56">
        <f t="shared" si="8"/>
        <v>122</v>
      </c>
      <c r="B132" s="48"/>
      <c r="C132" s="49"/>
      <c r="D132" s="49"/>
      <c r="E132" s="49"/>
      <c r="F132" s="49"/>
      <c r="G132" s="49"/>
      <c r="H132" s="49"/>
      <c r="I132" s="49"/>
      <c r="J132" s="49"/>
      <c r="K132" s="50"/>
      <c r="L132" s="51"/>
      <c r="M132" s="51"/>
      <c r="N132" s="52"/>
      <c r="O132" s="52"/>
      <c r="P132" s="47"/>
      <c r="Q132" s="47"/>
      <c r="R132" s="47"/>
      <c r="S132" s="54">
        <f t="shared" si="10"/>
        <v>0</v>
      </c>
      <c r="T132" s="53"/>
      <c r="U132" s="58"/>
      <c r="V132" s="58"/>
      <c r="W132" s="58"/>
      <c r="X132" s="58"/>
      <c r="Y132" s="57">
        <f t="shared" si="9"/>
        <v>0</v>
      </c>
      <c r="Z132" s="53"/>
      <c r="AA132" s="57"/>
    </row>
    <row r="133" spans="1:27" s="4" customFormat="1" x14ac:dyDescent="0.3">
      <c r="A133" s="56">
        <f t="shared" si="8"/>
        <v>123</v>
      </c>
      <c r="B133" s="48"/>
      <c r="C133" s="49"/>
      <c r="D133" s="49"/>
      <c r="E133" s="49"/>
      <c r="F133" s="49"/>
      <c r="G133" s="49"/>
      <c r="H133" s="49"/>
      <c r="I133" s="49"/>
      <c r="J133" s="49"/>
      <c r="K133" s="50"/>
      <c r="L133" s="51"/>
      <c r="M133" s="51"/>
      <c r="N133" s="52"/>
      <c r="O133" s="52"/>
      <c r="P133" s="47"/>
      <c r="Q133" s="47"/>
      <c r="R133" s="47"/>
      <c r="S133" s="54">
        <f t="shared" si="10"/>
        <v>0</v>
      </c>
      <c r="T133" s="53"/>
      <c r="U133" s="58"/>
      <c r="V133" s="58"/>
      <c r="W133" s="58"/>
      <c r="X133" s="58"/>
      <c r="Y133" s="57">
        <f t="shared" si="9"/>
        <v>0</v>
      </c>
      <c r="Z133" s="53"/>
      <c r="AA133" s="57"/>
    </row>
    <row r="134" spans="1:27" s="4" customFormat="1" x14ac:dyDescent="0.3">
      <c r="A134" s="56">
        <f t="shared" si="8"/>
        <v>124</v>
      </c>
      <c r="B134" s="48"/>
      <c r="C134" s="49"/>
      <c r="D134" s="49"/>
      <c r="E134" s="49"/>
      <c r="F134" s="49"/>
      <c r="G134" s="49"/>
      <c r="H134" s="49"/>
      <c r="I134" s="49"/>
      <c r="J134" s="49"/>
      <c r="K134" s="50"/>
      <c r="L134" s="51"/>
      <c r="M134" s="51"/>
      <c r="N134" s="52"/>
      <c r="O134" s="52"/>
      <c r="P134" s="47"/>
      <c r="Q134" s="47"/>
      <c r="R134" s="47"/>
      <c r="S134" s="54">
        <f t="shared" si="10"/>
        <v>0</v>
      </c>
      <c r="T134" s="53"/>
      <c r="U134" s="58"/>
      <c r="V134" s="58"/>
      <c r="W134" s="58"/>
      <c r="X134" s="58"/>
      <c r="Y134" s="57">
        <f t="shared" si="9"/>
        <v>0</v>
      </c>
      <c r="Z134" s="53"/>
      <c r="AA134" s="57"/>
    </row>
    <row r="135" spans="1:27" s="4" customFormat="1" x14ac:dyDescent="0.3">
      <c r="A135" s="56">
        <f t="shared" si="8"/>
        <v>125</v>
      </c>
      <c r="B135" s="48"/>
      <c r="C135" s="49"/>
      <c r="D135" s="49"/>
      <c r="E135" s="49"/>
      <c r="F135" s="49"/>
      <c r="G135" s="49"/>
      <c r="H135" s="49"/>
      <c r="I135" s="49"/>
      <c r="J135" s="49"/>
      <c r="K135" s="50"/>
      <c r="L135" s="51"/>
      <c r="M135" s="51"/>
      <c r="N135" s="52"/>
      <c r="O135" s="52"/>
      <c r="P135" s="47"/>
      <c r="Q135" s="47"/>
      <c r="R135" s="47"/>
      <c r="S135" s="54">
        <f t="shared" si="10"/>
        <v>0</v>
      </c>
      <c r="T135" s="53"/>
      <c r="U135" s="58"/>
      <c r="V135" s="58"/>
      <c r="W135" s="58"/>
      <c r="X135" s="58"/>
      <c r="Y135" s="57">
        <f t="shared" si="9"/>
        <v>0</v>
      </c>
      <c r="Z135" s="53"/>
      <c r="AA135" s="57"/>
    </row>
    <row r="136" spans="1:27" x14ac:dyDescent="0.3">
      <c r="A136" s="56">
        <f t="shared" si="8"/>
        <v>126</v>
      </c>
      <c r="B136" s="48"/>
      <c r="C136" s="49"/>
      <c r="D136" s="49"/>
      <c r="E136" s="49"/>
      <c r="F136" s="49"/>
      <c r="G136" s="49"/>
      <c r="H136" s="49"/>
      <c r="I136" s="49"/>
      <c r="J136" s="49"/>
      <c r="K136" s="50"/>
      <c r="L136" s="51"/>
      <c r="M136" s="51"/>
      <c r="N136" s="52"/>
      <c r="O136" s="52"/>
      <c r="P136" s="47"/>
      <c r="Q136" s="47"/>
      <c r="R136" s="47"/>
      <c r="S136" s="54">
        <f t="shared" si="10"/>
        <v>0</v>
      </c>
      <c r="T136" s="53"/>
      <c r="U136" s="58"/>
      <c r="V136" s="58"/>
      <c r="W136" s="58"/>
      <c r="X136" s="58"/>
      <c r="Y136" s="57">
        <f t="shared" si="9"/>
        <v>0</v>
      </c>
      <c r="Z136" s="53"/>
      <c r="AA136" s="57"/>
    </row>
    <row r="137" spans="1:27" x14ac:dyDescent="0.3">
      <c r="A137" s="56">
        <f t="shared" si="8"/>
        <v>127</v>
      </c>
      <c r="B137" s="48"/>
      <c r="C137" s="49"/>
      <c r="D137" s="49"/>
      <c r="E137" s="49"/>
      <c r="F137" s="49"/>
      <c r="G137" s="49"/>
      <c r="H137" s="49"/>
      <c r="I137" s="49"/>
      <c r="J137" s="49"/>
      <c r="K137" s="50"/>
      <c r="L137" s="51"/>
      <c r="M137" s="51"/>
      <c r="N137" s="52"/>
      <c r="O137" s="52"/>
      <c r="P137" s="47"/>
      <c r="Q137" s="47"/>
      <c r="R137" s="47"/>
      <c r="S137" s="54">
        <f t="shared" si="10"/>
        <v>0</v>
      </c>
      <c r="T137" s="53"/>
      <c r="U137" s="58"/>
      <c r="V137" s="58"/>
      <c r="W137" s="58"/>
      <c r="X137" s="58"/>
      <c r="Y137" s="57">
        <f t="shared" si="9"/>
        <v>0</v>
      </c>
      <c r="Z137" s="53"/>
      <c r="AA137" s="57"/>
    </row>
    <row r="138" spans="1:27" x14ac:dyDescent="0.3">
      <c r="A138" s="56">
        <f t="shared" si="8"/>
        <v>128</v>
      </c>
      <c r="B138" s="48"/>
      <c r="C138" s="49"/>
      <c r="D138" s="49"/>
      <c r="E138" s="49"/>
      <c r="F138" s="49"/>
      <c r="G138" s="49"/>
      <c r="H138" s="49"/>
      <c r="I138" s="49"/>
      <c r="J138" s="49"/>
      <c r="K138" s="50"/>
      <c r="L138" s="51"/>
      <c r="M138" s="51"/>
      <c r="N138" s="52"/>
      <c r="O138" s="52"/>
      <c r="P138" s="47"/>
      <c r="Q138" s="47"/>
      <c r="R138" s="47"/>
      <c r="S138" s="54">
        <f t="shared" si="10"/>
        <v>0</v>
      </c>
      <c r="T138" s="53"/>
      <c r="U138" s="58"/>
      <c r="V138" s="58"/>
      <c r="W138" s="58"/>
      <c r="X138" s="58"/>
      <c r="Y138" s="57">
        <f t="shared" si="9"/>
        <v>0</v>
      </c>
      <c r="Z138" s="53"/>
      <c r="AA138" s="57"/>
    </row>
    <row r="139" spans="1:27" x14ac:dyDescent="0.3">
      <c r="A139" s="56">
        <f t="shared" si="8"/>
        <v>129</v>
      </c>
      <c r="B139" s="48"/>
      <c r="C139" s="49"/>
      <c r="D139" s="49"/>
      <c r="E139" s="49"/>
      <c r="F139" s="49"/>
      <c r="G139" s="49"/>
      <c r="H139" s="49"/>
      <c r="I139" s="49"/>
      <c r="J139" s="49"/>
      <c r="K139" s="50"/>
      <c r="L139" s="51"/>
      <c r="M139" s="51"/>
      <c r="N139" s="52"/>
      <c r="O139" s="52"/>
      <c r="P139" s="47"/>
      <c r="Q139" s="47"/>
      <c r="R139" s="47"/>
      <c r="S139" s="54">
        <f t="shared" si="10"/>
        <v>0</v>
      </c>
      <c r="T139" s="53"/>
      <c r="U139" s="58"/>
      <c r="V139" s="58"/>
      <c r="W139" s="58"/>
      <c r="X139" s="58"/>
      <c r="Y139" s="57">
        <f t="shared" si="9"/>
        <v>0</v>
      </c>
      <c r="Z139" s="53"/>
      <c r="AA139" s="57"/>
    </row>
    <row r="140" spans="1:27" x14ac:dyDescent="0.3">
      <c r="A140" s="56">
        <f t="shared" si="8"/>
        <v>130</v>
      </c>
      <c r="B140" s="48"/>
      <c r="C140" s="49"/>
      <c r="D140" s="49"/>
      <c r="E140" s="49"/>
      <c r="F140" s="49"/>
      <c r="G140" s="49"/>
      <c r="H140" s="49"/>
      <c r="I140" s="49"/>
      <c r="J140" s="49"/>
      <c r="K140" s="50"/>
      <c r="L140" s="51"/>
      <c r="M140" s="51"/>
      <c r="N140" s="52"/>
      <c r="O140" s="52"/>
      <c r="P140" s="47"/>
      <c r="Q140" s="47"/>
      <c r="R140" s="47"/>
      <c r="S140" s="54">
        <f t="shared" si="10"/>
        <v>0</v>
      </c>
      <c r="T140" s="53"/>
      <c r="U140" s="58"/>
      <c r="V140" s="58"/>
      <c r="W140" s="58"/>
      <c r="X140" s="58"/>
      <c r="Y140" s="57">
        <f t="shared" si="9"/>
        <v>0</v>
      </c>
      <c r="Z140" s="53"/>
      <c r="AA140" s="57"/>
    </row>
    <row r="141" spans="1:27" x14ac:dyDescent="0.3">
      <c r="A141" s="56">
        <f t="shared" si="8"/>
        <v>131</v>
      </c>
      <c r="B141" s="48"/>
      <c r="C141" s="49"/>
      <c r="D141" s="49"/>
      <c r="E141" s="49"/>
      <c r="F141" s="49"/>
      <c r="G141" s="49"/>
      <c r="H141" s="49"/>
      <c r="I141" s="49"/>
      <c r="J141" s="49"/>
      <c r="K141" s="50"/>
      <c r="L141" s="51"/>
      <c r="M141" s="51"/>
      <c r="N141" s="52"/>
      <c r="O141" s="52"/>
      <c r="P141" s="47"/>
      <c r="Q141" s="47"/>
      <c r="R141" s="47"/>
      <c r="S141" s="54">
        <f t="shared" si="10"/>
        <v>0</v>
      </c>
      <c r="T141" s="53"/>
      <c r="U141" s="58"/>
      <c r="V141" s="58"/>
      <c r="W141" s="58"/>
      <c r="X141" s="58"/>
      <c r="Y141" s="57">
        <f t="shared" si="9"/>
        <v>0</v>
      </c>
      <c r="Z141" s="53"/>
      <c r="AA141" s="57"/>
    </row>
    <row r="142" spans="1:27" x14ac:dyDescent="0.3">
      <c r="A142" s="56">
        <f t="shared" ref="A142:A160" si="11">A141+1</f>
        <v>132</v>
      </c>
      <c r="B142" s="48"/>
      <c r="C142" s="49"/>
      <c r="D142" s="49"/>
      <c r="E142" s="49"/>
      <c r="F142" s="49"/>
      <c r="G142" s="49"/>
      <c r="H142" s="49"/>
      <c r="I142" s="49"/>
      <c r="J142" s="49"/>
      <c r="K142" s="50"/>
      <c r="L142" s="51"/>
      <c r="M142" s="51"/>
      <c r="N142" s="52"/>
      <c r="O142" s="52"/>
      <c r="P142" s="47"/>
      <c r="Q142" s="47"/>
      <c r="R142" s="47"/>
      <c r="S142" s="54">
        <f t="shared" si="10"/>
        <v>0</v>
      </c>
      <c r="T142" s="53"/>
      <c r="U142" s="58"/>
      <c r="V142" s="58"/>
      <c r="W142" s="58"/>
      <c r="X142" s="58"/>
      <c r="Y142" s="57">
        <f t="shared" ref="Y142:Y160" si="12">SUM(U142:X142)</f>
        <v>0</v>
      </c>
      <c r="Z142" s="53"/>
      <c r="AA142" s="57"/>
    </row>
    <row r="143" spans="1:27" x14ac:dyDescent="0.3">
      <c r="A143" s="56">
        <f t="shared" si="11"/>
        <v>133</v>
      </c>
      <c r="B143" s="48"/>
      <c r="C143" s="49"/>
      <c r="D143" s="49"/>
      <c r="E143" s="49"/>
      <c r="F143" s="49"/>
      <c r="G143" s="49"/>
      <c r="H143" s="49"/>
      <c r="I143" s="49"/>
      <c r="J143" s="49"/>
      <c r="K143" s="50"/>
      <c r="L143" s="51"/>
      <c r="M143" s="51"/>
      <c r="N143" s="52"/>
      <c r="O143" s="52"/>
      <c r="P143" s="47"/>
      <c r="Q143" s="47"/>
      <c r="R143" s="47"/>
      <c r="S143" s="54">
        <f t="shared" ref="S143:S160" si="13">SUM(N143:R143)</f>
        <v>0</v>
      </c>
      <c r="T143" s="53"/>
      <c r="U143" s="58"/>
      <c r="V143" s="58"/>
      <c r="W143" s="58"/>
      <c r="X143" s="58"/>
      <c r="Y143" s="57">
        <f t="shared" si="12"/>
        <v>0</v>
      </c>
      <c r="Z143" s="53"/>
      <c r="AA143" s="57"/>
    </row>
    <row r="144" spans="1:27" x14ac:dyDescent="0.3">
      <c r="A144" s="56">
        <f t="shared" si="11"/>
        <v>134</v>
      </c>
      <c r="B144" s="48"/>
      <c r="C144" s="49"/>
      <c r="D144" s="49"/>
      <c r="E144" s="49"/>
      <c r="F144" s="49"/>
      <c r="G144" s="49"/>
      <c r="H144" s="49"/>
      <c r="I144" s="49"/>
      <c r="J144" s="49"/>
      <c r="K144" s="50"/>
      <c r="L144" s="51"/>
      <c r="M144" s="51"/>
      <c r="N144" s="52"/>
      <c r="O144" s="52"/>
      <c r="P144" s="47"/>
      <c r="Q144" s="47"/>
      <c r="R144" s="47"/>
      <c r="S144" s="54">
        <f t="shared" si="13"/>
        <v>0</v>
      </c>
      <c r="T144" s="53"/>
      <c r="U144" s="58"/>
      <c r="V144" s="58"/>
      <c r="W144" s="58"/>
      <c r="X144" s="58"/>
      <c r="Y144" s="57">
        <f t="shared" si="12"/>
        <v>0</v>
      </c>
      <c r="Z144" s="53"/>
      <c r="AA144" s="57"/>
    </row>
    <row r="145" spans="1:27" x14ac:dyDescent="0.3">
      <c r="A145" s="56">
        <f t="shared" si="11"/>
        <v>135</v>
      </c>
      <c r="B145" s="48"/>
      <c r="C145" s="49"/>
      <c r="D145" s="49"/>
      <c r="E145" s="49"/>
      <c r="F145" s="49"/>
      <c r="G145" s="49"/>
      <c r="H145" s="49"/>
      <c r="I145" s="49"/>
      <c r="J145" s="49"/>
      <c r="K145" s="50"/>
      <c r="L145" s="51"/>
      <c r="M145" s="51"/>
      <c r="N145" s="52"/>
      <c r="O145" s="52"/>
      <c r="P145" s="47"/>
      <c r="Q145" s="47"/>
      <c r="R145" s="47"/>
      <c r="S145" s="54">
        <f t="shared" si="13"/>
        <v>0</v>
      </c>
      <c r="T145" s="53"/>
      <c r="U145" s="58"/>
      <c r="V145" s="58"/>
      <c r="W145" s="58"/>
      <c r="X145" s="58"/>
      <c r="Y145" s="57">
        <f t="shared" si="12"/>
        <v>0</v>
      </c>
      <c r="Z145" s="53"/>
      <c r="AA145" s="57"/>
    </row>
    <row r="146" spans="1:27" x14ac:dyDescent="0.3">
      <c r="A146" s="56">
        <f t="shared" si="11"/>
        <v>136</v>
      </c>
      <c r="B146" s="48"/>
      <c r="C146" s="49"/>
      <c r="D146" s="49"/>
      <c r="E146" s="49"/>
      <c r="F146" s="49"/>
      <c r="G146" s="49"/>
      <c r="H146" s="49"/>
      <c r="I146" s="49"/>
      <c r="J146" s="49"/>
      <c r="K146" s="50"/>
      <c r="L146" s="51"/>
      <c r="M146" s="51"/>
      <c r="N146" s="52"/>
      <c r="O146" s="52"/>
      <c r="P146" s="47"/>
      <c r="Q146" s="47"/>
      <c r="R146" s="47"/>
      <c r="S146" s="54">
        <f t="shared" si="13"/>
        <v>0</v>
      </c>
      <c r="T146" s="53"/>
      <c r="U146" s="58"/>
      <c r="V146" s="58"/>
      <c r="W146" s="58"/>
      <c r="X146" s="58"/>
      <c r="Y146" s="57">
        <f t="shared" si="12"/>
        <v>0</v>
      </c>
      <c r="Z146" s="53"/>
      <c r="AA146" s="57"/>
    </row>
    <row r="147" spans="1:27" x14ac:dyDescent="0.3">
      <c r="A147" s="56">
        <f t="shared" si="11"/>
        <v>137</v>
      </c>
      <c r="B147" s="48"/>
      <c r="C147" s="49"/>
      <c r="D147" s="49"/>
      <c r="E147" s="49"/>
      <c r="F147" s="49"/>
      <c r="G147" s="49"/>
      <c r="H147" s="49"/>
      <c r="I147" s="49"/>
      <c r="J147" s="49"/>
      <c r="K147" s="50"/>
      <c r="L147" s="51"/>
      <c r="M147" s="51"/>
      <c r="N147" s="52"/>
      <c r="O147" s="52"/>
      <c r="P147" s="47"/>
      <c r="Q147" s="47"/>
      <c r="R147" s="47"/>
      <c r="S147" s="54">
        <f t="shared" si="13"/>
        <v>0</v>
      </c>
      <c r="T147" s="53"/>
      <c r="U147" s="58"/>
      <c r="V147" s="58"/>
      <c r="W147" s="58"/>
      <c r="X147" s="58"/>
      <c r="Y147" s="57">
        <f t="shared" si="12"/>
        <v>0</v>
      </c>
      <c r="Z147" s="53"/>
      <c r="AA147" s="57"/>
    </row>
    <row r="148" spans="1:27" x14ac:dyDescent="0.3">
      <c r="A148" s="56">
        <f t="shared" si="11"/>
        <v>138</v>
      </c>
      <c r="B148" s="48"/>
      <c r="C148" s="49"/>
      <c r="D148" s="49"/>
      <c r="E148" s="49"/>
      <c r="F148" s="49"/>
      <c r="G148" s="49"/>
      <c r="H148" s="49"/>
      <c r="I148" s="49"/>
      <c r="J148" s="49"/>
      <c r="K148" s="50"/>
      <c r="L148" s="51"/>
      <c r="M148" s="51"/>
      <c r="N148" s="52"/>
      <c r="O148" s="52"/>
      <c r="P148" s="47"/>
      <c r="Q148" s="47"/>
      <c r="R148" s="47"/>
      <c r="S148" s="54">
        <f t="shared" si="13"/>
        <v>0</v>
      </c>
      <c r="T148" s="53"/>
      <c r="U148" s="58"/>
      <c r="V148" s="58"/>
      <c r="W148" s="58"/>
      <c r="X148" s="58"/>
      <c r="Y148" s="57">
        <f t="shared" si="12"/>
        <v>0</v>
      </c>
      <c r="Z148" s="53"/>
      <c r="AA148" s="57"/>
    </row>
    <row r="149" spans="1:27" x14ac:dyDescent="0.3">
      <c r="A149" s="56">
        <f t="shared" si="11"/>
        <v>139</v>
      </c>
      <c r="B149" s="48"/>
      <c r="C149" s="49"/>
      <c r="D149" s="49"/>
      <c r="E149" s="49"/>
      <c r="F149" s="49"/>
      <c r="G149" s="49"/>
      <c r="H149" s="49"/>
      <c r="I149" s="49"/>
      <c r="J149" s="49"/>
      <c r="K149" s="50"/>
      <c r="L149" s="51"/>
      <c r="M149" s="51"/>
      <c r="N149" s="52"/>
      <c r="O149" s="52"/>
      <c r="P149" s="47"/>
      <c r="Q149" s="47"/>
      <c r="R149" s="47"/>
      <c r="S149" s="54">
        <f t="shared" si="13"/>
        <v>0</v>
      </c>
      <c r="T149" s="53"/>
      <c r="U149" s="58"/>
      <c r="V149" s="58"/>
      <c r="W149" s="58"/>
      <c r="X149" s="58"/>
      <c r="Y149" s="57">
        <f t="shared" si="12"/>
        <v>0</v>
      </c>
      <c r="Z149" s="53"/>
      <c r="AA149" s="57"/>
    </row>
    <row r="150" spans="1:27" x14ac:dyDescent="0.3">
      <c r="A150" s="56">
        <f t="shared" si="11"/>
        <v>140</v>
      </c>
      <c r="B150" s="48"/>
      <c r="C150" s="49"/>
      <c r="D150" s="49"/>
      <c r="E150" s="49"/>
      <c r="F150" s="49"/>
      <c r="G150" s="49"/>
      <c r="H150" s="49"/>
      <c r="I150" s="49"/>
      <c r="J150" s="49"/>
      <c r="K150" s="50"/>
      <c r="L150" s="51"/>
      <c r="M150" s="51"/>
      <c r="N150" s="52"/>
      <c r="O150" s="52"/>
      <c r="P150" s="47"/>
      <c r="Q150" s="47"/>
      <c r="R150" s="47"/>
      <c r="S150" s="54">
        <f t="shared" si="13"/>
        <v>0</v>
      </c>
      <c r="T150" s="53"/>
      <c r="U150" s="58"/>
      <c r="V150" s="58"/>
      <c r="W150" s="58"/>
      <c r="X150" s="58"/>
      <c r="Y150" s="57">
        <f t="shared" si="12"/>
        <v>0</v>
      </c>
      <c r="Z150" s="53"/>
      <c r="AA150" s="57"/>
    </row>
    <row r="151" spans="1:27" x14ac:dyDescent="0.3">
      <c r="A151" s="56">
        <f t="shared" si="11"/>
        <v>141</v>
      </c>
      <c r="B151" s="48"/>
      <c r="C151" s="49"/>
      <c r="D151" s="49"/>
      <c r="E151" s="49"/>
      <c r="F151" s="49"/>
      <c r="G151" s="49"/>
      <c r="H151" s="49"/>
      <c r="I151" s="49"/>
      <c r="J151" s="49"/>
      <c r="K151" s="50"/>
      <c r="L151" s="51"/>
      <c r="M151" s="51"/>
      <c r="N151" s="52"/>
      <c r="O151" s="52"/>
      <c r="P151" s="47"/>
      <c r="Q151" s="47"/>
      <c r="R151" s="47"/>
      <c r="S151" s="54">
        <f t="shared" si="13"/>
        <v>0</v>
      </c>
      <c r="T151" s="53"/>
      <c r="U151" s="58"/>
      <c r="V151" s="58"/>
      <c r="W151" s="58"/>
      <c r="X151" s="58"/>
      <c r="Y151" s="57">
        <f t="shared" si="12"/>
        <v>0</v>
      </c>
      <c r="Z151" s="53"/>
      <c r="AA151" s="57"/>
    </row>
    <row r="152" spans="1:27" x14ac:dyDescent="0.3">
      <c r="A152" s="56">
        <f t="shared" si="11"/>
        <v>142</v>
      </c>
      <c r="B152" s="48"/>
      <c r="C152" s="49"/>
      <c r="D152" s="49"/>
      <c r="E152" s="49"/>
      <c r="F152" s="49"/>
      <c r="G152" s="49"/>
      <c r="H152" s="49"/>
      <c r="I152" s="49"/>
      <c r="J152" s="49"/>
      <c r="K152" s="50"/>
      <c r="L152" s="51"/>
      <c r="M152" s="51"/>
      <c r="N152" s="52"/>
      <c r="O152" s="52"/>
      <c r="P152" s="47"/>
      <c r="Q152" s="47"/>
      <c r="R152" s="47"/>
      <c r="S152" s="54">
        <f t="shared" si="13"/>
        <v>0</v>
      </c>
      <c r="T152" s="53"/>
      <c r="U152" s="58"/>
      <c r="V152" s="58"/>
      <c r="W152" s="58"/>
      <c r="X152" s="58"/>
      <c r="Y152" s="57">
        <f t="shared" si="12"/>
        <v>0</v>
      </c>
      <c r="Z152" s="53"/>
      <c r="AA152" s="57"/>
    </row>
    <row r="153" spans="1:27" x14ac:dyDescent="0.3">
      <c r="A153" s="56">
        <f t="shared" si="11"/>
        <v>143</v>
      </c>
      <c r="B153" s="48"/>
      <c r="C153" s="49"/>
      <c r="D153" s="49"/>
      <c r="E153" s="49"/>
      <c r="F153" s="49"/>
      <c r="G153" s="49"/>
      <c r="H153" s="49"/>
      <c r="I153" s="49"/>
      <c r="J153" s="49"/>
      <c r="K153" s="50"/>
      <c r="L153" s="51"/>
      <c r="M153" s="51"/>
      <c r="N153" s="52"/>
      <c r="O153" s="52"/>
      <c r="P153" s="47"/>
      <c r="Q153" s="47"/>
      <c r="R153" s="47"/>
      <c r="S153" s="54">
        <f t="shared" si="13"/>
        <v>0</v>
      </c>
      <c r="T153" s="53"/>
      <c r="U153" s="58"/>
      <c r="V153" s="58"/>
      <c r="W153" s="58"/>
      <c r="X153" s="58"/>
      <c r="Y153" s="57">
        <f t="shared" si="12"/>
        <v>0</v>
      </c>
      <c r="Z153" s="53"/>
      <c r="AA153" s="57"/>
    </row>
    <row r="154" spans="1:27" x14ac:dyDescent="0.3">
      <c r="A154" s="56">
        <f t="shared" si="11"/>
        <v>144</v>
      </c>
      <c r="B154" s="48"/>
      <c r="C154" s="49"/>
      <c r="D154" s="49"/>
      <c r="E154" s="49"/>
      <c r="F154" s="49"/>
      <c r="G154" s="49"/>
      <c r="H154" s="49"/>
      <c r="I154" s="49"/>
      <c r="J154" s="49"/>
      <c r="K154" s="50"/>
      <c r="L154" s="51"/>
      <c r="M154" s="51"/>
      <c r="N154" s="52"/>
      <c r="O154" s="52"/>
      <c r="P154" s="47"/>
      <c r="Q154" s="47"/>
      <c r="R154" s="47"/>
      <c r="S154" s="54">
        <f t="shared" si="13"/>
        <v>0</v>
      </c>
      <c r="T154" s="53"/>
      <c r="U154" s="58"/>
      <c r="V154" s="58"/>
      <c r="W154" s="58"/>
      <c r="X154" s="58"/>
      <c r="Y154" s="57">
        <f t="shared" si="12"/>
        <v>0</v>
      </c>
      <c r="Z154" s="53"/>
      <c r="AA154" s="57"/>
    </row>
    <row r="155" spans="1:27" x14ac:dyDescent="0.3">
      <c r="A155" s="56">
        <f t="shared" si="11"/>
        <v>145</v>
      </c>
      <c r="B155" s="48"/>
      <c r="C155" s="49"/>
      <c r="D155" s="49"/>
      <c r="E155" s="49"/>
      <c r="F155" s="49"/>
      <c r="G155" s="49"/>
      <c r="H155" s="49"/>
      <c r="I155" s="49"/>
      <c r="J155" s="49"/>
      <c r="K155" s="50"/>
      <c r="L155" s="51"/>
      <c r="M155" s="51"/>
      <c r="N155" s="52"/>
      <c r="O155" s="52"/>
      <c r="P155" s="47"/>
      <c r="Q155" s="47"/>
      <c r="R155" s="47"/>
      <c r="S155" s="54">
        <f t="shared" si="13"/>
        <v>0</v>
      </c>
      <c r="T155" s="53"/>
      <c r="U155" s="58"/>
      <c r="V155" s="58"/>
      <c r="W155" s="58"/>
      <c r="X155" s="58"/>
      <c r="Y155" s="57">
        <f t="shared" si="12"/>
        <v>0</v>
      </c>
      <c r="Z155" s="53"/>
      <c r="AA155" s="57"/>
    </row>
    <row r="156" spans="1:27" x14ac:dyDescent="0.3">
      <c r="A156" s="56">
        <f t="shared" si="11"/>
        <v>146</v>
      </c>
      <c r="B156" s="48"/>
      <c r="C156" s="49"/>
      <c r="D156" s="49"/>
      <c r="E156" s="49"/>
      <c r="F156" s="49"/>
      <c r="G156" s="49"/>
      <c r="H156" s="49"/>
      <c r="I156" s="49"/>
      <c r="J156" s="49"/>
      <c r="K156" s="50"/>
      <c r="L156" s="51"/>
      <c r="M156" s="51"/>
      <c r="N156" s="52"/>
      <c r="O156" s="52"/>
      <c r="P156" s="47"/>
      <c r="Q156" s="47"/>
      <c r="R156" s="47"/>
      <c r="S156" s="54">
        <f t="shared" si="13"/>
        <v>0</v>
      </c>
      <c r="T156" s="53"/>
      <c r="U156" s="58"/>
      <c r="V156" s="58"/>
      <c r="W156" s="58"/>
      <c r="X156" s="58"/>
      <c r="Y156" s="57">
        <f t="shared" si="12"/>
        <v>0</v>
      </c>
      <c r="Z156" s="53"/>
      <c r="AA156" s="57"/>
    </row>
    <row r="157" spans="1:27" x14ac:dyDescent="0.3">
      <c r="A157" s="56">
        <f t="shared" si="11"/>
        <v>147</v>
      </c>
      <c r="B157" s="48"/>
      <c r="C157" s="49"/>
      <c r="D157" s="49"/>
      <c r="E157" s="49"/>
      <c r="F157" s="49"/>
      <c r="G157" s="49"/>
      <c r="H157" s="49"/>
      <c r="I157" s="49"/>
      <c r="J157" s="49"/>
      <c r="K157" s="50"/>
      <c r="L157" s="51"/>
      <c r="M157" s="51"/>
      <c r="N157" s="52"/>
      <c r="O157" s="52"/>
      <c r="P157" s="47"/>
      <c r="Q157" s="47"/>
      <c r="R157" s="47"/>
      <c r="S157" s="54">
        <f t="shared" si="13"/>
        <v>0</v>
      </c>
      <c r="T157" s="53"/>
      <c r="U157" s="58"/>
      <c r="V157" s="58"/>
      <c r="W157" s="58"/>
      <c r="X157" s="58"/>
      <c r="Y157" s="57">
        <f t="shared" si="12"/>
        <v>0</v>
      </c>
      <c r="Z157" s="53"/>
      <c r="AA157" s="57"/>
    </row>
    <row r="158" spans="1:27" x14ac:dyDescent="0.3">
      <c r="A158" s="56">
        <f t="shared" si="11"/>
        <v>148</v>
      </c>
      <c r="B158" s="48"/>
      <c r="C158" s="49"/>
      <c r="D158" s="49"/>
      <c r="E158" s="49"/>
      <c r="F158" s="49"/>
      <c r="G158" s="49"/>
      <c r="H158" s="49"/>
      <c r="I158" s="49"/>
      <c r="J158" s="49"/>
      <c r="K158" s="50"/>
      <c r="L158" s="51"/>
      <c r="M158" s="51"/>
      <c r="N158" s="52"/>
      <c r="O158" s="52"/>
      <c r="P158" s="47"/>
      <c r="Q158" s="47"/>
      <c r="R158" s="47"/>
      <c r="S158" s="54">
        <f t="shared" si="13"/>
        <v>0</v>
      </c>
      <c r="T158" s="53"/>
      <c r="U158" s="58"/>
      <c r="V158" s="58"/>
      <c r="W158" s="58"/>
      <c r="X158" s="58"/>
      <c r="Y158" s="57">
        <f t="shared" si="12"/>
        <v>0</v>
      </c>
      <c r="Z158" s="53"/>
      <c r="AA158" s="57"/>
    </row>
    <row r="159" spans="1:27" x14ac:dyDescent="0.3">
      <c r="A159" s="56">
        <f t="shared" si="11"/>
        <v>149</v>
      </c>
      <c r="B159" s="48"/>
      <c r="C159" s="49"/>
      <c r="D159" s="49"/>
      <c r="E159" s="49"/>
      <c r="F159" s="49"/>
      <c r="G159" s="49"/>
      <c r="H159" s="49"/>
      <c r="I159" s="49"/>
      <c r="J159" s="49"/>
      <c r="K159" s="50"/>
      <c r="L159" s="51"/>
      <c r="M159" s="51"/>
      <c r="N159" s="52"/>
      <c r="O159" s="52"/>
      <c r="P159" s="47"/>
      <c r="Q159" s="47"/>
      <c r="R159" s="47"/>
      <c r="S159" s="54">
        <f t="shared" si="13"/>
        <v>0</v>
      </c>
      <c r="T159" s="53"/>
      <c r="U159" s="58"/>
      <c r="V159" s="58"/>
      <c r="W159" s="58"/>
      <c r="X159" s="58"/>
      <c r="Y159" s="57">
        <f t="shared" si="12"/>
        <v>0</v>
      </c>
      <c r="Z159" s="53"/>
      <c r="AA159" s="57"/>
    </row>
    <row r="160" spans="1:27" x14ac:dyDescent="0.3">
      <c r="A160" s="56">
        <f t="shared" si="11"/>
        <v>150</v>
      </c>
      <c r="B160" s="48"/>
      <c r="C160" s="49"/>
      <c r="D160" s="49"/>
      <c r="E160" s="49"/>
      <c r="F160" s="49"/>
      <c r="G160" s="49"/>
      <c r="H160" s="49"/>
      <c r="I160" s="49"/>
      <c r="J160" s="49"/>
      <c r="K160" s="50"/>
      <c r="L160" s="51"/>
      <c r="M160" s="51"/>
      <c r="N160" s="52"/>
      <c r="O160" s="52"/>
      <c r="P160" s="47"/>
      <c r="Q160" s="47"/>
      <c r="R160" s="47"/>
      <c r="S160" s="54">
        <f t="shared" si="13"/>
        <v>0</v>
      </c>
      <c r="T160" s="53"/>
      <c r="U160" s="58"/>
      <c r="V160" s="58"/>
      <c r="W160" s="58"/>
      <c r="X160" s="58"/>
      <c r="Y160" s="57">
        <f t="shared" si="12"/>
        <v>0</v>
      </c>
      <c r="Z160" s="53"/>
      <c r="AA160" s="57"/>
    </row>
    <row r="161" spans="1:27" x14ac:dyDescent="0.3">
      <c r="A161" s="13"/>
      <c r="B161" s="10" t="s">
        <v>26</v>
      </c>
      <c r="C161" s="14"/>
      <c r="D161" s="14"/>
      <c r="E161" s="9"/>
      <c r="F161" s="14"/>
      <c r="G161" s="14"/>
      <c r="H161" s="12"/>
      <c r="I161" s="12"/>
      <c r="J161" s="12"/>
      <c r="K161" s="19"/>
      <c r="L161" s="21">
        <f t="shared" ref="L161:S161" si="14">SUM(L11:L160)</f>
        <v>10735636.301111454</v>
      </c>
      <c r="M161" s="21">
        <f t="shared" si="14"/>
        <v>14089222.426429337</v>
      </c>
      <c r="N161" s="20">
        <f t="shared" si="14"/>
        <v>23235907.606475361</v>
      </c>
      <c r="O161" s="20">
        <f t="shared" si="14"/>
        <v>17376891.606475361</v>
      </c>
      <c r="P161" s="20">
        <f t="shared" si="14"/>
        <v>12574692.32779786</v>
      </c>
      <c r="Q161" s="20">
        <f t="shared" si="14"/>
        <v>13686881.242838997</v>
      </c>
      <c r="R161" s="20">
        <f t="shared" si="14"/>
        <v>9271108.6064753607</v>
      </c>
      <c r="S161" s="20">
        <f t="shared" si="14"/>
        <v>76145481.390062943</v>
      </c>
    </row>
    <row r="162" spans="1:27" x14ac:dyDescent="0.3">
      <c r="U162" s="45"/>
      <c r="V162" s="45"/>
      <c r="W162" s="45"/>
      <c r="X162" s="45"/>
      <c r="Y162" s="45"/>
      <c r="AA162" s="45"/>
    </row>
    <row r="163" spans="1:27" s="42" customFormat="1" x14ac:dyDescent="0.3">
      <c r="C163" s="43"/>
      <c r="D163" s="43"/>
      <c r="E163" s="44"/>
      <c r="F163" s="43"/>
      <c r="G163" s="43"/>
      <c r="L163" s="3" t="s">
        <v>507</v>
      </c>
      <c r="M163" s="3" t="s">
        <v>507</v>
      </c>
      <c r="N163" s="45"/>
      <c r="O163" s="45"/>
      <c r="P163" s="45"/>
      <c r="Q163" s="45"/>
      <c r="R163" s="45"/>
      <c r="S163" s="45"/>
      <c r="U163" s="46"/>
      <c r="V163" s="46"/>
      <c r="W163" s="46"/>
    </row>
    <row r="164" spans="1:27" s="42" customFormat="1" x14ac:dyDescent="0.3">
      <c r="C164" s="43"/>
      <c r="D164" s="43"/>
      <c r="E164" s="44"/>
      <c r="F164" s="43"/>
      <c r="G164" s="43"/>
      <c r="L164" s="46"/>
      <c r="M164" s="46"/>
      <c r="N164" s="46"/>
      <c r="O164" s="46"/>
      <c r="U164" s="6"/>
      <c r="V164" s="6"/>
      <c r="W164" s="6"/>
      <c r="X164" s="2"/>
      <c r="Y164" s="2"/>
      <c r="AA164" s="2"/>
    </row>
    <row r="166" spans="1:27" x14ac:dyDescent="0.3">
      <c r="U166" s="29"/>
      <c r="V166" s="29"/>
    </row>
    <row r="167" spans="1:27" x14ac:dyDescent="0.3">
      <c r="L167" s="29"/>
      <c r="M167" s="29"/>
      <c r="U167" s="6"/>
      <c r="V167" s="6"/>
    </row>
    <row r="169" spans="1:27" x14ac:dyDescent="0.3">
      <c r="L169" s="6"/>
      <c r="M169" s="6"/>
      <c r="U169" s="6"/>
      <c r="V169" s="6"/>
    </row>
  </sheetData>
  <autoFilter ref="A10:AA161" xr:uid="{353FEA0D-7F66-49D6-A9E6-C6B2A39BDE95}"/>
  <phoneticPr fontId="15" type="noConversion"/>
  <conditionalFormatting sqref="L163:M163">
    <cfRule type="cellIs" dxfId="37" priority="1" operator="equal">
      <formula>"ERROR"</formula>
    </cfRule>
    <cfRule type="cellIs" dxfId="36" priority="2" operator="equal">
      <formula>"OK"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CE45A91-B8F4-4480-911F-4919CAB851BB}">
          <x14:formula1>
            <xm:f>Mapping!$E$2:$E$8</xm:f>
          </x14:formula1>
          <xm:sqref>F93:F160</xm:sqref>
        </x14:dataValidation>
        <x14:dataValidation type="list" allowBlank="1" showInputMessage="1" showErrorMessage="1" xr:uid="{54652E8F-025F-4A5D-AEF2-5E21EA34BDC3}">
          <x14:formula1>
            <xm:f>Mapping!$A$2:$A$10</xm:f>
          </x14:formula1>
          <xm:sqref>E93:E160</xm:sqref>
        </x14:dataValidation>
        <x14:dataValidation type="list" allowBlank="1" showInputMessage="1" showErrorMessage="1" xr:uid="{9A23985E-4639-420F-8EF0-9B500667E44F}">
          <x14:formula1>
            <xm:f>Mapping!$P$2:$P$7</xm:f>
          </x14:formula1>
          <xm:sqref>G55:G160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5183A-BDC7-40E2-A058-627338AAE134}">
  <sheetPr>
    <tabColor theme="4" tint="0.79998168889431442"/>
  </sheetPr>
  <dimension ref="A6:P164"/>
  <sheetViews>
    <sheetView showGridLines="0" zoomScale="70" zoomScaleNormal="70" workbookViewId="0">
      <pane ySplit="10" topLeftCell="A11" activePane="bottomLeft" state="frozen"/>
      <selection pane="bottomLeft" activeCell="M16" sqref="M16"/>
    </sheetView>
  </sheetViews>
  <sheetFormatPr defaultColWidth="8.625" defaultRowHeight="16.5" x14ac:dyDescent="0.3"/>
  <cols>
    <col min="1" max="1" width="4.625" style="2" customWidth="1"/>
    <col min="2" max="2" width="46.25" style="2" bestFit="1" customWidth="1"/>
    <col min="3" max="3" width="28.5" style="2" bestFit="1" customWidth="1"/>
    <col min="4" max="4" width="17.375" style="2" bestFit="1" customWidth="1"/>
    <col min="5" max="5" width="14.5" style="2" bestFit="1" customWidth="1"/>
    <col min="6" max="6" width="15.375" style="3" customWidth="1"/>
    <col min="7" max="7" width="6.125" style="3" bestFit="1" customWidth="1"/>
    <col min="8" max="8" width="12.625" style="3" customWidth="1"/>
    <col min="9" max="9" width="2.625" style="2" customWidth="1"/>
    <col min="10" max="14" width="12.625" style="2" customWidth="1"/>
    <col min="15" max="15" width="13" style="2" bestFit="1" customWidth="1"/>
    <col min="16" max="16" width="2.625" style="2" customWidth="1"/>
    <col min="17" max="16384" width="8.625" style="2"/>
  </cols>
  <sheetData>
    <row r="6" spans="1:16" s="24" customFormat="1" ht="18.75" x14ac:dyDescent="0.3">
      <c r="A6" s="27" t="s">
        <v>48</v>
      </c>
      <c r="F6" s="26"/>
      <c r="G6" s="26"/>
      <c r="H6" s="26"/>
      <c r="M6" s="66" t="s">
        <v>36</v>
      </c>
      <c r="N6" s="66"/>
      <c r="O6" s="93">
        <f>O161</f>
        <v>43470982.678734317</v>
      </c>
    </row>
    <row r="7" spans="1:16" s="24" customFormat="1" ht="18.75" x14ac:dyDescent="0.3">
      <c r="A7" s="23" t="s">
        <v>178</v>
      </c>
      <c r="F7" s="26"/>
      <c r="G7" s="26"/>
      <c r="H7" s="26"/>
    </row>
    <row r="8" spans="1:16" x14ac:dyDescent="0.3">
      <c r="A8" s="18"/>
      <c r="B8" s="3"/>
      <c r="C8" s="3"/>
      <c r="D8" s="3"/>
      <c r="E8" s="3"/>
      <c r="J8" s="3">
        <v>10</v>
      </c>
      <c r="K8" s="3">
        <v>11</v>
      </c>
      <c r="L8" s="3">
        <v>12</v>
      </c>
      <c r="M8" s="3">
        <v>13</v>
      </c>
      <c r="N8" s="3">
        <v>14</v>
      </c>
    </row>
    <row r="9" spans="1:16" ht="18.75" x14ac:dyDescent="0.3">
      <c r="A9" s="7" t="s">
        <v>28</v>
      </c>
      <c r="B9" s="7"/>
      <c r="C9" s="7"/>
      <c r="D9" s="7"/>
      <c r="E9" s="7"/>
      <c r="F9" s="88"/>
      <c r="G9" s="88"/>
      <c r="H9" s="88"/>
      <c r="J9" s="7" t="s">
        <v>130</v>
      </c>
      <c r="K9" s="7"/>
      <c r="L9" s="7"/>
      <c r="M9" s="15"/>
      <c r="N9" s="15"/>
      <c r="O9" s="15"/>
    </row>
    <row r="10" spans="1:16" s="68" customFormat="1" ht="36" x14ac:dyDescent="0.2">
      <c r="A10" s="64" t="s">
        <v>30</v>
      </c>
      <c r="B10" s="65" t="s">
        <v>22</v>
      </c>
      <c r="C10" s="111" t="s">
        <v>142</v>
      </c>
      <c r="D10" s="65" t="s">
        <v>0</v>
      </c>
      <c r="E10" s="65" t="s">
        <v>141</v>
      </c>
      <c r="F10" s="65" t="s">
        <v>31</v>
      </c>
      <c r="G10" s="65" t="s">
        <v>23</v>
      </c>
      <c r="H10" s="65" t="s">
        <v>32</v>
      </c>
      <c r="I10" s="67"/>
      <c r="J10" s="112" t="str">
        <f>'I | Forecast 23-27'!J10</f>
        <v>2022-23</v>
      </c>
      <c r="K10" s="112" t="str">
        <f>'I | Forecast 23-27'!K10</f>
        <v>2023-24</v>
      </c>
      <c r="L10" s="112" t="str">
        <f>'I | Forecast 23-27'!L10</f>
        <v>2024-25</v>
      </c>
      <c r="M10" s="112" t="str">
        <f>'I | Forecast 23-27'!M10</f>
        <v>2025-26</v>
      </c>
      <c r="N10" s="112" t="str">
        <f>'I | Forecast 23-27'!N10</f>
        <v>2026-27</v>
      </c>
      <c r="O10" s="66" t="s">
        <v>36</v>
      </c>
    </row>
    <row r="11" spans="1:16" s="4" customFormat="1" x14ac:dyDescent="0.3">
      <c r="A11" s="56">
        <v>1</v>
      </c>
      <c r="B11" s="49" t="str">
        <f>IF('I | Forecast 23-27'!B11="","",'I | Forecast 23-27'!B11)</f>
        <v>DN250 Validation and repair Dig ILI (MFL)</v>
      </c>
      <c r="C11" s="49" t="str">
        <f>IF('I | Forecast 23-27'!C11="","",'I | Forecast 23-27'!C11)</f>
        <v>Pipeline Integrity</v>
      </c>
      <c r="D11" s="49" t="str">
        <f>IF('I | Forecast 23-27'!D11="","",'I | Forecast 23-27'!D11)</f>
        <v>Pipelines</v>
      </c>
      <c r="E11" s="49" t="str">
        <f>IF('I | Forecast 23-27'!E11="","",'I | Forecast 23-27'!E11)</f>
        <v>Replacement</v>
      </c>
      <c r="F11" s="49" t="str">
        <f>IF('I | Forecast 23-27'!F11="","",'I | Forecast 23-27'!F11)</f>
        <v>As-incurred</v>
      </c>
      <c r="G11" s="49" t="str">
        <f>IF('I | Forecast 23-27'!G11="","",'I | Forecast 23-27'!G11)</f>
        <v>FY 22</v>
      </c>
      <c r="H11" s="49" t="str">
        <f>IF('I | Forecast 23-27'!H11="","",'I | Forecast 23-27'!H11)</f>
        <v>March</v>
      </c>
      <c r="I11" s="50"/>
      <c r="J11" s="52">
        <f>IFERROR(VLOOKUP($A11,'I | Forecast 23-27'!$A$11:$N$160,J$8,0)*HLOOKUP(J$10,'I | Inflation'!$C$52:$H$54,3,0),0)</f>
        <v>2281993.3631977905</v>
      </c>
      <c r="K11" s="52">
        <f>IFERROR(VLOOKUP($A11,'I | Forecast 23-27'!$A$11:$N$160,K$8,0)*HLOOKUP(K$10,'I | Inflation'!$C$52:$H$54,3,0),0)</f>
        <v>0</v>
      </c>
      <c r="L11" s="52">
        <f>IFERROR(VLOOKUP($A11,'I | Forecast 23-27'!$A$11:$N$160,L$8,0)*HLOOKUP(L$10,'I | Inflation'!$C$52:$H$54,3,0),0)</f>
        <v>0</v>
      </c>
      <c r="M11" s="52">
        <f>IFERROR(VLOOKUP($A11,'I | Forecast 23-27'!$A$11:$N$160,M$8,0)*HLOOKUP(M$10,'I | Inflation'!$C$52:$H$54,3,0),0)</f>
        <v>0</v>
      </c>
      <c r="N11" s="52">
        <f>IFERROR(VLOOKUP($A11,'I | Forecast 23-27'!$A$11:$N$160,N$8,0)*HLOOKUP(N$10,'I | Inflation'!$C$52:$H$54,3,0),0)</f>
        <v>0</v>
      </c>
      <c r="O11" s="54">
        <f>SUM(J11:N11)</f>
        <v>2281993.3631977905</v>
      </c>
      <c r="P11" s="53"/>
    </row>
    <row r="12" spans="1:16" s="4" customFormat="1" x14ac:dyDescent="0.3">
      <c r="A12" s="56">
        <v>2</v>
      </c>
      <c r="B12" s="49" t="str">
        <f>IF('I | Forecast 23-27'!B12="","",'I | Forecast 23-27'!B12)</f>
        <v>CP Augmentation</v>
      </c>
      <c r="C12" s="49" t="str">
        <f>IF('I | Forecast 23-27'!C12="","",'I | Forecast 23-27'!C12)</f>
        <v>Pipeline Integrity</v>
      </c>
      <c r="D12" s="49" t="str">
        <f>IF('I | Forecast 23-27'!D12="","",'I | Forecast 23-27'!D12)</f>
        <v>Pipelines</v>
      </c>
      <c r="E12" s="49" t="str">
        <f>IF('I | Forecast 23-27'!E12="","",'I | Forecast 23-27'!E12)</f>
        <v>Replacement</v>
      </c>
      <c r="F12" s="49" t="str">
        <f>IF('I | Forecast 23-27'!F12="","",'I | Forecast 23-27'!F12)</f>
        <v>As-incurred</v>
      </c>
      <c r="G12" s="49" t="str">
        <f>IF('I | Forecast 23-27'!G12="","",'I | Forecast 23-27'!G12)</f>
        <v>FY 22</v>
      </c>
      <c r="H12" s="49" t="str">
        <f>IF('I | Forecast 23-27'!H12="","",'I | Forecast 23-27'!H12)</f>
        <v>March</v>
      </c>
      <c r="I12" s="50"/>
      <c r="J12" s="52">
        <f>IFERROR(VLOOKUP($A12,'I | Forecast 23-27'!$A$11:$N$160,J$8,0)*HLOOKUP(J$10,'I | Inflation'!$C$52:$H$54,3,0),0)</f>
        <v>4376556.4206254762</v>
      </c>
      <c r="K12" s="52">
        <f>IFERROR(VLOOKUP($A12,'I | Forecast 23-27'!$A$11:$N$160,K$8,0)*HLOOKUP(K$10,'I | Inflation'!$C$52:$H$54,3,0),0)</f>
        <v>1519832.1381482405</v>
      </c>
      <c r="L12" s="52">
        <f>IFERROR(VLOOKUP($A12,'I | Forecast 23-27'!$A$11:$N$160,L$8,0)*HLOOKUP(L$10,'I | Inflation'!$C$52:$H$54,3,0),0)</f>
        <v>1298859.5248576377</v>
      </c>
      <c r="M12" s="52">
        <f>IFERROR(VLOOKUP($A12,'I | Forecast 23-27'!$A$11:$N$160,M$8,0)*HLOOKUP(M$10,'I | Inflation'!$C$52:$H$54,3,0),0)</f>
        <v>1224364.1987673321</v>
      </c>
      <c r="N12" s="52">
        <f>IFERROR(VLOOKUP($A12,'I | Forecast 23-27'!$A$11:$N$160,N$8,0)*HLOOKUP(N$10,'I | Inflation'!$C$52:$H$54,3,0),0)</f>
        <v>1549581.0722308471</v>
      </c>
      <c r="O12" s="54">
        <f t="shared" ref="O12:O75" si="0">SUM(J12:N12)</f>
        <v>9969193.3546295334</v>
      </c>
      <c r="P12" s="53"/>
    </row>
    <row r="13" spans="1:16" s="4" customFormat="1" x14ac:dyDescent="0.3">
      <c r="A13" s="56">
        <v>3</v>
      </c>
      <c r="B13" s="49" t="str">
        <f>IF('I | Forecast 23-27'!B13="","",'I | Forecast 23-27'!B13)</f>
        <v>DN250 - Supply Security Project</v>
      </c>
      <c r="C13" s="49" t="str">
        <f>IF('I | Forecast 23-27'!C13="","",'I | Forecast 23-27'!C13)</f>
        <v>DN250 Supply Security Project</v>
      </c>
      <c r="D13" s="49" t="str">
        <f>IF('I | Forecast 23-27'!D13="","",'I | Forecast 23-27'!D13)</f>
        <v>Pipelines</v>
      </c>
      <c r="E13" s="49" t="str">
        <f>IF('I | Forecast 23-27'!E13="","",'I | Forecast 23-27'!E13)</f>
        <v>Replacement</v>
      </c>
      <c r="F13" s="49" t="str">
        <f>IF('I | Forecast 23-27'!F13="","",'I | Forecast 23-27'!F13)</f>
        <v>As-incurred</v>
      </c>
      <c r="G13" s="49" t="str">
        <f>IF('I | Forecast 23-27'!G13="","",'I | Forecast 23-27'!G13)</f>
        <v>FY 22</v>
      </c>
      <c r="H13" s="49" t="str">
        <f>IF('I | Forecast 23-27'!H13="","",'I | Forecast 23-27'!H13)</f>
        <v>March</v>
      </c>
      <c r="I13" s="50"/>
      <c r="J13" s="52">
        <f>IFERROR(VLOOKUP($A13,'I | Forecast 23-27'!$A$11:$N$160,J$8,0)*HLOOKUP(J$10,'I | Inflation'!$C$52:$H$54,3,0),0)</f>
        <v>5172639.8297254443</v>
      </c>
      <c r="K13" s="52">
        <f>IFERROR(VLOOKUP($A13,'I | Forecast 23-27'!$A$11:$N$160,K$8,0)*HLOOKUP(K$10,'I | Inflation'!$C$52:$H$54,3,0),0)</f>
        <v>0</v>
      </c>
      <c r="L13" s="52">
        <f>IFERROR(VLOOKUP($A13,'I | Forecast 23-27'!$A$11:$N$160,L$8,0)*HLOOKUP(L$10,'I | Inflation'!$C$52:$H$54,3,0),0)</f>
        <v>0</v>
      </c>
      <c r="M13" s="52">
        <f>IFERROR(VLOOKUP($A13,'I | Forecast 23-27'!$A$11:$N$160,M$8,0)*HLOOKUP(M$10,'I | Inflation'!$C$52:$H$54,3,0),0)</f>
        <v>0</v>
      </c>
      <c r="N13" s="52">
        <f>IFERROR(VLOOKUP($A13,'I | Forecast 23-27'!$A$11:$N$160,N$8,0)*HLOOKUP(N$10,'I | Inflation'!$C$52:$H$54,3,0),0)</f>
        <v>0</v>
      </c>
      <c r="O13" s="54">
        <f t="shared" si="0"/>
        <v>5172639.8297254443</v>
      </c>
      <c r="P13" s="53"/>
    </row>
    <row r="14" spans="1:16" s="4" customFormat="1" x14ac:dyDescent="0.3">
      <c r="A14" s="56">
        <v>4</v>
      </c>
      <c r="B14" s="49" t="str">
        <f>IF('I | Forecast 23-27'!B14="","",'I | Forecast 23-27'!B14)</f>
        <v>SCADA Hardware Lifecycle Management</v>
      </c>
      <c r="C14" s="49" t="str">
        <f>IF('I | Forecast 23-27'!C14="","",'I | Forecast 23-27'!C14)</f>
        <v>SCADA Hardware Lifecycle Management</v>
      </c>
      <c r="D14" s="49" t="str">
        <f>IF('I | Forecast 23-27'!D14="","",'I | Forecast 23-27'!D14)</f>
        <v>SIB Capex</v>
      </c>
      <c r="E14" s="49" t="str">
        <f>IF('I | Forecast 23-27'!E14="","",'I | Forecast 23-27'!E14)</f>
        <v>Replacement</v>
      </c>
      <c r="F14" s="49" t="str">
        <f>IF('I | Forecast 23-27'!F14="","",'I | Forecast 23-27'!F14)</f>
        <v>As-incurred</v>
      </c>
      <c r="G14" s="49" t="str">
        <f>IF('I | Forecast 23-27'!G14="","",'I | Forecast 23-27'!G14)</f>
        <v>FY 22</v>
      </c>
      <c r="H14" s="49" t="str">
        <f>IF('I | Forecast 23-27'!H14="","",'I | Forecast 23-27'!H14)</f>
        <v>March</v>
      </c>
      <c r="I14" s="50"/>
      <c r="J14" s="52">
        <f>IFERROR(VLOOKUP($A14,'I | Forecast 23-27'!$A$11:$N$160,J$8,0)*HLOOKUP(J$10,'I | Inflation'!$C$52:$H$54,3,0),0)</f>
        <v>818007.37396107975</v>
      </c>
      <c r="K14" s="52">
        <f>IFERROR(VLOOKUP($A14,'I | Forecast 23-27'!$A$11:$N$160,K$8,0)*HLOOKUP(K$10,'I | Inflation'!$C$52:$H$54,3,0),0)</f>
        <v>0</v>
      </c>
      <c r="L14" s="52">
        <f>IFERROR(VLOOKUP($A14,'I | Forecast 23-27'!$A$11:$N$160,L$8,0)*HLOOKUP(L$10,'I | Inflation'!$C$52:$H$54,3,0),0)</f>
        <v>0</v>
      </c>
      <c r="M14" s="52">
        <f>IFERROR(VLOOKUP($A14,'I | Forecast 23-27'!$A$11:$N$160,M$8,0)*HLOOKUP(M$10,'I | Inflation'!$C$52:$H$54,3,0),0)</f>
        <v>0</v>
      </c>
      <c r="N14" s="52">
        <f>IFERROR(VLOOKUP($A14,'I | Forecast 23-27'!$A$11:$N$160,N$8,0)*HLOOKUP(N$10,'I | Inflation'!$C$52:$H$54,3,0),0)</f>
        <v>0</v>
      </c>
      <c r="O14" s="54">
        <f t="shared" si="0"/>
        <v>818007.37396107975</v>
      </c>
      <c r="P14" s="53"/>
    </row>
    <row r="15" spans="1:16" s="4" customFormat="1" x14ac:dyDescent="0.3">
      <c r="A15" s="56">
        <v>5</v>
      </c>
      <c r="B15" s="49" t="str">
        <f>IF('I | Forecast 23-27'!B15="","",'I | Forecast 23-27'!B15)</f>
        <v>DN300 Metro - ILI - MFL + EMAT</v>
      </c>
      <c r="C15" s="49" t="str">
        <f>IF('I | Forecast 23-27'!C15="","",'I | Forecast 23-27'!C15)</f>
        <v>Pipeline Integrity</v>
      </c>
      <c r="D15" s="49" t="str">
        <f>IF('I | Forecast 23-27'!D15="","",'I | Forecast 23-27'!D15)</f>
        <v>Pipelines</v>
      </c>
      <c r="E15" s="49" t="str">
        <f>IF('I | Forecast 23-27'!E15="","",'I | Forecast 23-27'!E15)</f>
        <v>Replacement</v>
      </c>
      <c r="F15" s="49" t="str">
        <f>IF('I | Forecast 23-27'!F15="","",'I | Forecast 23-27'!F15)</f>
        <v>As-incurred</v>
      </c>
      <c r="G15" s="49" t="str">
        <f>IF('I | Forecast 23-27'!G15="","",'I | Forecast 23-27'!G15)</f>
        <v>FY 22</v>
      </c>
      <c r="H15" s="49" t="str">
        <f>IF('I | Forecast 23-27'!H15="","",'I | Forecast 23-27'!H15)</f>
        <v>March</v>
      </c>
      <c r="I15" s="50"/>
      <c r="J15" s="52">
        <f>IFERROR(VLOOKUP($A15,'I | Forecast 23-27'!$A$11:$N$160,J$8,0)*HLOOKUP(J$10,'I | Inflation'!$C$52:$H$54,3,0),0)</f>
        <v>0</v>
      </c>
      <c r="K15" s="52">
        <f>IFERROR(VLOOKUP($A15,'I | Forecast 23-27'!$A$11:$N$160,K$8,0)*HLOOKUP(K$10,'I | Inflation'!$C$52:$H$54,3,0),0)</f>
        <v>0</v>
      </c>
      <c r="L15" s="52">
        <f>IFERROR(VLOOKUP($A15,'I | Forecast 23-27'!$A$11:$N$160,L$8,0)*HLOOKUP(L$10,'I | Inflation'!$C$52:$H$54,3,0),0)</f>
        <v>0</v>
      </c>
      <c r="M15" s="52">
        <f>IFERROR(VLOOKUP($A15,'I | Forecast 23-27'!$A$11:$N$160,M$8,0)*HLOOKUP(M$10,'I | Inflation'!$C$52:$H$54,3,0),0)</f>
        <v>0</v>
      </c>
      <c r="N15" s="52">
        <f>IFERROR(VLOOKUP($A15,'I | Forecast 23-27'!$A$11:$N$160,N$8,0)*HLOOKUP(N$10,'I | Inflation'!$C$52:$H$54,3,0),0)</f>
        <v>1428950.2097596007</v>
      </c>
      <c r="O15" s="54">
        <f t="shared" si="0"/>
        <v>1428950.2097596007</v>
      </c>
      <c r="P15" s="53"/>
    </row>
    <row r="16" spans="1:16" s="4" customFormat="1" x14ac:dyDescent="0.3">
      <c r="A16" s="56">
        <v>6</v>
      </c>
      <c r="B16" s="49" t="str">
        <f>IF('I | Forecast 23-27'!B16="","",'I | Forecast 23-27'!B16)</f>
        <v>DN300 Metro Validation dig ILI</v>
      </c>
      <c r="C16" s="49" t="str">
        <f>IF('I | Forecast 23-27'!C16="","",'I | Forecast 23-27'!C16)</f>
        <v>Pipeline Integrity</v>
      </c>
      <c r="D16" s="49" t="str">
        <f>IF('I | Forecast 23-27'!D16="","",'I | Forecast 23-27'!D16)</f>
        <v>Pipelines</v>
      </c>
      <c r="E16" s="49" t="str">
        <f>IF('I | Forecast 23-27'!E16="","",'I | Forecast 23-27'!E16)</f>
        <v>Replacement</v>
      </c>
      <c r="F16" s="49" t="str">
        <f>IF('I | Forecast 23-27'!F16="","",'I | Forecast 23-27'!F16)</f>
        <v>As-incurred</v>
      </c>
      <c r="G16" s="49" t="str">
        <f>IF('I | Forecast 23-27'!G16="","",'I | Forecast 23-27'!G16)</f>
        <v>FY 22</v>
      </c>
      <c r="H16" s="49" t="str">
        <f>IF('I | Forecast 23-27'!H16="","",'I | Forecast 23-27'!H16)</f>
        <v>March</v>
      </c>
      <c r="I16" s="50"/>
      <c r="J16" s="52">
        <f>IFERROR(VLOOKUP($A16,'I | Forecast 23-27'!$A$11:$N$160,J$8,0)*HLOOKUP(J$10,'I | Inflation'!$C$52:$H$54,3,0),0)</f>
        <v>923687.13039535622</v>
      </c>
      <c r="K16" s="52">
        <f>IFERROR(VLOOKUP($A16,'I | Forecast 23-27'!$A$11:$N$160,K$8,0)*HLOOKUP(K$10,'I | Inflation'!$C$52:$H$54,3,0),0)</f>
        <v>0</v>
      </c>
      <c r="L16" s="52">
        <f>IFERROR(VLOOKUP($A16,'I | Forecast 23-27'!$A$11:$N$160,L$8,0)*HLOOKUP(L$10,'I | Inflation'!$C$52:$H$54,3,0),0)</f>
        <v>0</v>
      </c>
      <c r="M16" s="52">
        <f>IFERROR(VLOOKUP($A16,'I | Forecast 23-27'!$A$11:$N$160,M$8,0)*HLOOKUP(M$10,'I | Inflation'!$C$52:$H$54,3,0),0)</f>
        <v>0</v>
      </c>
      <c r="N16" s="52">
        <f>IFERROR(VLOOKUP($A16,'I | Forecast 23-27'!$A$11:$N$160,N$8,0)*HLOOKUP(N$10,'I | Inflation'!$C$52:$H$54,3,0),0)</f>
        <v>0</v>
      </c>
      <c r="O16" s="54">
        <f t="shared" si="0"/>
        <v>923687.13039535622</v>
      </c>
      <c r="P16" s="53"/>
    </row>
    <row r="17" spans="1:16" s="4" customFormat="1" x14ac:dyDescent="0.3">
      <c r="A17" s="56">
        <v>7</v>
      </c>
      <c r="B17" s="49" t="str">
        <f>IF('I | Forecast 23-27'!B17="","",'I | Forecast 23-27'!B17)</f>
        <v>DN200 Lytton Lateral - ILI - MFL</v>
      </c>
      <c r="C17" s="49" t="str">
        <f>IF('I | Forecast 23-27'!C17="","",'I | Forecast 23-27'!C17)</f>
        <v>Pipeline Integrity</v>
      </c>
      <c r="D17" s="49" t="str">
        <f>IF('I | Forecast 23-27'!D17="","",'I | Forecast 23-27'!D17)</f>
        <v>Pipelines</v>
      </c>
      <c r="E17" s="49" t="str">
        <f>IF('I | Forecast 23-27'!E17="","",'I | Forecast 23-27'!E17)</f>
        <v>Replacement</v>
      </c>
      <c r="F17" s="49" t="str">
        <f>IF('I | Forecast 23-27'!F17="","",'I | Forecast 23-27'!F17)</f>
        <v>As-incurred</v>
      </c>
      <c r="G17" s="49" t="str">
        <f>IF('I | Forecast 23-27'!G17="","",'I | Forecast 23-27'!G17)</f>
        <v>FY 22</v>
      </c>
      <c r="H17" s="49" t="str">
        <f>IF('I | Forecast 23-27'!H17="","",'I | Forecast 23-27'!H17)</f>
        <v>March</v>
      </c>
      <c r="I17" s="50"/>
      <c r="J17" s="52">
        <f>IFERROR(VLOOKUP($A17,'I | Forecast 23-27'!$A$11:$N$160,J$8,0)*HLOOKUP(J$10,'I | Inflation'!$C$52:$H$54,3,0),0)</f>
        <v>0</v>
      </c>
      <c r="K17" s="52">
        <f>IFERROR(VLOOKUP($A17,'I | Forecast 23-27'!$A$11:$N$160,K$8,0)*HLOOKUP(K$10,'I | Inflation'!$C$52:$H$54,3,0),0)</f>
        <v>0</v>
      </c>
      <c r="L17" s="52">
        <f>IFERROR(VLOOKUP($A17,'I | Forecast 23-27'!$A$11:$N$160,L$8,0)*HLOOKUP(L$10,'I | Inflation'!$C$52:$H$54,3,0),0)</f>
        <v>0</v>
      </c>
      <c r="M17" s="52">
        <f>IFERROR(VLOOKUP($A17,'I | Forecast 23-27'!$A$11:$N$160,M$8,0)*HLOOKUP(M$10,'I | Inflation'!$C$52:$H$54,3,0),0)</f>
        <v>0</v>
      </c>
      <c r="N17" s="52">
        <f>IFERROR(VLOOKUP($A17,'I | Forecast 23-27'!$A$11:$N$160,N$8,0)*HLOOKUP(N$10,'I | Inflation'!$C$52:$H$54,3,0),0)</f>
        <v>300079.54404951615</v>
      </c>
      <c r="O17" s="54">
        <f t="shared" si="0"/>
        <v>300079.54404951615</v>
      </c>
      <c r="P17" s="53"/>
    </row>
    <row r="18" spans="1:16" s="4" customFormat="1" x14ac:dyDescent="0.3">
      <c r="A18" s="56">
        <v>8</v>
      </c>
      <c r="B18" s="49" t="str">
        <f>IF('I | Forecast 23-27'!B18="","",'I | Forecast 23-27'!B18)</f>
        <v>Gatton - Battery Charger Replacement</v>
      </c>
      <c r="C18" s="49" t="str">
        <f>IF('I | Forecast 23-27'!C18="","",'I | Forecast 23-27'!C18)</f>
        <v>Battery Charger Replacement</v>
      </c>
      <c r="D18" s="49" t="str">
        <f>IF('I | Forecast 23-27'!D18="","",'I | Forecast 23-27'!D18)</f>
        <v>Compressors</v>
      </c>
      <c r="E18" s="49" t="str">
        <f>IF('I | Forecast 23-27'!E18="","",'I | Forecast 23-27'!E18)</f>
        <v>Replacement</v>
      </c>
      <c r="F18" s="49" t="str">
        <f>IF('I | Forecast 23-27'!F18="","",'I | Forecast 23-27'!F18)</f>
        <v>As-incurred</v>
      </c>
      <c r="G18" s="49" t="str">
        <f>IF('I | Forecast 23-27'!G18="","",'I | Forecast 23-27'!G18)</f>
        <v>FY 22</v>
      </c>
      <c r="H18" s="49" t="str">
        <f>IF('I | Forecast 23-27'!H18="","",'I | Forecast 23-27'!H18)</f>
        <v>March</v>
      </c>
      <c r="I18" s="50"/>
      <c r="J18" s="52">
        <f>IFERROR(VLOOKUP($A18,'I | Forecast 23-27'!$A$11:$N$160,J$8,0)*HLOOKUP(J$10,'I | Inflation'!$C$52:$H$54,3,0),0)</f>
        <v>91203.386271730938</v>
      </c>
      <c r="K18" s="52">
        <f>IFERROR(VLOOKUP($A18,'I | Forecast 23-27'!$A$11:$N$160,K$8,0)*HLOOKUP(K$10,'I | Inflation'!$C$52:$H$54,3,0),0)</f>
        <v>0</v>
      </c>
      <c r="L18" s="52">
        <f>IFERROR(VLOOKUP($A18,'I | Forecast 23-27'!$A$11:$N$160,L$8,0)*HLOOKUP(L$10,'I | Inflation'!$C$52:$H$54,3,0),0)</f>
        <v>0</v>
      </c>
      <c r="M18" s="52">
        <f>IFERROR(VLOOKUP($A18,'I | Forecast 23-27'!$A$11:$N$160,M$8,0)*HLOOKUP(M$10,'I | Inflation'!$C$52:$H$54,3,0),0)</f>
        <v>0</v>
      </c>
      <c r="N18" s="52">
        <f>IFERROR(VLOOKUP($A18,'I | Forecast 23-27'!$A$11:$N$160,N$8,0)*HLOOKUP(N$10,'I | Inflation'!$C$52:$H$54,3,0),0)</f>
        <v>0</v>
      </c>
      <c r="O18" s="54">
        <f t="shared" si="0"/>
        <v>91203.386271730938</v>
      </c>
      <c r="P18" s="53"/>
    </row>
    <row r="19" spans="1:16" s="4" customFormat="1" x14ac:dyDescent="0.3">
      <c r="A19" s="56">
        <v>9</v>
      </c>
      <c r="B19" s="49" t="str">
        <f>IF('I | Forecast 23-27'!B19="","",'I | Forecast 23-27'!B19)</f>
        <v>Kogan - Battery Charger Replacement</v>
      </c>
      <c r="C19" s="49" t="str">
        <f>IF('I | Forecast 23-27'!C19="","",'I | Forecast 23-27'!C19)</f>
        <v>Battery Charger Replacement</v>
      </c>
      <c r="D19" s="49" t="str">
        <f>IF('I | Forecast 23-27'!D19="","",'I | Forecast 23-27'!D19)</f>
        <v>Compressors</v>
      </c>
      <c r="E19" s="49" t="str">
        <f>IF('I | Forecast 23-27'!E19="","",'I | Forecast 23-27'!E19)</f>
        <v>Replacement</v>
      </c>
      <c r="F19" s="49" t="str">
        <f>IF('I | Forecast 23-27'!F19="","",'I | Forecast 23-27'!F19)</f>
        <v>As-incurred</v>
      </c>
      <c r="G19" s="49" t="str">
        <f>IF('I | Forecast 23-27'!G19="","",'I | Forecast 23-27'!G19)</f>
        <v>FY 22</v>
      </c>
      <c r="H19" s="49" t="str">
        <f>IF('I | Forecast 23-27'!H19="","",'I | Forecast 23-27'!H19)</f>
        <v>March</v>
      </c>
      <c r="I19" s="50"/>
      <c r="J19" s="52">
        <f>IFERROR(VLOOKUP($A19,'I | Forecast 23-27'!$A$11:$N$160,J$8,0)*HLOOKUP(J$10,'I | Inflation'!$C$52:$H$54,3,0),0)</f>
        <v>91203.386271730938</v>
      </c>
      <c r="K19" s="52">
        <f>IFERROR(VLOOKUP($A19,'I | Forecast 23-27'!$A$11:$N$160,K$8,0)*HLOOKUP(K$10,'I | Inflation'!$C$52:$H$54,3,0),0)</f>
        <v>0</v>
      </c>
      <c r="L19" s="52">
        <f>IFERROR(VLOOKUP($A19,'I | Forecast 23-27'!$A$11:$N$160,L$8,0)*HLOOKUP(L$10,'I | Inflation'!$C$52:$H$54,3,0),0)</f>
        <v>0</v>
      </c>
      <c r="M19" s="52">
        <f>IFERROR(VLOOKUP($A19,'I | Forecast 23-27'!$A$11:$N$160,M$8,0)*HLOOKUP(M$10,'I | Inflation'!$C$52:$H$54,3,0),0)</f>
        <v>0</v>
      </c>
      <c r="N19" s="52">
        <f>IFERROR(VLOOKUP($A19,'I | Forecast 23-27'!$A$11:$N$160,N$8,0)*HLOOKUP(N$10,'I | Inflation'!$C$52:$H$54,3,0),0)</f>
        <v>0</v>
      </c>
      <c r="O19" s="54">
        <f t="shared" si="0"/>
        <v>91203.386271730938</v>
      </c>
      <c r="P19" s="53"/>
    </row>
    <row r="20" spans="1:16" s="4" customFormat="1" x14ac:dyDescent="0.3">
      <c r="A20" s="56">
        <v>10</v>
      </c>
      <c r="B20" s="49" t="str">
        <f>IF('I | Forecast 23-27'!B20="","",'I | Forecast 23-27'!B20)</f>
        <v>Oakey - Battery Charger Replacement</v>
      </c>
      <c r="C20" s="49" t="str">
        <f>IF('I | Forecast 23-27'!C20="","",'I | Forecast 23-27'!C20)</f>
        <v>Battery Charger Replacement</v>
      </c>
      <c r="D20" s="49" t="str">
        <f>IF('I | Forecast 23-27'!D20="","",'I | Forecast 23-27'!D20)</f>
        <v>Compressors</v>
      </c>
      <c r="E20" s="49" t="str">
        <f>IF('I | Forecast 23-27'!E20="","",'I | Forecast 23-27'!E20)</f>
        <v>Replacement</v>
      </c>
      <c r="F20" s="49" t="str">
        <f>IF('I | Forecast 23-27'!F20="","",'I | Forecast 23-27'!F20)</f>
        <v>As-incurred</v>
      </c>
      <c r="G20" s="49" t="str">
        <f>IF('I | Forecast 23-27'!G20="","",'I | Forecast 23-27'!G20)</f>
        <v>FY 22</v>
      </c>
      <c r="H20" s="49" t="str">
        <f>IF('I | Forecast 23-27'!H20="","",'I | Forecast 23-27'!H20)</f>
        <v>March</v>
      </c>
      <c r="I20" s="50"/>
      <c r="J20" s="52">
        <f>IFERROR(VLOOKUP($A20,'I | Forecast 23-27'!$A$11:$N$160,J$8,0)*HLOOKUP(J$10,'I | Inflation'!$C$52:$H$54,3,0),0)</f>
        <v>91203.386271730938</v>
      </c>
      <c r="K20" s="52">
        <f>IFERROR(VLOOKUP($A20,'I | Forecast 23-27'!$A$11:$N$160,K$8,0)*HLOOKUP(K$10,'I | Inflation'!$C$52:$H$54,3,0),0)</f>
        <v>0</v>
      </c>
      <c r="L20" s="52">
        <f>IFERROR(VLOOKUP($A20,'I | Forecast 23-27'!$A$11:$N$160,L$8,0)*HLOOKUP(L$10,'I | Inflation'!$C$52:$H$54,3,0),0)</f>
        <v>0</v>
      </c>
      <c r="M20" s="52">
        <f>IFERROR(VLOOKUP($A20,'I | Forecast 23-27'!$A$11:$N$160,M$8,0)*HLOOKUP(M$10,'I | Inflation'!$C$52:$H$54,3,0),0)</f>
        <v>0</v>
      </c>
      <c r="N20" s="52">
        <f>IFERROR(VLOOKUP($A20,'I | Forecast 23-27'!$A$11:$N$160,N$8,0)*HLOOKUP(N$10,'I | Inflation'!$C$52:$H$54,3,0),0)</f>
        <v>0</v>
      </c>
      <c r="O20" s="54">
        <f t="shared" si="0"/>
        <v>91203.386271730938</v>
      </c>
      <c r="P20" s="53"/>
    </row>
    <row r="21" spans="1:16" s="4" customFormat="1" x14ac:dyDescent="0.3">
      <c r="A21" s="56">
        <v>11</v>
      </c>
      <c r="B21" s="49" t="str">
        <f>IF('I | Forecast 23-27'!B21="","",'I | Forecast 23-27'!B21)</f>
        <v>Peat Lateral Liquid Removal upgrades</v>
      </c>
      <c r="C21" s="49" t="str">
        <f>IF('I | Forecast 23-27'!C21="","",'I | Forecast 23-27'!C21)</f>
        <v>Liquids Removal</v>
      </c>
      <c r="D21" s="49" t="str">
        <f>IF('I | Forecast 23-27'!D21="","",'I | Forecast 23-27'!D21)</f>
        <v>Pipelines</v>
      </c>
      <c r="E21" s="49" t="str">
        <f>IF('I | Forecast 23-27'!E21="","",'I | Forecast 23-27'!E21)</f>
        <v>Replacement</v>
      </c>
      <c r="F21" s="49" t="str">
        <f>IF('I | Forecast 23-27'!F21="","",'I | Forecast 23-27'!F21)</f>
        <v>As-incurred</v>
      </c>
      <c r="G21" s="49" t="str">
        <f>IF('I | Forecast 23-27'!G21="","",'I | Forecast 23-27'!G21)</f>
        <v>FY 22</v>
      </c>
      <c r="H21" s="49" t="str">
        <f>IF('I | Forecast 23-27'!H21="","",'I | Forecast 23-27'!H21)</f>
        <v>March</v>
      </c>
      <c r="I21" s="50"/>
      <c r="J21" s="52">
        <f>IFERROR(VLOOKUP($A21,'I | Forecast 23-27'!$A$11:$N$160,J$8,0)*HLOOKUP(J$10,'I | Inflation'!$C$52:$H$54,3,0),0)</f>
        <v>1140177.7458937615</v>
      </c>
      <c r="K21" s="52">
        <f>IFERROR(VLOOKUP($A21,'I | Forecast 23-27'!$A$11:$N$160,K$8,0)*HLOOKUP(K$10,'I | Inflation'!$C$52:$H$54,3,0),0)</f>
        <v>0</v>
      </c>
      <c r="L21" s="52">
        <f>IFERROR(VLOOKUP($A21,'I | Forecast 23-27'!$A$11:$N$160,L$8,0)*HLOOKUP(L$10,'I | Inflation'!$C$52:$H$54,3,0),0)</f>
        <v>0</v>
      </c>
      <c r="M21" s="52">
        <f>IFERROR(VLOOKUP($A21,'I | Forecast 23-27'!$A$11:$N$160,M$8,0)*HLOOKUP(M$10,'I | Inflation'!$C$52:$H$54,3,0),0)</f>
        <v>0</v>
      </c>
      <c r="N21" s="52">
        <f>IFERROR(VLOOKUP($A21,'I | Forecast 23-27'!$A$11:$N$160,N$8,0)*HLOOKUP(N$10,'I | Inflation'!$C$52:$H$54,3,0),0)</f>
        <v>0</v>
      </c>
      <c r="O21" s="54">
        <f t="shared" si="0"/>
        <v>1140177.7458937615</v>
      </c>
      <c r="P21" s="53"/>
    </row>
    <row r="22" spans="1:16" s="4" customFormat="1" x14ac:dyDescent="0.3">
      <c r="A22" s="56">
        <v>12</v>
      </c>
      <c r="B22" s="49" t="str">
        <f>IF('I | Forecast 23-27'!B22="","",'I | Forecast 23-27'!B22)</f>
        <v>Underground valves upgrades</v>
      </c>
      <c r="C22" s="49" t="str">
        <f>IF('I | Forecast 23-27'!C22="","",'I | Forecast 23-27'!C22)</f>
        <v>Valve Upgrade</v>
      </c>
      <c r="D22" s="49" t="str">
        <f>IF('I | Forecast 23-27'!D22="","",'I | Forecast 23-27'!D22)</f>
        <v>Pipelines</v>
      </c>
      <c r="E22" s="49" t="str">
        <f>IF('I | Forecast 23-27'!E22="","",'I | Forecast 23-27'!E22)</f>
        <v>Replacement</v>
      </c>
      <c r="F22" s="49" t="str">
        <f>IF('I | Forecast 23-27'!F22="","",'I | Forecast 23-27'!F22)</f>
        <v>As-incurred</v>
      </c>
      <c r="G22" s="49" t="str">
        <f>IF('I | Forecast 23-27'!G22="","",'I | Forecast 23-27'!G22)</f>
        <v>FY 22</v>
      </c>
      <c r="H22" s="49" t="str">
        <f>IF('I | Forecast 23-27'!H22="","",'I | Forecast 23-27'!H22)</f>
        <v>March</v>
      </c>
      <c r="I22" s="50"/>
      <c r="J22" s="52">
        <f>IFERROR(VLOOKUP($A22,'I | Forecast 23-27'!$A$11:$N$160,J$8,0)*HLOOKUP(J$10,'I | Inflation'!$C$52:$H$54,3,0),0)</f>
        <v>121532.82456192703</v>
      </c>
      <c r="K22" s="52">
        <f>IFERROR(VLOOKUP($A22,'I | Forecast 23-27'!$A$11:$N$160,K$8,0)*HLOOKUP(K$10,'I | Inflation'!$C$52:$H$54,3,0),0)</f>
        <v>152318.43592601229</v>
      </c>
      <c r="L22" s="52">
        <f>IFERROR(VLOOKUP($A22,'I | Forecast 23-27'!$A$11:$N$160,L$8,0)*HLOOKUP(L$10,'I | Inflation'!$C$52:$H$54,3,0),0)</f>
        <v>0</v>
      </c>
      <c r="M22" s="52">
        <f>IFERROR(VLOOKUP($A22,'I | Forecast 23-27'!$A$11:$N$160,M$8,0)*HLOOKUP(M$10,'I | Inflation'!$C$52:$H$54,3,0),0)</f>
        <v>0</v>
      </c>
      <c r="N22" s="52">
        <f>IFERROR(VLOOKUP($A22,'I | Forecast 23-27'!$A$11:$N$160,N$8,0)*HLOOKUP(N$10,'I | Inflation'!$C$52:$H$54,3,0),0)</f>
        <v>0</v>
      </c>
      <c r="O22" s="54">
        <f t="shared" si="0"/>
        <v>273851.26048793935</v>
      </c>
      <c r="P22" s="53"/>
    </row>
    <row r="23" spans="1:16" s="4" customFormat="1" x14ac:dyDescent="0.3">
      <c r="A23" s="56">
        <v>13</v>
      </c>
      <c r="B23" s="49" t="str">
        <f>IF('I | Forecast 23-27'!B23="","",'I | Forecast 23-27'!B23)</f>
        <v>Dalby CS Comms Relocation</v>
      </c>
      <c r="C23" s="49" t="str">
        <f>IF('I | Forecast 23-27'!C23="","",'I | Forecast 23-27'!C23)</f>
        <v>Dalby Communication Relocation</v>
      </c>
      <c r="D23" s="49" t="str">
        <f>IF('I | Forecast 23-27'!D23="","",'I | Forecast 23-27'!D23)</f>
        <v>SIB Capex</v>
      </c>
      <c r="E23" s="49" t="str">
        <f>IF('I | Forecast 23-27'!E23="","",'I | Forecast 23-27'!E23)</f>
        <v>Replacement</v>
      </c>
      <c r="F23" s="49" t="str">
        <f>IF('I | Forecast 23-27'!F23="","",'I | Forecast 23-27'!F23)</f>
        <v>As-incurred</v>
      </c>
      <c r="G23" s="49" t="str">
        <f>IF('I | Forecast 23-27'!G23="","",'I | Forecast 23-27'!G23)</f>
        <v>FY 22</v>
      </c>
      <c r="H23" s="49" t="str">
        <f>IF('I | Forecast 23-27'!H23="","",'I | Forecast 23-27'!H23)</f>
        <v>March</v>
      </c>
      <c r="I23" s="50"/>
      <c r="J23" s="52">
        <f>IFERROR(VLOOKUP($A23,'I | Forecast 23-27'!$A$11:$N$160,J$8,0)*HLOOKUP(J$10,'I | Inflation'!$C$52:$H$54,3,0),0)</f>
        <v>60789.52799307993</v>
      </c>
      <c r="K23" s="52">
        <f>IFERROR(VLOOKUP($A23,'I | Forecast 23-27'!$A$11:$N$160,K$8,0)*HLOOKUP(K$10,'I | Inflation'!$C$52:$H$54,3,0),0)</f>
        <v>0</v>
      </c>
      <c r="L23" s="52">
        <f>IFERROR(VLOOKUP($A23,'I | Forecast 23-27'!$A$11:$N$160,L$8,0)*HLOOKUP(L$10,'I | Inflation'!$C$52:$H$54,3,0),0)</f>
        <v>0</v>
      </c>
      <c r="M23" s="52">
        <f>IFERROR(VLOOKUP($A23,'I | Forecast 23-27'!$A$11:$N$160,M$8,0)*HLOOKUP(M$10,'I | Inflation'!$C$52:$H$54,3,0),0)</f>
        <v>0</v>
      </c>
      <c r="N23" s="52">
        <f>IFERROR(VLOOKUP($A23,'I | Forecast 23-27'!$A$11:$N$160,N$8,0)*HLOOKUP(N$10,'I | Inflation'!$C$52:$H$54,3,0),0)</f>
        <v>0</v>
      </c>
      <c r="O23" s="54">
        <f t="shared" si="0"/>
        <v>60789.52799307993</v>
      </c>
      <c r="P23" s="53"/>
    </row>
    <row r="24" spans="1:16" s="4" customFormat="1" x14ac:dyDescent="0.3">
      <c r="A24" s="56">
        <v>14</v>
      </c>
      <c r="B24" s="49" t="str">
        <f>IF('I | Forecast 23-27'!B24="","",'I | Forecast 23-27'!B24)</f>
        <v>DN400 Metro Loop - ILI - MFL</v>
      </c>
      <c r="C24" s="49" t="str">
        <f>IF('I | Forecast 23-27'!C24="","",'I | Forecast 23-27'!C24)</f>
        <v>Pipeline Integrity</v>
      </c>
      <c r="D24" s="49" t="str">
        <f>IF('I | Forecast 23-27'!D24="","",'I | Forecast 23-27'!D24)</f>
        <v>Pipelines</v>
      </c>
      <c r="E24" s="49" t="str">
        <f>IF('I | Forecast 23-27'!E24="","",'I | Forecast 23-27'!E24)</f>
        <v>Replacement</v>
      </c>
      <c r="F24" s="49" t="str">
        <f>IF('I | Forecast 23-27'!F24="","",'I | Forecast 23-27'!F24)</f>
        <v>As-incurred</v>
      </c>
      <c r="G24" s="49" t="str">
        <f>IF('I | Forecast 23-27'!G24="","",'I | Forecast 23-27'!G24)</f>
        <v>FY 22</v>
      </c>
      <c r="H24" s="49" t="str">
        <f>IF('I | Forecast 23-27'!H24="","",'I | Forecast 23-27'!H24)</f>
        <v>March</v>
      </c>
      <c r="I24" s="50"/>
      <c r="J24" s="52">
        <f>IFERROR(VLOOKUP($A24,'I | Forecast 23-27'!$A$11:$N$160,J$8,0)*HLOOKUP(J$10,'I | Inflation'!$C$52:$H$54,3,0),0)</f>
        <v>0</v>
      </c>
      <c r="K24" s="52">
        <f>IFERROR(VLOOKUP($A24,'I | Forecast 23-27'!$A$11:$N$160,K$8,0)*HLOOKUP(K$10,'I | Inflation'!$C$52:$H$54,3,0),0)</f>
        <v>0</v>
      </c>
      <c r="L24" s="52">
        <f>IFERROR(VLOOKUP($A24,'I | Forecast 23-27'!$A$11:$N$160,L$8,0)*HLOOKUP(L$10,'I | Inflation'!$C$52:$H$54,3,0),0)</f>
        <v>0</v>
      </c>
      <c r="M24" s="52">
        <f>IFERROR(VLOOKUP($A24,'I | Forecast 23-27'!$A$11:$N$160,M$8,0)*HLOOKUP(M$10,'I | Inflation'!$C$52:$H$54,3,0),0)</f>
        <v>0</v>
      </c>
      <c r="N24" s="52">
        <f>IFERROR(VLOOKUP($A24,'I | Forecast 23-27'!$A$11:$N$160,N$8,0)*HLOOKUP(N$10,'I | Inflation'!$C$52:$H$54,3,0),0)</f>
        <v>0</v>
      </c>
      <c r="O24" s="54">
        <f t="shared" si="0"/>
        <v>0</v>
      </c>
      <c r="P24" s="53"/>
    </row>
    <row r="25" spans="1:16" s="4" customFormat="1" x14ac:dyDescent="0.3">
      <c r="A25" s="56">
        <v>15</v>
      </c>
      <c r="B25" s="49" t="str">
        <f>IF('I | Forecast 23-27'!B25="","",'I | Forecast 23-27'!B25)</f>
        <v>Warrego Highway upgrade pipeline protection</v>
      </c>
      <c r="C25" s="49" t="str">
        <f>IF('I | Forecast 23-27'!C25="","",'I | Forecast 23-27'!C25)</f>
        <v>Pipeline Relocation</v>
      </c>
      <c r="D25" s="49" t="str">
        <f>IF('I | Forecast 23-27'!D25="","",'I | Forecast 23-27'!D25)</f>
        <v>Pipelines</v>
      </c>
      <c r="E25" s="49" t="str">
        <f>IF('I | Forecast 23-27'!E25="","",'I | Forecast 23-27'!E25)</f>
        <v>Replacement</v>
      </c>
      <c r="F25" s="49" t="str">
        <f>IF('I | Forecast 23-27'!F25="","",'I | Forecast 23-27'!F25)</f>
        <v>As-incurred</v>
      </c>
      <c r="G25" s="49" t="str">
        <f>IF('I | Forecast 23-27'!G25="","",'I | Forecast 23-27'!G25)</f>
        <v>FY 22</v>
      </c>
      <c r="H25" s="49" t="str">
        <f>IF('I | Forecast 23-27'!H25="","",'I | Forecast 23-27'!H25)</f>
        <v>March</v>
      </c>
      <c r="I25" s="50"/>
      <c r="J25" s="52">
        <f>IFERROR(VLOOKUP($A25,'I | Forecast 23-27'!$A$11:$N$160,J$8,0)*HLOOKUP(J$10,'I | Inflation'!$C$52:$H$54,3,0),0)</f>
        <v>0</v>
      </c>
      <c r="K25" s="52">
        <f>IFERROR(VLOOKUP($A25,'I | Forecast 23-27'!$A$11:$N$160,K$8,0)*HLOOKUP(K$10,'I | Inflation'!$C$52:$H$54,3,0),0)</f>
        <v>379222.76951846515</v>
      </c>
      <c r="L25" s="52">
        <f>IFERROR(VLOOKUP($A25,'I | Forecast 23-27'!$A$11:$N$160,L$8,0)*HLOOKUP(L$10,'I | Inflation'!$C$52:$H$54,3,0),0)</f>
        <v>0</v>
      </c>
      <c r="M25" s="52">
        <f>IFERROR(VLOOKUP($A25,'I | Forecast 23-27'!$A$11:$N$160,M$8,0)*HLOOKUP(M$10,'I | Inflation'!$C$52:$H$54,3,0),0)</f>
        <v>0</v>
      </c>
      <c r="N25" s="52">
        <f>IFERROR(VLOOKUP($A25,'I | Forecast 23-27'!$A$11:$N$160,N$8,0)*HLOOKUP(N$10,'I | Inflation'!$C$52:$H$54,3,0),0)</f>
        <v>0</v>
      </c>
      <c r="O25" s="54">
        <f t="shared" si="0"/>
        <v>379222.76951846515</v>
      </c>
      <c r="P25" s="53"/>
    </row>
    <row r="26" spans="1:16" s="4" customFormat="1" x14ac:dyDescent="0.3">
      <c r="A26" s="56">
        <v>16</v>
      </c>
      <c r="B26" s="49" t="str">
        <f>IF('I | Forecast 23-27'!B26="","",'I | Forecast 23-27'!B26)</f>
        <v>Oakey &amp; Kogan Decommissioning</v>
      </c>
      <c r="C26" s="49" t="str">
        <f>IF('I | Forecast 23-27'!C26="","",'I | Forecast 23-27'!C26)</f>
        <v>Minor Projects</v>
      </c>
      <c r="D26" s="49" t="str">
        <f>IF('I | Forecast 23-27'!D26="","",'I | Forecast 23-27'!D26)</f>
        <v xml:space="preserve">Compressors </v>
      </c>
      <c r="E26" s="49" t="str">
        <f>IF('I | Forecast 23-27'!E26="","",'I | Forecast 23-27'!E26)</f>
        <v>Replacement</v>
      </c>
      <c r="F26" s="49" t="str">
        <f>IF('I | Forecast 23-27'!F26="","",'I | Forecast 23-27'!F26)</f>
        <v>As-incurred</v>
      </c>
      <c r="G26" s="49" t="str">
        <f>IF('I | Forecast 23-27'!G26="","",'I | Forecast 23-27'!G26)</f>
        <v>FY 22</v>
      </c>
      <c r="H26" s="49" t="str">
        <f>IF('I | Forecast 23-27'!H26="","",'I | Forecast 23-27'!H26)</f>
        <v>March</v>
      </c>
      <c r="I26" s="50"/>
      <c r="J26" s="52">
        <f>IFERROR(VLOOKUP($A26,'I | Forecast 23-27'!$A$11:$N$160,J$8,0)*HLOOKUP(J$10,'I | Inflation'!$C$52:$H$54,3,0),0)</f>
        <v>0</v>
      </c>
      <c r="K26" s="52">
        <f>IFERROR(VLOOKUP($A26,'I | Forecast 23-27'!$A$11:$N$160,K$8,0)*HLOOKUP(K$10,'I | Inflation'!$C$52:$H$54,3,0),0)</f>
        <v>0</v>
      </c>
      <c r="L26" s="52">
        <f>IFERROR(VLOOKUP($A26,'I | Forecast 23-27'!$A$11:$N$160,L$8,0)*HLOOKUP(L$10,'I | Inflation'!$C$52:$H$54,3,0),0)</f>
        <v>0</v>
      </c>
      <c r="M26" s="52">
        <f>IFERROR(VLOOKUP($A26,'I | Forecast 23-27'!$A$11:$N$160,M$8,0)*HLOOKUP(M$10,'I | Inflation'!$C$52:$H$54,3,0),0)</f>
        <v>0</v>
      </c>
      <c r="N26" s="52">
        <f>IFERROR(VLOOKUP($A26,'I | Forecast 23-27'!$A$11:$N$160,N$8,0)*HLOOKUP(N$10,'I | Inflation'!$C$52:$H$54,3,0),0)</f>
        <v>0</v>
      </c>
      <c r="O26" s="54">
        <f t="shared" si="0"/>
        <v>0</v>
      </c>
      <c r="P26" s="53"/>
    </row>
    <row r="27" spans="1:16" s="4" customFormat="1" x14ac:dyDescent="0.3">
      <c r="A27" s="56">
        <v>17</v>
      </c>
      <c r="B27" s="49" t="str">
        <f>IF('I | Forecast 23-27'!B27="","",'I | Forecast 23-27'!B27)</f>
        <v>Gas Measurement Upgrade - including shades - FEED</v>
      </c>
      <c r="C27" s="49" t="str">
        <f>IF('I | Forecast 23-27'!C27="","",'I | Forecast 23-27'!C27)</f>
        <v>Minor Projects</v>
      </c>
      <c r="D27" s="49" t="str">
        <f>IF('I | Forecast 23-27'!D27="","",'I | Forecast 23-27'!D27)</f>
        <v>Regulators and meters</v>
      </c>
      <c r="E27" s="49" t="str">
        <f>IF('I | Forecast 23-27'!E27="","",'I | Forecast 23-27'!E27)</f>
        <v>Replacement</v>
      </c>
      <c r="F27" s="49" t="str">
        <f>IF('I | Forecast 23-27'!F27="","",'I | Forecast 23-27'!F27)</f>
        <v>As-incurred</v>
      </c>
      <c r="G27" s="49" t="str">
        <f>IF('I | Forecast 23-27'!G27="","",'I | Forecast 23-27'!G27)</f>
        <v>FY 22</v>
      </c>
      <c r="H27" s="49" t="str">
        <f>IF('I | Forecast 23-27'!H27="","",'I | Forecast 23-27'!H27)</f>
        <v>March</v>
      </c>
      <c r="I27" s="50"/>
      <c r="J27" s="52">
        <f>IFERROR(VLOOKUP($A27,'I | Forecast 23-27'!$A$11:$N$160,J$8,0)*HLOOKUP(J$10,'I | Inflation'!$C$52:$H$54,3,0),0)</f>
        <v>0</v>
      </c>
      <c r="K27" s="52">
        <f>IFERROR(VLOOKUP($A27,'I | Forecast 23-27'!$A$11:$N$160,K$8,0)*HLOOKUP(K$10,'I | Inflation'!$C$52:$H$54,3,0),0)</f>
        <v>0</v>
      </c>
      <c r="L27" s="52">
        <f>IFERROR(VLOOKUP($A27,'I | Forecast 23-27'!$A$11:$N$160,L$8,0)*HLOOKUP(L$10,'I | Inflation'!$C$52:$H$54,3,0),0)</f>
        <v>0</v>
      </c>
      <c r="M27" s="52">
        <f>IFERROR(VLOOKUP($A27,'I | Forecast 23-27'!$A$11:$N$160,M$8,0)*HLOOKUP(M$10,'I | Inflation'!$C$52:$H$54,3,0),0)</f>
        <v>0</v>
      </c>
      <c r="N27" s="52">
        <f>IFERROR(VLOOKUP($A27,'I | Forecast 23-27'!$A$11:$N$160,N$8,0)*HLOOKUP(N$10,'I | Inflation'!$C$52:$H$54,3,0),0)</f>
        <v>0</v>
      </c>
      <c r="O27" s="54">
        <f t="shared" si="0"/>
        <v>0</v>
      </c>
      <c r="P27" s="53"/>
    </row>
    <row r="28" spans="1:16" s="4" customFormat="1" x14ac:dyDescent="0.3">
      <c r="A28" s="56">
        <v>18</v>
      </c>
      <c r="B28" s="49" t="str">
        <f>IF('I | Forecast 23-27'!B28="","",'I | Forecast 23-27'!B28)</f>
        <v>Group IT</v>
      </c>
      <c r="C28" s="49" t="str">
        <f>IF('I | Forecast 23-27'!C28="","",'I | Forecast 23-27'!C28)</f>
        <v>Group IT</v>
      </c>
      <c r="D28" s="49" t="str">
        <f>IF('I | Forecast 23-27'!D28="","",'I | Forecast 23-27'!D28)</f>
        <v>Group IT</v>
      </c>
      <c r="E28" s="49" t="str">
        <f>IF('I | Forecast 23-27'!E28="","",'I | Forecast 23-27'!E28)</f>
        <v>Non-network</v>
      </c>
      <c r="F28" s="49" t="str">
        <f>IF('I | Forecast 23-27'!F28="","",'I | Forecast 23-27'!F28)</f>
        <v>As-incurred</v>
      </c>
      <c r="G28" s="49" t="str">
        <f>IF('I | Forecast 23-27'!G28="","",'I | Forecast 23-27'!G28)</f>
        <v>FY 22</v>
      </c>
      <c r="H28" s="49" t="str">
        <f>IF('I | Forecast 23-27'!H28="","",'I | Forecast 23-27'!H28)</f>
        <v>March</v>
      </c>
      <c r="I28" s="50"/>
      <c r="J28" s="52">
        <f>IFERROR(VLOOKUP($A28,'I | Forecast 23-27'!$A$11:$N$160,J$8,0)*HLOOKUP(J$10,'I | Inflation'!$C$52:$H$54,3,0),0)</f>
        <v>3890094.8996454054</v>
      </c>
      <c r="K28" s="52">
        <f>IFERROR(VLOOKUP($A28,'I | Forecast 23-27'!$A$11:$N$160,K$8,0)*HLOOKUP(K$10,'I | Inflation'!$C$52:$H$54,3,0),0)</f>
        <v>4063630.9918125523</v>
      </c>
      <c r="L28" s="52">
        <f>IFERROR(VLOOKUP($A28,'I | Forecast 23-27'!$A$11:$N$160,L$8,0)*HLOOKUP(L$10,'I | Inflation'!$C$52:$H$54,3,0),0)</f>
        <v>2887308.5036669686</v>
      </c>
      <c r="M28" s="52">
        <f>IFERROR(VLOOKUP($A28,'I | Forecast 23-27'!$A$11:$N$160,M$8,0)*HLOOKUP(M$10,'I | Inflation'!$C$52:$H$54,3,0),0)</f>
        <v>2049743.6729559705</v>
      </c>
      <c r="N28" s="52">
        <f>IFERROR(VLOOKUP($A28,'I | Forecast 23-27'!$A$11:$N$160,N$8,0)*HLOOKUP(N$10,'I | Inflation'!$C$52:$H$54,3,0),0)</f>
        <v>1182339.236009554</v>
      </c>
      <c r="O28" s="54">
        <f t="shared" si="0"/>
        <v>14073117.304090451</v>
      </c>
      <c r="P28" s="53"/>
    </row>
    <row r="29" spans="1:16" s="4" customFormat="1" x14ac:dyDescent="0.3">
      <c r="A29" s="56">
        <v>19</v>
      </c>
      <c r="B29" s="49" t="str">
        <f>IF('I | Forecast 23-27'!B29="","",'I | Forecast 23-27'!B29)</f>
        <v>Access Arrangement</v>
      </c>
      <c r="C29" s="49" t="str">
        <f>IF('I | Forecast 23-27'!C29="","",'I | Forecast 23-27'!C29)</f>
        <v>Access Arrangement</v>
      </c>
      <c r="D29" s="49" t="str">
        <f>IF('I | Forecast 23-27'!D29="","",'I | Forecast 23-27'!D29)</f>
        <v>Capitalised AA costs</v>
      </c>
      <c r="E29" s="49" t="str">
        <f>IF('I | Forecast 23-27'!E29="","",'I | Forecast 23-27'!E29)</f>
        <v>Non-network</v>
      </c>
      <c r="F29" s="49" t="str">
        <f>IF('I | Forecast 23-27'!F29="","",'I | Forecast 23-27'!F29)</f>
        <v>As-incurred</v>
      </c>
      <c r="G29" s="49" t="str">
        <f>IF('I | Forecast 23-27'!G29="","",'I | Forecast 23-27'!G29)</f>
        <v>FY 22</v>
      </c>
      <c r="H29" s="49" t="str">
        <f>IF('I | Forecast 23-27'!H29="","",'I | Forecast 23-27'!H29)</f>
        <v>March</v>
      </c>
      <c r="I29" s="50"/>
      <c r="J29" s="52">
        <f>IFERROR(VLOOKUP($A29,'I | Forecast 23-27'!$A$11:$N$160,J$8,0)*HLOOKUP(J$10,'I | Inflation'!$C$52:$H$54,3,0),0)</f>
        <v>791731.06445138471</v>
      </c>
      <c r="K29" s="52">
        <f>IFERROR(VLOOKUP($A29,'I | Forecast 23-27'!$A$11:$N$160,K$8,0)*HLOOKUP(K$10,'I | Inflation'!$C$52:$H$54,3,0),0)</f>
        <v>57511.754853108956</v>
      </c>
      <c r="L29" s="52">
        <f>IFERROR(VLOOKUP($A29,'I | Forecast 23-27'!$A$11:$N$160,L$8,0)*HLOOKUP(L$10,'I | Inflation'!$C$52:$H$54,3,0),0)</f>
        <v>0</v>
      </c>
      <c r="M29" s="52">
        <f>IFERROR(VLOOKUP($A29,'I | Forecast 23-27'!$A$11:$N$160,M$8,0)*HLOOKUP(M$10,'I | Inflation'!$C$52:$H$54,3,0),0)</f>
        <v>0</v>
      </c>
      <c r="N29" s="52">
        <f>IFERROR(VLOOKUP($A29,'I | Forecast 23-27'!$A$11:$N$160,N$8,0)*HLOOKUP(N$10,'I | Inflation'!$C$52:$H$54,3,0),0)</f>
        <v>0</v>
      </c>
      <c r="O29" s="54">
        <f t="shared" si="0"/>
        <v>849242.81930449372</v>
      </c>
      <c r="P29" s="53"/>
    </row>
    <row r="30" spans="1:16" s="4" customFormat="1" x14ac:dyDescent="0.3">
      <c r="A30" s="56">
        <v>20</v>
      </c>
      <c r="B30" s="49" t="str">
        <f>IF('I | Forecast 23-27'!B30="","",'I | Forecast 23-27'!B30)</f>
        <v>Minor Projects</v>
      </c>
      <c r="C30" s="49" t="str">
        <f>IF('I | Forecast 23-27'!C30="","",'I | Forecast 23-27'!C30)</f>
        <v>Minor Projects</v>
      </c>
      <c r="D30" s="49" t="str">
        <f>IF('I | Forecast 23-27'!D30="","",'I | Forecast 23-27'!D30)</f>
        <v>SIB Capex</v>
      </c>
      <c r="E30" s="49" t="str">
        <f>IF('I | Forecast 23-27'!E30="","",'I | Forecast 23-27'!E30)</f>
        <v>Replacement</v>
      </c>
      <c r="F30" s="49" t="str">
        <f>IF('I | Forecast 23-27'!F30="","",'I | Forecast 23-27'!F30)</f>
        <v>As-incurred</v>
      </c>
      <c r="G30" s="49" t="str">
        <f>IF('I | Forecast 23-27'!G30="","",'I | Forecast 23-27'!G30)</f>
        <v>FY 22</v>
      </c>
      <c r="H30" s="49" t="str">
        <f>IF('I | Forecast 23-27'!H30="","",'I | Forecast 23-27'!H30)</f>
        <v>March</v>
      </c>
      <c r="I30" s="50"/>
      <c r="J30" s="52">
        <f>IFERROR(VLOOKUP($A30,'I | Forecast 23-27'!$A$11:$N$160,J$8,0)*HLOOKUP(J$10,'I | Inflation'!$C$52:$H$54,3,0),0)</f>
        <v>436264.75131283706</v>
      </c>
      <c r="K30" s="52">
        <f>IFERROR(VLOOKUP($A30,'I | Forecast 23-27'!$A$11:$N$160,K$8,0)*HLOOKUP(K$10,'I | Inflation'!$C$52:$H$54,3,0),0)</f>
        <v>454570.84627983818</v>
      </c>
      <c r="L30" s="52">
        <f>IFERROR(VLOOKUP($A30,'I | Forecast 23-27'!$A$11:$N$160,L$8,0)*HLOOKUP(L$10,'I | Inflation'!$C$52:$H$54,3,0),0)</f>
        <v>466294.65937231941</v>
      </c>
      <c r="M30" s="52">
        <f>IFERROR(VLOOKUP($A30,'I | Forecast 23-27'!$A$11:$N$160,M$8,0)*HLOOKUP(M$10,'I | Inflation'!$C$52:$H$54,3,0),0)</f>
        <v>488556.60790083703</v>
      </c>
      <c r="N30" s="52">
        <f>IFERROR(VLOOKUP($A30,'I | Forecast 23-27'!$A$11:$N$160,N$8,0)*HLOOKUP(N$10,'I | Inflation'!$C$52:$H$54,3,0),0)</f>
        <v>506008.22404421464</v>
      </c>
      <c r="O30" s="54">
        <f t="shared" si="0"/>
        <v>2351695.088910046</v>
      </c>
      <c r="P30" s="53"/>
    </row>
    <row r="31" spans="1:16" s="4" customFormat="1" x14ac:dyDescent="0.3">
      <c r="A31" s="56">
        <v>21</v>
      </c>
      <c r="B31" s="49" t="str">
        <f>IF('I | Forecast 23-27'!B31="","",'I | Forecast 23-27'!B31)</f>
        <v>Property leases</v>
      </c>
      <c r="C31" s="49" t="str">
        <f>IF('I | Forecast 23-27'!C31="","",'I | Forecast 23-27'!C31)</f>
        <v>Property Leases</v>
      </c>
      <c r="D31" s="49" t="str">
        <f>IF('I | Forecast 23-27'!D31="","",'I | Forecast 23-27'!D31)</f>
        <v>SIB Capex</v>
      </c>
      <c r="E31" s="49" t="str">
        <f>IF('I | Forecast 23-27'!E31="","",'I | Forecast 23-27'!E31)</f>
        <v>Non-network</v>
      </c>
      <c r="F31" s="49" t="str">
        <f>IF('I | Forecast 23-27'!F31="","",'I | Forecast 23-27'!F31)</f>
        <v>As-incurred</v>
      </c>
      <c r="G31" s="49" t="str">
        <f>IF('I | Forecast 23-27'!G31="","",'I | Forecast 23-27'!G31)</f>
        <v>FY 22</v>
      </c>
      <c r="H31" s="49" t="str">
        <f>IF('I | Forecast 23-27'!H31="","",'I | Forecast 23-27'!H31)</f>
        <v>March</v>
      </c>
      <c r="I31" s="50"/>
      <c r="J31" s="52">
        <f>IFERROR(VLOOKUP($A31,'I | Forecast 23-27'!$A$11:$N$160,J$8,0)*HLOOKUP(J$10,'I | Inflation'!$C$52:$H$54,3,0),0)</f>
        <v>0</v>
      </c>
      <c r="K31" s="52">
        <f>IFERROR(VLOOKUP($A31,'I | Forecast 23-27'!$A$11:$N$160,K$8,0)*HLOOKUP(K$10,'I | Inflation'!$C$52:$H$54,3,0),0)</f>
        <v>0</v>
      </c>
      <c r="L31" s="52">
        <f>IFERROR(VLOOKUP($A31,'I | Forecast 23-27'!$A$11:$N$160,L$8,0)*HLOOKUP(L$10,'I | Inflation'!$C$52:$H$54,3,0),0)</f>
        <v>682781.87442422553</v>
      </c>
      <c r="M31" s="52">
        <f>IFERROR(VLOOKUP($A31,'I | Forecast 23-27'!$A$11:$N$160,M$8,0)*HLOOKUP(M$10,'I | Inflation'!$C$52:$H$54,3,0),0)</f>
        <v>0</v>
      </c>
      <c r="N31" s="52">
        <f>IFERROR(VLOOKUP($A31,'I | Forecast 23-27'!$A$11:$N$160,N$8,0)*HLOOKUP(N$10,'I | Inflation'!$C$52:$H$54,3,0),0)</f>
        <v>1801300.2795174622</v>
      </c>
      <c r="O31" s="54">
        <f t="shared" si="0"/>
        <v>2484082.1539416877</v>
      </c>
      <c r="P31" s="53"/>
    </row>
    <row r="32" spans="1:16" s="4" customFormat="1" x14ac:dyDescent="0.3">
      <c r="A32" s="56">
        <v>22</v>
      </c>
      <c r="B32" s="49" t="str">
        <f>IF('I | Forecast 23-27'!B32="","",'I | Forecast 23-27'!B32)</f>
        <v>Motor vehicle leases</v>
      </c>
      <c r="C32" s="49" t="str">
        <f>IF('I | Forecast 23-27'!C32="","",'I | Forecast 23-27'!C32)</f>
        <v>Vehicle Leases</v>
      </c>
      <c r="D32" s="49" t="str">
        <f>IF('I | Forecast 23-27'!D32="","",'I | Forecast 23-27'!D32)</f>
        <v>SIB Capex</v>
      </c>
      <c r="E32" s="49" t="str">
        <f>IF('I | Forecast 23-27'!E32="","",'I | Forecast 23-27'!E32)</f>
        <v>Non-network</v>
      </c>
      <c r="F32" s="49" t="str">
        <f>IF('I | Forecast 23-27'!F32="","",'I | Forecast 23-27'!F32)</f>
        <v>As-incurred</v>
      </c>
      <c r="G32" s="49" t="str">
        <f>IF('I | Forecast 23-27'!G32="","",'I | Forecast 23-27'!G32)</f>
        <v>FY 22</v>
      </c>
      <c r="H32" s="49" t="str">
        <f>IF('I | Forecast 23-27'!H32="","",'I | Forecast 23-27'!H32)</f>
        <v>March</v>
      </c>
      <c r="I32" s="50"/>
      <c r="J32" s="52">
        <f>IFERROR(VLOOKUP($A32,'I | Forecast 23-27'!$A$11:$N$160,J$8,0)*HLOOKUP(J$10,'I | Inflation'!$C$52:$H$54,3,0),0)</f>
        <v>129056.47603841296</v>
      </c>
      <c r="K32" s="52">
        <f>IFERROR(VLOOKUP($A32,'I | Forecast 23-27'!$A$11:$N$160,K$8,0)*HLOOKUP(K$10,'I | Inflation'!$C$52:$H$54,3,0),0)</f>
        <v>134153.88470819866</v>
      </c>
      <c r="L32" s="52">
        <f>IFERROR(VLOOKUP($A32,'I | Forecast 23-27'!$A$11:$N$160,L$8,0)*HLOOKUP(L$10,'I | Inflation'!$C$52:$H$54,3,0),0)</f>
        <v>137074.23900998075</v>
      </c>
      <c r="M32" s="52">
        <f>IFERROR(VLOOKUP($A32,'I | Forecast 23-27'!$A$11:$N$160,M$8,0)*HLOOKUP(M$10,'I | Inflation'!$C$52:$H$54,3,0),0)</f>
        <v>142862.60871917382</v>
      </c>
      <c r="N32" s="52">
        <f>IFERROR(VLOOKUP($A32,'I | Forecast 23-27'!$A$11:$N$160,N$8,0)*HLOOKUP(N$10,'I | Inflation'!$C$52:$H$54,3,0),0)</f>
        <v>147495.83558511219</v>
      </c>
      <c r="O32" s="54">
        <f t="shared" si="0"/>
        <v>690643.04406087846</v>
      </c>
      <c r="P32" s="53"/>
    </row>
    <row r="33" spans="1:16" s="4" customFormat="1" x14ac:dyDescent="0.3">
      <c r="A33" s="56">
        <v>23</v>
      </c>
      <c r="B33" s="49" t="str">
        <f>IF('I | Forecast 23-27'!B33="","",'I | Forecast 23-27'!B33)</f>
        <v/>
      </c>
      <c r="C33" s="47" t="str">
        <f>IF('I | Forecast 23-27'!C33="","",'I | Forecast 23-27'!C33)</f>
        <v/>
      </c>
      <c r="D33" s="47" t="str">
        <f>IF('I | Forecast 23-27'!D33="","",'I | Forecast 23-27'!D33)</f>
        <v/>
      </c>
      <c r="E33" s="47" t="str">
        <f>IF('I | Forecast 23-27'!E33="","",'I | Forecast 23-27'!E33)</f>
        <v/>
      </c>
      <c r="F33" s="47" t="str">
        <f>IF('I | Forecast 23-27'!F33="","",'I | Forecast 23-27'!F33)</f>
        <v/>
      </c>
      <c r="G33" s="47" t="str">
        <f>IF('I | Forecast 23-27'!G33="","",'I | Forecast 23-27'!G33)</f>
        <v/>
      </c>
      <c r="H33" s="47" t="str">
        <f>IF('I | Forecast 23-27'!H33="","",'I | Forecast 23-27'!H33)</f>
        <v/>
      </c>
      <c r="I33" s="50"/>
      <c r="J33" s="52">
        <f>IFERROR(VLOOKUP($A33,'I | Forecast 23-27'!$A$11:$N$160,J$8,0)*HLOOKUP(J$10,'I | Inflation'!$C$52:$H$54,3,0),0)</f>
        <v>0</v>
      </c>
      <c r="K33" s="52">
        <f>IFERROR(VLOOKUP($A33,'I | Forecast 23-27'!$A$11:$N$160,K$8,0)*HLOOKUP(K$10,'I | Inflation'!$C$52:$H$54,3,0),0)</f>
        <v>0</v>
      </c>
      <c r="L33" s="52">
        <f>IFERROR(VLOOKUP($A33,'I | Forecast 23-27'!$A$11:$N$160,L$8,0)*HLOOKUP(L$10,'I | Inflation'!$C$52:$H$54,3,0),0)</f>
        <v>0</v>
      </c>
      <c r="M33" s="52">
        <f>IFERROR(VLOOKUP($A33,'I | Forecast 23-27'!$A$11:$N$160,M$8,0)*HLOOKUP(M$10,'I | Inflation'!$C$52:$H$54,3,0),0)</f>
        <v>0</v>
      </c>
      <c r="N33" s="52">
        <f>IFERROR(VLOOKUP($A33,'I | Forecast 23-27'!$A$11:$N$160,N$8,0)*HLOOKUP(N$10,'I | Inflation'!$C$52:$H$54,3,0),0)</f>
        <v>0</v>
      </c>
      <c r="O33" s="54">
        <f t="shared" si="0"/>
        <v>0</v>
      </c>
      <c r="P33" s="53"/>
    </row>
    <row r="34" spans="1:16" s="4" customFormat="1" x14ac:dyDescent="0.3">
      <c r="A34" s="56">
        <v>24</v>
      </c>
      <c r="B34" s="49" t="str">
        <f>IF('I | Forecast 23-27'!B34="","",'I | Forecast 23-27'!B34)</f>
        <v/>
      </c>
      <c r="C34" s="47" t="str">
        <f>IF('I | Forecast 23-27'!C34="","",'I | Forecast 23-27'!C34)</f>
        <v/>
      </c>
      <c r="D34" s="47" t="str">
        <f>IF('I | Forecast 23-27'!D34="","",'I | Forecast 23-27'!D34)</f>
        <v/>
      </c>
      <c r="E34" s="47" t="str">
        <f>IF('I | Forecast 23-27'!E34="","",'I | Forecast 23-27'!E34)</f>
        <v/>
      </c>
      <c r="F34" s="47" t="str">
        <f>IF('I | Forecast 23-27'!F34="","",'I | Forecast 23-27'!F34)</f>
        <v/>
      </c>
      <c r="G34" s="47" t="str">
        <f>IF('I | Forecast 23-27'!G34="","",'I | Forecast 23-27'!G34)</f>
        <v/>
      </c>
      <c r="H34" s="47" t="str">
        <f>IF('I | Forecast 23-27'!H34="","",'I | Forecast 23-27'!H34)</f>
        <v/>
      </c>
      <c r="I34" s="50"/>
      <c r="J34" s="52">
        <f>IFERROR(VLOOKUP($A34,'I | Forecast 23-27'!$A$11:$N$160,J$8,0)*HLOOKUP(J$10,'I | Inflation'!$C$52:$H$54,3,0),0)</f>
        <v>0</v>
      </c>
      <c r="K34" s="52">
        <f>IFERROR(VLOOKUP($A34,'I | Forecast 23-27'!$A$11:$N$160,K$8,0)*HLOOKUP(K$10,'I | Inflation'!$C$52:$H$54,3,0),0)</f>
        <v>0</v>
      </c>
      <c r="L34" s="52">
        <f>IFERROR(VLOOKUP($A34,'I | Forecast 23-27'!$A$11:$N$160,L$8,0)*HLOOKUP(L$10,'I | Inflation'!$C$52:$H$54,3,0),0)</f>
        <v>0</v>
      </c>
      <c r="M34" s="52">
        <f>IFERROR(VLOOKUP($A34,'I | Forecast 23-27'!$A$11:$N$160,M$8,0)*HLOOKUP(M$10,'I | Inflation'!$C$52:$H$54,3,0),0)</f>
        <v>0</v>
      </c>
      <c r="N34" s="52">
        <f>IFERROR(VLOOKUP($A34,'I | Forecast 23-27'!$A$11:$N$160,N$8,0)*HLOOKUP(N$10,'I | Inflation'!$C$52:$H$54,3,0),0)</f>
        <v>0</v>
      </c>
      <c r="O34" s="54">
        <f t="shared" si="0"/>
        <v>0</v>
      </c>
      <c r="P34" s="53"/>
    </row>
    <row r="35" spans="1:16" s="4" customFormat="1" x14ac:dyDescent="0.3">
      <c r="A35" s="56">
        <v>25</v>
      </c>
      <c r="B35" s="49" t="str">
        <f>IF('I | Forecast 23-27'!B35="","",'I | Forecast 23-27'!B35)</f>
        <v/>
      </c>
      <c r="C35" s="47" t="str">
        <f>IF('I | Forecast 23-27'!C35="","",'I | Forecast 23-27'!C35)</f>
        <v/>
      </c>
      <c r="D35" s="47" t="str">
        <f>IF('I | Forecast 23-27'!D35="","",'I | Forecast 23-27'!D35)</f>
        <v/>
      </c>
      <c r="E35" s="47" t="str">
        <f>IF('I | Forecast 23-27'!E35="","",'I | Forecast 23-27'!E35)</f>
        <v/>
      </c>
      <c r="F35" s="47" t="str">
        <f>IF('I | Forecast 23-27'!F35="","",'I | Forecast 23-27'!F35)</f>
        <v/>
      </c>
      <c r="G35" s="47" t="str">
        <f>IF('I | Forecast 23-27'!G35="","",'I | Forecast 23-27'!G35)</f>
        <v/>
      </c>
      <c r="H35" s="47" t="str">
        <f>IF('I | Forecast 23-27'!H35="","",'I | Forecast 23-27'!H35)</f>
        <v/>
      </c>
      <c r="I35" s="50"/>
      <c r="J35" s="52">
        <f>IFERROR(VLOOKUP($A35,'I | Forecast 23-27'!$A$11:$N$160,J$8,0)*HLOOKUP(J$10,'I | Inflation'!$C$52:$H$54,3,0),0)</f>
        <v>0</v>
      </c>
      <c r="K35" s="52">
        <f>IFERROR(VLOOKUP($A35,'I | Forecast 23-27'!$A$11:$N$160,K$8,0)*HLOOKUP(K$10,'I | Inflation'!$C$52:$H$54,3,0),0)</f>
        <v>0</v>
      </c>
      <c r="L35" s="52">
        <f>IFERROR(VLOOKUP($A35,'I | Forecast 23-27'!$A$11:$N$160,L$8,0)*HLOOKUP(L$10,'I | Inflation'!$C$52:$H$54,3,0),0)</f>
        <v>0</v>
      </c>
      <c r="M35" s="52">
        <f>IFERROR(VLOOKUP($A35,'I | Forecast 23-27'!$A$11:$N$160,M$8,0)*HLOOKUP(M$10,'I | Inflation'!$C$52:$H$54,3,0),0)</f>
        <v>0</v>
      </c>
      <c r="N35" s="52">
        <f>IFERROR(VLOOKUP($A35,'I | Forecast 23-27'!$A$11:$N$160,N$8,0)*HLOOKUP(N$10,'I | Inflation'!$C$52:$H$54,3,0),0)</f>
        <v>0</v>
      </c>
      <c r="O35" s="54">
        <f t="shared" si="0"/>
        <v>0</v>
      </c>
      <c r="P35" s="53"/>
    </row>
    <row r="36" spans="1:16" s="4" customFormat="1" x14ac:dyDescent="0.3">
      <c r="A36" s="56">
        <v>26</v>
      </c>
      <c r="B36" s="49" t="str">
        <f>IF('I | Forecast 23-27'!B36="","",'I | Forecast 23-27'!B36)</f>
        <v/>
      </c>
      <c r="C36" s="47" t="str">
        <f>IF('I | Forecast 23-27'!C36="","",'I | Forecast 23-27'!C36)</f>
        <v/>
      </c>
      <c r="D36" s="47" t="str">
        <f>IF('I | Forecast 23-27'!D36="","",'I | Forecast 23-27'!D36)</f>
        <v/>
      </c>
      <c r="E36" s="47" t="str">
        <f>IF('I | Forecast 23-27'!E36="","",'I | Forecast 23-27'!E36)</f>
        <v/>
      </c>
      <c r="F36" s="47" t="str">
        <f>IF('I | Forecast 23-27'!F36="","",'I | Forecast 23-27'!F36)</f>
        <v/>
      </c>
      <c r="G36" s="47" t="str">
        <f>IF('I | Forecast 23-27'!G36="","",'I | Forecast 23-27'!G36)</f>
        <v/>
      </c>
      <c r="H36" s="47" t="str">
        <f>IF('I | Forecast 23-27'!H36="","",'I | Forecast 23-27'!H36)</f>
        <v/>
      </c>
      <c r="I36" s="50"/>
      <c r="J36" s="52">
        <f>IFERROR(VLOOKUP($A36,'I | Forecast 23-27'!$A$11:$N$160,J$8,0)*HLOOKUP(J$10,'I | Inflation'!$C$52:$H$54,3,0),0)</f>
        <v>0</v>
      </c>
      <c r="K36" s="52">
        <f>IFERROR(VLOOKUP($A36,'I | Forecast 23-27'!$A$11:$N$160,K$8,0)*HLOOKUP(K$10,'I | Inflation'!$C$52:$H$54,3,0),0)</f>
        <v>0</v>
      </c>
      <c r="L36" s="52">
        <f>IFERROR(VLOOKUP($A36,'I | Forecast 23-27'!$A$11:$N$160,L$8,0)*HLOOKUP(L$10,'I | Inflation'!$C$52:$H$54,3,0),0)</f>
        <v>0</v>
      </c>
      <c r="M36" s="52">
        <f>IFERROR(VLOOKUP($A36,'I | Forecast 23-27'!$A$11:$N$160,M$8,0)*HLOOKUP(M$10,'I | Inflation'!$C$52:$H$54,3,0),0)</f>
        <v>0</v>
      </c>
      <c r="N36" s="52">
        <f>IFERROR(VLOOKUP($A36,'I | Forecast 23-27'!$A$11:$N$160,N$8,0)*HLOOKUP(N$10,'I | Inflation'!$C$52:$H$54,3,0),0)</f>
        <v>0</v>
      </c>
      <c r="O36" s="54">
        <f t="shared" si="0"/>
        <v>0</v>
      </c>
      <c r="P36" s="53"/>
    </row>
    <row r="37" spans="1:16" s="4" customFormat="1" x14ac:dyDescent="0.3">
      <c r="A37" s="56">
        <v>27</v>
      </c>
      <c r="B37" s="49" t="str">
        <f>IF('I | Forecast 23-27'!B37="","",'I | Forecast 23-27'!B37)</f>
        <v/>
      </c>
      <c r="C37" s="47" t="str">
        <f>IF('I | Forecast 23-27'!C37="","",'I | Forecast 23-27'!C37)</f>
        <v/>
      </c>
      <c r="D37" s="47" t="str">
        <f>IF('I | Forecast 23-27'!D37="","",'I | Forecast 23-27'!D37)</f>
        <v/>
      </c>
      <c r="E37" s="47" t="str">
        <f>IF('I | Forecast 23-27'!E37="","",'I | Forecast 23-27'!E37)</f>
        <v/>
      </c>
      <c r="F37" s="47" t="str">
        <f>IF('I | Forecast 23-27'!F37="","",'I | Forecast 23-27'!F37)</f>
        <v/>
      </c>
      <c r="G37" s="47" t="str">
        <f>IF('I | Forecast 23-27'!G37="","",'I | Forecast 23-27'!G37)</f>
        <v/>
      </c>
      <c r="H37" s="47" t="str">
        <f>IF('I | Forecast 23-27'!H37="","",'I | Forecast 23-27'!H37)</f>
        <v/>
      </c>
      <c r="I37" s="50"/>
      <c r="J37" s="52">
        <f>IFERROR(VLOOKUP($A37,'I | Forecast 23-27'!$A$11:$N$160,J$8,0)*HLOOKUP(J$10,'I | Inflation'!$C$52:$H$54,3,0),0)</f>
        <v>0</v>
      </c>
      <c r="K37" s="52">
        <f>IFERROR(VLOOKUP($A37,'I | Forecast 23-27'!$A$11:$N$160,K$8,0)*HLOOKUP(K$10,'I | Inflation'!$C$52:$H$54,3,0),0)</f>
        <v>0</v>
      </c>
      <c r="L37" s="52">
        <f>IFERROR(VLOOKUP($A37,'I | Forecast 23-27'!$A$11:$N$160,L$8,0)*HLOOKUP(L$10,'I | Inflation'!$C$52:$H$54,3,0),0)</f>
        <v>0</v>
      </c>
      <c r="M37" s="52">
        <f>IFERROR(VLOOKUP($A37,'I | Forecast 23-27'!$A$11:$N$160,M$8,0)*HLOOKUP(M$10,'I | Inflation'!$C$52:$H$54,3,0),0)</f>
        <v>0</v>
      </c>
      <c r="N37" s="52">
        <f>IFERROR(VLOOKUP($A37,'I | Forecast 23-27'!$A$11:$N$160,N$8,0)*HLOOKUP(N$10,'I | Inflation'!$C$52:$H$54,3,0),0)</f>
        <v>0</v>
      </c>
      <c r="O37" s="54">
        <f t="shared" si="0"/>
        <v>0</v>
      </c>
      <c r="P37" s="53"/>
    </row>
    <row r="38" spans="1:16" s="4" customFormat="1" x14ac:dyDescent="0.3">
      <c r="A38" s="56">
        <v>28</v>
      </c>
      <c r="B38" s="49" t="str">
        <f>IF('I | Forecast 23-27'!B38="","",'I | Forecast 23-27'!B38)</f>
        <v/>
      </c>
      <c r="C38" s="47" t="str">
        <f>IF('I | Forecast 23-27'!C38="","",'I | Forecast 23-27'!C38)</f>
        <v/>
      </c>
      <c r="D38" s="47" t="str">
        <f>IF('I | Forecast 23-27'!D38="","",'I | Forecast 23-27'!D38)</f>
        <v/>
      </c>
      <c r="E38" s="47" t="str">
        <f>IF('I | Forecast 23-27'!E38="","",'I | Forecast 23-27'!E38)</f>
        <v/>
      </c>
      <c r="F38" s="47" t="str">
        <f>IF('I | Forecast 23-27'!F38="","",'I | Forecast 23-27'!F38)</f>
        <v/>
      </c>
      <c r="G38" s="47" t="str">
        <f>IF('I | Forecast 23-27'!G38="","",'I | Forecast 23-27'!G38)</f>
        <v/>
      </c>
      <c r="H38" s="47" t="str">
        <f>IF('I | Forecast 23-27'!H38="","",'I | Forecast 23-27'!H38)</f>
        <v/>
      </c>
      <c r="I38" s="50"/>
      <c r="J38" s="52">
        <f>IFERROR(VLOOKUP($A38,'I | Forecast 23-27'!$A$11:$N$160,J$8,0)*HLOOKUP(J$10,'I | Inflation'!$C$52:$H$54,3,0),0)</f>
        <v>0</v>
      </c>
      <c r="K38" s="52">
        <f>IFERROR(VLOOKUP($A38,'I | Forecast 23-27'!$A$11:$N$160,K$8,0)*HLOOKUP(K$10,'I | Inflation'!$C$52:$H$54,3,0),0)</f>
        <v>0</v>
      </c>
      <c r="L38" s="52">
        <f>IFERROR(VLOOKUP($A38,'I | Forecast 23-27'!$A$11:$N$160,L$8,0)*HLOOKUP(L$10,'I | Inflation'!$C$52:$H$54,3,0),0)</f>
        <v>0</v>
      </c>
      <c r="M38" s="52">
        <f>IFERROR(VLOOKUP($A38,'I | Forecast 23-27'!$A$11:$N$160,M$8,0)*HLOOKUP(M$10,'I | Inflation'!$C$52:$H$54,3,0),0)</f>
        <v>0</v>
      </c>
      <c r="N38" s="52">
        <f>IFERROR(VLOOKUP($A38,'I | Forecast 23-27'!$A$11:$N$160,N$8,0)*HLOOKUP(N$10,'I | Inflation'!$C$52:$H$54,3,0),0)</f>
        <v>0</v>
      </c>
      <c r="O38" s="54">
        <f t="shared" si="0"/>
        <v>0</v>
      </c>
      <c r="P38" s="53"/>
    </row>
    <row r="39" spans="1:16" s="4" customFormat="1" x14ac:dyDescent="0.3">
      <c r="A39" s="56">
        <v>29</v>
      </c>
      <c r="B39" s="49" t="str">
        <f>IF('I | Forecast 23-27'!B39="","",'I | Forecast 23-27'!B39)</f>
        <v/>
      </c>
      <c r="C39" s="47" t="str">
        <f>IF('I | Forecast 23-27'!C39="","",'I | Forecast 23-27'!C39)</f>
        <v/>
      </c>
      <c r="D39" s="47" t="str">
        <f>IF('I | Forecast 23-27'!D39="","",'I | Forecast 23-27'!D39)</f>
        <v/>
      </c>
      <c r="E39" s="47" t="str">
        <f>IF('I | Forecast 23-27'!E39="","",'I | Forecast 23-27'!E39)</f>
        <v/>
      </c>
      <c r="F39" s="47" t="str">
        <f>IF('I | Forecast 23-27'!F39="","",'I | Forecast 23-27'!F39)</f>
        <v/>
      </c>
      <c r="G39" s="47" t="str">
        <f>IF('I | Forecast 23-27'!G39="","",'I | Forecast 23-27'!G39)</f>
        <v/>
      </c>
      <c r="H39" s="47" t="str">
        <f>IF('I | Forecast 23-27'!H39="","",'I | Forecast 23-27'!H39)</f>
        <v/>
      </c>
      <c r="I39" s="50"/>
      <c r="J39" s="52">
        <f>IFERROR(VLOOKUP($A39,'I | Forecast 23-27'!$A$11:$N$160,J$8,0)*HLOOKUP(J$10,'I | Inflation'!$C$52:$H$54,3,0),0)</f>
        <v>0</v>
      </c>
      <c r="K39" s="52">
        <f>IFERROR(VLOOKUP($A39,'I | Forecast 23-27'!$A$11:$N$160,K$8,0)*HLOOKUP(K$10,'I | Inflation'!$C$52:$H$54,3,0),0)</f>
        <v>0</v>
      </c>
      <c r="L39" s="52">
        <f>IFERROR(VLOOKUP($A39,'I | Forecast 23-27'!$A$11:$N$160,L$8,0)*HLOOKUP(L$10,'I | Inflation'!$C$52:$H$54,3,0),0)</f>
        <v>0</v>
      </c>
      <c r="M39" s="52">
        <f>IFERROR(VLOOKUP($A39,'I | Forecast 23-27'!$A$11:$N$160,M$8,0)*HLOOKUP(M$10,'I | Inflation'!$C$52:$H$54,3,0),0)</f>
        <v>0</v>
      </c>
      <c r="N39" s="52">
        <f>IFERROR(VLOOKUP($A39,'I | Forecast 23-27'!$A$11:$N$160,N$8,0)*HLOOKUP(N$10,'I | Inflation'!$C$52:$H$54,3,0),0)</f>
        <v>0</v>
      </c>
      <c r="O39" s="54">
        <f t="shared" si="0"/>
        <v>0</v>
      </c>
      <c r="P39" s="53"/>
    </row>
    <row r="40" spans="1:16" s="4" customFormat="1" x14ac:dyDescent="0.3">
      <c r="A40" s="56">
        <v>30</v>
      </c>
      <c r="B40" s="49" t="str">
        <f>IF('I | Forecast 23-27'!B40="","",'I | Forecast 23-27'!B40)</f>
        <v/>
      </c>
      <c r="C40" s="47" t="str">
        <f>IF('I | Forecast 23-27'!C40="","",'I | Forecast 23-27'!C40)</f>
        <v/>
      </c>
      <c r="D40" s="47" t="str">
        <f>IF('I | Forecast 23-27'!D40="","",'I | Forecast 23-27'!D40)</f>
        <v/>
      </c>
      <c r="E40" s="47" t="str">
        <f>IF('I | Forecast 23-27'!E40="","",'I | Forecast 23-27'!E40)</f>
        <v/>
      </c>
      <c r="F40" s="47" t="str">
        <f>IF('I | Forecast 23-27'!F40="","",'I | Forecast 23-27'!F40)</f>
        <v/>
      </c>
      <c r="G40" s="47" t="str">
        <f>IF('I | Forecast 23-27'!G40="","",'I | Forecast 23-27'!G40)</f>
        <v/>
      </c>
      <c r="H40" s="47" t="str">
        <f>IF('I | Forecast 23-27'!H40="","",'I | Forecast 23-27'!H40)</f>
        <v/>
      </c>
      <c r="I40" s="50"/>
      <c r="J40" s="52">
        <f>IFERROR(VLOOKUP($A40,'I | Forecast 23-27'!$A$11:$N$160,J$8,0)*HLOOKUP(J$10,'I | Inflation'!$C$52:$H$54,3,0),0)</f>
        <v>0</v>
      </c>
      <c r="K40" s="52">
        <f>IFERROR(VLOOKUP($A40,'I | Forecast 23-27'!$A$11:$N$160,K$8,0)*HLOOKUP(K$10,'I | Inflation'!$C$52:$H$54,3,0),0)</f>
        <v>0</v>
      </c>
      <c r="L40" s="52">
        <f>IFERROR(VLOOKUP($A40,'I | Forecast 23-27'!$A$11:$N$160,L$8,0)*HLOOKUP(L$10,'I | Inflation'!$C$52:$H$54,3,0),0)</f>
        <v>0</v>
      </c>
      <c r="M40" s="52">
        <f>IFERROR(VLOOKUP($A40,'I | Forecast 23-27'!$A$11:$N$160,M$8,0)*HLOOKUP(M$10,'I | Inflation'!$C$52:$H$54,3,0),0)</f>
        <v>0</v>
      </c>
      <c r="N40" s="52">
        <f>IFERROR(VLOOKUP($A40,'I | Forecast 23-27'!$A$11:$N$160,N$8,0)*HLOOKUP(N$10,'I | Inflation'!$C$52:$H$54,3,0),0)</f>
        <v>0</v>
      </c>
      <c r="O40" s="54">
        <f t="shared" si="0"/>
        <v>0</v>
      </c>
      <c r="P40" s="53"/>
    </row>
    <row r="41" spans="1:16" s="4" customFormat="1" x14ac:dyDescent="0.3">
      <c r="A41" s="56">
        <v>31</v>
      </c>
      <c r="B41" s="49" t="str">
        <f>IF('I | Forecast 23-27'!B41="","",'I | Forecast 23-27'!B41)</f>
        <v/>
      </c>
      <c r="C41" s="47" t="str">
        <f>IF('I | Forecast 23-27'!C41="","",'I | Forecast 23-27'!C41)</f>
        <v/>
      </c>
      <c r="D41" s="47" t="str">
        <f>IF('I | Forecast 23-27'!D41="","",'I | Forecast 23-27'!D41)</f>
        <v/>
      </c>
      <c r="E41" s="47" t="str">
        <f>IF('I | Forecast 23-27'!E41="","",'I | Forecast 23-27'!E41)</f>
        <v/>
      </c>
      <c r="F41" s="47" t="str">
        <f>IF('I | Forecast 23-27'!F41="","",'I | Forecast 23-27'!F41)</f>
        <v/>
      </c>
      <c r="G41" s="47" t="str">
        <f>IF('I | Forecast 23-27'!G41="","",'I | Forecast 23-27'!G41)</f>
        <v/>
      </c>
      <c r="H41" s="47" t="str">
        <f>IF('I | Forecast 23-27'!H41="","",'I | Forecast 23-27'!H41)</f>
        <v/>
      </c>
      <c r="I41" s="50"/>
      <c r="J41" s="52">
        <f>IFERROR(VLOOKUP($A41,'I | Forecast 23-27'!$A$11:$N$160,J$8,0)*HLOOKUP(J$10,'I | Inflation'!$C$52:$H$54,3,0),0)</f>
        <v>0</v>
      </c>
      <c r="K41" s="52">
        <f>IFERROR(VLOOKUP($A41,'I | Forecast 23-27'!$A$11:$N$160,K$8,0)*HLOOKUP(K$10,'I | Inflation'!$C$52:$H$54,3,0),0)</f>
        <v>0</v>
      </c>
      <c r="L41" s="52">
        <f>IFERROR(VLOOKUP($A41,'I | Forecast 23-27'!$A$11:$N$160,L$8,0)*HLOOKUP(L$10,'I | Inflation'!$C$52:$H$54,3,0),0)</f>
        <v>0</v>
      </c>
      <c r="M41" s="52">
        <f>IFERROR(VLOOKUP($A41,'I | Forecast 23-27'!$A$11:$N$160,M$8,0)*HLOOKUP(M$10,'I | Inflation'!$C$52:$H$54,3,0),0)</f>
        <v>0</v>
      </c>
      <c r="N41" s="52">
        <f>IFERROR(VLOOKUP($A41,'I | Forecast 23-27'!$A$11:$N$160,N$8,0)*HLOOKUP(N$10,'I | Inflation'!$C$52:$H$54,3,0),0)</f>
        <v>0</v>
      </c>
      <c r="O41" s="54">
        <f t="shared" si="0"/>
        <v>0</v>
      </c>
      <c r="P41" s="53"/>
    </row>
    <row r="42" spans="1:16" s="4" customFormat="1" x14ac:dyDescent="0.3">
      <c r="A42" s="56">
        <v>32</v>
      </c>
      <c r="B42" s="49" t="str">
        <f>IF('I | Forecast 23-27'!B42="","",'I | Forecast 23-27'!B42)</f>
        <v/>
      </c>
      <c r="C42" s="47" t="str">
        <f>IF('I | Forecast 23-27'!C42="","",'I | Forecast 23-27'!C42)</f>
        <v/>
      </c>
      <c r="D42" s="47" t="str">
        <f>IF('I | Forecast 23-27'!D42="","",'I | Forecast 23-27'!D42)</f>
        <v/>
      </c>
      <c r="E42" s="47" t="str">
        <f>IF('I | Forecast 23-27'!E42="","",'I | Forecast 23-27'!E42)</f>
        <v/>
      </c>
      <c r="F42" s="47" t="str">
        <f>IF('I | Forecast 23-27'!F42="","",'I | Forecast 23-27'!F42)</f>
        <v/>
      </c>
      <c r="G42" s="47" t="str">
        <f>IF('I | Forecast 23-27'!G42="","",'I | Forecast 23-27'!G42)</f>
        <v/>
      </c>
      <c r="H42" s="47" t="str">
        <f>IF('I | Forecast 23-27'!H42="","",'I | Forecast 23-27'!H42)</f>
        <v/>
      </c>
      <c r="I42" s="50"/>
      <c r="J42" s="52">
        <f>IFERROR(VLOOKUP($A42,'I | Forecast 23-27'!$A$11:$N$160,J$8,0)*HLOOKUP(J$10,'I | Inflation'!$C$52:$H$54,3,0),0)</f>
        <v>0</v>
      </c>
      <c r="K42" s="52">
        <f>IFERROR(VLOOKUP($A42,'I | Forecast 23-27'!$A$11:$N$160,K$8,0)*HLOOKUP(K$10,'I | Inflation'!$C$52:$H$54,3,0),0)</f>
        <v>0</v>
      </c>
      <c r="L42" s="52">
        <f>IFERROR(VLOOKUP($A42,'I | Forecast 23-27'!$A$11:$N$160,L$8,0)*HLOOKUP(L$10,'I | Inflation'!$C$52:$H$54,3,0),0)</f>
        <v>0</v>
      </c>
      <c r="M42" s="52">
        <f>IFERROR(VLOOKUP($A42,'I | Forecast 23-27'!$A$11:$N$160,M$8,0)*HLOOKUP(M$10,'I | Inflation'!$C$52:$H$54,3,0),0)</f>
        <v>0</v>
      </c>
      <c r="N42" s="52">
        <f>IFERROR(VLOOKUP($A42,'I | Forecast 23-27'!$A$11:$N$160,N$8,0)*HLOOKUP(N$10,'I | Inflation'!$C$52:$H$54,3,0),0)</f>
        <v>0</v>
      </c>
      <c r="O42" s="54">
        <f t="shared" si="0"/>
        <v>0</v>
      </c>
      <c r="P42" s="53"/>
    </row>
    <row r="43" spans="1:16" s="4" customFormat="1" x14ac:dyDescent="0.3">
      <c r="A43" s="56">
        <v>33</v>
      </c>
      <c r="B43" s="49" t="str">
        <f>IF('I | Forecast 23-27'!B43="","",'I | Forecast 23-27'!B43)</f>
        <v/>
      </c>
      <c r="C43" s="47" t="str">
        <f>IF('I | Forecast 23-27'!C43="","",'I | Forecast 23-27'!C43)</f>
        <v/>
      </c>
      <c r="D43" s="47" t="str">
        <f>IF('I | Forecast 23-27'!D43="","",'I | Forecast 23-27'!D43)</f>
        <v/>
      </c>
      <c r="E43" s="47" t="str">
        <f>IF('I | Forecast 23-27'!E43="","",'I | Forecast 23-27'!E43)</f>
        <v/>
      </c>
      <c r="F43" s="47" t="str">
        <f>IF('I | Forecast 23-27'!F43="","",'I | Forecast 23-27'!F43)</f>
        <v/>
      </c>
      <c r="G43" s="47" t="str">
        <f>IF('I | Forecast 23-27'!G43="","",'I | Forecast 23-27'!G43)</f>
        <v/>
      </c>
      <c r="H43" s="47" t="str">
        <f>IF('I | Forecast 23-27'!H43="","",'I | Forecast 23-27'!H43)</f>
        <v/>
      </c>
      <c r="I43" s="50"/>
      <c r="J43" s="52">
        <f>IFERROR(VLOOKUP($A43,'I | Forecast 23-27'!$A$11:$N$160,J$8,0)*HLOOKUP(J$10,'I | Inflation'!$C$52:$H$54,3,0),0)</f>
        <v>0</v>
      </c>
      <c r="K43" s="52">
        <f>IFERROR(VLOOKUP($A43,'I | Forecast 23-27'!$A$11:$N$160,K$8,0)*HLOOKUP(K$10,'I | Inflation'!$C$52:$H$54,3,0),0)</f>
        <v>0</v>
      </c>
      <c r="L43" s="52">
        <f>IFERROR(VLOOKUP($A43,'I | Forecast 23-27'!$A$11:$N$160,L$8,0)*HLOOKUP(L$10,'I | Inflation'!$C$52:$H$54,3,0),0)</f>
        <v>0</v>
      </c>
      <c r="M43" s="52">
        <f>IFERROR(VLOOKUP($A43,'I | Forecast 23-27'!$A$11:$N$160,M$8,0)*HLOOKUP(M$10,'I | Inflation'!$C$52:$H$54,3,0),0)</f>
        <v>0</v>
      </c>
      <c r="N43" s="52">
        <f>IFERROR(VLOOKUP($A43,'I | Forecast 23-27'!$A$11:$N$160,N$8,0)*HLOOKUP(N$10,'I | Inflation'!$C$52:$H$54,3,0),0)</f>
        <v>0</v>
      </c>
      <c r="O43" s="54">
        <f t="shared" si="0"/>
        <v>0</v>
      </c>
      <c r="P43" s="53"/>
    </row>
    <row r="44" spans="1:16" s="4" customFormat="1" x14ac:dyDescent="0.3">
      <c r="A44" s="56">
        <v>34</v>
      </c>
      <c r="B44" s="49" t="str">
        <f>IF('I | Forecast 23-27'!B44="","",'I | Forecast 23-27'!B44)</f>
        <v/>
      </c>
      <c r="C44" s="47" t="str">
        <f>IF('I | Forecast 23-27'!C44="","",'I | Forecast 23-27'!C44)</f>
        <v/>
      </c>
      <c r="D44" s="47" t="str">
        <f>IF('I | Forecast 23-27'!D44="","",'I | Forecast 23-27'!D44)</f>
        <v/>
      </c>
      <c r="E44" s="47" t="str">
        <f>IF('I | Forecast 23-27'!E44="","",'I | Forecast 23-27'!E44)</f>
        <v/>
      </c>
      <c r="F44" s="47" t="str">
        <f>IF('I | Forecast 23-27'!F44="","",'I | Forecast 23-27'!F44)</f>
        <v/>
      </c>
      <c r="G44" s="47" t="str">
        <f>IF('I | Forecast 23-27'!G44="","",'I | Forecast 23-27'!G44)</f>
        <v/>
      </c>
      <c r="H44" s="47" t="str">
        <f>IF('I | Forecast 23-27'!H44="","",'I | Forecast 23-27'!H44)</f>
        <v/>
      </c>
      <c r="I44" s="50"/>
      <c r="J44" s="52">
        <f>IFERROR(VLOOKUP($A44,'I | Forecast 23-27'!$A$11:$N$160,J$8,0)*HLOOKUP(J$10,'I | Inflation'!$C$52:$H$54,3,0),0)</f>
        <v>0</v>
      </c>
      <c r="K44" s="52">
        <f>IFERROR(VLOOKUP($A44,'I | Forecast 23-27'!$A$11:$N$160,K$8,0)*HLOOKUP(K$10,'I | Inflation'!$C$52:$H$54,3,0),0)</f>
        <v>0</v>
      </c>
      <c r="L44" s="52">
        <f>IFERROR(VLOOKUP($A44,'I | Forecast 23-27'!$A$11:$N$160,L$8,0)*HLOOKUP(L$10,'I | Inflation'!$C$52:$H$54,3,0),0)</f>
        <v>0</v>
      </c>
      <c r="M44" s="52">
        <f>IFERROR(VLOOKUP($A44,'I | Forecast 23-27'!$A$11:$N$160,M$8,0)*HLOOKUP(M$10,'I | Inflation'!$C$52:$H$54,3,0),0)</f>
        <v>0</v>
      </c>
      <c r="N44" s="52">
        <f>IFERROR(VLOOKUP($A44,'I | Forecast 23-27'!$A$11:$N$160,N$8,0)*HLOOKUP(N$10,'I | Inflation'!$C$52:$H$54,3,0),0)</f>
        <v>0</v>
      </c>
      <c r="O44" s="54">
        <f t="shared" si="0"/>
        <v>0</v>
      </c>
      <c r="P44" s="53"/>
    </row>
    <row r="45" spans="1:16" s="4" customFormat="1" x14ac:dyDescent="0.3">
      <c r="A45" s="56">
        <v>35</v>
      </c>
      <c r="B45" s="49" t="str">
        <f>IF('I | Forecast 23-27'!B45="","",'I | Forecast 23-27'!B45)</f>
        <v/>
      </c>
      <c r="C45" s="47" t="str">
        <f>IF('I | Forecast 23-27'!C45="","",'I | Forecast 23-27'!C45)</f>
        <v/>
      </c>
      <c r="D45" s="47" t="str">
        <f>IF('I | Forecast 23-27'!D45="","",'I | Forecast 23-27'!D45)</f>
        <v/>
      </c>
      <c r="E45" s="47" t="str">
        <f>IF('I | Forecast 23-27'!E45="","",'I | Forecast 23-27'!E45)</f>
        <v/>
      </c>
      <c r="F45" s="47" t="str">
        <f>IF('I | Forecast 23-27'!F45="","",'I | Forecast 23-27'!F45)</f>
        <v/>
      </c>
      <c r="G45" s="47" t="str">
        <f>IF('I | Forecast 23-27'!G45="","",'I | Forecast 23-27'!G45)</f>
        <v/>
      </c>
      <c r="H45" s="47" t="str">
        <f>IF('I | Forecast 23-27'!H45="","",'I | Forecast 23-27'!H45)</f>
        <v/>
      </c>
      <c r="I45" s="50"/>
      <c r="J45" s="52">
        <f>IFERROR(VLOOKUP($A45,'I | Forecast 23-27'!$A$11:$N$160,J$8,0)*HLOOKUP(J$10,'I | Inflation'!$C$52:$H$54,3,0),0)</f>
        <v>0</v>
      </c>
      <c r="K45" s="52">
        <f>IFERROR(VLOOKUP($A45,'I | Forecast 23-27'!$A$11:$N$160,K$8,0)*HLOOKUP(K$10,'I | Inflation'!$C$52:$H$54,3,0),0)</f>
        <v>0</v>
      </c>
      <c r="L45" s="52">
        <f>IFERROR(VLOOKUP($A45,'I | Forecast 23-27'!$A$11:$N$160,L$8,0)*HLOOKUP(L$10,'I | Inflation'!$C$52:$H$54,3,0),0)</f>
        <v>0</v>
      </c>
      <c r="M45" s="52">
        <f>IFERROR(VLOOKUP($A45,'I | Forecast 23-27'!$A$11:$N$160,M$8,0)*HLOOKUP(M$10,'I | Inflation'!$C$52:$H$54,3,0),0)</f>
        <v>0</v>
      </c>
      <c r="N45" s="52">
        <f>IFERROR(VLOOKUP($A45,'I | Forecast 23-27'!$A$11:$N$160,N$8,0)*HLOOKUP(N$10,'I | Inflation'!$C$52:$H$54,3,0),0)</f>
        <v>0</v>
      </c>
      <c r="O45" s="54">
        <f t="shared" si="0"/>
        <v>0</v>
      </c>
      <c r="P45" s="53"/>
    </row>
    <row r="46" spans="1:16" s="4" customFormat="1" x14ac:dyDescent="0.3">
      <c r="A46" s="56">
        <v>36</v>
      </c>
      <c r="B46" s="49" t="str">
        <f>IF('I | Forecast 23-27'!B46="","",'I | Forecast 23-27'!B46)</f>
        <v/>
      </c>
      <c r="C46" s="47" t="str">
        <f>IF('I | Forecast 23-27'!C46="","",'I | Forecast 23-27'!C46)</f>
        <v/>
      </c>
      <c r="D46" s="47" t="str">
        <f>IF('I | Forecast 23-27'!D46="","",'I | Forecast 23-27'!D46)</f>
        <v/>
      </c>
      <c r="E46" s="47" t="str">
        <f>IF('I | Forecast 23-27'!E46="","",'I | Forecast 23-27'!E46)</f>
        <v/>
      </c>
      <c r="F46" s="47" t="str">
        <f>IF('I | Forecast 23-27'!F46="","",'I | Forecast 23-27'!F46)</f>
        <v/>
      </c>
      <c r="G46" s="47" t="str">
        <f>IF('I | Forecast 23-27'!G46="","",'I | Forecast 23-27'!G46)</f>
        <v/>
      </c>
      <c r="H46" s="47" t="str">
        <f>IF('I | Forecast 23-27'!H46="","",'I | Forecast 23-27'!H46)</f>
        <v/>
      </c>
      <c r="I46" s="50"/>
      <c r="J46" s="52">
        <f>IFERROR(VLOOKUP($A46,'I | Forecast 23-27'!$A$11:$N$160,J$8,0)*HLOOKUP(J$10,'I | Inflation'!$C$52:$H$54,3,0),0)</f>
        <v>0</v>
      </c>
      <c r="K46" s="52">
        <f>IFERROR(VLOOKUP($A46,'I | Forecast 23-27'!$A$11:$N$160,K$8,0)*HLOOKUP(K$10,'I | Inflation'!$C$52:$H$54,3,0),0)</f>
        <v>0</v>
      </c>
      <c r="L46" s="52">
        <f>IFERROR(VLOOKUP($A46,'I | Forecast 23-27'!$A$11:$N$160,L$8,0)*HLOOKUP(L$10,'I | Inflation'!$C$52:$H$54,3,0),0)</f>
        <v>0</v>
      </c>
      <c r="M46" s="52">
        <f>IFERROR(VLOOKUP($A46,'I | Forecast 23-27'!$A$11:$N$160,M$8,0)*HLOOKUP(M$10,'I | Inflation'!$C$52:$H$54,3,0),0)</f>
        <v>0</v>
      </c>
      <c r="N46" s="52">
        <f>IFERROR(VLOOKUP($A46,'I | Forecast 23-27'!$A$11:$N$160,N$8,0)*HLOOKUP(N$10,'I | Inflation'!$C$52:$H$54,3,0),0)</f>
        <v>0</v>
      </c>
      <c r="O46" s="54">
        <f t="shared" si="0"/>
        <v>0</v>
      </c>
      <c r="P46" s="53"/>
    </row>
    <row r="47" spans="1:16" s="4" customFormat="1" x14ac:dyDescent="0.3">
      <c r="A47" s="56">
        <v>37</v>
      </c>
      <c r="B47" s="49" t="str">
        <f>IF('I | Forecast 23-27'!B47="","",'I | Forecast 23-27'!B47)</f>
        <v/>
      </c>
      <c r="C47" s="47" t="str">
        <f>IF('I | Forecast 23-27'!C47="","",'I | Forecast 23-27'!C47)</f>
        <v/>
      </c>
      <c r="D47" s="47" t="str">
        <f>IF('I | Forecast 23-27'!D47="","",'I | Forecast 23-27'!D47)</f>
        <v/>
      </c>
      <c r="E47" s="47" t="str">
        <f>IF('I | Forecast 23-27'!E47="","",'I | Forecast 23-27'!E47)</f>
        <v/>
      </c>
      <c r="F47" s="47" t="str">
        <f>IF('I | Forecast 23-27'!F47="","",'I | Forecast 23-27'!F47)</f>
        <v/>
      </c>
      <c r="G47" s="47" t="str">
        <f>IF('I | Forecast 23-27'!G47="","",'I | Forecast 23-27'!G47)</f>
        <v/>
      </c>
      <c r="H47" s="47" t="str">
        <f>IF('I | Forecast 23-27'!H47="","",'I | Forecast 23-27'!H47)</f>
        <v/>
      </c>
      <c r="I47" s="50"/>
      <c r="J47" s="52">
        <f>IFERROR(VLOOKUP($A47,'I | Forecast 23-27'!$A$11:$N$160,J$8,0)*HLOOKUP(J$10,'I | Inflation'!$C$52:$H$54,3,0),0)</f>
        <v>0</v>
      </c>
      <c r="K47" s="52">
        <f>IFERROR(VLOOKUP($A47,'I | Forecast 23-27'!$A$11:$N$160,K$8,0)*HLOOKUP(K$10,'I | Inflation'!$C$52:$H$54,3,0),0)</f>
        <v>0</v>
      </c>
      <c r="L47" s="52">
        <f>IFERROR(VLOOKUP($A47,'I | Forecast 23-27'!$A$11:$N$160,L$8,0)*HLOOKUP(L$10,'I | Inflation'!$C$52:$H$54,3,0),0)</f>
        <v>0</v>
      </c>
      <c r="M47" s="52">
        <f>IFERROR(VLOOKUP($A47,'I | Forecast 23-27'!$A$11:$N$160,M$8,0)*HLOOKUP(M$10,'I | Inflation'!$C$52:$H$54,3,0),0)</f>
        <v>0</v>
      </c>
      <c r="N47" s="52">
        <f>IFERROR(VLOOKUP($A47,'I | Forecast 23-27'!$A$11:$N$160,N$8,0)*HLOOKUP(N$10,'I | Inflation'!$C$52:$H$54,3,0),0)</f>
        <v>0</v>
      </c>
      <c r="O47" s="54">
        <f t="shared" si="0"/>
        <v>0</v>
      </c>
      <c r="P47" s="53"/>
    </row>
    <row r="48" spans="1:16" s="4" customFormat="1" x14ac:dyDescent="0.3">
      <c r="A48" s="56">
        <v>38</v>
      </c>
      <c r="B48" s="49" t="str">
        <f>IF('I | Forecast 23-27'!B48="","",'I | Forecast 23-27'!B48)</f>
        <v/>
      </c>
      <c r="C48" s="47" t="str">
        <f>IF('I | Forecast 23-27'!C48="","",'I | Forecast 23-27'!C48)</f>
        <v/>
      </c>
      <c r="D48" s="47" t="str">
        <f>IF('I | Forecast 23-27'!D48="","",'I | Forecast 23-27'!D48)</f>
        <v/>
      </c>
      <c r="E48" s="47" t="str">
        <f>IF('I | Forecast 23-27'!E48="","",'I | Forecast 23-27'!E48)</f>
        <v/>
      </c>
      <c r="F48" s="47" t="str">
        <f>IF('I | Forecast 23-27'!F48="","",'I | Forecast 23-27'!F48)</f>
        <v/>
      </c>
      <c r="G48" s="47" t="str">
        <f>IF('I | Forecast 23-27'!G48="","",'I | Forecast 23-27'!G48)</f>
        <v/>
      </c>
      <c r="H48" s="47" t="str">
        <f>IF('I | Forecast 23-27'!H48="","",'I | Forecast 23-27'!H48)</f>
        <v/>
      </c>
      <c r="I48" s="50"/>
      <c r="J48" s="52">
        <f>IFERROR(VLOOKUP($A48,'I | Forecast 23-27'!$A$11:$N$160,J$8,0)*HLOOKUP(J$10,'I | Inflation'!$C$52:$H$54,3,0),0)</f>
        <v>0</v>
      </c>
      <c r="K48" s="52">
        <f>IFERROR(VLOOKUP($A48,'I | Forecast 23-27'!$A$11:$N$160,K$8,0)*HLOOKUP(K$10,'I | Inflation'!$C$52:$H$54,3,0),0)</f>
        <v>0</v>
      </c>
      <c r="L48" s="52">
        <f>IFERROR(VLOOKUP($A48,'I | Forecast 23-27'!$A$11:$N$160,L$8,0)*HLOOKUP(L$10,'I | Inflation'!$C$52:$H$54,3,0),0)</f>
        <v>0</v>
      </c>
      <c r="M48" s="52">
        <f>IFERROR(VLOOKUP($A48,'I | Forecast 23-27'!$A$11:$N$160,M$8,0)*HLOOKUP(M$10,'I | Inflation'!$C$52:$H$54,3,0),0)</f>
        <v>0</v>
      </c>
      <c r="N48" s="52">
        <f>IFERROR(VLOOKUP($A48,'I | Forecast 23-27'!$A$11:$N$160,N$8,0)*HLOOKUP(N$10,'I | Inflation'!$C$52:$H$54,3,0),0)</f>
        <v>0</v>
      </c>
      <c r="O48" s="54">
        <f t="shared" si="0"/>
        <v>0</v>
      </c>
      <c r="P48" s="53"/>
    </row>
    <row r="49" spans="1:16" s="4" customFormat="1" x14ac:dyDescent="0.3">
      <c r="A49" s="56">
        <v>39</v>
      </c>
      <c r="B49" s="49" t="str">
        <f>IF('I | Forecast 23-27'!B49="","",'I | Forecast 23-27'!B49)</f>
        <v/>
      </c>
      <c r="C49" s="47" t="str">
        <f>IF('I | Forecast 23-27'!C49="","",'I | Forecast 23-27'!C49)</f>
        <v/>
      </c>
      <c r="D49" s="47" t="str">
        <f>IF('I | Forecast 23-27'!D49="","",'I | Forecast 23-27'!D49)</f>
        <v/>
      </c>
      <c r="E49" s="47" t="str">
        <f>IF('I | Forecast 23-27'!E49="","",'I | Forecast 23-27'!E49)</f>
        <v/>
      </c>
      <c r="F49" s="47" t="str">
        <f>IF('I | Forecast 23-27'!F49="","",'I | Forecast 23-27'!F49)</f>
        <v/>
      </c>
      <c r="G49" s="47" t="str">
        <f>IF('I | Forecast 23-27'!G49="","",'I | Forecast 23-27'!G49)</f>
        <v/>
      </c>
      <c r="H49" s="47" t="str">
        <f>IF('I | Forecast 23-27'!H49="","",'I | Forecast 23-27'!H49)</f>
        <v/>
      </c>
      <c r="I49" s="50"/>
      <c r="J49" s="52">
        <f>IFERROR(VLOOKUP($A49,'I | Forecast 23-27'!$A$11:$N$160,J$8,0)*HLOOKUP(J$10,'I | Inflation'!$C$52:$H$54,3,0),0)</f>
        <v>0</v>
      </c>
      <c r="K49" s="52">
        <f>IFERROR(VLOOKUP($A49,'I | Forecast 23-27'!$A$11:$N$160,K$8,0)*HLOOKUP(K$10,'I | Inflation'!$C$52:$H$54,3,0),0)</f>
        <v>0</v>
      </c>
      <c r="L49" s="52">
        <f>IFERROR(VLOOKUP($A49,'I | Forecast 23-27'!$A$11:$N$160,L$8,0)*HLOOKUP(L$10,'I | Inflation'!$C$52:$H$54,3,0),0)</f>
        <v>0</v>
      </c>
      <c r="M49" s="52">
        <f>IFERROR(VLOOKUP($A49,'I | Forecast 23-27'!$A$11:$N$160,M$8,0)*HLOOKUP(M$10,'I | Inflation'!$C$52:$H$54,3,0),0)</f>
        <v>0</v>
      </c>
      <c r="N49" s="52">
        <f>IFERROR(VLOOKUP($A49,'I | Forecast 23-27'!$A$11:$N$160,N$8,0)*HLOOKUP(N$10,'I | Inflation'!$C$52:$H$54,3,0),0)</f>
        <v>0</v>
      </c>
      <c r="O49" s="54">
        <f t="shared" si="0"/>
        <v>0</v>
      </c>
      <c r="P49" s="53"/>
    </row>
    <row r="50" spans="1:16" s="4" customFormat="1" x14ac:dyDescent="0.3">
      <c r="A50" s="56">
        <v>40</v>
      </c>
      <c r="B50" s="49" t="str">
        <f>IF('I | Forecast 23-27'!B50="","",'I | Forecast 23-27'!B50)</f>
        <v/>
      </c>
      <c r="C50" s="47" t="str">
        <f>IF('I | Forecast 23-27'!C50="","",'I | Forecast 23-27'!C50)</f>
        <v/>
      </c>
      <c r="D50" s="47" t="str">
        <f>IF('I | Forecast 23-27'!D50="","",'I | Forecast 23-27'!D50)</f>
        <v/>
      </c>
      <c r="E50" s="47" t="str">
        <f>IF('I | Forecast 23-27'!E50="","",'I | Forecast 23-27'!E50)</f>
        <v/>
      </c>
      <c r="F50" s="47" t="str">
        <f>IF('I | Forecast 23-27'!F50="","",'I | Forecast 23-27'!F50)</f>
        <v/>
      </c>
      <c r="G50" s="47" t="str">
        <f>IF('I | Forecast 23-27'!G50="","",'I | Forecast 23-27'!G50)</f>
        <v/>
      </c>
      <c r="H50" s="47" t="str">
        <f>IF('I | Forecast 23-27'!H50="","",'I | Forecast 23-27'!H50)</f>
        <v/>
      </c>
      <c r="I50" s="50"/>
      <c r="J50" s="52">
        <f>IFERROR(VLOOKUP($A50,'I | Forecast 23-27'!$A$11:$N$160,J$8,0)*HLOOKUP(J$10,'I | Inflation'!$C$52:$H$54,3,0),0)</f>
        <v>0</v>
      </c>
      <c r="K50" s="52">
        <f>IFERROR(VLOOKUP($A50,'I | Forecast 23-27'!$A$11:$N$160,K$8,0)*HLOOKUP(K$10,'I | Inflation'!$C$52:$H$54,3,0),0)</f>
        <v>0</v>
      </c>
      <c r="L50" s="52">
        <f>IFERROR(VLOOKUP($A50,'I | Forecast 23-27'!$A$11:$N$160,L$8,0)*HLOOKUP(L$10,'I | Inflation'!$C$52:$H$54,3,0),0)</f>
        <v>0</v>
      </c>
      <c r="M50" s="52">
        <f>IFERROR(VLOOKUP($A50,'I | Forecast 23-27'!$A$11:$N$160,M$8,0)*HLOOKUP(M$10,'I | Inflation'!$C$52:$H$54,3,0),0)</f>
        <v>0</v>
      </c>
      <c r="N50" s="52">
        <f>IFERROR(VLOOKUP($A50,'I | Forecast 23-27'!$A$11:$N$160,N$8,0)*HLOOKUP(N$10,'I | Inflation'!$C$52:$H$54,3,0),0)</f>
        <v>0</v>
      </c>
      <c r="O50" s="54">
        <f t="shared" si="0"/>
        <v>0</v>
      </c>
      <c r="P50" s="53"/>
    </row>
    <row r="51" spans="1:16" s="4" customFormat="1" x14ac:dyDescent="0.3">
      <c r="A51" s="56">
        <v>41</v>
      </c>
      <c r="B51" s="49" t="str">
        <f>IF('I | Forecast 23-27'!B51="","",'I | Forecast 23-27'!B51)</f>
        <v/>
      </c>
      <c r="C51" s="47" t="str">
        <f>IF('I | Forecast 23-27'!C51="","",'I | Forecast 23-27'!C51)</f>
        <v/>
      </c>
      <c r="D51" s="47" t="str">
        <f>IF('I | Forecast 23-27'!D51="","",'I | Forecast 23-27'!D51)</f>
        <v/>
      </c>
      <c r="E51" s="47" t="str">
        <f>IF('I | Forecast 23-27'!E51="","",'I | Forecast 23-27'!E51)</f>
        <v/>
      </c>
      <c r="F51" s="47" t="str">
        <f>IF('I | Forecast 23-27'!F51="","",'I | Forecast 23-27'!F51)</f>
        <v/>
      </c>
      <c r="G51" s="47" t="str">
        <f>IF('I | Forecast 23-27'!G51="","",'I | Forecast 23-27'!G51)</f>
        <v/>
      </c>
      <c r="H51" s="47" t="str">
        <f>IF('I | Forecast 23-27'!H51="","",'I | Forecast 23-27'!H51)</f>
        <v/>
      </c>
      <c r="I51" s="50"/>
      <c r="J51" s="52">
        <f>IFERROR(VLOOKUP($A51,'I | Forecast 23-27'!$A$11:$N$160,J$8,0)*HLOOKUP(J$10,'I | Inflation'!$C$52:$H$54,3,0),0)</f>
        <v>0</v>
      </c>
      <c r="K51" s="52">
        <f>IFERROR(VLOOKUP($A51,'I | Forecast 23-27'!$A$11:$N$160,K$8,0)*HLOOKUP(K$10,'I | Inflation'!$C$52:$H$54,3,0),0)</f>
        <v>0</v>
      </c>
      <c r="L51" s="52">
        <f>IFERROR(VLOOKUP($A51,'I | Forecast 23-27'!$A$11:$N$160,L$8,0)*HLOOKUP(L$10,'I | Inflation'!$C$52:$H$54,3,0),0)</f>
        <v>0</v>
      </c>
      <c r="M51" s="52">
        <f>IFERROR(VLOOKUP($A51,'I | Forecast 23-27'!$A$11:$N$160,M$8,0)*HLOOKUP(M$10,'I | Inflation'!$C$52:$H$54,3,0),0)</f>
        <v>0</v>
      </c>
      <c r="N51" s="52">
        <f>IFERROR(VLOOKUP($A51,'I | Forecast 23-27'!$A$11:$N$160,N$8,0)*HLOOKUP(N$10,'I | Inflation'!$C$52:$H$54,3,0),0)</f>
        <v>0</v>
      </c>
      <c r="O51" s="54">
        <f t="shared" si="0"/>
        <v>0</v>
      </c>
      <c r="P51" s="53"/>
    </row>
    <row r="52" spans="1:16" s="4" customFormat="1" x14ac:dyDescent="0.3">
      <c r="A52" s="56">
        <v>42</v>
      </c>
      <c r="B52" s="49" t="str">
        <f>IF('I | Forecast 23-27'!B52="","",'I | Forecast 23-27'!B52)</f>
        <v/>
      </c>
      <c r="C52" s="47" t="str">
        <f>IF('I | Forecast 23-27'!C52="","",'I | Forecast 23-27'!C52)</f>
        <v/>
      </c>
      <c r="D52" s="47" t="str">
        <f>IF('I | Forecast 23-27'!D52="","",'I | Forecast 23-27'!D52)</f>
        <v/>
      </c>
      <c r="E52" s="47" t="str">
        <f>IF('I | Forecast 23-27'!E52="","",'I | Forecast 23-27'!E52)</f>
        <v/>
      </c>
      <c r="F52" s="47" t="str">
        <f>IF('I | Forecast 23-27'!F52="","",'I | Forecast 23-27'!F52)</f>
        <v/>
      </c>
      <c r="G52" s="47" t="str">
        <f>IF('I | Forecast 23-27'!G52="","",'I | Forecast 23-27'!G52)</f>
        <v/>
      </c>
      <c r="H52" s="47" t="str">
        <f>IF('I | Forecast 23-27'!H52="","",'I | Forecast 23-27'!H52)</f>
        <v/>
      </c>
      <c r="I52" s="50"/>
      <c r="J52" s="52">
        <f>IFERROR(VLOOKUP($A52,'I | Forecast 23-27'!$A$11:$N$160,J$8,0)*HLOOKUP(J$10,'I | Inflation'!$C$52:$H$54,3,0),0)</f>
        <v>0</v>
      </c>
      <c r="K52" s="52">
        <f>IFERROR(VLOOKUP($A52,'I | Forecast 23-27'!$A$11:$N$160,K$8,0)*HLOOKUP(K$10,'I | Inflation'!$C$52:$H$54,3,0),0)</f>
        <v>0</v>
      </c>
      <c r="L52" s="52">
        <f>IFERROR(VLOOKUP($A52,'I | Forecast 23-27'!$A$11:$N$160,L$8,0)*HLOOKUP(L$10,'I | Inflation'!$C$52:$H$54,3,0),0)</f>
        <v>0</v>
      </c>
      <c r="M52" s="52">
        <f>IFERROR(VLOOKUP($A52,'I | Forecast 23-27'!$A$11:$N$160,M$8,0)*HLOOKUP(M$10,'I | Inflation'!$C$52:$H$54,3,0),0)</f>
        <v>0</v>
      </c>
      <c r="N52" s="52">
        <f>IFERROR(VLOOKUP($A52,'I | Forecast 23-27'!$A$11:$N$160,N$8,0)*HLOOKUP(N$10,'I | Inflation'!$C$52:$H$54,3,0),0)</f>
        <v>0</v>
      </c>
      <c r="O52" s="54">
        <f t="shared" si="0"/>
        <v>0</v>
      </c>
      <c r="P52" s="53"/>
    </row>
    <row r="53" spans="1:16" s="4" customFormat="1" x14ac:dyDescent="0.3">
      <c r="A53" s="56">
        <v>43</v>
      </c>
      <c r="B53" s="49" t="str">
        <f>IF('I | Forecast 23-27'!B53="","",'I | Forecast 23-27'!B53)</f>
        <v/>
      </c>
      <c r="C53" s="47" t="str">
        <f>IF('I | Forecast 23-27'!C53="","",'I | Forecast 23-27'!C53)</f>
        <v/>
      </c>
      <c r="D53" s="47" t="str">
        <f>IF('I | Forecast 23-27'!D53="","",'I | Forecast 23-27'!D53)</f>
        <v/>
      </c>
      <c r="E53" s="47" t="str">
        <f>IF('I | Forecast 23-27'!E53="","",'I | Forecast 23-27'!E53)</f>
        <v/>
      </c>
      <c r="F53" s="47" t="str">
        <f>IF('I | Forecast 23-27'!F53="","",'I | Forecast 23-27'!F53)</f>
        <v/>
      </c>
      <c r="G53" s="47" t="str">
        <f>IF('I | Forecast 23-27'!G53="","",'I | Forecast 23-27'!G53)</f>
        <v/>
      </c>
      <c r="H53" s="47" t="str">
        <f>IF('I | Forecast 23-27'!H53="","",'I | Forecast 23-27'!H53)</f>
        <v/>
      </c>
      <c r="I53" s="50"/>
      <c r="J53" s="52">
        <f>IFERROR(VLOOKUP($A53,'I | Forecast 23-27'!$A$11:$N$160,J$8,0)*HLOOKUP(J$10,'I | Inflation'!$C$52:$H$54,3,0),0)</f>
        <v>0</v>
      </c>
      <c r="K53" s="52">
        <f>IFERROR(VLOOKUP($A53,'I | Forecast 23-27'!$A$11:$N$160,K$8,0)*HLOOKUP(K$10,'I | Inflation'!$C$52:$H$54,3,0),0)</f>
        <v>0</v>
      </c>
      <c r="L53" s="52">
        <f>IFERROR(VLOOKUP($A53,'I | Forecast 23-27'!$A$11:$N$160,L$8,0)*HLOOKUP(L$10,'I | Inflation'!$C$52:$H$54,3,0),0)</f>
        <v>0</v>
      </c>
      <c r="M53" s="52">
        <f>IFERROR(VLOOKUP($A53,'I | Forecast 23-27'!$A$11:$N$160,M$8,0)*HLOOKUP(M$10,'I | Inflation'!$C$52:$H$54,3,0),0)</f>
        <v>0</v>
      </c>
      <c r="N53" s="52">
        <f>IFERROR(VLOOKUP($A53,'I | Forecast 23-27'!$A$11:$N$160,N$8,0)*HLOOKUP(N$10,'I | Inflation'!$C$52:$H$54,3,0),0)</f>
        <v>0</v>
      </c>
      <c r="O53" s="54">
        <f t="shared" si="0"/>
        <v>0</v>
      </c>
      <c r="P53" s="53"/>
    </row>
    <row r="54" spans="1:16" s="4" customFormat="1" x14ac:dyDescent="0.3">
      <c r="A54" s="56">
        <v>44</v>
      </c>
      <c r="B54" s="49" t="str">
        <f>IF('I | Forecast 23-27'!B54="","",'I | Forecast 23-27'!B54)</f>
        <v/>
      </c>
      <c r="C54" s="47" t="str">
        <f>IF('I | Forecast 23-27'!C54="","",'I | Forecast 23-27'!C54)</f>
        <v/>
      </c>
      <c r="D54" s="47" t="str">
        <f>IF('I | Forecast 23-27'!D54="","",'I | Forecast 23-27'!D54)</f>
        <v/>
      </c>
      <c r="E54" s="47" t="str">
        <f>IF('I | Forecast 23-27'!E54="","",'I | Forecast 23-27'!E54)</f>
        <v/>
      </c>
      <c r="F54" s="47" t="str">
        <f>IF('I | Forecast 23-27'!F54="","",'I | Forecast 23-27'!F54)</f>
        <v/>
      </c>
      <c r="G54" s="47" t="str">
        <f>IF('I | Forecast 23-27'!G54="","",'I | Forecast 23-27'!G54)</f>
        <v/>
      </c>
      <c r="H54" s="47" t="str">
        <f>IF('I | Forecast 23-27'!H54="","",'I | Forecast 23-27'!H54)</f>
        <v/>
      </c>
      <c r="I54" s="50"/>
      <c r="J54" s="52">
        <f>IFERROR(VLOOKUP($A54,'I | Forecast 23-27'!$A$11:$N$160,J$8,0)*HLOOKUP(J$10,'I | Inflation'!$C$52:$H$54,3,0),0)</f>
        <v>0</v>
      </c>
      <c r="K54" s="52">
        <f>IFERROR(VLOOKUP($A54,'I | Forecast 23-27'!$A$11:$N$160,K$8,0)*HLOOKUP(K$10,'I | Inflation'!$C$52:$H$54,3,0),0)</f>
        <v>0</v>
      </c>
      <c r="L54" s="52">
        <f>IFERROR(VLOOKUP($A54,'I | Forecast 23-27'!$A$11:$N$160,L$8,0)*HLOOKUP(L$10,'I | Inflation'!$C$52:$H$54,3,0),0)</f>
        <v>0</v>
      </c>
      <c r="M54" s="52">
        <f>IFERROR(VLOOKUP($A54,'I | Forecast 23-27'!$A$11:$N$160,M$8,0)*HLOOKUP(M$10,'I | Inflation'!$C$52:$H$54,3,0),0)</f>
        <v>0</v>
      </c>
      <c r="N54" s="52">
        <f>IFERROR(VLOOKUP($A54,'I | Forecast 23-27'!$A$11:$N$160,N$8,0)*HLOOKUP(N$10,'I | Inflation'!$C$52:$H$54,3,0),0)</f>
        <v>0</v>
      </c>
      <c r="O54" s="54">
        <f t="shared" si="0"/>
        <v>0</v>
      </c>
      <c r="P54" s="53"/>
    </row>
    <row r="55" spans="1:16" s="4" customFormat="1" x14ac:dyDescent="0.3">
      <c r="A55" s="56">
        <v>45</v>
      </c>
      <c r="B55" s="49" t="str">
        <f>IF('I | Forecast 23-27'!B55="","",'I | Forecast 23-27'!B55)</f>
        <v/>
      </c>
      <c r="C55" s="47" t="str">
        <f>IF('I | Forecast 23-27'!C55="","",'I | Forecast 23-27'!C55)</f>
        <v/>
      </c>
      <c r="D55" s="47" t="str">
        <f>IF('I | Forecast 23-27'!D55="","",'I | Forecast 23-27'!D55)</f>
        <v/>
      </c>
      <c r="E55" s="47" t="str">
        <f>IF('I | Forecast 23-27'!E55="","",'I | Forecast 23-27'!E55)</f>
        <v/>
      </c>
      <c r="F55" s="47" t="str">
        <f>IF('I | Forecast 23-27'!F55="","",'I | Forecast 23-27'!F55)</f>
        <v/>
      </c>
      <c r="G55" s="47" t="str">
        <f>IF('I | Forecast 23-27'!G55="","",'I | Forecast 23-27'!G55)</f>
        <v/>
      </c>
      <c r="H55" s="47" t="str">
        <f>IF('I | Forecast 23-27'!H55="","",'I | Forecast 23-27'!H55)</f>
        <v/>
      </c>
      <c r="I55" s="50"/>
      <c r="J55" s="52">
        <f>IFERROR(VLOOKUP($A55,'I | Forecast 23-27'!$A$11:$N$160,J$8,0)*HLOOKUP(J$10,'I | Inflation'!$C$52:$H$54,3,0),0)</f>
        <v>0</v>
      </c>
      <c r="K55" s="52">
        <f>IFERROR(VLOOKUP($A55,'I | Forecast 23-27'!$A$11:$N$160,K$8,0)*HLOOKUP(K$10,'I | Inflation'!$C$52:$H$54,3,0),0)</f>
        <v>0</v>
      </c>
      <c r="L55" s="52">
        <f>IFERROR(VLOOKUP($A55,'I | Forecast 23-27'!$A$11:$N$160,L$8,0)*HLOOKUP(L$10,'I | Inflation'!$C$52:$H$54,3,0),0)</f>
        <v>0</v>
      </c>
      <c r="M55" s="52">
        <f>IFERROR(VLOOKUP($A55,'I | Forecast 23-27'!$A$11:$N$160,M$8,0)*HLOOKUP(M$10,'I | Inflation'!$C$52:$H$54,3,0),0)</f>
        <v>0</v>
      </c>
      <c r="N55" s="52">
        <f>IFERROR(VLOOKUP($A55,'I | Forecast 23-27'!$A$11:$N$160,N$8,0)*HLOOKUP(N$10,'I | Inflation'!$C$52:$H$54,3,0),0)</f>
        <v>0</v>
      </c>
      <c r="O55" s="54">
        <f t="shared" si="0"/>
        <v>0</v>
      </c>
      <c r="P55" s="53"/>
    </row>
    <row r="56" spans="1:16" s="4" customFormat="1" x14ac:dyDescent="0.3">
      <c r="A56" s="56">
        <v>46</v>
      </c>
      <c r="B56" s="49" t="str">
        <f>IF('I | Forecast 23-27'!B56="","",'I | Forecast 23-27'!B56)</f>
        <v/>
      </c>
      <c r="C56" s="47" t="str">
        <f>IF('I | Forecast 23-27'!C56="","",'I | Forecast 23-27'!C56)</f>
        <v/>
      </c>
      <c r="D56" s="47" t="str">
        <f>IF('I | Forecast 23-27'!D56="","",'I | Forecast 23-27'!D56)</f>
        <v/>
      </c>
      <c r="E56" s="47" t="str">
        <f>IF('I | Forecast 23-27'!E56="","",'I | Forecast 23-27'!E56)</f>
        <v/>
      </c>
      <c r="F56" s="47" t="str">
        <f>IF('I | Forecast 23-27'!F56="","",'I | Forecast 23-27'!F56)</f>
        <v/>
      </c>
      <c r="G56" s="47" t="str">
        <f>IF('I | Forecast 23-27'!G56="","",'I | Forecast 23-27'!G56)</f>
        <v/>
      </c>
      <c r="H56" s="47" t="str">
        <f>IF('I | Forecast 23-27'!H56="","",'I | Forecast 23-27'!H56)</f>
        <v/>
      </c>
      <c r="I56" s="50"/>
      <c r="J56" s="52">
        <f>IFERROR(VLOOKUP($A56,'I | Forecast 23-27'!$A$11:$N$160,J$8,0)*HLOOKUP(J$10,'I | Inflation'!$C$52:$H$54,3,0),0)</f>
        <v>0</v>
      </c>
      <c r="K56" s="52">
        <f>IFERROR(VLOOKUP($A56,'I | Forecast 23-27'!$A$11:$N$160,K$8,0)*HLOOKUP(K$10,'I | Inflation'!$C$52:$H$54,3,0),0)</f>
        <v>0</v>
      </c>
      <c r="L56" s="52">
        <f>IFERROR(VLOOKUP($A56,'I | Forecast 23-27'!$A$11:$N$160,L$8,0)*HLOOKUP(L$10,'I | Inflation'!$C$52:$H$54,3,0),0)</f>
        <v>0</v>
      </c>
      <c r="M56" s="52">
        <f>IFERROR(VLOOKUP($A56,'I | Forecast 23-27'!$A$11:$N$160,M$8,0)*HLOOKUP(M$10,'I | Inflation'!$C$52:$H$54,3,0),0)</f>
        <v>0</v>
      </c>
      <c r="N56" s="52">
        <f>IFERROR(VLOOKUP($A56,'I | Forecast 23-27'!$A$11:$N$160,N$8,0)*HLOOKUP(N$10,'I | Inflation'!$C$52:$H$54,3,0),0)</f>
        <v>0</v>
      </c>
      <c r="O56" s="54">
        <f t="shared" si="0"/>
        <v>0</v>
      </c>
      <c r="P56" s="53"/>
    </row>
    <row r="57" spans="1:16" s="4" customFormat="1" x14ac:dyDescent="0.3">
      <c r="A57" s="56">
        <v>47</v>
      </c>
      <c r="B57" s="49" t="str">
        <f>IF('I | Forecast 23-27'!B57="","",'I | Forecast 23-27'!B57)</f>
        <v/>
      </c>
      <c r="C57" s="47" t="str">
        <f>IF('I | Forecast 23-27'!C57="","",'I | Forecast 23-27'!C57)</f>
        <v/>
      </c>
      <c r="D57" s="47" t="str">
        <f>IF('I | Forecast 23-27'!D57="","",'I | Forecast 23-27'!D57)</f>
        <v/>
      </c>
      <c r="E57" s="47" t="str">
        <f>IF('I | Forecast 23-27'!E57="","",'I | Forecast 23-27'!E57)</f>
        <v/>
      </c>
      <c r="F57" s="47" t="str">
        <f>IF('I | Forecast 23-27'!F57="","",'I | Forecast 23-27'!F57)</f>
        <v/>
      </c>
      <c r="G57" s="47" t="str">
        <f>IF('I | Forecast 23-27'!G57="","",'I | Forecast 23-27'!G57)</f>
        <v/>
      </c>
      <c r="H57" s="47" t="str">
        <f>IF('I | Forecast 23-27'!H57="","",'I | Forecast 23-27'!H57)</f>
        <v/>
      </c>
      <c r="I57" s="50"/>
      <c r="J57" s="52">
        <f>IFERROR(VLOOKUP($A57,'I | Forecast 23-27'!$A$11:$N$160,J$8,0)*HLOOKUP(J$10,'I | Inflation'!$C$52:$H$54,3,0),0)</f>
        <v>0</v>
      </c>
      <c r="K57" s="52">
        <f>IFERROR(VLOOKUP($A57,'I | Forecast 23-27'!$A$11:$N$160,K$8,0)*HLOOKUP(K$10,'I | Inflation'!$C$52:$H$54,3,0),0)</f>
        <v>0</v>
      </c>
      <c r="L57" s="52">
        <f>IFERROR(VLOOKUP($A57,'I | Forecast 23-27'!$A$11:$N$160,L$8,0)*HLOOKUP(L$10,'I | Inflation'!$C$52:$H$54,3,0),0)</f>
        <v>0</v>
      </c>
      <c r="M57" s="52">
        <f>IFERROR(VLOOKUP($A57,'I | Forecast 23-27'!$A$11:$N$160,M$8,0)*HLOOKUP(M$10,'I | Inflation'!$C$52:$H$54,3,0),0)</f>
        <v>0</v>
      </c>
      <c r="N57" s="52">
        <f>IFERROR(VLOOKUP($A57,'I | Forecast 23-27'!$A$11:$N$160,N$8,0)*HLOOKUP(N$10,'I | Inflation'!$C$52:$H$54,3,0),0)</f>
        <v>0</v>
      </c>
      <c r="O57" s="54">
        <f t="shared" si="0"/>
        <v>0</v>
      </c>
      <c r="P57" s="53"/>
    </row>
    <row r="58" spans="1:16" s="4" customFormat="1" x14ac:dyDescent="0.3">
      <c r="A58" s="56">
        <v>48</v>
      </c>
      <c r="B58" s="49" t="str">
        <f>IF('I | Forecast 23-27'!B58="","",'I | Forecast 23-27'!B58)</f>
        <v/>
      </c>
      <c r="C58" s="47" t="str">
        <f>IF('I | Forecast 23-27'!C58="","",'I | Forecast 23-27'!C58)</f>
        <v/>
      </c>
      <c r="D58" s="47" t="str">
        <f>IF('I | Forecast 23-27'!D58="","",'I | Forecast 23-27'!D58)</f>
        <v/>
      </c>
      <c r="E58" s="47" t="str">
        <f>IF('I | Forecast 23-27'!E58="","",'I | Forecast 23-27'!E58)</f>
        <v/>
      </c>
      <c r="F58" s="47" t="str">
        <f>IF('I | Forecast 23-27'!F58="","",'I | Forecast 23-27'!F58)</f>
        <v/>
      </c>
      <c r="G58" s="47" t="str">
        <f>IF('I | Forecast 23-27'!G58="","",'I | Forecast 23-27'!G58)</f>
        <v/>
      </c>
      <c r="H58" s="47" t="str">
        <f>IF('I | Forecast 23-27'!H58="","",'I | Forecast 23-27'!H58)</f>
        <v/>
      </c>
      <c r="I58" s="50"/>
      <c r="J58" s="52">
        <f>IFERROR(VLOOKUP($A58,'I | Forecast 23-27'!$A$11:$N$160,J$8,0)*HLOOKUP(J$10,'I | Inflation'!$C$52:$H$54,3,0),0)</f>
        <v>0</v>
      </c>
      <c r="K58" s="52">
        <f>IFERROR(VLOOKUP($A58,'I | Forecast 23-27'!$A$11:$N$160,K$8,0)*HLOOKUP(K$10,'I | Inflation'!$C$52:$H$54,3,0),0)</f>
        <v>0</v>
      </c>
      <c r="L58" s="52">
        <f>IFERROR(VLOOKUP($A58,'I | Forecast 23-27'!$A$11:$N$160,L$8,0)*HLOOKUP(L$10,'I | Inflation'!$C$52:$H$54,3,0),0)</f>
        <v>0</v>
      </c>
      <c r="M58" s="52">
        <f>IFERROR(VLOOKUP($A58,'I | Forecast 23-27'!$A$11:$N$160,M$8,0)*HLOOKUP(M$10,'I | Inflation'!$C$52:$H$54,3,0),0)</f>
        <v>0</v>
      </c>
      <c r="N58" s="52">
        <f>IFERROR(VLOOKUP($A58,'I | Forecast 23-27'!$A$11:$N$160,N$8,0)*HLOOKUP(N$10,'I | Inflation'!$C$52:$H$54,3,0),0)</f>
        <v>0</v>
      </c>
      <c r="O58" s="54">
        <f t="shared" si="0"/>
        <v>0</v>
      </c>
      <c r="P58" s="53"/>
    </row>
    <row r="59" spans="1:16" s="4" customFormat="1" x14ac:dyDescent="0.3">
      <c r="A59" s="56">
        <v>49</v>
      </c>
      <c r="B59" s="49" t="str">
        <f>IF('I | Forecast 23-27'!B59="","",'I | Forecast 23-27'!B59)</f>
        <v/>
      </c>
      <c r="C59" s="47" t="str">
        <f>IF('I | Forecast 23-27'!C59="","",'I | Forecast 23-27'!C59)</f>
        <v/>
      </c>
      <c r="D59" s="47" t="str">
        <f>IF('I | Forecast 23-27'!D59="","",'I | Forecast 23-27'!D59)</f>
        <v/>
      </c>
      <c r="E59" s="47" t="str">
        <f>IF('I | Forecast 23-27'!E59="","",'I | Forecast 23-27'!E59)</f>
        <v/>
      </c>
      <c r="F59" s="47" t="str">
        <f>IF('I | Forecast 23-27'!F59="","",'I | Forecast 23-27'!F59)</f>
        <v/>
      </c>
      <c r="G59" s="47" t="str">
        <f>IF('I | Forecast 23-27'!G59="","",'I | Forecast 23-27'!G59)</f>
        <v/>
      </c>
      <c r="H59" s="47" t="str">
        <f>IF('I | Forecast 23-27'!H59="","",'I | Forecast 23-27'!H59)</f>
        <v/>
      </c>
      <c r="I59" s="50"/>
      <c r="J59" s="52">
        <f>IFERROR(VLOOKUP($A59,'I | Forecast 23-27'!$A$11:$N$160,J$8,0)*HLOOKUP(J$10,'I | Inflation'!$C$52:$H$54,3,0),0)</f>
        <v>0</v>
      </c>
      <c r="K59" s="52">
        <f>IFERROR(VLOOKUP($A59,'I | Forecast 23-27'!$A$11:$N$160,K$8,0)*HLOOKUP(K$10,'I | Inflation'!$C$52:$H$54,3,0),0)</f>
        <v>0</v>
      </c>
      <c r="L59" s="52">
        <f>IFERROR(VLOOKUP($A59,'I | Forecast 23-27'!$A$11:$N$160,L$8,0)*HLOOKUP(L$10,'I | Inflation'!$C$52:$H$54,3,0),0)</f>
        <v>0</v>
      </c>
      <c r="M59" s="52">
        <f>IFERROR(VLOOKUP($A59,'I | Forecast 23-27'!$A$11:$N$160,M$8,0)*HLOOKUP(M$10,'I | Inflation'!$C$52:$H$54,3,0),0)</f>
        <v>0</v>
      </c>
      <c r="N59" s="52">
        <f>IFERROR(VLOOKUP($A59,'I | Forecast 23-27'!$A$11:$N$160,N$8,0)*HLOOKUP(N$10,'I | Inflation'!$C$52:$H$54,3,0),0)</f>
        <v>0</v>
      </c>
      <c r="O59" s="54">
        <f t="shared" si="0"/>
        <v>0</v>
      </c>
      <c r="P59" s="53"/>
    </row>
    <row r="60" spans="1:16" s="4" customFormat="1" x14ac:dyDescent="0.3">
      <c r="A60" s="56">
        <v>50</v>
      </c>
      <c r="B60" s="49" t="str">
        <f>IF('I | Forecast 23-27'!B60="","",'I | Forecast 23-27'!B60)</f>
        <v/>
      </c>
      <c r="C60" s="47" t="str">
        <f>IF('I | Forecast 23-27'!C60="","",'I | Forecast 23-27'!C60)</f>
        <v/>
      </c>
      <c r="D60" s="47" t="str">
        <f>IF('I | Forecast 23-27'!D60="","",'I | Forecast 23-27'!D60)</f>
        <v/>
      </c>
      <c r="E60" s="47" t="str">
        <f>IF('I | Forecast 23-27'!E60="","",'I | Forecast 23-27'!E60)</f>
        <v/>
      </c>
      <c r="F60" s="47" t="str">
        <f>IF('I | Forecast 23-27'!F60="","",'I | Forecast 23-27'!F60)</f>
        <v/>
      </c>
      <c r="G60" s="47" t="str">
        <f>IF('I | Forecast 23-27'!G60="","",'I | Forecast 23-27'!G60)</f>
        <v/>
      </c>
      <c r="H60" s="47" t="str">
        <f>IF('I | Forecast 23-27'!H60="","",'I | Forecast 23-27'!H60)</f>
        <v/>
      </c>
      <c r="I60" s="50"/>
      <c r="J60" s="52">
        <f>IFERROR(VLOOKUP($A60,'I | Forecast 23-27'!$A$11:$N$160,J$8,0)*HLOOKUP(J$10,'I | Inflation'!$C$52:$H$54,3,0),0)</f>
        <v>0</v>
      </c>
      <c r="K60" s="52">
        <f>IFERROR(VLOOKUP($A60,'I | Forecast 23-27'!$A$11:$N$160,K$8,0)*HLOOKUP(K$10,'I | Inflation'!$C$52:$H$54,3,0),0)</f>
        <v>0</v>
      </c>
      <c r="L60" s="52">
        <f>IFERROR(VLOOKUP($A60,'I | Forecast 23-27'!$A$11:$N$160,L$8,0)*HLOOKUP(L$10,'I | Inflation'!$C$52:$H$54,3,0),0)</f>
        <v>0</v>
      </c>
      <c r="M60" s="52">
        <f>IFERROR(VLOOKUP($A60,'I | Forecast 23-27'!$A$11:$N$160,M$8,0)*HLOOKUP(M$10,'I | Inflation'!$C$52:$H$54,3,0),0)</f>
        <v>0</v>
      </c>
      <c r="N60" s="52">
        <f>IFERROR(VLOOKUP($A60,'I | Forecast 23-27'!$A$11:$N$160,N$8,0)*HLOOKUP(N$10,'I | Inflation'!$C$52:$H$54,3,0),0)</f>
        <v>0</v>
      </c>
      <c r="O60" s="54">
        <f t="shared" si="0"/>
        <v>0</v>
      </c>
      <c r="P60" s="53"/>
    </row>
    <row r="61" spans="1:16" s="4" customFormat="1" x14ac:dyDescent="0.3">
      <c r="A61" s="56">
        <v>51</v>
      </c>
      <c r="B61" s="49" t="str">
        <f>IF('I | Forecast 23-27'!B61="","",'I | Forecast 23-27'!B61)</f>
        <v/>
      </c>
      <c r="C61" s="47" t="str">
        <f>IF('I | Forecast 23-27'!C61="","",'I | Forecast 23-27'!C61)</f>
        <v/>
      </c>
      <c r="D61" s="47" t="str">
        <f>IF('I | Forecast 23-27'!D61="","",'I | Forecast 23-27'!D61)</f>
        <v/>
      </c>
      <c r="E61" s="47" t="str">
        <f>IF('I | Forecast 23-27'!E61="","",'I | Forecast 23-27'!E61)</f>
        <v/>
      </c>
      <c r="F61" s="47" t="str">
        <f>IF('I | Forecast 23-27'!F61="","",'I | Forecast 23-27'!F61)</f>
        <v/>
      </c>
      <c r="G61" s="47" t="str">
        <f>IF('I | Forecast 23-27'!G61="","",'I | Forecast 23-27'!G61)</f>
        <v/>
      </c>
      <c r="H61" s="47" t="str">
        <f>IF('I | Forecast 23-27'!H61="","",'I | Forecast 23-27'!H61)</f>
        <v/>
      </c>
      <c r="I61" s="50"/>
      <c r="J61" s="52">
        <f>IFERROR(VLOOKUP($A61,'I | Forecast 23-27'!$A$11:$N$160,J$8,0)*HLOOKUP(J$10,'I | Inflation'!$C$52:$H$54,3,0),0)</f>
        <v>0</v>
      </c>
      <c r="K61" s="52">
        <f>IFERROR(VLOOKUP($A61,'I | Forecast 23-27'!$A$11:$N$160,K$8,0)*HLOOKUP(K$10,'I | Inflation'!$C$52:$H$54,3,0),0)</f>
        <v>0</v>
      </c>
      <c r="L61" s="52">
        <f>IFERROR(VLOOKUP($A61,'I | Forecast 23-27'!$A$11:$N$160,L$8,0)*HLOOKUP(L$10,'I | Inflation'!$C$52:$H$54,3,0),0)</f>
        <v>0</v>
      </c>
      <c r="M61" s="52">
        <f>IFERROR(VLOOKUP($A61,'I | Forecast 23-27'!$A$11:$N$160,M$8,0)*HLOOKUP(M$10,'I | Inflation'!$C$52:$H$54,3,0),0)</f>
        <v>0</v>
      </c>
      <c r="N61" s="52">
        <f>IFERROR(VLOOKUP($A61,'I | Forecast 23-27'!$A$11:$N$160,N$8,0)*HLOOKUP(N$10,'I | Inflation'!$C$52:$H$54,3,0),0)</f>
        <v>0</v>
      </c>
      <c r="O61" s="54">
        <f t="shared" si="0"/>
        <v>0</v>
      </c>
      <c r="P61" s="53"/>
    </row>
    <row r="62" spans="1:16" s="4" customFormat="1" x14ac:dyDescent="0.3">
      <c r="A62" s="56">
        <v>52</v>
      </c>
      <c r="B62" s="49" t="str">
        <f>IF('I | Forecast 23-27'!B62="","",'I | Forecast 23-27'!B62)</f>
        <v/>
      </c>
      <c r="C62" s="47" t="str">
        <f>IF('I | Forecast 23-27'!C62="","",'I | Forecast 23-27'!C62)</f>
        <v/>
      </c>
      <c r="D62" s="47" t="str">
        <f>IF('I | Forecast 23-27'!D62="","",'I | Forecast 23-27'!D62)</f>
        <v/>
      </c>
      <c r="E62" s="47" t="str">
        <f>IF('I | Forecast 23-27'!E62="","",'I | Forecast 23-27'!E62)</f>
        <v/>
      </c>
      <c r="F62" s="47" t="str">
        <f>IF('I | Forecast 23-27'!F62="","",'I | Forecast 23-27'!F62)</f>
        <v/>
      </c>
      <c r="G62" s="47" t="str">
        <f>IF('I | Forecast 23-27'!G62="","",'I | Forecast 23-27'!G62)</f>
        <v/>
      </c>
      <c r="H62" s="47" t="str">
        <f>IF('I | Forecast 23-27'!H62="","",'I | Forecast 23-27'!H62)</f>
        <v/>
      </c>
      <c r="I62" s="50"/>
      <c r="J62" s="52">
        <f>IFERROR(VLOOKUP($A62,'I | Forecast 23-27'!$A$11:$N$160,J$8,0)*HLOOKUP(J$10,'I | Inflation'!$C$52:$H$54,3,0),0)</f>
        <v>0</v>
      </c>
      <c r="K62" s="52">
        <f>IFERROR(VLOOKUP($A62,'I | Forecast 23-27'!$A$11:$N$160,K$8,0)*HLOOKUP(K$10,'I | Inflation'!$C$52:$H$54,3,0),0)</f>
        <v>0</v>
      </c>
      <c r="L62" s="52">
        <f>IFERROR(VLOOKUP($A62,'I | Forecast 23-27'!$A$11:$N$160,L$8,0)*HLOOKUP(L$10,'I | Inflation'!$C$52:$H$54,3,0),0)</f>
        <v>0</v>
      </c>
      <c r="M62" s="52">
        <f>IFERROR(VLOOKUP($A62,'I | Forecast 23-27'!$A$11:$N$160,M$8,0)*HLOOKUP(M$10,'I | Inflation'!$C$52:$H$54,3,0),0)</f>
        <v>0</v>
      </c>
      <c r="N62" s="52">
        <f>IFERROR(VLOOKUP($A62,'I | Forecast 23-27'!$A$11:$N$160,N$8,0)*HLOOKUP(N$10,'I | Inflation'!$C$52:$H$54,3,0),0)</f>
        <v>0</v>
      </c>
      <c r="O62" s="54">
        <f t="shared" si="0"/>
        <v>0</v>
      </c>
      <c r="P62" s="53"/>
    </row>
    <row r="63" spans="1:16" s="4" customFormat="1" x14ac:dyDescent="0.3">
      <c r="A63" s="56">
        <v>53</v>
      </c>
      <c r="B63" s="49" t="str">
        <f>IF('I | Forecast 23-27'!B63="","",'I | Forecast 23-27'!B63)</f>
        <v/>
      </c>
      <c r="C63" s="47" t="str">
        <f>IF('I | Forecast 23-27'!C63="","",'I | Forecast 23-27'!C63)</f>
        <v/>
      </c>
      <c r="D63" s="47" t="str">
        <f>IF('I | Forecast 23-27'!D63="","",'I | Forecast 23-27'!D63)</f>
        <v/>
      </c>
      <c r="E63" s="47" t="str">
        <f>IF('I | Forecast 23-27'!E63="","",'I | Forecast 23-27'!E63)</f>
        <v/>
      </c>
      <c r="F63" s="47" t="str">
        <f>IF('I | Forecast 23-27'!F63="","",'I | Forecast 23-27'!F63)</f>
        <v/>
      </c>
      <c r="G63" s="47" t="str">
        <f>IF('I | Forecast 23-27'!G63="","",'I | Forecast 23-27'!G63)</f>
        <v/>
      </c>
      <c r="H63" s="47" t="str">
        <f>IF('I | Forecast 23-27'!H63="","",'I | Forecast 23-27'!H63)</f>
        <v/>
      </c>
      <c r="I63" s="50"/>
      <c r="J63" s="52">
        <f>IFERROR(VLOOKUP($A63,'I | Forecast 23-27'!$A$11:$N$160,J$8,0)*HLOOKUP(J$10,'I | Inflation'!$C$52:$H$54,3,0),0)</f>
        <v>0</v>
      </c>
      <c r="K63" s="52">
        <f>IFERROR(VLOOKUP($A63,'I | Forecast 23-27'!$A$11:$N$160,K$8,0)*HLOOKUP(K$10,'I | Inflation'!$C$52:$H$54,3,0),0)</f>
        <v>0</v>
      </c>
      <c r="L63" s="52">
        <f>IFERROR(VLOOKUP($A63,'I | Forecast 23-27'!$A$11:$N$160,L$8,0)*HLOOKUP(L$10,'I | Inflation'!$C$52:$H$54,3,0),0)</f>
        <v>0</v>
      </c>
      <c r="M63" s="52">
        <f>IFERROR(VLOOKUP($A63,'I | Forecast 23-27'!$A$11:$N$160,M$8,0)*HLOOKUP(M$10,'I | Inflation'!$C$52:$H$54,3,0),0)</f>
        <v>0</v>
      </c>
      <c r="N63" s="52">
        <f>IFERROR(VLOOKUP($A63,'I | Forecast 23-27'!$A$11:$N$160,N$8,0)*HLOOKUP(N$10,'I | Inflation'!$C$52:$H$54,3,0),0)</f>
        <v>0</v>
      </c>
      <c r="O63" s="54">
        <f t="shared" si="0"/>
        <v>0</v>
      </c>
      <c r="P63" s="53"/>
    </row>
    <row r="64" spans="1:16" s="4" customFormat="1" x14ac:dyDescent="0.3">
      <c r="A64" s="56">
        <v>54</v>
      </c>
      <c r="B64" s="49" t="str">
        <f>IF('I | Forecast 23-27'!B64="","",'I | Forecast 23-27'!B64)</f>
        <v/>
      </c>
      <c r="C64" s="47" t="str">
        <f>IF('I | Forecast 23-27'!C64="","",'I | Forecast 23-27'!C64)</f>
        <v/>
      </c>
      <c r="D64" s="47" t="str">
        <f>IF('I | Forecast 23-27'!D64="","",'I | Forecast 23-27'!D64)</f>
        <v/>
      </c>
      <c r="E64" s="47" t="str">
        <f>IF('I | Forecast 23-27'!E64="","",'I | Forecast 23-27'!E64)</f>
        <v/>
      </c>
      <c r="F64" s="47" t="str">
        <f>IF('I | Forecast 23-27'!F64="","",'I | Forecast 23-27'!F64)</f>
        <v/>
      </c>
      <c r="G64" s="47" t="str">
        <f>IF('I | Forecast 23-27'!G64="","",'I | Forecast 23-27'!G64)</f>
        <v/>
      </c>
      <c r="H64" s="47" t="str">
        <f>IF('I | Forecast 23-27'!H64="","",'I | Forecast 23-27'!H64)</f>
        <v/>
      </c>
      <c r="I64" s="50"/>
      <c r="J64" s="52">
        <f>IFERROR(VLOOKUP($A64,'I | Forecast 23-27'!$A$11:$N$160,J$8,0)*HLOOKUP(J$10,'I | Inflation'!$C$52:$H$54,3,0),0)</f>
        <v>0</v>
      </c>
      <c r="K64" s="52">
        <f>IFERROR(VLOOKUP($A64,'I | Forecast 23-27'!$A$11:$N$160,K$8,0)*HLOOKUP(K$10,'I | Inflation'!$C$52:$H$54,3,0),0)</f>
        <v>0</v>
      </c>
      <c r="L64" s="52">
        <f>IFERROR(VLOOKUP($A64,'I | Forecast 23-27'!$A$11:$N$160,L$8,0)*HLOOKUP(L$10,'I | Inflation'!$C$52:$H$54,3,0),0)</f>
        <v>0</v>
      </c>
      <c r="M64" s="52">
        <f>IFERROR(VLOOKUP($A64,'I | Forecast 23-27'!$A$11:$N$160,M$8,0)*HLOOKUP(M$10,'I | Inflation'!$C$52:$H$54,3,0),0)</f>
        <v>0</v>
      </c>
      <c r="N64" s="52">
        <f>IFERROR(VLOOKUP($A64,'I | Forecast 23-27'!$A$11:$N$160,N$8,0)*HLOOKUP(N$10,'I | Inflation'!$C$52:$H$54,3,0),0)</f>
        <v>0</v>
      </c>
      <c r="O64" s="54">
        <f t="shared" si="0"/>
        <v>0</v>
      </c>
      <c r="P64" s="53"/>
    </row>
    <row r="65" spans="1:16" s="4" customFormat="1" x14ac:dyDescent="0.3">
      <c r="A65" s="56">
        <v>55</v>
      </c>
      <c r="B65" s="49" t="str">
        <f>IF('I | Forecast 23-27'!B65="","",'I | Forecast 23-27'!B65)</f>
        <v/>
      </c>
      <c r="C65" s="47" t="str">
        <f>IF('I | Forecast 23-27'!C65="","",'I | Forecast 23-27'!C65)</f>
        <v/>
      </c>
      <c r="D65" s="47" t="str">
        <f>IF('I | Forecast 23-27'!D65="","",'I | Forecast 23-27'!D65)</f>
        <v/>
      </c>
      <c r="E65" s="47" t="str">
        <f>IF('I | Forecast 23-27'!E65="","",'I | Forecast 23-27'!E65)</f>
        <v/>
      </c>
      <c r="F65" s="47" t="str">
        <f>IF('I | Forecast 23-27'!F65="","",'I | Forecast 23-27'!F65)</f>
        <v/>
      </c>
      <c r="G65" s="47" t="str">
        <f>IF('I | Forecast 23-27'!G65="","",'I | Forecast 23-27'!G65)</f>
        <v/>
      </c>
      <c r="H65" s="47" t="str">
        <f>IF('I | Forecast 23-27'!H65="","",'I | Forecast 23-27'!H65)</f>
        <v/>
      </c>
      <c r="I65" s="50"/>
      <c r="J65" s="52">
        <f>IFERROR(VLOOKUP($A65,'I | Forecast 23-27'!$A$11:$N$160,J$8,0)*HLOOKUP(J$10,'I | Inflation'!$C$52:$H$54,3,0),0)</f>
        <v>0</v>
      </c>
      <c r="K65" s="52">
        <f>IFERROR(VLOOKUP($A65,'I | Forecast 23-27'!$A$11:$N$160,K$8,0)*HLOOKUP(K$10,'I | Inflation'!$C$52:$H$54,3,0),0)</f>
        <v>0</v>
      </c>
      <c r="L65" s="52">
        <f>IFERROR(VLOOKUP($A65,'I | Forecast 23-27'!$A$11:$N$160,L$8,0)*HLOOKUP(L$10,'I | Inflation'!$C$52:$H$54,3,0),0)</f>
        <v>0</v>
      </c>
      <c r="M65" s="52">
        <f>IFERROR(VLOOKUP($A65,'I | Forecast 23-27'!$A$11:$N$160,M$8,0)*HLOOKUP(M$10,'I | Inflation'!$C$52:$H$54,3,0),0)</f>
        <v>0</v>
      </c>
      <c r="N65" s="52">
        <f>IFERROR(VLOOKUP($A65,'I | Forecast 23-27'!$A$11:$N$160,N$8,0)*HLOOKUP(N$10,'I | Inflation'!$C$52:$H$54,3,0),0)</f>
        <v>0</v>
      </c>
      <c r="O65" s="54">
        <f t="shared" si="0"/>
        <v>0</v>
      </c>
      <c r="P65" s="53"/>
    </row>
    <row r="66" spans="1:16" s="4" customFormat="1" x14ac:dyDescent="0.3">
      <c r="A66" s="56">
        <v>56</v>
      </c>
      <c r="B66" s="49" t="str">
        <f>IF('I | Forecast 23-27'!B66="","",'I | Forecast 23-27'!B66)</f>
        <v/>
      </c>
      <c r="C66" s="47" t="str">
        <f>IF('I | Forecast 23-27'!C66="","",'I | Forecast 23-27'!C66)</f>
        <v/>
      </c>
      <c r="D66" s="47" t="str">
        <f>IF('I | Forecast 23-27'!D66="","",'I | Forecast 23-27'!D66)</f>
        <v/>
      </c>
      <c r="E66" s="47" t="str">
        <f>IF('I | Forecast 23-27'!E66="","",'I | Forecast 23-27'!E66)</f>
        <v/>
      </c>
      <c r="F66" s="47" t="str">
        <f>IF('I | Forecast 23-27'!F66="","",'I | Forecast 23-27'!F66)</f>
        <v/>
      </c>
      <c r="G66" s="47" t="str">
        <f>IF('I | Forecast 23-27'!G66="","",'I | Forecast 23-27'!G66)</f>
        <v/>
      </c>
      <c r="H66" s="47" t="str">
        <f>IF('I | Forecast 23-27'!H66="","",'I | Forecast 23-27'!H66)</f>
        <v/>
      </c>
      <c r="I66" s="50"/>
      <c r="J66" s="52">
        <f>IFERROR(VLOOKUP($A66,'I | Forecast 23-27'!$A$11:$N$160,J$8,0)*HLOOKUP(J$10,'I | Inflation'!$C$52:$H$54,3,0),0)</f>
        <v>0</v>
      </c>
      <c r="K66" s="52">
        <f>IFERROR(VLOOKUP($A66,'I | Forecast 23-27'!$A$11:$N$160,K$8,0)*HLOOKUP(K$10,'I | Inflation'!$C$52:$H$54,3,0),0)</f>
        <v>0</v>
      </c>
      <c r="L66" s="52">
        <f>IFERROR(VLOOKUP($A66,'I | Forecast 23-27'!$A$11:$N$160,L$8,0)*HLOOKUP(L$10,'I | Inflation'!$C$52:$H$54,3,0),0)</f>
        <v>0</v>
      </c>
      <c r="M66" s="52">
        <f>IFERROR(VLOOKUP($A66,'I | Forecast 23-27'!$A$11:$N$160,M$8,0)*HLOOKUP(M$10,'I | Inflation'!$C$52:$H$54,3,0),0)</f>
        <v>0</v>
      </c>
      <c r="N66" s="52">
        <f>IFERROR(VLOOKUP($A66,'I | Forecast 23-27'!$A$11:$N$160,N$8,0)*HLOOKUP(N$10,'I | Inflation'!$C$52:$H$54,3,0),0)</f>
        <v>0</v>
      </c>
      <c r="O66" s="54">
        <f t="shared" si="0"/>
        <v>0</v>
      </c>
      <c r="P66" s="53"/>
    </row>
    <row r="67" spans="1:16" s="4" customFormat="1" x14ac:dyDescent="0.3">
      <c r="A67" s="56">
        <v>57</v>
      </c>
      <c r="B67" s="49" t="str">
        <f>IF('I | Forecast 23-27'!B67="","",'I | Forecast 23-27'!B67)</f>
        <v/>
      </c>
      <c r="C67" s="47" t="str">
        <f>IF('I | Forecast 23-27'!C67="","",'I | Forecast 23-27'!C67)</f>
        <v/>
      </c>
      <c r="D67" s="47" t="str">
        <f>IF('I | Forecast 23-27'!D67="","",'I | Forecast 23-27'!D67)</f>
        <v/>
      </c>
      <c r="E67" s="47" t="str">
        <f>IF('I | Forecast 23-27'!E67="","",'I | Forecast 23-27'!E67)</f>
        <v/>
      </c>
      <c r="F67" s="47" t="str">
        <f>IF('I | Forecast 23-27'!F67="","",'I | Forecast 23-27'!F67)</f>
        <v/>
      </c>
      <c r="G67" s="47" t="str">
        <f>IF('I | Forecast 23-27'!G67="","",'I | Forecast 23-27'!G67)</f>
        <v/>
      </c>
      <c r="H67" s="47" t="str">
        <f>IF('I | Forecast 23-27'!H67="","",'I | Forecast 23-27'!H67)</f>
        <v/>
      </c>
      <c r="I67" s="50"/>
      <c r="J67" s="52">
        <f>IFERROR(VLOOKUP($A67,'I | Forecast 23-27'!$A$11:$N$160,J$8,0)*HLOOKUP(J$10,'I | Inflation'!$C$52:$H$54,3,0),0)</f>
        <v>0</v>
      </c>
      <c r="K67" s="52">
        <f>IFERROR(VLOOKUP($A67,'I | Forecast 23-27'!$A$11:$N$160,K$8,0)*HLOOKUP(K$10,'I | Inflation'!$C$52:$H$54,3,0),0)</f>
        <v>0</v>
      </c>
      <c r="L67" s="52">
        <f>IFERROR(VLOOKUP($A67,'I | Forecast 23-27'!$A$11:$N$160,L$8,0)*HLOOKUP(L$10,'I | Inflation'!$C$52:$H$54,3,0),0)</f>
        <v>0</v>
      </c>
      <c r="M67" s="52">
        <f>IFERROR(VLOOKUP($A67,'I | Forecast 23-27'!$A$11:$N$160,M$8,0)*HLOOKUP(M$10,'I | Inflation'!$C$52:$H$54,3,0),0)</f>
        <v>0</v>
      </c>
      <c r="N67" s="52">
        <f>IFERROR(VLOOKUP($A67,'I | Forecast 23-27'!$A$11:$N$160,N$8,0)*HLOOKUP(N$10,'I | Inflation'!$C$52:$H$54,3,0),0)</f>
        <v>0</v>
      </c>
      <c r="O67" s="54">
        <f t="shared" si="0"/>
        <v>0</v>
      </c>
      <c r="P67" s="53"/>
    </row>
    <row r="68" spans="1:16" s="4" customFormat="1" x14ac:dyDescent="0.3">
      <c r="A68" s="56">
        <v>58</v>
      </c>
      <c r="B68" s="49" t="str">
        <f>IF('I | Forecast 23-27'!B68="","",'I | Forecast 23-27'!B68)</f>
        <v/>
      </c>
      <c r="C68" s="47" t="str">
        <f>IF('I | Forecast 23-27'!C68="","",'I | Forecast 23-27'!C68)</f>
        <v/>
      </c>
      <c r="D68" s="47" t="str">
        <f>IF('I | Forecast 23-27'!D68="","",'I | Forecast 23-27'!D68)</f>
        <v/>
      </c>
      <c r="E68" s="47" t="str">
        <f>IF('I | Forecast 23-27'!E68="","",'I | Forecast 23-27'!E68)</f>
        <v/>
      </c>
      <c r="F68" s="47" t="str">
        <f>IF('I | Forecast 23-27'!F68="","",'I | Forecast 23-27'!F68)</f>
        <v/>
      </c>
      <c r="G68" s="47" t="str">
        <f>IF('I | Forecast 23-27'!G68="","",'I | Forecast 23-27'!G68)</f>
        <v/>
      </c>
      <c r="H68" s="47" t="str">
        <f>IF('I | Forecast 23-27'!H68="","",'I | Forecast 23-27'!H68)</f>
        <v/>
      </c>
      <c r="I68" s="50"/>
      <c r="J68" s="52">
        <f>IFERROR(VLOOKUP($A68,'I | Forecast 23-27'!$A$11:$N$160,J$8,0)*HLOOKUP(J$10,'I | Inflation'!$C$52:$H$54,3,0),0)</f>
        <v>0</v>
      </c>
      <c r="K68" s="52">
        <f>IFERROR(VLOOKUP($A68,'I | Forecast 23-27'!$A$11:$N$160,K$8,0)*HLOOKUP(K$10,'I | Inflation'!$C$52:$H$54,3,0),0)</f>
        <v>0</v>
      </c>
      <c r="L68" s="52">
        <f>IFERROR(VLOOKUP($A68,'I | Forecast 23-27'!$A$11:$N$160,L$8,0)*HLOOKUP(L$10,'I | Inflation'!$C$52:$H$54,3,0),0)</f>
        <v>0</v>
      </c>
      <c r="M68" s="52">
        <f>IFERROR(VLOOKUP($A68,'I | Forecast 23-27'!$A$11:$N$160,M$8,0)*HLOOKUP(M$10,'I | Inflation'!$C$52:$H$54,3,0),0)</f>
        <v>0</v>
      </c>
      <c r="N68" s="52">
        <f>IFERROR(VLOOKUP($A68,'I | Forecast 23-27'!$A$11:$N$160,N$8,0)*HLOOKUP(N$10,'I | Inflation'!$C$52:$H$54,3,0),0)</f>
        <v>0</v>
      </c>
      <c r="O68" s="54">
        <f t="shared" si="0"/>
        <v>0</v>
      </c>
      <c r="P68" s="53"/>
    </row>
    <row r="69" spans="1:16" s="4" customFormat="1" x14ac:dyDescent="0.3">
      <c r="A69" s="56">
        <v>59</v>
      </c>
      <c r="B69" s="49" t="str">
        <f>IF('I | Forecast 23-27'!B69="","",'I | Forecast 23-27'!B69)</f>
        <v/>
      </c>
      <c r="C69" s="47" t="str">
        <f>IF('I | Forecast 23-27'!C69="","",'I | Forecast 23-27'!C69)</f>
        <v/>
      </c>
      <c r="D69" s="47" t="str">
        <f>IF('I | Forecast 23-27'!D69="","",'I | Forecast 23-27'!D69)</f>
        <v/>
      </c>
      <c r="E69" s="47" t="str">
        <f>IF('I | Forecast 23-27'!E69="","",'I | Forecast 23-27'!E69)</f>
        <v/>
      </c>
      <c r="F69" s="47" t="str">
        <f>IF('I | Forecast 23-27'!F69="","",'I | Forecast 23-27'!F69)</f>
        <v/>
      </c>
      <c r="G69" s="47" t="str">
        <f>IF('I | Forecast 23-27'!G69="","",'I | Forecast 23-27'!G69)</f>
        <v/>
      </c>
      <c r="H69" s="47" t="str">
        <f>IF('I | Forecast 23-27'!H69="","",'I | Forecast 23-27'!H69)</f>
        <v/>
      </c>
      <c r="I69" s="50"/>
      <c r="J69" s="52">
        <f>IFERROR(VLOOKUP($A69,'I | Forecast 23-27'!$A$11:$N$160,J$8,0)*HLOOKUP(J$10,'I | Inflation'!$C$52:$H$54,3,0),0)</f>
        <v>0</v>
      </c>
      <c r="K69" s="52">
        <f>IFERROR(VLOOKUP($A69,'I | Forecast 23-27'!$A$11:$N$160,K$8,0)*HLOOKUP(K$10,'I | Inflation'!$C$52:$H$54,3,0),0)</f>
        <v>0</v>
      </c>
      <c r="L69" s="52">
        <f>IFERROR(VLOOKUP($A69,'I | Forecast 23-27'!$A$11:$N$160,L$8,0)*HLOOKUP(L$10,'I | Inflation'!$C$52:$H$54,3,0),0)</f>
        <v>0</v>
      </c>
      <c r="M69" s="52">
        <f>IFERROR(VLOOKUP($A69,'I | Forecast 23-27'!$A$11:$N$160,M$8,0)*HLOOKUP(M$10,'I | Inflation'!$C$52:$H$54,3,0),0)</f>
        <v>0</v>
      </c>
      <c r="N69" s="52">
        <f>IFERROR(VLOOKUP($A69,'I | Forecast 23-27'!$A$11:$N$160,N$8,0)*HLOOKUP(N$10,'I | Inflation'!$C$52:$H$54,3,0),0)</f>
        <v>0</v>
      </c>
      <c r="O69" s="54">
        <f t="shared" si="0"/>
        <v>0</v>
      </c>
      <c r="P69" s="53"/>
    </row>
    <row r="70" spans="1:16" s="4" customFormat="1" x14ac:dyDescent="0.3">
      <c r="A70" s="56">
        <v>60</v>
      </c>
      <c r="B70" s="49" t="str">
        <f>IF('I | Forecast 23-27'!B70="","",'I | Forecast 23-27'!B70)</f>
        <v/>
      </c>
      <c r="C70" s="47" t="str">
        <f>IF('I | Forecast 23-27'!C70="","",'I | Forecast 23-27'!C70)</f>
        <v/>
      </c>
      <c r="D70" s="47" t="str">
        <f>IF('I | Forecast 23-27'!D70="","",'I | Forecast 23-27'!D70)</f>
        <v/>
      </c>
      <c r="E70" s="47" t="str">
        <f>IF('I | Forecast 23-27'!E70="","",'I | Forecast 23-27'!E70)</f>
        <v/>
      </c>
      <c r="F70" s="47" t="str">
        <f>IF('I | Forecast 23-27'!F70="","",'I | Forecast 23-27'!F70)</f>
        <v/>
      </c>
      <c r="G70" s="47" t="str">
        <f>IF('I | Forecast 23-27'!G70="","",'I | Forecast 23-27'!G70)</f>
        <v/>
      </c>
      <c r="H70" s="47" t="str">
        <f>IF('I | Forecast 23-27'!H70="","",'I | Forecast 23-27'!H70)</f>
        <v/>
      </c>
      <c r="I70" s="50"/>
      <c r="J70" s="52">
        <f>IFERROR(VLOOKUP($A70,'I | Forecast 23-27'!$A$11:$N$160,J$8,0)*HLOOKUP(J$10,'I | Inflation'!$C$52:$H$54,3,0),0)</f>
        <v>0</v>
      </c>
      <c r="K70" s="52">
        <f>IFERROR(VLOOKUP($A70,'I | Forecast 23-27'!$A$11:$N$160,K$8,0)*HLOOKUP(K$10,'I | Inflation'!$C$52:$H$54,3,0),0)</f>
        <v>0</v>
      </c>
      <c r="L70" s="52">
        <f>IFERROR(VLOOKUP($A70,'I | Forecast 23-27'!$A$11:$N$160,L$8,0)*HLOOKUP(L$10,'I | Inflation'!$C$52:$H$54,3,0),0)</f>
        <v>0</v>
      </c>
      <c r="M70" s="52">
        <f>IFERROR(VLOOKUP($A70,'I | Forecast 23-27'!$A$11:$N$160,M$8,0)*HLOOKUP(M$10,'I | Inflation'!$C$52:$H$54,3,0),0)</f>
        <v>0</v>
      </c>
      <c r="N70" s="52">
        <f>IFERROR(VLOOKUP($A70,'I | Forecast 23-27'!$A$11:$N$160,N$8,0)*HLOOKUP(N$10,'I | Inflation'!$C$52:$H$54,3,0),0)</f>
        <v>0</v>
      </c>
      <c r="O70" s="54">
        <f t="shared" si="0"/>
        <v>0</v>
      </c>
      <c r="P70" s="53"/>
    </row>
    <row r="71" spans="1:16" s="4" customFormat="1" x14ac:dyDescent="0.3">
      <c r="A71" s="56">
        <v>61</v>
      </c>
      <c r="B71" s="49" t="str">
        <f>IF('I | Forecast 23-27'!B71="","",'I | Forecast 23-27'!B71)</f>
        <v/>
      </c>
      <c r="C71" s="47" t="str">
        <f>IF('I | Forecast 23-27'!C71="","",'I | Forecast 23-27'!C71)</f>
        <v/>
      </c>
      <c r="D71" s="47" t="str">
        <f>IF('I | Forecast 23-27'!D71="","",'I | Forecast 23-27'!D71)</f>
        <v/>
      </c>
      <c r="E71" s="47" t="str">
        <f>IF('I | Forecast 23-27'!E71="","",'I | Forecast 23-27'!E71)</f>
        <v/>
      </c>
      <c r="F71" s="47" t="str">
        <f>IF('I | Forecast 23-27'!F71="","",'I | Forecast 23-27'!F71)</f>
        <v/>
      </c>
      <c r="G71" s="47" t="str">
        <f>IF('I | Forecast 23-27'!G71="","",'I | Forecast 23-27'!G71)</f>
        <v/>
      </c>
      <c r="H71" s="47" t="str">
        <f>IF('I | Forecast 23-27'!H71="","",'I | Forecast 23-27'!H71)</f>
        <v/>
      </c>
      <c r="I71" s="50"/>
      <c r="J71" s="52">
        <f>IFERROR(VLOOKUP($A71,'I | Forecast 23-27'!$A$11:$N$160,J$8,0)*HLOOKUP(J$10,'I | Inflation'!$C$52:$H$54,3,0),0)</f>
        <v>0</v>
      </c>
      <c r="K71" s="52">
        <f>IFERROR(VLOOKUP($A71,'I | Forecast 23-27'!$A$11:$N$160,K$8,0)*HLOOKUP(K$10,'I | Inflation'!$C$52:$H$54,3,0),0)</f>
        <v>0</v>
      </c>
      <c r="L71" s="52">
        <f>IFERROR(VLOOKUP($A71,'I | Forecast 23-27'!$A$11:$N$160,L$8,0)*HLOOKUP(L$10,'I | Inflation'!$C$52:$H$54,3,0),0)</f>
        <v>0</v>
      </c>
      <c r="M71" s="52">
        <f>IFERROR(VLOOKUP($A71,'I | Forecast 23-27'!$A$11:$N$160,M$8,0)*HLOOKUP(M$10,'I | Inflation'!$C$52:$H$54,3,0),0)</f>
        <v>0</v>
      </c>
      <c r="N71" s="52">
        <f>IFERROR(VLOOKUP($A71,'I | Forecast 23-27'!$A$11:$N$160,N$8,0)*HLOOKUP(N$10,'I | Inflation'!$C$52:$H$54,3,0),0)</f>
        <v>0</v>
      </c>
      <c r="O71" s="54">
        <f t="shared" si="0"/>
        <v>0</v>
      </c>
      <c r="P71" s="53"/>
    </row>
    <row r="72" spans="1:16" s="4" customFormat="1" x14ac:dyDescent="0.3">
      <c r="A72" s="56">
        <v>62</v>
      </c>
      <c r="B72" s="49" t="str">
        <f>IF('I | Forecast 23-27'!B72="","",'I | Forecast 23-27'!B72)</f>
        <v/>
      </c>
      <c r="C72" s="47" t="str">
        <f>IF('I | Forecast 23-27'!C72="","",'I | Forecast 23-27'!C72)</f>
        <v/>
      </c>
      <c r="D72" s="47" t="str">
        <f>IF('I | Forecast 23-27'!D72="","",'I | Forecast 23-27'!D72)</f>
        <v/>
      </c>
      <c r="E72" s="47" t="str">
        <f>IF('I | Forecast 23-27'!E72="","",'I | Forecast 23-27'!E72)</f>
        <v/>
      </c>
      <c r="F72" s="47" t="str">
        <f>IF('I | Forecast 23-27'!F72="","",'I | Forecast 23-27'!F72)</f>
        <v/>
      </c>
      <c r="G72" s="47" t="str">
        <f>IF('I | Forecast 23-27'!G72="","",'I | Forecast 23-27'!G72)</f>
        <v/>
      </c>
      <c r="H72" s="47" t="str">
        <f>IF('I | Forecast 23-27'!H72="","",'I | Forecast 23-27'!H72)</f>
        <v/>
      </c>
      <c r="I72" s="50"/>
      <c r="J72" s="52">
        <f>IFERROR(VLOOKUP($A72,'I | Forecast 23-27'!$A$11:$N$160,J$8,0)*HLOOKUP(J$10,'I | Inflation'!$C$52:$H$54,3,0),0)</f>
        <v>0</v>
      </c>
      <c r="K72" s="52">
        <f>IFERROR(VLOOKUP($A72,'I | Forecast 23-27'!$A$11:$N$160,K$8,0)*HLOOKUP(K$10,'I | Inflation'!$C$52:$H$54,3,0),0)</f>
        <v>0</v>
      </c>
      <c r="L72" s="52">
        <f>IFERROR(VLOOKUP($A72,'I | Forecast 23-27'!$A$11:$N$160,L$8,0)*HLOOKUP(L$10,'I | Inflation'!$C$52:$H$54,3,0),0)</f>
        <v>0</v>
      </c>
      <c r="M72" s="52">
        <f>IFERROR(VLOOKUP($A72,'I | Forecast 23-27'!$A$11:$N$160,M$8,0)*HLOOKUP(M$10,'I | Inflation'!$C$52:$H$54,3,0),0)</f>
        <v>0</v>
      </c>
      <c r="N72" s="52">
        <f>IFERROR(VLOOKUP($A72,'I | Forecast 23-27'!$A$11:$N$160,N$8,0)*HLOOKUP(N$10,'I | Inflation'!$C$52:$H$54,3,0),0)</f>
        <v>0</v>
      </c>
      <c r="O72" s="54">
        <f t="shared" si="0"/>
        <v>0</v>
      </c>
      <c r="P72" s="53"/>
    </row>
    <row r="73" spans="1:16" s="4" customFormat="1" x14ac:dyDescent="0.3">
      <c r="A73" s="56">
        <v>63</v>
      </c>
      <c r="B73" s="49" t="str">
        <f>IF('I | Forecast 23-27'!B73="","",'I | Forecast 23-27'!B73)</f>
        <v/>
      </c>
      <c r="C73" s="47" t="str">
        <f>IF('I | Forecast 23-27'!C73="","",'I | Forecast 23-27'!C73)</f>
        <v/>
      </c>
      <c r="D73" s="47" t="str">
        <f>IF('I | Forecast 23-27'!D73="","",'I | Forecast 23-27'!D73)</f>
        <v/>
      </c>
      <c r="E73" s="47" t="str">
        <f>IF('I | Forecast 23-27'!E73="","",'I | Forecast 23-27'!E73)</f>
        <v/>
      </c>
      <c r="F73" s="47" t="str">
        <f>IF('I | Forecast 23-27'!F73="","",'I | Forecast 23-27'!F73)</f>
        <v/>
      </c>
      <c r="G73" s="47" t="str">
        <f>IF('I | Forecast 23-27'!G73="","",'I | Forecast 23-27'!G73)</f>
        <v/>
      </c>
      <c r="H73" s="47" t="str">
        <f>IF('I | Forecast 23-27'!H73="","",'I | Forecast 23-27'!H73)</f>
        <v/>
      </c>
      <c r="I73" s="50"/>
      <c r="J73" s="52">
        <f>IFERROR(VLOOKUP($A73,'I | Forecast 23-27'!$A$11:$N$160,J$8,0)*HLOOKUP(J$10,'I | Inflation'!$C$52:$H$54,3,0),0)</f>
        <v>0</v>
      </c>
      <c r="K73" s="52">
        <f>IFERROR(VLOOKUP($A73,'I | Forecast 23-27'!$A$11:$N$160,K$8,0)*HLOOKUP(K$10,'I | Inflation'!$C$52:$H$54,3,0),0)</f>
        <v>0</v>
      </c>
      <c r="L73" s="52">
        <f>IFERROR(VLOOKUP($A73,'I | Forecast 23-27'!$A$11:$N$160,L$8,0)*HLOOKUP(L$10,'I | Inflation'!$C$52:$H$54,3,0),0)</f>
        <v>0</v>
      </c>
      <c r="M73" s="52">
        <f>IFERROR(VLOOKUP($A73,'I | Forecast 23-27'!$A$11:$N$160,M$8,0)*HLOOKUP(M$10,'I | Inflation'!$C$52:$H$54,3,0),0)</f>
        <v>0</v>
      </c>
      <c r="N73" s="52">
        <f>IFERROR(VLOOKUP($A73,'I | Forecast 23-27'!$A$11:$N$160,N$8,0)*HLOOKUP(N$10,'I | Inflation'!$C$52:$H$54,3,0),0)</f>
        <v>0</v>
      </c>
      <c r="O73" s="54">
        <f t="shared" si="0"/>
        <v>0</v>
      </c>
      <c r="P73" s="53"/>
    </row>
    <row r="74" spans="1:16" s="4" customFormat="1" x14ac:dyDescent="0.3">
      <c r="A74" s="56">
        <v>64</v>
      </c>
      <c r="B74" s="49" t="str">
        <f>IF('I | Forecast 23-27'!B74="","",'I | Forecast 23-27'!B74)</f>
        <v/>
      </c>
      <c r="C74" s="47" t="str">
        <f>IF('I | Forecast 23-27'!C74="","",'I | Forecast 23-27'!C74)</f>
        <v/>
      </c>
      <c r="D74" s="47" t="str">
        <f>IF('I | Forecast 23-27'!D74="","",'I | Forecast 23-27'!D74)</f>
        <v/>
      </c>
      <c r="E74" s="47" t="str">
        <f>IF('I | Forecast 23-27'!E74="","",'I | Forecast 23-27'!E74)</f>
        <v/>
      </c>
      <c r="F74" s="47" t="str">
        <f>IF('I | Forecast 23-27'!F74="","",'I | Forecast 23-27'!F74)</f>
        <v/>
      </c>
      <c r="G74" s="47" t="str">
        <f>IF('I | Forecast 23-27'!G74="","",'I | Forecast 23-27'!G74)</f>
        <v/>
      </c>
      <c r="H74" s="47" t="str">
        <f>IF('I | Forecast 23-27'!H74="","",'I | Forecast 23-27'!H74)</f>
        <v/>
      </c>
      <c r="I74" s="50"/>
      <c r="J74" s="52">
        <f>IFERROR(VLOOKUP($A74,'I | Forecast 23-27'!$A$11:$N$160,J$8,0)*HLOOKUP(J$10,'I | Inflation'!$C$52:$H$54,3,0),0)</f>
        <v>0</v>
      </c>
      <c r="K74" s="52">
        <f>IFERROR(VLOOKUP($A74,'I | Forecast 23-27'!$A$11:$N$160,K$8,0)*HLOOKUP(K$10,'I | Inflation'!$C$52:$H$54,3,0),0)</f>
        <v>0</v>
      </c>
      <c r="L74" s="52">
        <f>IFERROR(VLOOKUP($A74,'I | Forecast 23-27'!$A$11:$N$160,L$8,0)*HLOOKUP(L$10,'I | Inflation'!$C$52:$H$54,3,0),0)</f>
        <v>0</v>
      </c>
      <c r="M74" s="52">
        <f>IFERROR(VLOOKUP($A74,'I | Forecast 23-27'!$A$11:$N$160,M$8,0)*HLOOKUP(M$10,'I | Inflation'!$C$52:$H$54,3,0),0)</f>
        <v>0</v>
      </c>
      <c r="N74" s="52">
        <f>IFERROR(VLOOKUP($A74,'I | Forecast 23-27'!$A$11:$N$160,N$8,0)*HLOOKUP(N$10,'I | Inflation'!$C$52:$H$54,3,0),0)</f>
        <v>0</v>
      </c>
      <c r="O74" s="54">
        <f t="shared" si="0"/>
        <v>0</v>
      </c>
      <c r="P74" s="53"/>
    </row>
    <row r="75" spans="1:16" s="4" customFormat="1" x14ac:dyDescent="0.3">
      <c r="A75" s="56">
        <v>65</v>
      </c>
      <c r="B75" s="49" t="str">
        <f>IF('I | Forecast 23-27'!B75="","",'I | Forecast 23-27'!B75)</f>
        <v/>
      </c>
      <c r="C75" s="47" t="str">
        <f>IF('I | Forecast 23-27'!C75="","",'I | Forecast 23-27'!C75)</f>
        <v/>
      </c>
      <c r="D75" s="47" t="str">
        <f>IF('I | Forecast 23-27'!D75="","",'I | Forecast 23-27'!D75)</f>
        <v/>
      </c>
      <c r="E75" s="47" t="str">
        <f>IF('I | Forecast 23-27'!E75="","",'I | Forecast 23-27'!E75)</f>
        <v/>
      </c>
      <c r="F75" s="47" t="str">
        <f>IF('I | Forecast 23-27'!F75="","",'I | Forecast 23-27'!F75)</f>
        <v/>
      </c>
      <c r="G75" s="47" t="str">
        <f>IF('I | Forecast 23-27'!G75="","",'I | Forecast 23-27'!G75)</f>
        <v/>
      </c>
      <c r="H75" s="47" t="str">
        <f>IF('I | Forecast 23-27'!H75="","",'I | Forecast 23-27'!H75)</f>
        <v/>
      </c>
      <c r="I75" s="50"/>
      <c r="J75" s="52">
        <f>IFERROR(VLOOKUP($A75,'I | Forecast 23-27'!$A$11:$N$160,J$8,0)*HLOOKUP(J$10,'I | Inflation'!$C$52:$H$54,3,0),0)</f>
        <v>0</v>
      </c>
      <c r="K75" s="52">
        <f>IFERROR(VLOOKUP($A75,'I | Forecast 23-27'!$A$11:$N$160,K$8,0)*HLOOKUP(K$10,'I | Inflation'!$C$52:$H$54,3,0),0)</f>
        <v>0</v>
      </c>
      <c r="L75" s="52">
        <f>IFERROR(VLOOKUP($A75,'I | Forecast 23-27'!$A$11:$N$160,L$8,0)*HLOOKUP(L$10,'I | Inflation'!$C$52:$H$54,3,0),0)</f>
        <v>0</v>
      </c>
      <c r="M75" s="52">
        <f>IFERROR(VLOOKUP($A75,'I | Forecast 23-27'!$A$11:$N$160,M$8,0)*HLOOKUP(M$10,'I | Inflation'!$C$52:$H$54,3,0),0)</f>
        <v>0</v>
      </c>
      <c r="N75" s="52">
        <f>IFERROR(VLOOKUP($A75,'I | Forecast 23-27'!$A$11:$N$160,N$8,0)*HLOOKUP(N$10,'I | Inflation'!$C$52:$H$54,3,0),0)</f>
        <v>0</v>
      </c>
      <c r="O75" s="54">
        <f t="shared" si="0"/>
        <v>0</v>
      </c>
      <c r="P75" s="53"/>
    </row>
    <row r="76" spans="1:16" s="4" customFormat="1" x14ac:dyDescent="0.3">
      <c r="A76" s="56">
        <v>66</v>
      </c>
      <c r="B76" s="49" t="str">
        <f>IF('I | Forecast 23-27'!B76="","",'I | Forecast 23-27'!B76)</f>
        <v/>
      </c>
      <c r="C76" s="47" t="str">
        <f>IF('I | Forecast 23-27'!C76="","",'I | Forecast 23-27'!C76)</f>
        <v/>
      </c>
      <c r="D76" s="47" t="str">
        <f>IF('I | Forecast 23-27'!D76="","",'I | Forecast 23-27'!D76)</f>
        <v/>
      </c>
      <c r="E76" s="47" t="str">
        <f>IF('I | Forecast 23-27'!E76="","",'I | Forecast 23-27'!E76)</f>
        <v/>
      </c>
      <c r="F76" s="47" t="str">
        <f>IF('I | Forecast 23-27'!F76="","",'I | Forecast 23-27'!F76)</f>
        <v/>
      </c>
      <c r="G76" s="47" t="str">
        <f>IF('I | Forecast 23-27'!G76="","",'I | Forecast 23-27'!G76)</f>
        <v/>
      </c>
      <c r="H76" s="47" t="str">
        <f>IF('I | Forecast 23-27'!H76="","",'I | Forecast 23-27'!H76)</f>
        <v/>
      </c>
      <c r="I76" s="50"/>
      <c r="J76" s="52">
        <f>IFERROR(VLOOKUP($A76,'I | Forecast 23-27'!$A$11:$N$160,J$8,0)*HLOOKUP(J$10,'I | Inflation'!$C$52:$H$54,3,0),0)</f>
        <v>0</v>
      </c>
      <c r="K76" s="52">
        <f>IFERROR(VLOOKUP($A76,'I | Forecast 23-27'!$A$11:$N$160,K$8,0)*HLOOKUP(K$10,'I | Inflation'!$C$52:$H$54,3,0),0)</f>
        <v>0</v>
      </c>
      <c r="L76" s="52">
        <f>IFERROR(VLOOKUP($A76,'I | Forecast 23-27'!$A$11:$N$160,L$8,0)*HLOOKUP(L$10,'I | Inflation'!$C$52:$H$54,3,0),0)</f>
        <v>0</v>
      </c>
      <c r="M76" s="52">
        <f>IFERROR(VLOOKUP($A76,'I | Forecast 23-27'!$A$11:$N$160,M$8,0)*HLOOKUP(M$10,'I | Inflation'!$C$52:$H$54,3,0),0)</f>
        <v>0</v>
      </c>
      <c r="N76" s="52">
        <f>IFERROR(VLOOKUP($A76,'I | Forecast 23-27'!$A$11:$N$160,N$8,0)*HLOOKUP(N$10,'I | Inflation'!$C$52:$H$54,3,0),0)</f>
        <v>0</v>
      </c>
      <c r="O76" s="54">
        <f t="shared" ref="O76:O139" si="1">SUM(J76:N76)</f>
        <v>0</v>
      </c>
      <c r="P76" s="53"/>
    </row>
    <row r="77" spans="1:16" s="4" customFormat="1" x14ac:dyDescent="0.3">
      <c r="A77" s="56">
        <v>67</v>
      </c>
      <c r="B77" s="49" t="str">
        <f>IF('I | Forecast 23-27'!B77="","",'I | Forecast 23-27'!B77)</f>
        <v/>
      </c>
      <c r="C77" s="47" t="str">
        <f>IF('I | Forecast 23-27'!C77="","",'I | Forecast 23-27'!C77)</f>
        <v/>
      </c>
      <c r="D77" s="47" t="str">
        <f>IF('I | Forecast 23-27'!D77="","",'I | Forecast 23-27'!D77)</f>
        <v/>
      </c>
      <c r="E77" s="47" t="str">
        <f>IF('I | Forecast 23-27'!E77="","",'I | Forecast 23-27'!E77)</f>
        <v/>
      </c>
      <c r="F77" s="47" t="str">
        <f>IF('I | Forecast 23-27'!F77="","",'I | Forecast 23-27'!F77)</f>
        <v/>
      </c>
      <c r="G77" s="47" t="str">
        <f>IF('I | Forecast 23-27'!G77="","",'I | Forecast 23-27'!G77)</f>
        <v/>
      </c>
      <c r="H77" s="47" t="str">
        <f>IF('I | Forecast 23-27'!H77="","",'I | Forecast 23-27'!H77)</f>
        <v/>
      </c>
      <c r="I77" s="50"/>
      <c r="J77" s="52">
        <f>IFERROR(VLOOKUP($A77,'I | Forecast 23-27'!$A$11:$N$160,J$8,0)*HLOOKUP(J$10,'I | Inflation'!$C$52:$H$54,3,0),0)</f>
        <v>0</v>
      </c>
      <c r="K77" s="52">
        <f>IFERROR(VLOOKUP($A77,'I | Forecast 23-27'!$A$11:$N$160,K$8,0)*HLOOKUP(K$10,'I | Inflation'!$C$52:$H$54,3,0),0)</f>
        <v>0</v>
      </c>
      <c r="L77" s="52">
        <f>IFERROR(VLOOKUP($A77,'I | Forecast 23-27'!$A$11:$N$160,L$8,0)*HLOOKUP(L$10,'I | Inflation'!$C$52:$H$54,3,0),0)</f>
        <v>0</v>
      </c>
      <c r="M77" s="52">
        <f>IFERROR(VLOOKUP($A77,'I | Forecast 23-27'!$A$11:$N$160,M$8,0)*HLOOKUP(M$10,'I | Inflation'!$C$52:$H$54,3,0),0)</f>
        <v>0</v>
      </c>
      <c r="N77" s="52">
        <f>IFERROR(VLOOKUP($A77,'I | Forecast 23-27'!$A$11:$N$160,N$8,0)*HLOOKUP(N$10,'I | Inflation'!$C$52:$H$54,3,0),0)</f>
        <v>0</v>
      </c>
      <c r="O77" s="54">
        <f t="shared" si="1"/>
        <v>0</v>
      </c>
      <c r="P77" s="53"/>
    </row>
    <row r="78" spans="1:16" s="4" customFormat="1" x14ac:dyDescent="0.3">
      <c r="A78" s="56">
        <v>68</v>
      </c>
      <c r="B78" s="49" t="str">
        <f>IF('I | Forecast 23-27'!B78="","",'I | Forecast 23-27'!B78)</f>
        <v/>
      </c>
      <c r="C78" s="47" t="str">
        <f>IF('I | Forecast 23-27'!C78="","",'I | Forecast 23-27'!C78)</f>
        <v/>
      </c>
      <c r="D78" s="47" t="str">
        <f>IF('I | Forecast 23-27'!D78="","",'I | Forecast 23-27'!D78)</f>
        <v/>
      </c>
      <c r="E78" s="47" t="str">
        <f>IF('I | Forecast 23-27'!E78="","",'I | Forecast 23-27'!E78)</f>
        <v/>
      </c>
      <c r="F78" s="47" t="str">
        <f>IF('I | Forecast 23-27'!F78="","",'I | Forecast 23-27'!F78)</f>
        <v/>
      </c>
      <c r="G78" s="47" t="str">
        <f>IF('I | Forecast 23-27'!G78="","",'I | Forecast 23-27'!G78)</f>
        <v/>
      </c>
      <c r="H78" s="47" t="str">
        <f>IF('I | Forecast 23-27'!H78="","",'I | Forecast 23-27'!H78)</f>
        <v/>
      </c>
      <c r="I78" s="50"/>
      <c r="J78" s="52">
        <f>IFERROR(VLOOKUP($A78,'I | Forecast 23-27'!$A$11:$N$160,J$8,0)*HLOOKUP(J$10,'I | Inflation'!$C$52:$H$54,3,0),0)</f>
        <v>0</v>
      </c>
      <c r="K78" s="52">
        <f>IFERROR(VLOOKUP($A78,'I | Forecast 23-27'!$A$11:$N$160,K$8,0)*HLOOKUP(K$10,'I | Inflation'!$C$52:$H$54,3,0),0)</f>
        <v>0</v>
      </c>
      <c r="L78" s="52">
        <f>IFERROR(VLOOKUP($A78,'I | Forecast 23-27'!$A$11:$N$160,L$8,0)*HLOOKUP(L$10,'I | Inflation'!$C$52:$H$54,3,0),0)</f>
        <v>0</v>
      </c>
      <c r="M78" s="52">
        <f>IFERROR(VLOOKUP($A78,'I | Forecast 23-27'!$A$11:$N$160,M$8,0)*HLOOKUP(M$10,'I | Inflation'!$C$52:$H$54,3,0),0)</f>
        <v>0</v>
      </c>
      <c r="N78" s="52">
        <f>IFERROR(VLOOKUP($A78,'I | Forecast 23-27'!$A$11:$N$160,N$8,0)*HLOOKUP(N$10,'I | Inflation'!$C$52:$H$54,3,0),0)</f>
        <v>0</v>
      </c>
      <c r="O78" s="54">
        <f t="shared" si="1"/>
        <v>0</v>
      </c>
      <c r="P78" s="53"/>
    </row>
    <row r="79" spans="1:16" s="4" customFormat="1" x14ac:dyDescent="0.3">
      <c r="A79" s="56">
        <v>69</v>
      </c>
      <c r="B79" s="49" t="str">
        <f>IF('I | Forecast 23-27'!B79="","",'I | Forecast 23-27'!B79)</f>
        <v/>
      </c>
      <c r="C79" s="47" t="str">
        <f>IF('I | Forecast 23-27'!C79="","",'I | Forecast 23-27'!C79)</f>
        <v/>
      </c>
      <c r="D79" s="47" t="str">
        <f>IF('I | Forecast 23-27'!D79="","",'I | Forecast 23-27'!D79)</f>
        <v/>
      </c>
      <c r="E79" s="47" t="str">
        <f>IF('I | Forecast 23-27'!E79="","",'I | Forecast 23-27'!E79)</f>
        <v/>
      </c>
      <c r="F79" s="47" t="str">
        <f>IF('I | Forecast 23-27'!F79="","",'I | Forecast 23-27'!F79)</f>
        <v/>
      </c>
      <c r="G79" s="47" t="str">
        <f>IF('I | Forecast 23-27'!G79="","",'I | Forecast 23-27'!G79)</f>
        <v/>
      </c>
      <c r="H79" s="47" t="str">
        <f>IF('I | Forecast 23-27'!H79="","",'I | Forecast 23-27'!H79)</f>
        <v/>
      </c>
      <c r="I79" s="50"/>
      <c r="J79" s="52">
        <f>IFERROR(VLOOKUP($A79,'I | Forecast 23-27'!$A$11:$N$160,J$8,0)*HLOOKUP(J$10,'I | Inflation'!$C$52:$H$54,3,0),0)</f>
        <v>0</v>
      </c>
      <c r="K79" s="52">
        <f>IFERROR(VLOOKUP($A79,'I | Forecast 23-27'!$A$11:$N$160,K$8,0)*HLOOKUP(K$10,'I | Inflation'!$C$52:$H$54,3,0),0)</f>
        <v>0</v>
      </c>
      <c r="L79" s="52">
        <f>IFERROR(VLOOKUP($A79,'I | Forecast 23-27'!$A$11:$N$160,L$8,0)*HLOOKUP(L$10,'I | Inflation'!$C$52:$H$54,3,0),0)</f>
        <v>0</v>
      </c>
      <c r="M79" s="52">
        <f>IFERROR(VLOOKUP($A79,'I | Forecast 23-27'!$A$11:$N$160,M$8,0)*HLOOKUP(M$10,'I | Inflation'!$C$52:$H$54,3,0),0)</f>
        <v>0</v>
      </c>
      <c r="N79" s="52">
        <f>IFERROR(VLOOKUP($A79,'I | Forecast 23-27'!$A$11:$N$160,N$8,0)*HLOOKUP(N$10,'I | Inflation'!$C$52:$H$54,3,0),0)</f>
        <v>0</v>
      </c>
      <c r="O79" s="54">
        <f t="shared" si="1"/>
        <v>0</v>
      </c>
      <c r="P79" s="53"/>
    </row>
    <row r="80" spans="1:16" s="4" customFormat="1" x14ac:dyDescent="0.3">
      <c r="A80" s="56">
        <v>70</v>
      </c>
      <c r="B80" s="49" t="str">
        <f>IF('I | Forecast 23-27'!B80="","",'I | Forecast 23-27'!B80)</f>
        <v/>
      </c>
      <c r="C80" s="47" t="str">
        <f>IF('I | Forecast 23-27'!C80="","",'I | Forecast 23-27'!C80)</f>
        <v/>
      </c>
      <c r="D80" s="47" t="str">
        <f>IF('I | Forecast 23-27'!D80="","",'I | Forecast 23-27'!D80)</f>
        <v/>
      </c>
      <c r="E80" s="47" t="str">
        <f>IF('I | Forecast 23-27'!E80="","",'I | Forecast 23-27'!E80)</f>
        <v/>
      </c>
      <c r="F80" s="47" t="str">
        <f>IF('I | Forecast 23-27'!F80="","",'I | Forecast 23-27'!F80)</f>
        <v/>
      </c>
      <c r="G80" s="47" t="str">
        <f>IF('I | Forecast 23-27'!G80="","",'I | Forecast 23-27'!G80)</f>
        <v/>
      </c>
      <c r="H80" s="47" t="str">
        <f>IF('I | Forecast 23-27'!H80="","",'I | Forecast 23-27'!H80)</f>
        <v/>
      </c>
      <c r="I80" s="50"/>
      <c r="J80" s="52">
        <f>IFERROR(VLOOKUP($A80,'I | Forecast 23-27'!$A$11:$N$160,J$8,0)*HLOOKUP(J$10,'I | Inflation'!$C$52:$H$54,3,0),0)</f>
        <v>0</v>
      </c>
      <c r="K80" s="52">
        <f>IFERROR(VLOOKUP($A80,'I | Forecast 23-27'!$A$11:$N$160,K$8,0)*HLOOKUP(K$10,'I | Inflation'!$C$52:$H$54,3,0),0)</f>
        <v>0</v>
      </c>
      <c r="L80" s="52">
        <f>IFERROR(VLOOKUP($A80,'I | Forecast 23-27'!$A$11:$N$160,L$8,0)*HLOOKUP(L$10,'I | Inflation'!$C$52:$H$54,3,0),0)</f>
        <v>0</v>
      </c>
      <c r="M80" s="52">
        <f>IFERROR(VLOOKUP($A80,'I | Forecast 23-27'!$A$11:$N$160,M$8,0)*HLOOKUP(M$10,'I | Inflation'!$C$52:$H$54,3,0),0)</f>
        <v>0</v>
      </c>
      <c r="N80" s="52">
        <f>IFERROR(VLOOKUP($A80,'I | Forecast 23-27'!$A$11:$N$160,N$8,0)*HLOOKUP(N$10,'I | Inflation'!$C$52:$H$54,3,0),0)</f>
        <v>0</v>
      </c>
      <c r="O80" s="54">
        <f t="shared" si="1"/>
        <v>0</v>
      </c>
      <c r="P80" s="53"/>
    </row>
    <row r="81" spans="1:16" s="4" customFormat="1" x14ac:dyDescent="0.3">
      <c r="A81" s="56">
        <v>71</v>
      </c>
      <c r="B81" s="49" t="str">
        <f>IF('I | Forecast 23-27'!B81="","",'I | Forecast 23-27'!B81)</f>
        <v/>
      </c>
      <c r="C81" s="47" t="str">
        <f>IF('I | Forecast 23-27'!C81="","",'I | Forecast 23-27'!C81)</f>
        <v/>
      </c>
      <c r="D81" s="47" t="str">
        <f>IF('I | Forecast 23-27'!D81="","",'I | Forecast 23-27'!D81)</f>
        <v/>
      </c>
      <c r="E81" s="47" t="str">
        <f>IF('I | Forecast 23-27'!E81="","",'I | Forecast 23-27'!E81)</f>
        <v/>
      </c>
      <c r="F81" s="47" t="str">
        <f>IF('I | Forecast 23-27'!F81="","",'I | Forecast 23-27'!F81)</f>
        <v/>
      </c>
      <c r="G81" s="47" t="str">
        <f>IF('I | Forecast 23-27'!G81="","",'I | Forecast 23-27'!G81)</f>
        <v/>
      </c>
      <c r="H81" s="47" t="str">
        <f>IF('I | Forecast 23-27'!H81="","",'I | Forecast 23-27'!H81)</f>
        <v/>
      </c>
      <c r="I81" s="50"/>
      <c r="J81" s="52">
        <f>IFERROR(VLOOKUP($A81,'I | Forecast 23-27'!$A$11:$N$160,J$8,0)*HLOOKUP(J$10,'I | Inflation'!$C$52:$H$54,3,0),0)</f>
        <v>0</v>
      </c>
      <c r="K81" s="52">
        <f>IFERROR(VLOOKUP($A81,'I | Forecast 23-27'!$A$11:$N$160,K$8,0)*HLOOKUP(K$10,'I | Inflation'!$C$52:$H$54,3,0),0)</f>
        <v>0</v>
      </c>
      <c r="L81" s="52">
        <f>IFERROR(VLOOKUP($A81,'I | Forecast 23-27'!$A$11:$N$160,L$8,0)*HLOOKUP(L$10,'I | Inflation'!$C$52:$H$54,3,0),0)</f>
        <v>0</v>
      </c>
      <c r="M81" s="52">
        <f>IFERROR(VLOOKUP($A81,'I | Forecast 23-27'!$A$11:$N$160,M$8,0)*HLOOKUP(M$10,'I | Inflation'!$C$52:$H$54,3,0),0)</f>
        <v>0</v>
      </c>
      <c r="N81" s="52">
        <f>IFERROR(VLOOKUP($A81,'I | Forecast 23-27'!$A$11:$N$160,N$8,0)*HLOOKUP(N$10,'I | Inflation'!$C$52:$H$54,3,0),0)</f>
        <v>0</v>
      </c>
      <c r="O81" s="54">
        <f t="shared" si="1"/>
        <v>0</v>
      </c>
      <c r="P81" s="53"/>
    </row>
    <row r="82" spans="1:16" s="4" customFormat="1" x14ac:dyDescent="0.3">
      <c r="A82" s="56">
        <v>72</v>
      </c>
      <c r="B82" s="49" t="str">
        <f>IF('I | Forecast 23-27'!B82="","",'I | Forecast 23-27'!B82)</f>
        <v/>
      </c>
      <c r="C82" s="47" t="str">
        <f>IF('I | Forecast 23-27'!C82="","",'I | Forecast 23-27'!C82)</f>
        <v/>
      </c>
      <c r="D82" s="47" t="str">
        <f>IF('I | Forecast 23-27'!D82="","",'I | Forecast 23-27'!D82)</f>
        <v/>
      </c>
      <c r="E82" s="47" t="str">
        <f>IF('I | Forecast 23-27'!E82="","",'I | Forecast 23-27'!E82)</f>
        <v/>
      </c>
      <c r="F82" s="47" t="str">
        <f>IF('I | Forecast 23-27'!F82="","",'I | Forecast 23-27'!F82)</f>
        <v/>
      </c>
      <c r="G82" s="47" t="str">
        <f>IF('I | Forecast 23-27'!G82="","",'I | Forecast 23-27'!G82)</f>
        <v/>
      </c>
      <c r="H82" s="47" t="str">
        <f>IF('I | Forecast 23-27'!H82="","",'I | Forecast 23-27'!H82)</f>
        <v/>
      </c>
      <c r="I82" s="50"/>
      <c r="J82" s="52">
        <f>IFERROR(VLOOKUP($A82,'I | Forecast 23-27'!$A$11:$N$160,J$8,0)*HLOOKUP(J$10,'I | Inflation'!$C$52:$H$54,3,0),0)</f>
        <v>0</v>
      </c>
      <c r="K82" s="52">
        <f>IFERROR(VLOOKUP($A82,'I | Forecast 23-27'!$A$11:$N$160,K$8,0)*HLOOKUP(K$10,'I | Inflation'!$C$52:$H$54,3,0),0)</f>
        <v>0</v>
      </c>
      <c r="L82" s="52">
        <f>IFERROR(VLOOKUP($A82,'I | Forecast 23-27'!$A$11:$N$160,L$8,0)*HLOOKUP(L$10,'I | Inflation'!$C$52:$H$54,3,0),0)</f>
        <v>0</v>
      </c>
      <c r="M82" s="52">
        <f>IFERROR(VLOOKUP($A82,'I | Forecast 23-27'!$A$11:$N$160,M$8,0)*HLOOKUP(M$10,'I | Inflation'!$C$52:$H$54,3,0),0)</f>
        <v>0</v>
      </c>
      <c r="N82" s="52">
        <f>IFERROR(VLOOKUP($A82,'I | Forecast 23-27'!$A$11:$N$160,N$8,0)*HLOOKUP(N$10,'I | Inflation'!$C$52:$H$54,3,0),0)</f>
        <v>0</v>
      </c>
      <c r="O82" s="54">
        <f t="shared" si="1"/>
        <v>0</v>
      </c>
      <c r="P82" s="53"/>
    </row>
    <row r="83" spans="1:16" s="4" customFormat="1" x14ac:dyDescent="0.3">
      <c r="A83" s="56">
        <v>73</v>
      </c>
      <c r="B83" s="49" t="str">
        <f>IF('I | Forecast 23-27'!B83="","",'I | Forecast 23-27'!B83)</f>
        <v/>
      </c>
      <c r="C83" s="47" t="str">
        <f>IF('I | Forecast 23-27'!C83="","",'I | Forecast 23-27'!C83)</f>
        <v/>
      </c>
      <c r="D83" s="47" t="str">
        <f>IF('I | Forecast 23-27'!D83="","",'I | Forecast 23-27'!D83)</f>
        <v/>
      </c>
      <c r="E83" s="47" t="str">
        <f>IF('I | Forecast 23-27'!E83="","",'I | Forecast 23-27'!E83)</f>
        <v/>
      </c>
      <c r="F83" s="47" t="str">
        <f>IF('I | Forecast 23-27'!F83="","",'I | Forecast 23-27'!F83)</f>
        <v/>
      </c>
      <c r="G83" s="47" t="str">
        <f>IF('I | Forecast 23-27'!G83="","",'I | Forecast 23-27'!G83)</f>
        <v/>
      </c>
      <c r="H83" s="47" t="str">
        <f>IF('I | Forecast 23-27'!H83="","",'I | Forecast 23-27'!H83)</f>
        <v/>
      </c>
      <c r="I83" s="50"/>
      <c r="J83" s="52">
        <f>IFERROR(VLOOKUP($A83,'I | Forecast 23-27'!$A$11:$N$160,J$8,0)*HLOOKUP(J$10,'I | Inflation'!$C$52:$H$54,3,0),0)</f>
        <v>0</v>
      </c>
      <c r="K83" s="52">
        <f>IFERROR(VLOOKUP($A83,'I | Forecast 23-27'!$A$11:$N$160,K$8,0)*HLOOKUP(K$10,'I | Inflation'!$C$52:$H$54,3,0),0)</f>
        <v>0</v>
      </c>
      <c r="L83" s="52">
        <f>IFERROR(VLOOKUP($A83,'I | Forecast 23-27'!$A$11:$N$160,L$8,0)*HLOOKUP(L$10,'I | Inflation'!$C$52:$H$54,3,0),0)</f>
        <v>0</v>
      </c>
      <c r="M83" s="52">
        <f>IFERROR(VLOOKUP($A83,'I | Forecast 23-27'!$A$11:$N$160,M$8,0)*HLOOKUP(M$10,'I | Inflation'!$C$52:$H$54,3,0),0)</f>
        <v>0</v>
      </c>
      <c r="N83" s="52">
        <f>IFERROR(VLOOKUP($A83,'I | Forecast 23-27'!$A$11:$N$160,N$8,0)*HLOOKUP(N$10,'I | Inflation'!$C$52:$H$54,3,0),0)</f>
        <v>0</v>
      </c>
      <c r="O83" s="54">
        <f t="shared" si="1"/>
        <v>0</v>
      </c>
      <c r="P83" s="53"/>
    </row>
    <row r="84" spans="1:16" s="4" customFormat="1" x14ac:dyDescent="0.3">
      <c r="A84" s="56">
        <v>74</v>
      </c>
      <c r="B84" s="49" t="str">
        <f>IF('I | Forecast 23-27'!B84="","",'I | Forecast 23-27'!B84)</f>
        <v/>
      </c>
      <c r="C84" s="47" t="str">
        <f>IF('I | Forecast 23-27'!C84="","",'I | Forecast 23-27'!C84)</f>
        <v/>
      </c>
      <c r="D84" s="47" t="str">
        <f>IF('I | Forecast 23-27'!D84="","",'I | Forecast 23-27'!D84)</f>
        <v/>
      </c>
      <c r="E84" s="47" t="str">
        <f>IF('I | Forecast 23-27'!E84="","",'I | Forecast 23-27'!E84)</f>
        <v/>
      </c>
      <c r="F84" s="47" t="str">
        <f>IF('I | Forecast 23-27'!F84="","",'I | Forecast 23-27'!F84)</f>
        <v/>
      </c>
      <c r="G84" s="47" t="str">
        <f>IF('I | Forecast 23-27'!G84="","",'I | Forecast 23-27'!G84)</f>
        <v/>
      </c>
      <c r="H84" s="47" t="str">
        <f>IF('I | Forecast 23-27'!H84="","",'I | Forecast 23-27'!H84)</f>
        <v/>
      </c>
      <c r="I84" s="50"/>
      <c r="J84" s="52">
        <f>IFERROR(VLOOKUP($A84,'I | Forecast 23-27'!$A$11:$N$160,J$8,0)*HLOOKUP(J$10,'I | Inflation'!$C$52:$H$54,3,0),0)</f>
        <v>0</v>
      </c>
      <c r="K84" s="52">
        <f>IFERROR(VLOOKUP($A84,'I | Forecast 23-27'!$A$11:$N$160,K$8,0)*HLOOKUP(K$10,'I | Inflation'!$C$52:$H$54,3,0),0)</f>
        <v>0</v>
      </c>
      <c r="L84" s="52">
        <f>IFERROR(VLOOKUP($A84,'I | Forecast 23-27'!$A$11:$N$160,L$8,0)*HLOOKUP(L$10,'I | Inflation'!$C$52:$H$54,3,0),0)</f>
        <v>0</v>
      </c>
      <c r="M84" s="52">
        <f>IFERROR(VLOOKUP($A84,'I | Forecast 23-27'!$A$11:$N$160,M$8,0)*HLOOKUP(M$10,'I | Inflation'!$C$52:$H$54,3,0),0)</f>
        <v>0</v>
      </c>
      <c r="N84" s="52">
        <f>IFERROR(VLOOKUP($A84,'I | Forecast 23-27'!$A$11:$N$160,N$8,0)*HLOOKUP(N$10,'I | Inflation'!$C$52:$H$54,3,0),0)</f>
        <v>0</v>
      </c>
      <c r="O84" s="54">
        <f t="shared" si="1"/>
        <v>0</v>
      </c>
      <c r="P84" s="53"/>
    </row>
    <row r="85" spans="1:16" s="4" customFormat="1" x14ac:dyDescent="0.3">
      <c r="A85" s="56">
        <v>75</v>
      </c>
      <c r="B85" s="49" t="str">
        <f>IF('I | Forecast 23-27'!B85="","",'I | Forecast 23-27'!B85)</f>
        <v/>
      </c>
      <c r="C85" s="47" t="str">
        <f>IF('I | Forecast 23-27'!C85="","",'I | Forecast 23-27'!C85)</f>
        <v/>
      </c>
      <c r="D85" s="47" t="str">
        <f>IF('I | Forecast 23-27'!D85="","",'I | Forecast 23-27'!D85)</f>
        <v/>
      </c>
      <c r="E85" s="47" t="str">
        <f>IF('I | Forecast 23-27'!E85="","",'I | Forecast 23-27'!E85)</f>
        <v/>
      </c>
      <c r="F85" s="47" t="str">
        <f>IF('I | Forecast 23-27'!F85="","",'I | Forecast 23-27'!F85)</f>
        <v/>
      </c>
      <c r="G85" s="47" t="str">
        <f>IF('I | Forecast 23-27'!G85="","",'I | Forecast 23-27'!G85)</f>
        <v/>
      </c>
      <c r="H85" s="47" t="str">
        <f>IF('I | Forecast 23-27'!H85="","",'I | Forecast 23-27'!H85)</f>
        <v/>
      </c>
      <c r="I85" s="50"/>
      <c r="J85" s="52">
        <f>IFERROR(VLOOKUP($A85,'I | Forecast 23-27'!$A$11:$N$160,J$8,0)*HLOOKUP(J$10,'I | Inflation'!$C$52:$H$54,3,0),0)</f>
        <v>0</v>
      </c>
      <c r="K85" s="52">
        <f>IFERROR(VLOOKUP($A85,'I | Forecast 23-27'!$A$11:$N$160,K$8,0)*HLOOKUP(K$10,'I | Inflation'!$C$52:$H$54,3,0),0)</f>
        <v>0</v>
      </c>
      <c r="L85" s="52">
        <f>IFERROR(VLOOKUP($A85,'I | Forecast 23-27'!$A$11:$N$160,L$8,0)*HLOOKUP(L$10,'I | Inflation'!$C$52:$H$54,3,0),0)</f>
        <v>0</v>
      </c>
      <c r="M85" s="52">
        <f>IFERROR(VLOOKUP($A85,'I | Forecast 23-27'!$A$11:$N$160,M$8,0)*HLOOKUP(M$10,'I | Inflation'!$C$52:$H$54,3,0),0)</f>
        <v>0</v>
      </c>
      <c r="N85" s="52">
        <f>IFERROR(VLOOKUP($A85,'I | Forecast 23-27'!$A$11:$N$160,N$8,0)*HLOOKUP(N$10,'I | Inflation'!$C$52:$H$54,3,0),0)</f>
        <v>0</v>
      </c>
      <c r="O85" s="54">
        <f t="shared" si="1"/>
        <v>0</v>
      </c>
      <c r="P85" s="53"/>
    </row>
    <row r="86" spans="1:16" s="4" customFormat="1" x14ac:dyDescent="0.3">
      <c r="A86" s="56">
        <v>76</v>
      </c>
      <c r="B86" s="49" t="str">
        <f>IF('I | Forecast 23-27'!B86="","",'I | Forecast 23-27'!B86)</f>
        <v/>
      </c>
      <c r="C86" s="47" t="str">
        <f>IF('I | Forecast 23-27'!C86="","",'I | Forecast 23-27'!C86)</f>
        <v/>
      </c>
      <c r="D86" s="47" t="str">
        <f>IF('I | Forecast 23-27'!D86="","",'I | Forecast 23-27'!D86)</f>
        <v/>
      </c>
      <c r="E86" s="47" t="str">
        <f>IF('I | Forecast 23-27'!E86="","",'I | Forecast 23-27'!E86)</f>
        <v/>
      </c>
      <c r="F86" s="47" t="str">
        <f>IF('I | Forecast 23-27'!F86="","",'I | Forecast 23-27'!F86)</f>
        <v/>
      </c>
      <c r="G86" s="47" t="str">
        <f>IF('I | Forecast 23-27'!G86="","",'I | Forecast 23-27'!G86)</f>
        <v/>
      </c>
      <c r="H86" s="47" t="str">
        <f>IF('I | Forecast 23-27'!H86="","",'I | Forecast 23-27'!H86)</f>
        <v/>
      </c>
      <c r="I86" s="50"/>
      <c r="J86" s="52">
        <f>IFERROR(VLOOKUP($A86,'I | Forecast 23-27'!$A$11:$N$160,J$8,0)*HLOOKUP(J$10,'I | Inflation'!$C$52:$H$54,3,0),0)</f>
        <v>0</v>
      </c>
      <c r="K86" s="52">
        <f>IFERROR(VLOOKUP($A86,'I | Forecast 23-27'!$A$11:$N$160,K$8,0)*HLOOKUP(K$10,'I | Inflation'!$C$52:$H$54,3,0),0)</f>
        <v>0</v>
      </c>
      <c r="L86" s="52">
        <f>IFERROR(VLOOKUP($A86,'I | Forecast 23-27'!$A$11:$N$160,L$8,0)*HLOOKUP(L$10,'I | Inflation'!$C$52:$H$54,3,0),0)</f>
        <v>0</v>
      </c>
      <c r="M86" s="52">
        <f>IFERROR(VLOOKUP($A86,'I | Forecast 23-27'!$A$11:$N$160,M$8,0)*HLOOKUP(M$10,'I | Inflation'!$C$52:$H$54,3,0),0)</f>
        <v>0</v>
      </c>
      <c r="N86" s="52">
        <f>IFERROR(VLOOKUP($A86,'I | Forecast 23-27'!$A$11:$N$160,N$8,0)*HLOOKUP(N$10,'I | Inflation'!$C$52:$H$54,3,0),0)</f>
        <v>0</v>
      </c>
      <c r="O86" s="54">
        <f t="shared" si="1"/>
        <v>0</v>
      </c>
      <c r="P86" s="53"/>
    </row>
    <row r="87" spans="1:16" s="4" customFormat="1" x14ac:dyDescent="0.3">
      <c r="A87" s="56">
        <v>77</v>
      </c>
      <c r="B87" s="49" t="str">
        <f>IF('I | Forecast 23-27'!B87="","",'I | Forecast 23-27'!B87)</f>
        <v/>
      </c>
      <c r="C87" s="47" t="str">
        <f>IF('I | Forecast 23-27'!C87="","",'I | Forecast 23-27'!C87)</f>
        <v/>
      </c>
      <c r="D87" s="47" t="str">
        <f>IF('I | Forecast 23-27'!D87="","",'I | Forecast 23-27'!D87)</f>
        <v/>
      </c>
      <c r="E87" s="47" t="str">
        <f>IF('I | Forecast 23-27'!E87="","",'I | Forecast 23-27'!E87)</f>
        <v/>
      </c>
      <c r="F87" s="47" t="str">
        <f>IF('I | Forecast 23-27'!F87="","",'I | Forecast 23-27'!F87)</f>
        <v/>
      </c>
      <c r="G87" s="47" t="str">
        <f>IF('I | Forecast 23-27'!G87="","",'I | Forecast 23-27'!G87)</f>
        <v/>
      </c>
      <c r="H87" s="47" t="str">
        <f>IF('I | Forecast 23-27'!H87="","",'I | Forecast 23-27'!H87)</f>
        <v/>
      </c>
      <c r="I87" s="50"/>
      <c r="J87" s="52">
        <f>IFERROR(VLOOKUP($A87,'I | Forecast 23-27'!$A$11:$N$160,J$8,0)*HLOOKUP(J$10,'I | Inflation'!$C$52:$H$54,3,0),0)</f>
        <v>0</v>
      </c>
      <c r="K87" s="52">
        <f>IFERROR(VLOOKUP($A87,'I | Forecast 23-27'!$A$11:$N$160,K$8,0)*HLOOKUP(K$10,'I | Inflation'!$C$52:$H$54,3,0),0)</f>
        <v>0</v>
      </c>
      <c r="L87" s="52">
        <f>IFERROR(VLOOKUP($A87,'I | Forecast 23-27'!$A$11:$N$160,L$8,0)*HLOOKUP(L$10,'I | Inflation'!$C$52:$H$54,3,0),0)</f>
        <v>0</v>
      </c>
      <c r="M87" s="52">
        <f>IFERROR(VLOOKUP($A87,'I | Forecast 23-27'!$A$11:$N$160,M$8,0)*HLOOKUP(M$10,'I | Inflation'!$C$52:$H$54,3,0),0)</f>
        <v>0</v>
      </c>
      <c r="N87" s="52">
        <f>IFERROR(VLOOKUP($A87,'I | Forecast 23-27'!$A$11:$N$160,N$8,0)*HLOOKUP(N$10,'I | Inflation'!$C$52:$H$54,3,0),0)</f>
        <v>0</v>
      </c>
      <c r="O87" s="54">
        <f t="shared" si="1"/>
        <v>0</v>
      </c>
      <c r="P87" s="53"/>
    </row>
    <row r="88" spans="1:16" s="4" customFormat="1" x14ac:dyDescent="0.3">
      <c r="A88" s="56">
        <v>78</v>
      </c>
      <c r="B88" s="49" t="str">
        <f>IF('I | Forecast 23-27'!B88="","",'I | Forecast 23-27'!B88)</f>
        <v/>
      </c>
      <c r="C88" s="47" t="str">
        <f>IF('I | Forecast 23-27'!C88="","",'I | Forecast 23-27'!C88)</f>
        <v/>
      </c>
      <c r="D88" s="47" t="str">
        <f>IF('I | Forecast 23-27'!D88="","",'I | Forecast 23-27'!D88)</f>
        <v/>
      </c>
      <c r="E88" s="47" t="str">
        <f>IF('I | Forecast 23-27'!E88="","",'I | Forecast 23-27'!E88)</f>
        <v/>
      </c>
      <c r="F88" s="47" t="str">
        <f>IF('I | Forecast 23-27'!F88="","",'I | Forecast 23-27'!F88)</f>
        <v/>
      </c>
      <c r="G88" s="47" t="str">
        <f>IF('I | Forecast 23-27'!G88="","",'I | Forecast 23-27'!G88)</f>
        <v/>
      </c>
      <c r="H88" s="47" t="str">
        <f>IF('I | Forecast 23-27'!H88="","",'I | Forecast 23-27'!H88)</f>
        <v/>
      </c>
      <c r="I88" s="50"/>
      <c r="J88" s="52">
        <f>IFERROR(VLOOKUP($A88,'I | Forecast 23-27'!$A$11:$N$160,J$8,0)*HLOOKUP(J$10,'I | Inflation'!$C$52:$H$54,3,0),0)</f>
        <v>0</v>
      </c>
      <c r="K88" s="52">
        <f>IFERROR(VLOOKUP($A88,'I | Forecast 23-27'!$A$11:$N$160,K$8,0)*HLOOKUP(K$10,'I | Inflation'!$C$52:$H$54,3,0),0)</f>
        <v>0</v>
      </c>
      <c r="L88" s="52">
        <f>IFERROR(VLOOKUP($A88,'I | Forecast 23-27'!$A$11:$N$160,L$8,0)*HLOOKUP(L$10,'I | Inflation'!$C$52:$H$54,3,0),0)</f>
        <v>0</v>
      </c>
      <c r="M88" s="52">
        <f>IFERROR(VLOOKUP($A88,'I | Forecast 23-27'!$A$11:$N$160,M$8,0)*HLOOKUP(M$10,'I | Inflation'!$C$52:$H$54,3,0),0)</f>
        <v>0</v>
      </c>
      <c r="N88" s="52">
        <f>IFERROR(VLOOKUP($A88,'I | Forecast 23-27'!$A$11:$N$160,N$8,0)*HLOOKUP(N$10,'I | Inflation'!$C$52:$H$54,3,0),0)</f>
        <v>0</v>
      </c>
      <c r="O88" s="54">
        <f t="shared" si="1"/>
        <v>0</v>
      </c>
      <c r="P88" s="53"/>
    </row>
    <row r="89" spans="1:16" s="4" customFormat="1" x14ac:dyDescent="0.3">
      <c r="A89" s="56">
        <v>79</v>
      </c>
      <c r="B89" s="49" t="str">
        <f>IF('I | Forecast 23-27'!B89="","",'I | Forecast 23-27'!B89)</f>
        <v/>
      </c>
      <c r="C89" s="47" t="str">
        <f>IF('I | Forecast 23-27'!C89="","",'I | Forecast 23-27'!C89)</f>
        <v/>
      </c>
      <c r="D89" s="47" t="str">
        <f>IF('I | Forecast 23-27'!D89="","",'I | Forecast 23-27'!D89)</f>
        <v/>
      </c>
      <c r="E89" s="47" t="str">
        <f>IF('I | Forecast 23-27'!E89="","",'I | Forecast 23-27'!E89)</f>
        <v/>
      </c>
      <c r="F89" s="47" t="str">
        <f>IF('I | Forecast 23-27'!F89="","",'I | Forecast 23-27'!F89)</f>
        <v/>
      </c>
      <c r="G89" s="47" t="str">
        <f>IF('I | Forecast 23-27'!G89="","",'I | Forecast 23-27'!G89)</f>
        <v/>
      </c>
      <c r="H89" s="47" t="str">
        <f>IF('I | Forecast 23-27'!H89="","",'I | Forecast 23-27'!H89)</f>
        <v/>
      </c>
      <c r="I89" s="50"/>
      <c r="J89" s="52">
        <f>IFERROR(VLOOKUP($A89,'I | Forecast 23-27'!$A$11:$N$160,J$8,0)*HLOOKUP(J$10,'I | Inflation'!$C$52:$H$54,3,0),0)</f>
        <v>0</v>
      </c>
      <c r="K89" s="52">
        <f>IFERROR(VLOOKUP($A89,'I | Forecast 23-27'!$A$11:$N$160,K$8,0)*HLOOKUP(K$10,'I | Inflation'!$C$52:$H$54,3,0),0)</f>
        <v>0</v>
      </c>
      <c r="L89" s="52">
        <f>IFERROR(VLOOKUP($A89,'I | Forecast 23-27'!$A$11:$N$160,L$8,0)*HLOOKUP(L$10,'I | Inflation'!$C$52:$H$54,3,0),0)</f>
        <v>0</v>
      </c>
      <c r="M89" s="52">
        <f>IFERROR(VLOOKUP($A89,'I | Forecast 23-27'!$A$11:$N$160,M$8,0)*HLOOKUP(M$10,'I | Inflation'!$C$52:$H$54,3,0),0)</f>
        <v>0</v>
      </c>
      <c r="N89" s="52">
        <f>IFERROR(VLOOKUP($A89,'I | Forecast 23-27'!$A$11:$N$160,N$8,0)*HLOOKUP(N$10,'I | Inflation'!$C$52:$H$54,3,0),0)</f>
        <v>0</v>
      </c>
      <c r="O89" s="54">
        <f t="shared" si="1"/>
        <v>0</v>
      </c>
      <c r="P89" s="53"/>
    </row>
    <row r="90" spans="1:16" s="4" customFormat="1" x14ac:dyDescent="0.3">
      <c r="A90" s="56">
        <v>80</v>
      </c>
      <c r="B90" s="49" t="str">
        <f>IF('I | Forecast 23-27'!B90="","",'I | Forecast 23-27'!B90)</f>
        <v/>
      </c>
      <c r="C90" s="47" t="str">
        <f>IF('I | Forecast 23-27'!C90="","",'I | Forecast 23-27'!C90)</f>
        <v/>
      </c>
      <c r="D90" s="47" t="str">
        <f>IF('I | Forecast 23-27'!D90="","",'I | Forecast 23-27'!D90)</f>
        <v/>
      </c>
      <c r="E90" s="47" t="str">
        <f>IF('I | Forecast 23-27'!E90="","",'I | Forecast 23-27'!E90)</f>
        <v/>
      </c>
      <c r="F90" s="47" t="str">
        <f>IF('I | Forecast 23-27'!F90="","",'I | Forecast 23-27'!F90)</f>
        <v/>
      </c>
      <c r="G90" s="47" t="str">
        <f>IF('I | Forecast 23-27'!G90="","",'I | Forecast 23-27'!G90)</f>
        <v/>
      </c>
      <c r="H90" s="47" t="str">
        <f>IF('I | Forecast 23-27'!H90="","",'I | Forecast 23-27'!H90)</f>
        <v/>
      </c>
      <c r="I90" s="50"/>
      <c r="J90" s="52">
        <f>IFERROR(VLOOKUP($A90,'I | Forecast 23-27'!$A$11:$N$160,J$8,0)*HLOOKUP(J$10,'I | Inflation'!$C$52:$H$54,3,0),0)</f>
        <v>0</v>
      </c>
      <c r="K90" s="52">
        <f>IFERROR(VLOOKUP($A90,'I | Forecast 23-27'!$A$11:$N$160,K$8,0)*HLOOKUP(K$10,'I | Inflation'!$C$52:$H$54,3,0),0)</f>
        <v>0</v>
      </c>
      <c r="L90" s="52">
        <f>IFERROR(VLOOKUP($A90,'I | Forecast 23-27'!$A$11:$N$160,L$8,0)*HLOOKUP(L$10,'I | Inflation'!$C$52:$H$54,3,0),0)</f>
        <v>0</v>
      </c>
      <c r="M90" s="52">
        <f>IFERROR(VLOOKUP($A90,'I | Forecast 23-27'!$A$11:$N$160,M$8,0)*HLOOKUP(M$10,'I | Inflation'!$C$52:$H$54,3,0),0)</f>
        <v>0</v>
      </c>
      <c r="N90" s="52">
        <f>IFERROR(VLOOKUP($A90,'I | Forecast 23-27'!$A$11:$N$160,N$8,0)*HLOOKUP(N$10,'I | Inflation'!$C$52:$H$54,3,0),0)</f>
        <v>0</v>
      </c>
      <c r="O90" s="54">
        <f t="shared" si="1"/>
        <v>0</v>
      </c>
      <c r="P90" s="53"/>
    </row>
    <row r="91" spans="1:16" s="4" customFormat="1" x14ac:dyDescent="0.3">
      <c r="A91" s="56">
        <v>81</v>
      </c>
      <c r="B91" s="49" t="str">
        <f>IF('I | Forecast 23-27'!B91="","",'I | Forecast 23-27'!B91)</f>
        <v/>
      </c>
      <c r="C91" s="47" t="str">
        <f>IF('I | Forecast 23-27'!C91="","",'I | Forecast 23-27'!C91)</f>
        <v/>
      </c>
      <c r="D91" s="47" t="str">
        <f>IF('I | Forecast 23-27'!D91="","",'I | Forecast 23-27'!D91)</f>
        <v/>
      </c>
      <c r="E91" s="47" t="str">
        <f>IF('I | Forecast 23-27'!E91="","",'I | Forecast 23-27'!E91)</f>
        <v/>
      </c>
      <c r="F91" s="47" t="str">
        <f>IF('I | Forecast 23-27'!F91="","",'I | Forecast 23-27'!F91)</f>
        <v/>
      </c>
      <c r="G91" s="47" t="str">
        <f>IF('I | Forecast 23-27'!G91="","",'I | Forecast 23-27'!G91)</f>
        <v/>
      </c>
      <c r="H91" s="47" t="str">
        <f>IF('I | Forecast 23-27'!H91="","",'I | Forecast 23-27'!H91)</f>
        <v/>
      </c>
      <c r="I91" s="50"/>
      <c r="J91" s="52">
        <f>IFERROR(VLOOKUP($A91,'I | Forecast 23-27'!$A$11:$N$160,J$8,0)*HLOOKUP(J$10,'I | Inflation'!$C$52:$H$54,3,0),0)</f>
        <v>0</v>
      </c>
      <c r="K91" s="52">
        <f>IFERROR(VLOOKUP($A91,'I | Forecast 23-27'!$A$11:$N$160,K$8,0)*HLOOKUP(K$10,'I | Inflation'!$C$52:$H$54,3,0),0)</f>
        <v>0</v>
      </c>
      <c r="L91" s="52">
        <f>IFERROR(VLOOKUP($A91,'I | Forecast 23-27'!$A$11:$N$160,L$8,0)*HLOOKUP(L$10,'I | Inflation'!$C$52:$H$54,3,0),0)</f>
        <v>0</v>
      </c>
      <c r="M91" s="52">
        <f>IFERROR(VLOOKUP($A91,'I | Forecast 23-27'!$A$11:$N$160,M$8,0)*HLOOKUP(M$10,'I | Inflation'!$C$52:$H$54,3,0),0)</f>
        <v>0</v>
      </c>
      <c r="N91" s="52">
        <f>IFERROR(VLOOKUP($A91,'I | Forecast 23-27'!$A$11:$N$160,N$8,0)*HLOOKUP(N$10,'I | Inflation'!$C$52:$H$54,3,0),0)</f>
        <v>0</v>
      </c>
      <c r="O91" s="54">
        <f t="shared" si="1"/>
        <v>0</v>
      </c>
      <c r="P91" s="53"/>
    </row>
    <row r="92" spans="1:16" s="4" customFormat="1" x14ac:dyDescent="0.3">
      <c r="A92" s="56">
        <v>82</v>
      </c>
      <c r="B92" s="49" t="str">
        <f>IF('I | Forecast 23-27'!B92="","",'I | Forecast 23-27'!B92)</f>
        <v/>
      </c>
      <c r="C92" s="47" t="str">
        <f>IF('I | Forecast 23-27'!C92="","",'I | Forecast 23-27'!C92)</f>
        <v/>
      </c>
      <c r="D92" s="47" t="str">
        <f>IF('I | Forecast 23-27'!D92="","",'I | Forecast 23-27'!D92)</f>
        <v/>
      </c>
      <c r="E92" s="47" t="str">
        <f>IF('I | Forecast 23-27'!E92="","",'I | Forecast 23-27'!E92)</f>
        <v/>
      </c>
      <c r="F92" s="47" t="str">
        <f>IF('I | Forecast 23-27'!F92="","",'I | Forecast 23-27'!F92)</f>
        <v/>
      </c>
      <c r="G92" s="47" t="str">
        <f>IF('I | Forecast 23-27'!G92="","",'I | Forecast 23-27'!G92)</f>
        <v/>
      </c>
      <c r="H92" s="47" t="str">
        <f>IF('I | Forecast 23-27'!H92="","",'I | Forecast 23-27'!H92)</f>
        <v/>
      </c>
      <c r="I92" s="50"/>
      <c r="J92" s="52">
        <f>IFERROR(VLOOKUP($A92,'I | Forecast 23-27'!$A$11:$N$160,J$8,0)*HLOOKUP(J$10,'I | Inflation'!$C$52:$H$54,3,0),0)</f>
        <v>0</v>
      </c>
      <c r="K92" s="52">
        <f>IFERROR(VLOOKUP($A92,'I | Forecast 23-27'!$A$11:$N$160,K$8,0)*HLOOKUP(K$10,'I | Inflation'!$C$52:$H$54,3,0),0)</f>
        <v>0</v>
      </c>
      <c r="L92" s="52">
        <f>IFERROR(VLOOKUP($A92,'I | Forecast 23-27'!$A$11:$N$160,L$8,0)*HLOOKUP(L$10,'I | Inflation'!$C$52:$H$54,3,0),0)</f>
        <v>0</v>
      </c>
      <c r="M92" s="52">
        <f>IFERROR(VLOOKUP($A92,'I | Forecast 23-27'!$A$11:$N$160,M$8,0)*HLOOKUP(M$10,'I | Inflation'!$C$52:$H$54,3,0),0)</f>
        <v>0</v>
      </c>
      <c r="N92" s="52">
        <f>IFERROR(VLOOKUP($A92,'I | Forecast 23-27'!$A$11:$N$160,N$8,0)*HLOOKUP(N$10,'I | Inflation'!$C$52:$H$54,3,0),0)</f>
        <v>0</v>
      </c>
      <c r="O92" s="54">
        <f t="shared" si="1"/>
        <v>0</v>
      </c>
      <c r="P92" s="53"/>
    </row>
    <row r="93" spans="1:16" s="4" customFormat="1" x14ac:dyDescent="0.3">
      <c r="A93" s="56">
        <v>83</v>
      </c>
      <c r="B93" s="49" t="str">
        <f>IF('I | Forecast 23-27'!B93="","",'I | Forecast 23-27'!B93)</f>
        <v/>
      </c>
      <c r="C93" s="47" t="str">
        <f>IF('I | Forecast 23-27'!C93="","",'I | Forecast 23-27'!C93)</f>
        <v/>
      </c>
      <c r="D93" s="47" t="str">
        <f>IF('I | Forecast 23-27'!D93="","",'I | Forecast 23-27'!D93)</f>
        <v/>
      </c>
      <c r="E93" s="47" t="str">
        <f>IF('I | Forecast 23-27'!E93="","",'I | Forecast 23-27'!E93)</f>
        <v/>
      </c>
      <c r="F93" s="47" t="str">
        <f>IF('I | Forecast 23-27'!F93="","",'I | Forecast 23-27'!F93)</f>
        <v/>
      </c>
      <c r="G93" s="47" t="str">
        <f>IF('I | Forecast 23-27'!G93="","",'I | Forecast 23-27'!G93)</f>
        <v/>
      </c>
      <c r="H93" s="47" t="str">
        <f>IF('I | Forecast 23-27'!H93="","",'I | Forecast 23-27'!H93)</f>
        <v/>
      </c>
      <c r="I93" s="50"/>
      <c r="J93" s="52">
        <f>IFERROR(VLOOKUP($A93,'I | Forecast 23-27'!$A$11:$N$160,J$8,0)*HLOOKUP(J$10,'I | Inflation'!$C$52:$H$54,3,0),0)</f>
        <v>0</v>
      </c>
      <c r="K93" s="52">
        <f>IFERROR(VLOOKUP($A93,'I | Forecast 23-27'!$A$11:$N$160,K$8,0)*HLOOKUP(K$10,'I | Inflation'!$C$52:$H$54,3,0),0)</f>
        <v>0</v>
      </c>
      <c r="L93" s="52">
        <f>IFERROR(VLOOKUP($A93,'I | Forecast 23-27'!$A$11:$N$160,L$8,0)*HLOOKUP(L$10,'I | Inflation'!$C$52:$H$54,3,0),0)</f>
        <v>0</v>
      </c>
      <c r="M93" s="52">
        <f>IFERROR(VLOOKUP($A93,'I | Forecast 23-27'!$A$11:$N$160,M$8,0)*HLOOKUP(M$10,'I | Inflation'!$C$52:$H$54,3,0),0)</f>
        <v>0</v>
      </c>
      <c r="N93" s="52">
        <f>IFERROR(VLOOKUP($A93,'I | Forecast 23-27'!$A$11:$N$160,N$8,0)*HLOOKUP(N$10,'I | Inflation'!$C$52:$H$54,3,0),0)</f>
        <v>0</v>
      </c>
      <c r="O93" s="54">
        <f t="shared" si="1"/>
        <v>0</v>
      </c>
      <c r="P93" s="53"/>
    </row>
    <row r="94" spans="1:16" s="4" customFormat="1" x14ac:dyDescent="0.3">
      <c r="A94" s="56">
        <v>84</v>
      </c>
      <c r="B94" s="49" t="str">
        <f>IF('I | Forecast 23-27'!B94="","",'I | Forecast 23-27'!B94)</f>
        <v/>
      </c>
      <c r="C94" s="47" t="str">
        <f>IF('I | Forecast 23-27'!C94="","",'I | Forecast 23-27'!C94)</f>
        <v/>
      </c>
      <c r="D94" s="47" t="str">
        <f>IF('I | Forecast 23-27'!D94="","",'I | Forecast 23-27'!D94)</f>
        <v/>
      </c>
      <c r="E94" s="47" t="str">
        <f>IF('I | Forecast 23-27'!E94="","",'I | Forecast 23-27'!E94)</f>
        <v/>
      </c>
      <c r="F94" s="47" t="str">
        <f>IF('I | Forecast 23-27'!F94="","",'I | Forecast 23-27'!F94)</f>
        <v/>
      </c>
      <c r="G94" s="47" t="str">
        <f>IF('I | Forecast 23-27'!G94="","",'I | Forecast 23-27'!G94)</f>
        <v/>
      </c>
      <c r="H94" s="47" t="str">
        <f>IF('I | Forecast 23-27'!H94="","",'I | Forecast 23-27'!H94)</f>
        <v/>
      </c>
      <c r="I94" s="50"/>
      <c r="J94" s="52">
        <f>IFERROR(VLOOKUP($A94,'I | Forecast 23-27'!$A$11:$N$160,J$8,0)*HLOOKUP(J$10,'I | Inflation'!$C$52:$H$54,3,0),0)</f>
        <v>0</v>
      </c>
      <c r="K94" s="52">
        <f>IFERROR(VLOOKUP($A94,'I | Forecast 23-27'!$A$11:$N$160,K$8,0)*HLOOKUP(K$10,'I | Inflation'!$C$52:$H$54,3,0),0)</f>
        <v>0</v>
      </c>
      <c r="L94" s="52">
        <f>IFERROR(VLOOKUP($A94,'I | Forecast 23-27'!$A$11:$N$160,L$8,0)*HLOOKUP(L$10,'I | Inflation'!$C$52:$H$54,3,0),0)</f>
        <v>0</v>
      </c>
      <c r="M94" s="52">
        <f>IFERROR(VLOOKUP($A94,'I | Forecast 23-27'!$A$11:$N$160,M$8,0)*HLOOKUP(M$10,'I | Inflation'!$C$52:$H$54,3,0),0)</f>
        <v>0</v>
      </c>
      <c r="N94" s="52">
        <f>IFERROR(VLOOKUP($A94,'I | Forecast 23-27'!$A$11:$N$160,N$8,0)*HLOOKUP(N$10,'I | Inflation'!$C$52:$H$54,3,0),0)</f>
        <v>0</v>
      </c>
      <c r="O94" s="54">
        <f t="shared" si="1"/>
        <v>0</v>
      </c>
      <c r="P94" s="53"/>
    </row>
    <row r="95" spans="1:16" s="4" customFormat="1" x14ac:dyDescent="0.3">
      <c r="A95" s="56">
        <v>85</v>
      </c>
      <c r="B95" s="49" t="str">
        <f>IF('I | Forecast 23-27'!B95="","",'I | Forecast 23-27'!B95)</f>
        <v/>
      </c>
      <c r="C95" s="47" t="str">
        <f>IF('I | Forecast 23-27'!C95="","",'I | Forecast 23-27'!C95)</f>
        <v/>
      </c>
      <c r="D95" s="47" t="str">
        <f>IF('I | Forecast 23-27'!D95="","",'I | Forecast 23-27'!D95)</f>
        <v/>
      </c>
      <c r="E95" s="47" t="str">
        <f>IF('I | Forecast 23-27'!E95="","",'I | Forecast 23-27'!E95)</f>
        <v/>
      </c>
      <c r="F95" s="47" t="str">
        <f>IF('I | Forecast 23-27'!F95="","",'I | Forecast 23-27'!F95)</f>
        <v/>
      </c>
      <c r="G95" s="47" t="str">
        <f>IF('I | Forecast 23-27'!G95="","",'I | Forecast 23-27'!G95)</f>
        <v/>
      </c>
      <c r="H95" s="47" t="str">
        <f>IF('I | Forecast 23-27'!H95="","",'I | Forecast 23-27'!H95)</f>
        <v/>
      </c>
      <c r="I95" s="50"/>
      <c r="J95" s="52">
        <f>IFERROR(VLOOKUP($A95,'I | Forecast 23-27'!$A$11:$N$160,J$8,0)*HLOOKUP(J$10,'I | Inflation'!$C$52:$H$54,3,0),0)</f>
        <v>0</v>
      </c>
      <c r="K95" s="52">
        <f>IFERROR(VLOOKUP($A95,'I | Forecast 23-27'!$A$11:$N$160,K$8,0)*HLOOKUP(K$10,'I | Inflation'!$C$52:$H$54,3,0),0)</f>
        <v>0</v>
      </c>
      <c r="L95" s="52">
        <f>IFERROR(VLOOKUP($A95,'I | Forecast 23-27'!$A$11:$N$160,L$8,0)*HLOOKUP(L$10,'I | Inflation'!$C$52:$H$54,3,0),0)</f>
        <v>0</v>
      </c>
      <c r="M95" s="52">
        <f>IFERROR(VLOOKUP($A95,'I | Forecast 23-27'!$A$11:$N$160,M$8,0)*HLOOKUP(M$10,'I | Inflation'!$C$52:$H$54,3,0),0)</f>
        <v>0</v>
      </c>
      <c r="N95" s="52">
        <f>IFERROR(VLOOKUP($A95,'I | Forecast 23-27'!$A$11:$N$160,N$8,0)*HLOOKUP(N$10,'I | Inflation'!$C$52:$H$54,3,0),0)</f>
        <v>0</v>
      </c>
      <c r="O95" s="54">
        <f t="shared" si="1"/>
        <v>0</v>
      </c>
      <c r="P95" s="53"/>
    </row>
    <row r="96" spans="1:16" s="4" customFormat="1" x14ac:dyDescent="0.3">
      <c r="A96" s="56">
        <v>86</v>
      </c>
      <c r="B96" s="49" t="str">
        <f>IF('I | Forecast 23-27'!B96="","",'I | Forecast 23-27'!B96)</f>
        <v/>
      </c>
      <c r="C96" s="47" t="str">
        <f>IF('I | Forecast 23-27'!C96="","",'I | Forecast 23-27'!C96)</f>
        <v/>
      </c>
      <c r="D96" s="47" t="str">
        <f>IF('I | Forecast 23-27'!D96="","",'I | Forecast 23-27'!D96)</f>
        <v/>
      </c>
      <c r="E96" s="47" t="str">
        <f>IF('I | Forecast 23-27'!E96="","",'I | Forecast 23-27'!E96)</f>
        <v/>
      </c>
      <c r="F96" s="47" t="str">
        <f>IF('I | Forecast 23-27'!F96="","",'I | Forecast 23-27'!F96)</f>
        <v/>
      </c>
      <c r="G96" s="47" t="str">
        <f>IF('I | Forecast 23-27'!G96="","",'I | Forecast 23-27'!G96)</f>
        <v/>
      </c>
      <c r="H96" s="47" t="str">
        <f>IF('I | Forecast 23-27'!H96="","",'I | Forecast 23-27'!H96)</f>
        <v/>
      </c>
      <c r="I96" s="50"/>
      <c r="J96" s="52">
        <f>IFERROR(VLOOKUP($A96,'I | Forecast 23-27'!$A$11:$N$160,J$8,0)*HLOOKUP(J$10,'I | Inflation'!$C$52:$H$54,3,0),0)</f>
        <v>0</v>
      </c>
      <c r="K96" s="52">
        <f>IFERROR(VLOOKUP($A96,'I | Forecast 23-27'!$A$11:$N$160,K$8,0)*HLOOKUP(K$10,'I | Inflation'!$C$52:$H$54,3,0),0)</f>
        <v>0</v>
      </c>
      <c r="L96" s="52">
        <f>IFERROR(VLOOKUP($A96,'I | Forecast 23-27'!$A$11:$N$160,L$8,0)*HLOOKUP(L$10,'I | Inflation'!$C$52:$H$54,3,0),0)</f>
        <v>0</v>
      </c>
      <c r="M96" s="52">
        <f>IFERROR(VLOOKUP($A96,'I | Forecast 23-27'!$A$11:$N$160,M$8,0)*HLOOKUP(M$10,'I | Inflation'!$C$52:$H$54,3,0),0)</f>
        <v>0</v>
      </c>
      <c r="N96" s="52">
        <f>IFERROR(VLOOKUP($A96,'I | Forecast 23-27'!$A$11:$N$160,N$8,0)*HLOOKUP(N$10,'I | Inflation'!$C$52:$H$54,3,0),0)</f>
        <v>0</v>
      </c>
      <c r="O96" s="54">
        <f t="shared" si="1"/>
        <v>0</v>
      </c>
      <c r="P96" s="53"/>
    </row>
    <row r="97" spans="1:16" s="4" customFormat="1" x14ac:dyDescent="0.3">
      <c r="A97" s="56">
        <v>87</v>
      </c>
      <c r="B97" s="49" t="str">
        <f>IF('I | Forecast 23-27'!B97="","",'I | Forecast 23-27'!B97)</f>
        <v/>
      </c>
      <c r="C97" s="47" t="str">
        <f>IF('I | Forecast 23-27'!C97="","",'I | Forecast 23-27'!C97)</f>
        <v/>
      </c>
      <c r="D97" s="47" t="str">
        <f>IF('I | Forecast 23-27'!D97="","",'I | Forecast 23-27'!D97)</f>
        <v/>
      </c>
      <c r="E97" s="47" t="str">
        <f>IF('I | Forecast 23-27'!E97="","",'I | Forecast 23-27'!E97)</f>
        <v/>
      </c>
      <c r="F97" s="47" t="str">
        <f>IF('I | Forecast 23-27'!F97="","",'I | Forecast 23-27'!F97)</f>
        <v/>
      </c>
      <c r="G97" s="47" t="str">
        <f>IF('I | Forecast 23-27'!G97="","",'I | Forecast 23-27'!G97)</f>
        <v/>
      </c>
      <c r="H97" s="47" t="str">
        <f>IF('I | Forecast 23-27'!H97="","",'I | Forecast 23-27'!H97)</f>
        <v/>
      </c>
      <c r="I97" s="50"/>
      <c r="J97" s="52">
        <f>IFERROR(VLOOKUP($A97,'I | Forecast 23-27'!$A$11:$N$160,J$8,0)*HLOOKUP(J$10,'I | Inflation'!$C$52:$H$54,3,0),0)</f>
        <v>0</v>
      </c>
      <c r="K97" s="52">
        <f>IFERROR(VLOOKUP($A97,'I | Forecast 23-27'!$A$11:$N$160,K$8,0)*HLOOKUP(K$10,'I | Inflation'!$C$52:$H$54,3,0),0)</f>
        <v>0</v>
      </c>
      <c r="L97" s="52">
        <f>IFERROR(VLOOKUP($A97,'I | Forecast 23-27'!$A$11:$N$160,L$8,0)*HLOOKUP(L$10,'I | Inflation'!$C$52:$H$54,3,0),0)</f>
        <v>0</v>
      </c>
      <c r="M97" s="52">
        <f>IFERROR(VLOOKUP($A97,'I | Forecast 23-27'!$A$11:$N$160,M$8,0)*HLOOKUP(M$10,'I | Inflation'!$C$52:$H$54,3,0),0)</f>
        <v>0</v>
      </c>
      <c r="N97" s="52">
        <f>IFERROR(VLOOKUP($A97,'I | Forecast 23-27'!$A$11:$N$160,N$8,0)*HLOOKUP(N$10,'I | Inflation'!$C$52:$H$54,3,0),0)</f>
        <v>0</v>
      </c>
      <c r="O97" s="54">
        <f t="shared" si="1"/>
        <v>0</v>
      </c>
      <c r="P97" s="53"/>
    </row>
    <row r="98" spans="1:16" s="4" customFormat="1" x14ac:dyDescent="0.3">
      <c r="A98" s="56">
        <v>88</v>
      </c>
      <c r="B98" s="49" t="str">
        <f>IF('I | Forecast 23-27'!B98="","",'I | Forecast 23-27'!B98)</f>
        <v/>
      </c>
      <c r="C98" s="47" t="str">
        <f>IF('I | Forecast 23-27'!C98="","",'I | Forecast 23-27'!C98)</f>
        <v/>
      </c>
      <c r="D98" s="47" t="str">
        <f>IF('I | Forecast 23-27'!D98="","",'I | Forecast 23-27'!D98)</f>
        <v/>
      </c>
      <c r="E98" s="47" t="str">
        <f>IF('I | Forecast 23-27'!E98="","",'I | Forecast 23-27'!E98)</f>
        <v/>
      </c>
      <c r="F98" s="47" t="str">
        <f>IF('I | Forecast 23-27'!F98="","",'I | Forecast 23-27'!F98)</f>
        <v/>
      </c>
      <c r="G98" s="47" t="str">
        <f>IF('I | Forecast 23-27'!G98="","",'I | Forecast 23-27'!G98)</f>
        <v/>
      </c>
      <c r="H98" s="47" t="str">
        <f>IF('I | Forecast 23-27'!H98="","",'I | Forecast 23-27'!H98)</f>
        <v/>
      </c>
      <c r="I98" s="50"/>
      <c r="J98" s="52">
        <f>IFERROR(VLOOKUP($A98,'I | Forecast 23-27'!$A$11:$N$160,J$8,0)*HLOOKUP(J$10,'I | Inflation'!$C$52:$H$54,3,0),0)</f>
        <v>0</v>
      </c>
      <c r="K98" s="52">
        <f>IFERROR(VLOOKUP($A98,'I | Forecast 23-27'!$A$11:$N$160,K$8,0)*HLOOKUP(K$10,'I | Inflation'!$C$52:$H$54,3,0),0)</f>
        <v>0</v>
      </c>
      <c r="L98" s="52">
        <f>IFERROR(VLOOKUP($A98,'I | Forecast 23-27'!$A$11:$N$160,L$8,0)*HLOOKUP(L$10,'I | Inflation'!$C$52:$H$54,3,0),0)</f>
        <v>0</v>
      </c>
      <c r="M98" s="52">
        <f>IFERROR(VLOOKUP($A98,'I | Forecast 23-27'!$A$11:$N$160,M$8,0)*HLOOKUP(M$10,'I | Inflation'!$C$52:$H$54,3,0),0)</f>
        <v>0</v>
      </c>
      <c r="N98" s="52">
        <f>IFERROR(VLOOKUP($A98,'I | Forecast 23-27'!$A$11:$N$160,N$8,0)*HLOOKUP(N$10,'I | Inflation'!$C$52:$H$54,3,0),0)</f>
        <v>0</v>
      </c>
      <c r="O98" s="54">
        <f t="shared" si="1"/>
        <v>0</v>
      </c>
      <c r="P98" s="53"/>
    </row>
    <row r="99" spans="1:16" s="4" customFormat="1" x14ac:dyDescent="0.3">
      <c r="A99" s="56">
        <v>89</v>
      </c>
      <c r="B99" s="49" t="str">
        <f>IF('I | Forecast 23-27'!B99="","",'I | Forecast 23-27'!B99)</f>
        <v/>
      </c>
      <c r="C99" s="47" t="str">
        <f>IF('I | Forecast 23-27'!C99="","",'I | Forecast 23-27'!C99)</f>
        <v/>
      </c>
      <c r="D99" s="47" t="str">
        <f>IF('I | Forecast 23-27'!D99="","",'I | Forecast 23-27'!D99)</f>
        <v/>
      </c>
      <c r="E99" s="47" t="str">
        <f>IF('I | Forecast 23-27'!E99="","",'I | Forecast 23-27'!E99)</f>
        <v/>
      </c>
      <c r="F99" s="47" t="str">
        <f>IF('I | Forecast 23-27'!F99="","",'I | Forecast 23-27'!F99)</f>
        <v/>
      </c>
      <c r="G99" s="47" t="str">
        <f>IF('I | Forecast 23-27'!G99="","",'I | Forecast 23-27'!G99)</f>
        <v/>
      </c>
      <c r="H99" s="47" t="str">
        <f>IF('I | Forecast 23-27'!H99="","",'I | Forecast 23-27'!H99)</f>
        <v/>
      </c>
      <c r="I99" s="50"/>
      <c r="J99" s="52">
        <f>IFERROR(VLOOKUP($A99,'I | Forecast 23-27'!$A$11:$N$160,J$8,0)*HLOOKUP(J$10,'I | Inflation'!$C$52:$H$54,3,0),0)</f>
        <v>0</v>
      </c>
      <c r="K99" s="52">
        <f>IFERROR(VLOOKUP($A99,'I | Forecast 23-27'!$A$11:$N$160,K$8,0)*HLOOKUP(K$10,'I | Inflation'!$C$52:$H$54,3,0),0)</f>
        <v>0</v>
      </c>
      <c r="L99" s="52">
        <f>IFERROR(VLOOKUP($A99,'I | Forecast 23-27'!$A$11:$N$160,L$8,0)*HLOOKUP(L$10,'I | Inflation'!$C$52:$H$54,3,0),0)</f>
        <v>0</v>
      </c>
      <c r="M99" s="52">
        <f>IFERROR(VLOOKUP($A99,'I | Forecast 23-27'!$A$11:$N$160,M$8,0)*HLOOKUP(M$10,'I | Inflation'!$C$52:$H$54,3,0),0)</f>
        <v>0</v>
      </c>
      <c r="N99" s="52">
        <f>IFERROR(VLOOKUP($A99,'I | Forecast 23-27'!$A$11:$N$160,N$8,0)*HLOOKUP(N$10,'I | Inflation'!$C$52:$H$54,3,0),0)</f>
        <v>0</v>
      </c>
      <c r="O99" s="54">
        <f t="shared" si="1"/>
        <v>0</v>
      </c>
      <c r="P99" s="53"/>
    </row>
    <row r="100" spans="1:16" s="4" customFormat="1" x14ac:dyDescent="0.3">
      <c r="A100" s="56">
        <v>90</v>
      </c>
      <c r="B100" s="49" t="str">
        <f>IF('I | Forecast 23-27'!B100="","",'I | Forecast 23-27'!B100)</f>
        <v/>
      </c>
      <c r="C100" s="47" t="str">
        <f>IF('I | Forecast 23-27'!C100="","",'I | Forecast 23-27'!C100)</f>
        <v/>
      </c>
      <c r="D100" s="47" t="str">
        <f>IF('I | Forecast 23-27'!D100="","",'I | Forecast 23-27'!D100)</f>
        <v/>
      </c>
      <c r="E100" s="47" t="str">
        <f>IF('I | Forecast 23-27'!E100="","",'I | Forecast 23-27'!E100)</f>
        <v/>
      </c>
      <c r="F100" s="47" t="str">
        <f>IF('I | Forecast 23-27'!F100="","",'I | Forecast 23-27'!F100)</f>
        <v/>
      </c>
      <c r="G100" s="47" t="str">
        <f>IF('I | Forecast 23-27'!G100="","",'I | Forecast 23-27'!G100)</f>
        <v/>
      </c>
      <c r="H100" s="47" t="str">
        <f>IF('I | Forecast 23-27'!H100="","",'I | Forecast 23-27'!H100)</f>
        <v/>
      </c>
      <c r="I100" s="50"/>
      <c r="J100" s="52">
        <f>IFERROR(VLOOKUP($A100,'I | Forecast 23-27'!$A$11:$N$160,J$8,0)*HLOOKUP(J$10,'I | Inflation'!$C$52:$H$54,3,0),0)</f>
        <v>0</v>
      </c>
      <c r="K100" s="52">
        <f>IFERROR(VLOOKUP($A100,'I | Forecast 23-27'!$A$11:$N$160,K$8,0)*HLOOKUP(K$10,'I | Inflation'!$C$52:$H$54,3,0),0)</f>
        <v>0</v>
      </c>
      <c r="L100" s="52">
        <f>IFERROR(VLOOKUP($A100,'I | Forecast 23-27'!$A$11:$N$160,L$8,0)*HLOOKUP(L$10,'I | Inflation'!$C$52:$H$54,3,0),0)</f>
        <v>0</v>
      </c>
      <c r="M100" s="52">
        <f>IFERROR(VLOOKUP($A100,'I | Forecast 23-27'!$A$11:$N$160,M$8,0)*HLOOKUP(M$10,'I | Inflation'!$C$52:$H$54,3,0),0)</f>
        <v>0</v>
      </c>
      <c r="N100" s="52">
        <f>IFERROR(VLOOKUP($A100,'I | Forecast 23-27'!$A$11:$N$160,N$8,0)*HLOOKUP(N$10,'I | Inflation'!$C$52:$H$54,3,0),0)</f>
        <v>0</v>
      </c>
      <c r="O100" s="54">
        <f t="shared" si="1"/>
        <v>0</v>
      </c>
      <c r="P100" s="53"/>
    </row>
    <row r="101" spans="1:16" s="4" customFormat="1" x14ac:dyDescent="0.3">
      <c r="A101" s="56">
        <v>91</v>
      </c>
      <c r="B101" s="49" t="str">
        <f>IF('I | Forecast 23-27'!B101="","",'I | Forecast 23-27'!B101)</f>
        <v/>
      </c>
      <c r="C101" s="47" t="str">
        <f>IF('I | Forecast 23-27'!C101="","",'I | Forecast 23-27'!C101)</f>
        <v/>
      </c>
      <c r="D101" s="47" t="str">
        <f>IF('I | Forecast 23-27'!D101="","",'I | Forecast 23-27'!D101)</f>
        <v/>
      </c>
      <c r="E101" s="47" t="str">
        <f>IF('I | Forecast 23-27'!E101="","",'I | Forecast 23-27'!E101)</f>
        <v/>
      </c>
      <c r="F101" s="47" t="str">
        <f>IF('I | Forecast 23-27'!F101="","",'I | Forecast 23-27'!F101)</f>
        <v/>
      </c>
      <c r="G101" s="47" t="str">
        <f>IF('I | Forecast 23-27'!G101="","",'I | Forecast 23-27'!G101)</f>
        <v/>
      </c>
      <c r="H101" s="47" t="str">
        <f>IF('I | Forecast 23-27'!H101="","",'I | Forecast 23-27'!H101)</f>
        <v/>
      </c>
      <c r="I101" s="50"/>
      <c r="J101" s="52">
        <f>IFERROR(VLOOKUP($A101,'I | Forecast 23-27'!$A$11:$N$160,J$8,0)*HLOOKUP(J$10,'I | Inflation'!$C$52:$H$54,3,0),0)</f>
        <v>0</v>
      </c>
      <c r="K101" s="52">
        <f>IFERROR(VLOOKUP($A101,'I | Forecast 23-27'!$A$11:$N$160,K$8,0)*HLOOKUP(K$10,'I | Inflation'!$C$52:$H$54,3,0),0)</f>
        <v>0</v>
      </c>
      <c r="L101" s="52">
        <f>IFERROR(VLOOKUP($A101,'I | Forecast 23-27'!$A$11:$N$160,L$8,0)*HLOOKUP(L$10,'I | Inflation'!$C$52:$H$54,3,0),0)</f>
        <v>0</v>
      </c>
      <c r="M101" s="52">
        <f>IFERROR(VLOOKUP($A101,'I | Forecast 23-27'!$A$11:$N$160,M$8,0)*HLOOKUP(M$10,'I | Inflation'!$C$52:$H$54,3,0),0)</f>
        <v>0</v>
      </c>
      <c r="N101" s="52">
        <f>IFERROR(VLOOKUP($A101,'I | Forecast 23-27'!$A$11:$N$160,N$8,0)*HLOOKUP(N$10,'I | Inflation'!$C$52:$H$54,3,0),0)</f>
        <v>0</v>
      </c>
      <c r="O101" s="54">
        <f t="shared" si="1"/>
        <v>0</v>
      </c>
      <c r="P101" s="53"/>
    </row>
    <row r="102" spans="1:16" s="4" customFormat="1" x14ac:dyDescent="0.3">
      <c r="A102" s="56">
        <v>92</v>
      </c>
      <c r="B102" s="49" t="str">
        <f>IF('I | Forecast 23-27'!B102="","",'I | Forecast 23-27'!B102)</f>
        <v/>
      </c>
      <c r="C102" s="47" t="str">
        <f>IF('I | Forecast 23-27'!C102="","",'I | Forecast 23-27'!C102)</f>
        <v/>
      </c>
      <c r="D102" s="47" t="str">
        <f>IF('I | Forecast 23-27'!D102="","",'I | Forecast 23-27'!D102)</f>
        <v/>
      </c>
      <c r="E102" s="47" t="str">
        <f>IF('I | Forecast 23-27'!E102="","",'I | Forecast 23-27'!E102)</f>
        <v/>
      </c>
      <c r="F102" s="47" t="str">
        <f>IF('I | Forecast 23-27'!F102="","",'I | Forecast 23-27'!F102)</f>
        <v/>
      </c>
      <c r="G102" s="47" t="str">
        <f>IF('I | Forecast 23-27'!G102="","",'I | Forecast 23-27'!G102)</f>
        <v/>
      </c>
      <c r="H102" s="47" t="str">
        <f>IF('I | Forecast 23-27'!H102="","",'I | Forecast 23-27'!H102)</f>
        <v/>
      </c>
      <c r="I102" s="50"/>
      <c r="J102" s="52">
        <f>IFERROR(VLOOKUP($A102,'I | Forecast 23-27'!$A$11:$N$160,J$8,0)*HLOOKUP(J$10,'I | Inflation'!$C$52:$H$54,3,0),0)</f>
        <v>0</v>
      </c>
      <c r="K102" s="52">
        <f>IFERROR(VLOOKUP($A102,'I | Forecast 23-27'!$A$11:$N$160,K$8,0)*HLOOKUP(K$10,'I | Inflation'!$C$52:$H$54,3,0),0)</f>
        <v>0</v>
      </c>
      <c r="L102" s="52">
        <f>IFERROR(VLOOKUP($A102,'I | Forecast 23-27'!$A$11:$N$160,L$8,0)*HLOOKUP(L$10,'I | Inflation'!$C$52:$H$54,3,0),0)</f>
        <v>0</v>
      </c>
      <c r="M102" s="52">
        <f>IFERROR(VLOOKUP($A102,'I | Forecast 23-27'!$A$11:$N$160,M$8,0)*HLOOKUP(M$10,'I | Inflation'!$C$52:$H$54,3,0),0)</f>
        <v>0</v>
      </c>
      <c r="N102" s="52">
        <f>IFERROR(VLOOKUP($A102,'I | Forecast 23-27'!$A$11:$N$160,N$8,0)*HLOOKUP(N$10,'I | Inflation'!$C$52:$H$54,3,0),0)</f>
        <v>0</v>
      </c>
      <c r="O102" s="54">
        <f t="shared" si="1"/>
        <v>0</v>
      </c>
      <c r="P102" s="53"/>
    </row>
    <row r="103" spans="1:16" s="4" customFormat="1" x14ac:dyDescent="0.3">
      <c r="A103" s="56">
        <v>93</v>
      </c>
      <c r="B103" s="49" t="str">
        <f>IF('I | Forecast 23-27'!B103="","",'I | Forecast 23-27'!B103)</f>
        <v/>
      </c>
      <c r="C103" s="47" t="str">
        <f>IF('I | Forecast 23-27'!C103="","",'I | Forecast 23-27'!C103)</f>
        <v/>
      </c>
      <c r="D103" s="47" t="str">
        <f>IF('I | Forecast 23-27'!D103="","",'I | Forecast 23-27'!D103)</f>
        <v/>
      </c>
      <c r="E103" s="47" t="str">
        <f>IF('I | Forecast 23-27'!E103="","",'I | Forecast 23-27'!E103)</f>
        <v/>
      </c>
      <c r="F103" s="47" t="str">
        <f>IF('I | Forecast 23-27'!F103="","",'I | Forecast 23-27'!F103)</f>
        <v/>
      </c>
      <c r="G103" s="47" t="str">
        <f>IF('I | Forecast 23-27'!G103="","",'I | Forecast 23-27'!G103)</f>
        <v/>
      </c>
      <c r="H103" s="47" t="str">
        <f>IF('I | Forecast 23-27'!H103="","",'I | Forecast 23-27'!H103)</f>
        <v/>
      </c>
      <c r="I103" s="50"/>
      <c r="J103" s="52">
        <f>IFERROR(VLOOKUP($A103,'I | Forecast 23-27'!$A$11:$N$160,J$8,0)*HLOOKUP(J$10,'I | Inflation'!$C$52:$H$54,3,0),0)</f>
        <v>0</v>
      </c>
      <c r="K103" s="52">
        <f>IFERROR(VLOOKUP($A103,'I | Forecast 23-27'!$A$11:$N$160,K$8,0)*HLOOKUP(K$10,'I | Inflation'!$C$52:$H$54,3,0),0)</f>
        <v>0</v>
      </c>
      <c r="L103" s="52">
        <f>IFERROR(VLOOKUP($A103,'I | Forecast 23-27'!$A$11:$N$160,L$8,0)*HLOOKUP(L$10,'I | Inflation'!$C$52:$H$54,3,0),0)</f>
        <v>0</v>
      </c>
      <c r="M103" s="52">
        <f>IFERROR(VLOOKUP($A103,'I | Forecast 23-27'!$A$11:$N$160,M$8,0)*HLOOKUP(M$10,'I | Inflation'!$C$52:$H$54,3,0),0)</f>
        <v>0</v>
      </c>
      <c r="N103" s="52">
        <f>IFERROR(VLOOKUP($A103,'I | Forecast 23-27'!$A$11:$N$160,N$8,0)*HLOOKUP(N$10,'I | Inflation'!$C$52:$H$54,3,0),0)</f>
        <v>0</v>
      </c>
      <c r="O103" s="54">
        <f t="shared" si="1"/>
        <v>0</v>
      </c>
      <c r="P103" s="53"/>
    </row>
    <row r="104" spans="1:16" s="4" customFormat="1" x14ac:dyDescent="0.3">
      <c r="A104" s="56">
        <v>94</v>
      </c>
      <c r="B104" s="49" t="str">
        <f>IF('I | Forecast 23-27'!B104="","",'I | Forecast 23-27'!B104)</f>
        <v/>
      </c>
      <c r="C104" s="47" t="str">
        <f>IF('I | Forecast 23-27'!C104="","",'I | Forecast 23-27'!C104)</f>
        <v/>
      </c>
      <c r="D104" s="47" t="str">
        <f>IF('I | Forecast 23-27'!D104="","",'I | Forecast 23-27'!D104)</f>
        <v/>
      </c>
      <c r="E104" s="47" t="str">
        <f>IF('I | Forecast 23-27'!E104="","",'I | Forecast 23-27'!E104)</f>
        <v/>
      </c>
      <c r="F104" s="47" t="str">
        <f>IF('I | Forecast 23-27'!F104="","",'I | Forecast 23-27'!F104)</f>
        <v/>
      </c>
      <c r="G104" s="47" t="str">
        <f>IF('I | Forecast 23-27'!G104="","",'I | Forecast 23-27'!G104)</f>
        <v/>
      </c>
      <c r="H104" s="47" t="str">
        <f>IF('I | Forecast 23-27'!H104="","",'I | Forecast 23-27'!H104)</f>
        <v/>
      </c>
      <c r="I104" s="50"/>
      <c r="J104" s="52">
        <f>IFERROR(VLOOKUP($A104,'I | Forecast 23-27'!$A$11:$N$160,J$8,0)*HLOOKUP(J$10,'I | Inflation'!$C$52:$H$54,3,0),0)</f>
        <v>0</v>
      </c>
      <c r="K104" s="52">
        <f>IFERROR(VLOOKUP($A104,'I | Forecast 23-27'!$A$11:$N$160,K$8,0)*HLOOKUP(K$10,'I | Inflation'!$C$52:$H$54,3,0),0)</f>
        <v>0</v>
      </c>
      <c r="L104" s="52">
        <f>IFERROR(VLOOKUP($A104,'I | Forecast 23-27'!$A$11:$N$160,L$8,0)*HLOOKUP(L$10,'I | Inflation'!$C$52:$H$54,3,0),0)</f>
        <v>0</v>
      </c>
      <c r="M104" s="52">
        <f>IFERROR(VLOOKUP($A104,'I | Forecast 23-27'!$A$11:$N$160,M$8,0)*HLOOKUP(M$10,'I | Inflation'!$C$52:$H$54,3,0),0)</f>
        <v>0</v>
      </c>
      <c r="N104" s="52">
        <f>IFERROR(VLOOKUP($A104,'I | Forecast 23-27'!$A$11:$N$160,N$8,0)*HLOOKUP(N$10,'I | Inflation'!$C$52:$H$54,3,0),0)</f>
        <v>0</v>
      </c>
      <c r="O104" s="54">
        <f t="shared" si="1"/>
        <v>0</v>
      </c>
      <c r="P104" s="53"/>
    </row>
    <row r="105" spans="1:16" s="4" customFormat="1" x14ac:dyDescent="0.3">
      <c r="A105" s="56">
        <v>95</v>
      </c>
      <c r="B105" s="49" t="str">
        <f>IF('I | Forecast 23-27'!B105="","",'I | Forecast 23-27'!B105)</f>
        <v/>
      </c>
      <c r="C105" s="47" t="str">
        <f>IF('I | Forecast 23-27'!C105="","",'I | Forecast 23-27'!C105)</f>
        <v/>
      </c>
      <c r="D105" s="47" t="str">
        <f>IF('I | Forecast 23-27'!D105="","",'I | Forecast 23-27'!D105)</f>
        <v/>
      </c>
      <c r="E105" s="47" t="str">
        <f>IF('I | Forecast 23-27'!E105="","",'I | Forecast 23-27'!E105)</f>
        <v/>
      </c>
      <c r="F105" s="47" t="str">
        <f>IF('I | Forecast 23-27'!F105="","",'I | Forecast 23-27'!F105)</f>
        <v/>
      </c>
      <c r="G105" s="47" t="str">
        <f>IF('I | Forecast 23-27'!G105="","",'I | Forecast 23-27'!G105)</f>
        <v/>
      </c>
      <c r="H105" s="47" t="str">
        <f>IF('I | Forecast 23-27'!H105="","",'I | Forecast 23-27'!H105)</f>
        <v/>
      </c>
      <c r="I105" s="50"/>
      <c r="J105" s="52">
        <f>IFERROR(VLOOKUP($A105,'I | Forecast 23-27'!$A$11:$N$160,J$8,0)*HLOOKUP(J$10,'I | Inflation'!$C$52:$H$54,3,0),0)</f>
        <v>0</v>
      </c>
      <c r="K105" s="52">
        <f>IFERROR(VLOOKUP($A105,'I | Forecast 23-27'!$A$11:$N$160,K$8,0)*HLOOKUP(K$10,'I | Inflation'!$C$52:$H$54,3,0),0)</f>
        <v>0</v>
      </c>
      <c r="L105" s="52">
        <f>IFERROR(VLOOKUP($A105,'I | Forecast 23-27'!$A$11:$N$160,L$8,0)*HLOOKUP(L$10,'I | Inflation'!$C$52:$H$54,3,0),0)</f>
        <v>0</v>
      </c>
      <c r="M105" s="52">
        <f>IFERROR(VLOOKUP($A105,'I | Forecast 23-27'!$A$11:$N$160,M$8,0)*HLOOKUP(M$10,'I | Inflation'!$C$52:$H$54,3,0),0)</f>
        <v>0</v>
      </c>
      <c r="N105" s="52">
        <f>IFERROR(VLOOKUP($A105,'I | Forecast 23-27'!$A$11:$N$160,N$8,0)*HLOOKUP(N$10,'I | Inflation'!$C$52:$H$54,3,0),0)</f>
        <v>0</v>
      </c>
      <c r="O105" s="54">
        <f t="shared" si="1"/>
        <v>0</v>
      </c>
      <c r="P105" s="53"/>
    </row>
    <row r="106" spans="1:16" s="4" customFormat="1" x14ac:dyDescent="0.3">
      <c r="A106" s="56">
        <v>96</v>
      </c>
      <c r="B106" s="49" t="str">
        <f>IF('I | Forecast 23-27'!B106="","",'I | Forecast 23-27'!B106)</f>
        <v/>
      </c>
      <c r="C106" s="47" t="str">
        <f>IF('I | Forecast 23-27'!C106="","",'I | Forecast 23-27'!C106)</f>
        <v/>
      </c>
      <c r="D106" s="47" t="str">
        <f>IF('I | Forecast 23-27'!D106="","",'I | Forecast 23-27'!D106)</f>
        <v/>
      </c>
      <c r="E106" s="47" t="str">
        <f>IF('I | Forecast 23-27'!E106="","",'I | Forecast 23-27'!E106)</f>
        <v/>
      </c>
      <c r="F106" s="47" t="str">
        <f>IF('I | Forecast 23-27'!F106="","",'I | Forecast 23-27'!F106)</f>
        <v/>
      </c>
      <c r="G106" s="47" t="str">
        <f>IF('I | Forecast 23-27'!G106="","",'I | Forecast 23-27'!G106)</f>
        <v/>
      </c>
      <c r="H106" s="47" t="str">
        <f>IF('I | Forecast 23-27'!H106="","",'I | Forecast 23-27'!H106)</f>
        <v/>
      </c>
      <c r="I106" s="50"/>
      <c r="J106" s="52">
        <f>IFERROR(VLOOKUP($A106,'I | Forecast 23-27'!$A$11:$N$160,J$8,0)*HLOOKUP(J$10,'I | Inflation'!$C$52:$H$54,3,0),0)</f>
        <v>0</v>
      </c>
      <c r="K106" s="52">
        <f>IFERROR(VLOOKUP($A106,'I | Forecast 23-27'!$A$11:$N$160,K$8,0)*HLOOKUP(K$10,'I | Inflation'!$C$52:$H$54,3,0),0)</f>
        <v>0</v>
      </c>
      <c r="L106" s="52">
        <f>IFERROR(VLOOKUP($A106,'I | Forecast 23-27'!$A$11:$N$160,L$8,0)*HLOOKUP(L$10,'I | Inflation'!$C$52:$H$54,3,0),0)</f>
        <v>0</v>
      </c>
      <c r="M106" s="52">
        <f>IFERROR(VLOOKUP($A106,'I | Forecast 23-27'!$A$11:$N$160,M$8,0)*HLOOKUP(M$10,'I | Inflation'!$C$52:$H$54,3,0),0)</f>
        <v>0</v>
      </c>
      <c r="N106" s="52">
        <f>IFERROR(VLOOKUP($A106,'I | Forecast 23-27'!$A$11:$N$160,N$8,0)*HLOOKUP(N$10,'I | Inflation'!$C$52:$H$54,3,0),0)</f>
        <v>0</v>
      </c>
      <c r="O106" s="54">
        <f t="shared" si="1"/>
        <v>0</v>
      </c>
      <c r="P106" s="53"/>
    </row>
    <row r="107" spans="1:16" s="4" customFormat="1" x14ac:dyDescent="0.3">
      <c r="A107" s="56">
        <v>97</v>
      </c>
      <c r="B107" s="49" t="str">
        <f>IF('I | Forecast 23-27'!B107="","",'I | Forecast 23-27'!B107)</f>
        <v/>
      </c>
      <c r="C107" s="47" t="str">
        <f>IF('I | Forecast 23-27'!C107="","",'I | Forecast 23-27'!C107)</f>
        <v/>
      </c>
      <c r="D107" s="47" t="str">
        <f>IF('I | Forecast 23-27'!D107="","",'I | Forecast 23-27'!D107)</f>
        <v/>
      </c>
      <c r="E107" s="47" t="str">
        <f>IF('I | Forecast 23-27'!E107="","",'I | Forecast 23-27'!E107)</f>
        <v/>
      </c>
      <c r="F107" s="47" t="str">
        <f>IF('I | Forecast 23-27'!F107="","",'I | Forecast 23-27'!F107)</f>
        <v/>
      </c>
      <c r="G107" s="47" t="str">
        <f>IF('I | Forecast 23-27'!G107="","",'I | Forecast 23-27'!G107)</f>
        <v/>
      </c>
      <c r="H107" s="47" t="str">
        <f>IF('I | Forecast 23-27'!H107="","",'I | Forecast 23-27'!H107)</f>
        <v/>
      </c>
      <c r="I107" s="50"/>
      <c r="J107" s="52">
        <f>IFERROR(VLOOKUP($A107,'I | Forecast 23-27'!$A$11:$N$160,J$8,0)*HLOOKUP(J$10,'I | Inflation'!$C$52:$H$54,3,0),0)</f>
        <v>0</v>
      </c>
      <c r="K107" s="52">
        <f>IFERROR(VLOOKUP($A107,'I | Forecast 23-27'!$A$11:$N$160,K$8,0)*HLOOKUP(K$10,'I | Inflation'!$C$52:$H$54,3,0),0)</f>
        <v>0</v>
      </c>
      <c r="L107" s="52">
        <f>IFERROR(VLOOKUP($A107,'I | Forecast 23-27'!$A$11:$N$160,L$8,0)*HLOOKUP(L$10,'I | Inflation'!$C$52:$H$54,3,0),0)</f>
        <v>0</v>
      </c>
      <c r="M107" s="52">
        <f>IFERROR(VLOOKUP($A107,'I | Forecast 23-27'!$A$11:$N$160,M$8,0)*HLOOKUP(M$10,'I | Inflation'!$C$52:$H$54,3,0),0)</f>
        <v>0</v>
      </c>
      <c r="N107" s="52">
        <f>IFERROR(VLOOKUP($A107,'I | Forecast 23-27'!$A$11:$N$160,N$8,0)*HLOOKUP(N$10,'I | Inflation'!$C$52:$H$54,3,0),0)</f>
        <v>0</v>
      </c>
      <c r="O107" s="54">
        <f t="shared" si="1"/>
        <v>0</v>
      </c>
      <c r="P107" s="53"/>
    </row>
    <row r="108" spans="1:16" s="4" customFormat="1" x14ac:dyDescent="0.3">
      <c r="A108" s="56">
        <v>98</v>
      </c>
      <c r="B108" s="49" t="str">
        <f>IF('I | Forecast 23-27'!B108="","",'I | Forecast 23-27'!B108)</f>
        <v/>
      </c>
      <c r="C108" s="47" t="str">
        <f>IF('I | Forecast 23-27'!C108="","",'I | Forecast 23-27'!C108)</f>
        <v/>
      </c>
      <c r="D108" s="47" t="str">
        <f>IF('I | Forecast 23-27'!D108="","",'I | Forecast 23-27'!D108)</f>
        <v/>
      </c>
      <c r="E108" s="47" t="str">
        <f>IF('I | Forecast 23-27'!E108="","",'I | Forecast 23-27'!E108)</f>
        <v/>
      </c>
      <c r="F108" s="47" t="str">
        <f>IF('I | Forecast 23-27'!F108="","",'I | Forecast 23-27'!F108)</f>
        <v/>
      </c>
      <c r="G108" s="47" t="str">
        <f>IF('I | Forecast 23-27'!G108="","",'I | Forecast 23-27'!G108)</f>
        <v/>
      </c>
      <c r="H108" s="47" t="str">
        <f>IF('I | Forecast 23-27'!H108="","",'I | Forecast 23-27'!H108)</f>
        <v/>
      </c>
      <c r="I108" s="50"/>
      <c r="J108" s="52">
        <f>IFERROR(VLOOKUP($A108,'I | Forecast 23-27'!$A$11:$N$160,J$8,0)*HLOOKUP(J$10,'I | Inflation'!$C$52:$H$54,3,0),0)</f>
        <v>0</v>
      </c>
      <c r="K108" s="52">
        <f>IFERROR(VLOOKUP($A108,'I | Forecast 23-27'!$A$11:$N$160,K$8,0)*HLOOKUP(K$10,'I | Inflation'!$C$52:$H$54,3,0),0)</f>
        <v>0</v>
      </c>
      <c r="L108" s="52">
        <f>IFERROR(VLOOKUP($A108,'I | Forecast 23-27'!$A$11:$N$160,L$8,0)*HLOOKUP(L$10,'I | Inflation'!$C$52:$H$54,3,0),0)</f>
        <v>0</v>
      </c>
      <c r="M108" s="52">
        <f>IFERROR(VLOOKUP($A108,'I | Forecast 23-27'!$A$11:$N$160,M$8,0)*HLOOKUP(M$10,'I | Inflation'!$C$52:$H$54,3,0),0)</f>
        <v>0</v>
      </c>
      <c r="N108" s="52">
        <f>IFERROR(VLOOKUP($A108,'I | Forecast 23-27'!$A$11:$N$160,N$8,0)*HLOOKUP(N$10,'I | Inflation'!$C$52:$H$54,3,0),0)</f>
        <v>0</v>
      </c>
      <c r="O108" s="54">
        <f t="shared" si="1"/>
        <v>0</v>
      </c>
      <c r="P108" s="53"/>
    </row>
    <row r="109" spans="1:16" s="4" customFormat="1" x14ac:dyDescent="0.3">
      <c r="A109" s="56">
        <v>99</v>
      </c>
      <c r="B109" s="49" t="str">
        <f>IF('I | Forecast 23-27'!B109="","",'I | Forecast 23-27'!B109)</f>
        <v/>
      </c>
      <c r="C109" s="47" t="str">
        <f>IF('I | Forecast 23-27'!C109="","",'I | Forecast 23-27'!C109)</f>
        <v/>
      </c>
      <c r="D109" s="47" t="str">
        <f>IF('I | Forecast 23-27'!D109="","",'I | Forecast 23-27'!D109)</f>
        <v/>
      </c>
      <c r="E109" s="47" t="str">
        <f>IF('I | Forecast 23-27'!E109="","",'I | Forecast 23-27'!E109)</f>
        <v/>
      </c>
      <c r="F109" s="47" t="str">
        <f>IF('I | Forecast 23-27'!F109="","",'I | Forecast 23-27'!F109)</f>
        <v/>
      </c>
      <c r="G109" s="47" t="str">
        <f>IF('I | Forecast 23-27'!G109="","",'I | Forecast 23-27'!G109)</f>
        <v/>
      </c>
      <c r="H109" s="47" t="str">
        <f>IF('I | Forecast 23-27'!H109="","",'I | Forecast 23-27'!H109)</f>
        <v/>
      </c>
      <c r="I109" s="50"/>
      <c r="J109" s="52">
        <f>IFERROR(VLOOKUP($A109,'I | Forecast 23-27'!$A$11:$N$160,J$8,0)*HLOOKUP(J$10,'I | Inflation'!$C$52:$H$54,3,0),0)</f>
        <v>0</v>
      </c>
      <c r="K109" s="52">
        <f>IFERROR(VLOOKUP($A109,'I | Forecast 23-27'!$A$11:$N$160,K$8,0)*HLOOKUP(K$10,'I | Inflation'!$C$52:$H$54,3,0),0)</f>
        <v>0</v>
      </c>
      <c r="L109" s="52">
        <f>IFERROR(VLOOKUP($A109,'I | Forecast 23-27'!$A$11:$N$160,L$8,0)*HLOOKUP(L$10,'I | Inflation'!$C$52:$H$54,3,0),0)</f>
        <v>0</v>
      </c>
      <c r="M109" s="52">
        <f>IFERROR(VLOOKUP($A109,'I | Forecast 23-27'!$A$11:$N$160,M$8,0)*HLOOKUP(M$10,'I | Inflation'!$C$52:$H$54,3,0),0)</f>
        <v>0</v>
      </c>
      <c r="N109" s="52">
        <f>IFERROR(VLOOKUP($A109,'I | Forecast 23-27'!$A$11:$N$160,N$8,0)*HLOOKUP(N$10,'I | Inflation'!$C$52:$H$54,3,0),0)</f>
        <v>0</v>
      </c>
      <c r="O109" s="54">
        <f t="shared" si="1"/>
        <v>0</v>
      </c>
      <c r="P109" s="53"/>
    </row>
    <row r="110" spans="1:16" s="4" customFormat="1" x14ac:dyDescent="0.3">
      <c r="A110" s="56">
        <v>100</v>
      </c>
      <c r="B110" s="49" t="str">
        <f>IF('I | Forecast 23-27'!B110="","",'I | Forecast 23-27'!B110)</f>
        <v/>
      </c>
      <c r="C110" s="47" t="str">
        <f>IF('I | Forecast 23-27'!C110="","",'I | Forecast 23-27'!C110)</f>
        <v/>
      </c>
      <c r="D110" s="47" t="str">
        <f>IF('I | Forecast 23-27'!D110="","",'I | Forecast 23-27'!D110)</f>
        <v/>
      </c>
      <c r="E110" s="47" t="str">
        <f>IF('I | Forecast 23-27'!E110="","",'I | Forecast 23-27'!E110)</f>
        <v/>
      </c>
      <c r="F110" s="47" t="str">
        <f>IF('I | Forecast 23-27'!F110="","",'I | Forecast 23-27'!F110)</f>
        <v/>
      </c>
      <c r="G110" s="47" t="str">
        <f>IF('I | Forecast 23-27'!G110="","",'I | Forecast 23-27'!G110)</f>
        <v/>
      </c>
      <c r="H110" s="47" t="str">
        <f>IF('I | Forecast 23-27'!H110="","",'I | Forecast 23-27'!H110)</f>
        <v/>
      </c>
      <c r="I110" s="50"/>
      <c r="J110" s="52">
        <f>IFERROR(VLOOKUP($A110,'I | Forecast 23-27'!$A$11:$N$160,J$8,0)*HLOOKUP(J$10,'I | Inflation'!$C$52:$H$54,3,0),0)</f>
        <v>0</v>
      </c>
      <c r="K110" s="52">
        <f>IFERROR(VLOOKUP($A110,'I | Forecast 23-27'!$A$11:$N$160,K$8,0)*HLOOKUP(K$10,'I | Inflation'!$C$52:$H$54,3,0),0)</f>
        <v>0</v>
      </c>
      <c r="L110" s="52">
        <f>IFERROR(VLOOKUP($A110,'I | Forecast 23-27'!$A$11:$N$160,L$8,0)*HLOOKUP(L$10,'I | Inflation'!$C$52:$H$54,3,0),0)</f>
        <v>0</v>
      </c>
      <c r="M110" s="52">
        <f>IFERROR(VLOOKUP($A110,'I | Forecast 23-27'!$A$11:$N$160,M$8,0)*HLOOKUP(M$10,'I | Inflation'!$C$52:$H$54,3,0),0)</f>
        <v>0</v>
      </c>
      <c r="N110" s="52">
        <f>IFERROR(VLOOKUP($A110,'I | Forecast 23-27'!$A$11:$N$160,N$8,0)*HLOOKUP(N$10,'I | Inflation'!$C$52:$H$54,3,0),0)</f>
        <v>0</v>
      </c>
      <c r="O110" s="54">
        <f t="shared" si="1"/>
        <v>0</v>
      </c>
      <c r="P110" s="53"/>
    </row>
    <row r="111" spans="1:16" s="4" customFormat="1" x14ac:dyDescent="0.3">
      <c r="A111" s="56">
        <v>101</v>
      </c>
      <c r="B111" s="49" t="str">
        <f>IF('I | Forecast 23-27'!B111="","",'I | Forecast 23-27'!B111)</f>
        <v/>
      </c>
      <c r="C111" s="47" t="str">
        <f>IF('I | Forecast 23-27'!C111="","",'I | Forecast 23-27'!C111)</f>
        <v/>
      </c>
      <c r="D111" s="47" t="str">
        <f>IF('I | Forecast 23-27'!D111="","",'I | Forecast 23-27'!D111)</f>
        <v/>
      </c>
      <c r="E111" s="47" t="str">
        <f>IF('I | Forecast 23-27'!E111="","",'I | Forecast 23-27'!E111)</f>
        <v/>
      </c>
      <c r="F111" s="47" t="str">
        <f>IF('I | Forecast 23-27'!F111="","",'I | Forecast 23-27'!F111)</f>
        <v/>
      </c>
      <c r="G111" s="47" t="str">
        <f>IF('I | Forecast 23-27'!G111="","",'I | Forecast 23-27'!G111)</f>
        <v/>
      </c>
      <c r="H111" s="47" t="str">
        <f>IF('I | Forecast 23-27'!H111="","",'I | Forecast 23-27'!H111)</f>
        <v/>
      </c>
      <c r="I111" s="50"/>
      <c r="J111" s="52">
        <f>IFERROR(VLOOKUP($A111,'I | Forecast 23-27'!$A$11:$N$160,J$8,0)*HLOOKUP(J$10,'I | Inflation'!$C$52:$H$54,3,0),0)</f>
        <v>0</v>
      </c>
      <c r="K111" s="52">
        <f>IFERROR(VLOOKUP($A111,'I | Forecast 23-27'!$A$11:$N$160,K$8,0)*HLOOKUP(K$10,'I | Inflation'!$C$52:$H$54,3,0),0)</f>
        <v>0</v>
      </c>
      <c r="L111" s="52">
        <f>IFERROR(VLOOKUP($A111,'I | Forecast 23-27'!$A$11:$N$160,L$8,0)*HLOOKUP(L$10,'I | Inflation'!$C$52:$H$54,3,0),0)</f>
        <v>0</v>
      </c>
      <c r="M111" s="52">
        <f>IFERROR(VLOOKUP($A111,'I | Forecast 23-27'!$A$11:$N$160,M$8,0)*HLOOKUP(M$10,'I | Inflation'!$C$52:$H$54,3,0),0)</f>
        <v>0</v>
      </c>
      <c r="N111" s="52">
        <f>IFERROR(VLOOKUP($A111,'I | Forecast 23-27'!$A$11:$N$160,N$8,0)*HLOOKUP(N$10,'I | Inflation'!$C$52:$H$54,3,0),0)</f>
        <v>0</v>
      </c>
      <c r="O111" s="54">
        <f t="shared" si="1"/>
        <v>0</v>
      </c>
      <c r="P111" s="53"/>
    </row>
    <row r="112" spans="1:16" s="4" customFormat="1" x14ac:dyDescent="0.3">
      <c r="A112" s="56">
        <v>102</v>
      </c>
      <c r="B112" s="49" t="str">
        <f>IF('I | Forecast 23-27'!B112="","",'I | Forecast 23-27'!B112)</f>
        <v/>
      </c>
      <c r="C112" s="47" t="str">
        <f>IF('I | Forecast 23-27'!C112="","",'I | Forecast 23-27'!C112)</f>
        <v/>
      </c>
      <c r="D112" s="47" t="str">
        <f>IF('I | Forecast 23-27'!D112="","",'I | Forecast 23-27'!D112)</f>
        <v/>
      </c>
      <c r="E112" s="47" t="str">
        <f>IF('I | Forecast 23-27'!E112="","",'I | Forecast 23-27'!E112)</f>
        <v/>
      </c>
      <c r="F112" s="47" t="str">
        <f>IF('I | Forecast 23-27'!F112="","",'I | Forecast 23-27'!F112)</f>
        <v/>
      </c>
      <c r="G112" s="47" t="str">
        <f>IF('I | Forecast 23-27'!G112="","",'I | Forecast 23-27'!G112)</f>
        <v/>
      </c>
      <c r="H112" s="47" t="str">
        <f>IF('I | Forecast 23-27'!H112="","",'I | Forecast 23-27'!H112)</f>
        <v/>
      </c>
      <c r="I112" s="50"/>
      <c r="J112" s="52">
        <f>IFERROR(VLOOKUP($A112,'I | Forecast 23-27'!$A$11:$N$160,J$8,0)*HLOOKUP(J$10,'I | Inflation'!$C$52:$H$54,3,0),0)</f>
        <v>0</v>
      </c>
      <c r="K112" s="52">
        <f>IFERROR(VLOOKUP($A112,'I | Forecast 23-27'!$A$11:$N$160,K$8,0)*HLOOKUP(K$10,'I | Inflation'!$C$52:$H$54,3,0),0)</f>
        <v>0</v>
      </c>
      <c r="L112" s="52">
        <f>IFERROR(VLOOKUP($A112,'I | Forecast 23-27'!$A$11:$N$160,L$8,0)*HLOOKUP(L$10,'I | Inflation'!$C$52:$H$54,3,0),0)</f>
        <v>0</v>
      </c>
      <c r="M112" s="52">
        <f>IFERROR(VLOOKUP($A112,'I | Forecast 23-27'!$A$11:$N$160,M$8,0)*HLOOKUP(M$10,'I | Inflation'!$C$52:$H$54,3,0),0)</f>
        <v>0</v>
      </c>
      <c r="N112" s="52">
        <f>IFERROR(VLOOKUP($A112,'I | Forecast 23-27'!$A$11:$N$160,N$8,0)*HLOOKUP(N$10,'I | Inflation'!$C$52:$H$54,3,0),0)</f>
        <v>0</v>
      </c>
      <c r="O112" s="54">
        <f t="shared" si="1"/>
        <v>0</v>
      </c>
      <c r="P112" s="53"/>
    </row>
    <row r="113" spans="1:16" s="4" customFormat="1" x14ac:dyDescent="0.3">
      <c r="A113" s="56">
        <v>103</v>
      </c>
      <c r="B113" s="49" t="str">
        <f>IF('I | Forecast 23-27'!B113="","",'I | Forecast 23-27'!B113)</f>
        <v/>
      </c>
      <c r="C113" s="47" t="str">
        <f>IF('I | Forecast 23-27'!C113="","",'I | Forecast 23-27'!C113)</f>
        <v/>
      </c>
      <c r="D113" s="47" t="str">
        <f>IF('I | Forecast 23-27'!D113="","",'I | Forecast 23-27'!D113)</f>
        <v/>
      </c>
      <c r="E113" s="47" t="str">
        <f>IF('I | Forecast 23-27'!E113="","",'I | Forecast 23-27'!E113)</f>
        <v/>
      </c>
      <c r="F113" s="47" t="str">
        <f>IF('I | Forecast 23-27'!F113="","",'I | Forecast 23-27'!F113)</f>
        <v/>
      </c>
      <c r="G113" s="47" t="str">
        <f>IF('I | Forecast 23-27'!G113="","",'I | Forecast 23-27'!G113)</f>
        <v/>
      </c>
      <c r="H113" s="47" t="str">
        <f>IF('I | Forecast 23-27'!H113="","",'I | Forecast 23-27'!H113)</f>
        <v/>
      </c>
      <c r="I113" s="50"/>
      <c r="J113" s="52">
        <f>IFERROR(VLOOKUP($A113,'I | Forecast 23-27'!$A$11:$N$160,J$8,0)*HLOOKUP(J$10,'I | Inflation'!$C$52:$H$54,3,0),0)</f>
        <v>0</v>
      </c>
      <c r="K113" s="52">
        <f>IFERROR(VLOOKUP($A113,'I | Forecast 23-27'!$A$11:$N$160,K$8,0)*HLOOKUP(K$10,'I | Inflation'!$C$52:$H$54,3,0),0)</f>
        <v>0</v>
      </c>
      <c r="L113" s="52">
        <f>IFERROR(VLOOKUP($A113,'I | Forecast 23-27'!$A$11:$N$160,L$8,0)*HLOOKUP(L$10,'I | Inflation'!$C$52:$H$54,3,0),0)</f>
        <v>0</v>
      </c>
      <c r="M113" s="52">
        <f>IFERROR(VLOOKUP($A113,'I | Forecast 23-27'!$A$11:$N$160,M$8,0)*HLOOKUP(M$10,'I | Inflation'!$C$52:$H$54,3,0),0)</f>
        <v>0</v>
      </c>
      <c r="N113" s="52">
        <f>IFERROR(VLOOKUP($A113,'I | Forecast 23-27'!$A$11:$N$160,N$8,0)*HLOOKUP(N$10,'I | Inflation'!$C$52:$H$54,3,0),0)</f>
        <v>0</v>
      </c>
      <c r="O113" s="54">
        <f t="shared" si="1"/>
        <v>0</v>
      </c>
      <c r="P113" s="53"/>
    </row>
    <row r="114" spans="1:16" s="4" customFormat="1" x14ac:dyDescent="0.3">
      <c r="A114" s="56">
        <v>104</v>
      </c>
      <c r="B114" s="49" t="str">
        <f>IF('I | Forecast 23-27'!B114="","",'I | Forecast 23-27'!B114)</f>
        <v/>
      </c>
      <c r="C114" s="47" t="str">
        <f>IF('I | Forecast 23-27'!C114="","",'I | Forecast 23-27'!C114)</f>
        <v/>
      </c>
      <c r="D114" s="47" t="str">
        <f>IF('I | Forecast 23-27'!D114="","",'I | Forecast 23-27'!D114)</f>
        <v/>
      </c>
      <c r="E114" s="47" t="str">
        <f>IF('I | Forecast 23-27'!E114="","",'I | Forecast 23-27'!E114)</f>
        <v/>
      </c>
      <c r="F114" s="47" t="str">
        <f>IF('I | Forecast 23-27'!F114="","",'I | Forecast 23-27'!F114)</f>
        <v/>
      </c>
      <c r="G114" s="47" t="str">
        <f>IF('I | Forecast 23-27'!G114="","",'I | Forecast 23-27'!G114)</f>
        <v/>
      </c>
      <c r="H114" s="47" t="str">
        <f>IF('I | Forecast 23-27'!H114="","",'I | Forecast 23-27'!H114)</f>
        <v/>
      </c>
      <c r="I114" s="50"/>
      <c r="J114" s="52">
        <f>IFERROR(VLOOKUP($A114,'I | Forecast 23-27'!$A$11:$N$160,J$8,0)*HLOOKUP(J$10,'I | Inflation'!$C$52:$H$54,3,0),0)</f>
        <v>0</v>
      </c>
      <c r="K114" s="52">
        <f>IFERROR(VLOOKUP($A114,'I | Forecast 23-27'!$A$11:$N$160,K$8,0)*HLOOKUP(K$10,'I | Inflation'!$C$52:$H$54,3,0),0)</f>
        <v>0</v>
      </c>
      <c r="L114" s="52">
        <f>IFERROR(VLOOKUP($A114,'I | Forecast 23-27'!$A$11:$N$160,L$8,0)*HLOOKUP(L$10,'I | Inflation'!$C$52:$H$54,3,0),0)</f>
        <v>0</v>
      </c>
      <c r="M114" s="52">
        <f>IFERROR(VLOOKUP($A114,'I | Forecast 23-27'!$A$11:$N$160,M$8,0)*HLOOKUP(M$10,'I | Inflation'!$C$52:$H$54,3,0),0)</f>
        <v>0</v>
      </c>
      <c r="N114" s="52">
        <f>IFERROR(VLOOKUP($A114,'I | Forecast 23-27'!$A$11:$N$160,N$8,0)*HLOOKUP(N$10,'I | Inflation'!$C$52:$H$54,3,0),0)</f>
        <v>0</v>
      </c>
      <c r="O114" s="54">
        <f t="shared" si="1"/>
        <v>0</v>
      </c>
      <c r="P114" s="53"/>
    </row>
    <row r="115" spans="1:16" s="4" customFormat="1" x14ac:dyDescent="0.3">
      <c r="A115" s="56">
        <v>105</v>
      </c>
      <c r="B115" s="49" t="str">
        <f>IF('I | Forecast 23-27'!B115="","",'I | Forecast 23-27'!B115)</f>
        <v/>
      </c>
      <c r="C115" s="47" t="str">
        <f>IF('I | Forecast 23-27'!C115="","",'I | Forecast 23-27'!C115)</f>
        <v/>
      </c>
      <c r="D115" s="47" t="str">
        <f>IF('I | Forecast 23-27'!D115="","",'I | Forecast 23-27'!D115)</f>
        <v/>
      </c>
      <c r="E115" s="47" t="str">
        <f>IF('I | Forecast 23-27'!E115="","",'I | Forecast 23-27'!E115)</f>
        <v/>
      </c>
      <c r="F115" s="47" t="str">
        <f>IF('I | Forecast 23-27'!F115="","",'I | Forecast 23-27'!F115)</f>
        <v/>
      </c>
      <c r="G115" s="47" t="str">
        <f>IF('I | Forecast 23-27'!G115="","",'I | Forecast 23-27'!G115)</f>
        <v/>
      </c>
      <c r="H115" s="47" t="str">
        <f>IF('I | Forecast 23-27'!H115="","",'I | Forecast 23-27'!H115)</f>
        <v/>
      </c>
      <c r="I115" s="50"/>
      <c r="J115" s="52">
        <f>IFERROR(VLOOKUP($A115,'I | Forecast 23-27'!$A$11:$N$160,J$8,0)*HLOOKUP(J$10,'I | Inflation'!$C$52:$H$54,3,0),0)</f>
        <v>0</v>
      </c>
      <c r="K115" s="52">
        <f>IFERROR(VLOOKUP($A115,'I | Forecast 23-27'!$A$11:$N$160,K$8,0)*HLOOKUP(K$10,'I | Inflation'!$C$52:$H$54,3,0),0)</f>
        <v>0</v>
      </c>
      <c r="L115" s="52">
        <f>IFERROR(VLOOKUP($A115,'I | Forecast 23-27'!$A$11:$N$160,L$8,0)*HLOOKUP(L$10,'I | Inflation'!$C$52:$H$54,3,0),0)</f>
        <v>0</v>
      </c>
      <c r="M115" s="52">
        <f>IFERROR(VLOOKUP($A115,'I | Forecast 23-27'!$A$11:$N$160,M$8,0)*HLOOKUP(M$10,'I | Inflation'!$C$52:$H$54,3,0),0)</f>
        <v>0</v>
      </c>
      <c r="N115" s="52">
        <f>IFERROR(VLOOKUP($A115,'I | Forecast 23-27'!$A$11:$N$160,N$8,0)*HLOOKUP(N$10,'I | Inflation'!$C$52:$H$54,3,0),0)</f>
        <v>0</v>
      </c>
      <c r="O115" s="54">
        <f t="shared" si="1"/>
        <v>0</v>
      </c>
      <c r="P115" s="53"/>
    </row>
    <row r="116" spans="1:16" s="4" customFormat="1" x14ac:dyDescent="0.3">
      <c r="A116" s="56">
        <v>106</v>
      </c>
      <c r="B116" s="49" t="str">
        <f>IF('I | Forecast 23-27'!B116="","",'I | Forecast 23-27'!B116)</f>
        <v/>
      </c>
      <c r="C116" s="47" t="str">
        <f>IF('I | Forecast 23-27'!C116="","",'I | Forecast 23-27'!C116)</f>
        <v/>
      </c>
      <c r="D116" s="47" t="str">
        <f>IF('I | Forecast 23-27'!D116="","",'I | Forecast 23-27'!D116)</f>
        <v/>
      </c>
      <c r="E116" s="47" t="str">
        <f>IF('I | Forecast 23-27'!E116="","",'I | Forecast 23-27'!E116)</f>
        <v/>
      </c>
      <c r="F116" s="47" t="str">
        <f>IF('I | Forecast 23-27'!F116="","",'I | Forecast 23-27'!F116)</f>
        <v/>
      </c>
      <c r="G116" s="47" t="str">
        <f>IF('I | Forecast 23-27'!G116="","",'I | Forecast 23-27'!G116)</f>
        <v/>
      </c>
      <c r="H116" s="47" t="str">
        <f>IF('I | Forecast 23-27'!H116="","",'I | Forecast 23-27'!H116)</f>
        <v/>
      </c>
      <c r="I116" s="50"/>
      <c r="J116" s="52">
        <f>IFERROR(VLOOKUP($A116,'I | Forecast 23-27'!$A$11:$N$160,J$8,0)*HLOOKUP(J$10,'I | Inflation'!$C$52:$H$54,3,0),0)</f>
        <v>0</v>
      </c>
      <c r="K116" s="52">
        <f>IFERROR(VLOOKUP($A116,'I | Forecast 23-27'!$A$11:$N$160,K$8,0)*HLOOKUP(K$10,'I | Inflation'!$C$52:$H$54,3,0),0)</f>
        <v>0</v>
      </c>
      <c r="L116" s="52">
        <f>IFERROR(VLOOKUP($A116,'I | Forecast 23-27'!$A$11:$N$160,L$8,0)*HLOOKUP(L$10,'I | Inflation'!$C$52:$H$54,3,0),0)</f>
        <v>0</v>
      </c>
      <c r="M116" s="52">
        <f>IFERROR(VLOOKUP($A116,'I | Forecast 23-27'!$A$11:$N$160,M$8,0)*HLOOKUP(M$10,'I | Inflation'!$C$52:$H$54,3,0),0)</f>
        <v>0</v>
      </c>
      <c r="N116" s="52">
        <f>IFERROR(VLOOKUP($A116,'I | Forecast 23-27'!$A$11:$N$160,N$8,0)*HLOOKUP(N$10,'I | Inflation'!$C$52:$H$54,3,0),0)</f>
        <v>0</v>
      </c>
      <c r="O116" s="54">
        <f t="shared" si="1"/>
        <v>0</v>
      </c>
      <c r="P116" s="53"/>
    </row>
    <row r="117" spans="1:16" s="4" customFormat="1" x14ac:dyDescent="0.3">
      <c r="A117" s="56">
        <v>107</v>
      </c>
      <c r="B117" s="49" t="str">
        <f>IF('I | Forecast 23-27'!B117="","",'I | Forecast 23-27'!B117)</f>
        <v/>
      </c>
      <c r="C117" s="47" t="str">
        <f>IF('I | Forecast 23-27'!C117="","",'I | Forecast 23-27'!C117)</f>
        <v/>
      </c>
      <c r="D117" s="47" t="str">
        <f>IF('I | Forecast 23-27'!D117="","",'I | Forecast 23-27'!D117)</f>
        <v/>
      </c>
      <c r="E117" s="47" t="str">
        <f>IF('I | Forecast 23-27'!E117="","",'I | Forecast 23-27'!E117)</f>
        <v/>
      </c>
      <c r="F117" s="47" t="str">
        <f>IF('I | Forecast 23-27'!F117="","",'I | Forecast 23-27'!F117)</f>
        <v/>
      </c>
      <c r="G117" s="47" t="str">
        <f>IF('I | Forecast 23-27'!G117="","",'I | Forecast 23-27'!G117)</f>
        <v/>
      </c>
      <c r="H117" s="47" t="str">
        <f>IF('I | Forecast 23-27'!H117="","",'I | Forecast 23-27'!H117)</f>
        <v/>
      </c>
      <c r="I117" s="50"/>
      <c r="J117" s="52">
        <f>IFERROR(VLOOKUP($A117,'I | Forecast 23-27'!$A$11:$N$160,J$8,0)*HLOOKUP(J$10,'I | Inflation'!$C$52:$H$54,3,0),0)</f>
        <v>0</v>
      </c>
      <c r="K117" s="52">
        <f>IFERROR(VLOOKUP($A117,'I | Forecast 23-27'!$A$11:$N$160,K$8,0)*HLOOKUP(K$10,'I | Inflation'!$C$52:$H$54,3,0),0)</f>
        <v>0</v>
      </c>
      <c r="L117" s="52">
        <f>IFERROR(VLOOKUP($A117,'I | Forecast 23-27'!$A$11:$N$160,L$8,0)*HLOOKUP(L$10,'I | Inflation'!$C$52:$H$54,3,0),0)</f>
        <v>0</v>
      </c>
      <c r="M117" s="52">
        <f>IFERROR(VLOOKUP($A117,'I | Forecast 23-27'!$A$11:$N$160,M$8,0)*HLOOKUP(M$10,'I | Inflation'!$C$52:$H$54,3,0),0)</f>
        <v>0</v>
      </c>
      <c r="N117" s="52">
        <f>IFERROR(VLOOKUP($A117,'I | Forecast 23-27'!$A$11:$N$160,N$8,0)*HLOOKUP(N$10,'I | Inflation'!$C$52:$H$54,3,0),0)</f>
        <v>0</v>
      </c>
      <c r="O117" s="54">
        <f t="shared" si="1"/>
        <v>0</v>
      </c>
      <c r="P117" s="53"/>
    </row>
    <row r="118" spans="1:16" s="4" customFormat="1" x14ac:dyDescent="0.3">
      <c r="A118" s="56">
        <v>108</v>
      </c>
      <c r="B118" s="49" t="str">
        <f>IF('I | Forecast 23-27'!B118="","",'I | Forecast 23-27'!B118)</f>
        <v/>
      </c>
      <c r="C118" s="47" t="str">
        <f>IF('I | Forecast 23-27'!C118="","",'I | Forecast 23-27'!C118)</f>
        <v/>
      </c>
      <c r="D118" s="47" t="str">
        <f>IF('I | Forecast 23-27'!D118="","",'I | Forecast 23-27'!D118)</f>
        <v/>
      </c>
      <c r="E118" s="47" t="str">
        <f>IF('I | Forecast 23-27'!E118="","",'I | Forecast 23-27'!E118)</f>
        <v/>
      </c>
      <c r="F118" s="47" t="str">
        <f>IF('I | Forecast 23-27'!F118="","",'I | Forecast 23-27'!F118)</f>
        <v/>
      </c>
      <c r="G118" s="47" t="str">
        <f>IF('I | Forecast 23-27'!G118="","",'I | Forecast 23-27'!G118)</f>
        <v/>
      </c>
      <c r="H118" s="47" t="str">
        <f>IF('I | Forecast 23-27'!H118="","",'I | Forecast 23-27'!H118)</f>
        <v/>
      </c>
      <c r="I118" s="50"/>
      <c r="J118" s="52">
        <f>IFERROR(VLOOKUP($A118,'I | Forecast 23-27'!$A$11:$N$160,J$8,0)*HLOOKUP(J$10,'I | Inflation'!$C$52:$H$54,3,0),0)</f>
        <v>0</v>
      </c>
      <c r="K118" s="52">
        <f>IFERROR(VLOOKUP($A118,'I | Forecast 23-27'!$A$11:$N$160,K$8,0)*HLOOKUP(K$10,'I | Inflation'!$C$52:$H$54,3,0),0)</f>
        <v>0</v>
      </c>
      <c r="L118" s="52">
        <f>IFERROR(VLOOKUP($A118,'I | Forecast 23-27'!$A$11:$N$160,L$8,0)*HLOOKUP(L$10,'I | Inflation'!$C$52:$H$54,3,0),0)</f>
        <v>0</v>
      </c>
      <c r="M118" s="52">
        <f>IFERROR(VLOOKUP($A118,'I | Forecast 23-27'!$A$11:$N$160,M$8,0)*HLOOKUP(M$10,'I | Inflation'!$C$52:$H$54,3,0),0)</f>
        <v>0</v>
      </c>
      <c r="N118" s="52">
        <f>IFERROR(VLOOKUP($A118,'I | Forecast 23-27'!$A$11:$N$160,N$8,0)*HLOOKUP(N$10,'I | Inflation'!$C$52:$H$54,3,0),0)</f>
        <v>0</v>
      </c>
      <c r="O118" s="54">
        <f t="shared" si="1"/>
        <v>0</v>
      </c>
      <c r="P118" s="53"/>
    </row>
    <row r="119" spans="1:16" s="4" customFormat="1" x14ac:dyDescent="0.3">
      <c r="A119" s="56">
        <v>109</v>
      </c>
      <c r="B119" s="49" t="str">
        <f>IF('I | Forecast 23-27'!B119="","",'I | Forecast 23-27'!B119)</f>
        <v/>
      </c>
      <c r="C119" s="47" t="str">
        <f>IF('I | Forecast 23-27'!C119="","",'I | Forecast 23-27'!C119)</f>
        <v/>
      </c>
      <c r="D119" s="47" t="str">
        <f>IF('I | Forecast 23-27'!D119="","",'I | Forecast 23-27'!D119)</f>
        <v/>
      </c>
      <c r="E119" s="47" t="str">
        <f>IF('I | Forecast 23-27'!E119="","",'I | Forecast 23-27'!E119)</f>
        <v/>
      </c>
      <c r="F119" s="47" t="str">
        <f>IF('I | Forecast 23-27'!F119="","",'I | Forecast 23-27'!F119)</f>
        <v/>
      </c>
      <c r="G119" s="47" t="str">
        <f>IF('I | Forecast 23-27'!G119="","",'I | Forecast 23-27'!G119)</f>
        <v/>
      </c>
      <c r="H119" s="47" t="str">
        <f>IF('I | Forecast 23-27'!H119="","",'I | Forecast 23-27'!H119)</f>
        <v/>
      </c>
      <c r="I119" s="50"/>
      <c r="J119" s="52">
        <f>IFERROR(VLOOKUP($A119,'I | Forecast 23-27'!$A$11:$N$160,J$8,0)*HLOOKUP(J$10,'I | Inflation'!$C$52:$H$54,3,0),0)</f>
        <v>0</v>
      </c>
      <c r="K119" s="52">
        <f>IFERROR(VLOOKUP($A119,'I | Forecast 23-27'!$A$11:$N$160,K$8,0)*HLOOKUP(K$10,'I | Inflation'!$C$52:$H$54,3,0),0)</f>
        <v>0</v>
      </c>
      <c r="L119" s="52">
        <f>IFERROR(VLOOKUP($A119,'I | Forecast 23-27'!$A$11:$N$160,L$8,0)*HLOOKUP(L$10,'I | Inflation'!$C$52:$H$54,3,0),0)</f>
        <v>0</v>
      </c>
      <c r="M119" s="52">
        <f>IFERROR(VLOOKUP($A119,'I | Forecast 23-27'!$A$11:$N$160,M$8,0)*HLOOKUP(M$10,'I | Inflation'!$C$52:$H$54,3,0),0)</f>
        <v>0</v>
      </c>
      <c r="N119" s="52">
        <f>IFERROR(VLOOKUP($A119,'I | Forecast 23-27'!$A$11:$N$160,N$8,0)*HLOOKUP(N$10,'I | Inflation'!$C$52:$H$54,3,0),0)</f>
        <v>0</v>
      </c>
      <c r="O119" s="54">
        <f t="shared" si="1"/>
        <v>0</v>
      </c>
      <c r="P119" s="53"/>
    </row>
    <row r="120" spans="1:16" s="4" customFormat="1" x14ac:dyDescent="0.3">
      <c r="A120" s="56">
        <v>110</v>
      </c>
      <c r="B120" s="49" t="str">
        <f>IF('I | Forecast 23-27'!B120="","",'I | Forecast 23-27'!B120)</f>
        <v/>
      </c>
      <c r="C120" s="47" t="str">
        <f>IF('I | Forecast 23-27'!C120="","",'I | Forecast 23-27'!C120)</f>
        <v/>
      </c>
      <c r="D120" s="47" t="str">
        <f>IF('I | Forecast 23-27'!D120="","",'I | Forecast 23-27'!D120)</f>
        <v/>
      </c>
      <c r="E120" s="47" t="str">
        <f>IF('I | Forecast 23-27'!E120="","",'I | Forecast 23-27'!E120)</f>
        <v/>
      </c>
      <c r="F120" s="47" t="str">
        <f>IF('I | Forecast 23-27'!F120="","",'I | Forecast 23-27'!F120)</f>
        <v/>
      </c>
      <c r="G120" s="47" t="str">
        <f>IF('I | Forecast 23-27'!G120="","",'I | Forecast 23-27'!G120)</f>
        <v/>
      </c>
      <c r="H120" s="47" t="str">
        <f>IF('I | Forecast 23-27'!H120="","",'I | Forecast 23-27'!H120)</f>
        <v/>
      </c>
      <c r="I120" s="50"/>
      <c r="J120" s="52">
        <f>IFERROR(VLOOKUP($A120,'I | Forecast 23-27'!$A$11:$N$160,J$8,0)*HLOOKUP(J$10,'I | Inflation'!$C$52:$H$54,3,0),0)</f>
        <v>0</v>
      </c>
      <c r="K120" s="52">
        <f>IFERROR(VLOOKUP($A120,'I | Forecast 23-27'!$A$11:$N$160,K$8,0)*HLOOKUP(K$10,'I | Inflation'!$C$52:$H$54,3,0),0)</f>
        <v>0</v>
      </c>
      <c r="L120" s="52">
        <f>IFERROR(VLOOKUP($A120,'I | Forecast 23-27'!$A$11:$N$160,L$8,0)*HLOOKUP(L$10,'I | Inflation'!$C$52:$H$54,3,0),0)</f>
        <v>0</v>
      </c>
      <c r="M120" s="52">
        <f>IFERROR(VLOOKUP($A120,'I | Forecast 23-27'!$A$11:$N$160,M$8,0)*HLOOKUP(M$10,'I | Inflation'!$C$52:$H$54,3,0),0)</f>
        <v>0</v>
      </c>
      <c r="N120" s="52">
        <f>IFERROR(VLOOKUP($A120,'I | Forecast 23-27'!$A$11:$N$160,N$8,0)*HLOOKUP(N$10,'I | Inflation'!$C$52:$H$54,3,0),0)</f>
        <v>0</v>
      </c>
      <c r="O120" s="54">
        <f t="shared" si="1"/>
        <v>0</v>
      </c>
      <c r="P120" s="53"/>
    </row>
    <row r="121" spans="1:16" s="4" customFormat="1" x14ac:dyDescent="0.3">
      <c r="A121" s="56">
        <v>111</v>
      </c>
      <c r="B121" s="49" t="str">
        <f>IF('I | Forecast 23-27'!B121="","",'I | Forecast 23-27'!B121)</f>
        <v/>
      </c>
      <c r="C121" s="47" t="str">
        <f>IF('I | Forecast 23-27'!C121="","",'I | Forecast 23-27'!C121)</f>
        <v/>
      </c>
      <c r="D121" s="47" t="str">
        <f>IF('I | Forecast 23-27'!D121="","",'I | Forecast 23-27'!D121)</f>
        <v/>
      </c>
      <c r="E121" s="47" t="str">
        <f>IF('I | Forecast 23-27'!E121="","",'I | Forecast 23-27'!E121)</f>
        <v/>
      </c>
      <c r="F121" s="47" t="str">
        <f>IF('I | Forecast 23-27'!F121="","",'I | Forecast 23-27'!F121)</f>
        <v/>
      </c>
      <c r="G121" s="47" t="str">
        <f>IF('I | Forecast 23-27'!G121="","",'I | Forecast 23-27'!G121)</f>
        <v/>
      </c>
      <c r="H121" s="47" t="str">
        <f>IF('I | Forecast 23-27'!H121="","",'I | Forecast 23-27'!H121)</f>
        <v/>
      </c>
      <c r="I121" s="50"/>
      <c r="J121" s="52">
        <f>IFERROR(VLOOKUP($A121,'I | Forecast 23-27'!$A$11:$N$160,J$8,0)*HLOOKUP(J$10,'I | Inflation'!$C$52:$H$54,3,0),0)</f>
        <v>0</v>
      </c>
      <c r="K121" s="52">
        <f>IFERROR(VLOOKUP($A121,'I | Forecast 23-27'!$A$11:$N$160,K$8,0)*HLOOKUP(K$10,'I | Inflation'!$C$52:$H$54,3,0),0)</f>
        <v>0</v>
      </c>
      <c r="L121" s="52">
        <f>IFERROR(VLOOKUP($A121,'I | Forecast 23-27'!$A$11:$N$160,L$8,0)*HLOOKUP(L$10,'I | Inflation'!$C$52:$H$54,3,0),0)</f>
        <v>0</v>
      </c>
      <c r="M121" s="52">
        <f>IFERROR(VLOOKUP($A121,'I | Forecast 23-27'!$A$11:$N$160,M$8,0)*HLOOKUP(M$10,'I | Inflation'!$C$52:$H$54,3,0),0)</f>
        <v>0</v>
      </c>
      <c r="N121" s="52">
        <f>IFERROR(VLOOKUP($A121,'I | Forecast 23-27'!$A$11:$N$160,N$8,0)*HLOOKUP(N$10,'I | Inflation'!$C$52:$H$54,3,0),0)</f>
        <v>0</v>
      </c>
      <c r="O121" s="54">
        <f t="shared" si="1"/>
        <v>0</v>
      </c>
      <c r="P121" s="53"/>
    </row>
    <row r="122" spans="1:16" s="4" customFormat="1" x14ac:dyDescent="0.3">
      <c r="A122" s="56">
        <v>112</v>
      </c>
      <c r="B122" s="49" t="str">
        <f>IF('I | Forecast 23-27'!B122="","",'I | Forecast 23-27'!B122)</f>
        <v/>
      </c>
      <c r="C122" s="47" t="str">
        <f>IF('I | Forecast 23-27'!C122="","",'I | Forecast 23-27'!C122)</f>
        <v/>
      </c>
      <c r="D122" s="47" t="str">
        <f>IF('I | Forecast 23-27'!D122="","",'I | Forecast 23-27'!D122)</f>
        <v/>
      </c>
      <c r="E122" s="47" t="str">
        <f>IF('I | Forecast 23-27'!E122="","",'I | Forecast 23-27'!E122)</f>
        <v/>
      </c>
      <c r="F122" s="47" t="str">
        <f>IF('I | Forecast 23-27'!F122="","",'I | Forecast 23-27'!F122)</f>
        <v/>
      </c>
      <c r="G122" s="47" t="str">
        <f>IF('I | Forecast 23-27'!G122="","",'I | Forecast 23-27'!G122)</f>
        <v/>
      </c>
      <c r="H122" s="47" t="str">
        <f>IF('I | Forecast 23-27'!H122="","",'I | Forecast 23-27'!H122)</f>
        <v/>
      </c>
      <c r="I122" s="50"/>
      <c r="J122" s="52">
        <f>IFERROR(VLOOKUP($A122,'I | Forecast 23-27'!$A$11:$N$160,J$8,0)*HLOOKUP(J$10,'I | Inflation'!$C$52:$H$54,3,0),0)</f>
        <v>0</v>
      </c>
      <c r="K122" s="52">
        <f>IFERROR(VLOOKUP($A122,'I | Forecast 23-27'!$A$11:$N$160,K$8,0)*HLOOKUP(K$10,'I | Inflation'!$C$52:$H$54,3,0),0)</f>
        <v>0</v>
      </c>
      <c r="L122" s="52">
        <f>IFERROR(VLOOKUP($A122,'I | Forecast 23-27'!$A$11:$N$160,L$8,0)*HLOOKUP(L$10,'I | Inflation'!$C$52:$H$54,3,0),0)</f>
        <v>0</v>
      </c>
      <c r="M122" s="52">
        <f>IFERROR(VLOOKUP($A122,'I | Forecast 23-27'!$A$11:$N$160,M$8,0)*HLOOKUP(M$10,'I | Inflation'!$C$52:$H$54,3,0),0)</f>
        <v>0</v>
      </c>
      <c r="N122" s="52">
        <f>IFERROR(VLOOKUP($A122,'I | Forecast 23-27'!$A$11:$N$160,N$8,0)*HLOOKUP(N$10,'I | Inflation'!$C$52:$H$54,3,0),0)</f>
        <v>0</v>
      </c>
      <c r="O122" s="54">
        <f t="shared" si="1"/>
        <v>0</v>
      </c>
      <c r="P122" s="53"/>
    </row>
    <row r="123" spans="1:16" s="4" customFormat="1" x14ac:dyDescent="0.3">
      <c r="A123" s="56">
        <v>113</v>
      </c>
      <c r="B123" s="49" t="str">
        <f>IF('I | Forecast 23-27'!B123="","",'I | Forecast 23-27'!B123)</f>
        <v/>
      </c>
      <c r="C123" s="47" t="str">
        <f>IF('I | Forecast 23-27'!C123="","",'I | Forecast 23-27'!C123)</f>
        <v/>
      </c>
      <c r="D123" s="47" t="str">
        <f>IF('I | Forecast 23-27'!D123="","",'I | Forecast 23-27'!D123)</f>
        <v/>
      </c>
      <c r="E123" s="47" t="str">
        <f>IF('I | Forecast 23-27'!E123="","",'I | Forecast 23-27'!E123)</f>
        <v/>
      </c>
      <c r="F123" s="47" t="str">
        <f>IF('I | Forecast 23-27'!F123="","",'I | Forecast 23-27'!F123)</f>
        <v/>
      </c>
      <c r="G123" s="47" t="str">
        <f>IF('I | Forecast 23-27'!G123="","",'I | Forecast 23-27'!G123)</f>
        <v/>
      </c>
      <c r="H123" s="47" t="str">
        <f>IF('I | Forecast 23-27'!H123="","",'I | Forecast 23-27'!H123)</f>
        <v/>
      </c>
      <c r="I123" s="50"/>
      <c r="J123" s="52">
        <f>IFERROR(VLOOKUP($A123,'I | Forecast 23-27'!$A$11:$N$160,J$8,0)*HLOOKUP(J$10,'I | Inflation'!$C$52:$H$54,3,0),0)</f>
        <v>0</v>
      </c>
      <c r="K123" s="52">
        <f>IFERROR(VLOOKUP($A123,'I | Forecast 23-27'!$A$11:$N$160,K$8,0)*HLOOKUP(K$10,'I | Inflation'!$C$52:$H$54,3,0),0)</f>
        <v>0</v>
      </c>
      <c r="L123" s="52">
        <f>IFERROR(VLOOKUP($A123,'I | Forecast 23-27'!$A$11:$N$160,L$8,0)*HLOOKUP(L$10,'I | Inflation'!$C$52:$H$54,3,0),0)</f>
        <v>0</v>
      </c>
      <c r="M123" s="52">
        <f>IFERROR(VLOOKUP($A123,'I | Forecast 23-27'!$A$11:$N$160,M$8,0)*HLOOKUP(M$10,'I | Inflation'!$C$52:$H$54,3,0),0)</f>
        <v>0</v>
      </c>
      <c r="N123" s="52">
        <f>IFERROR(VLOOKUP($A123,'I | Forecast 23-27'!$A$11:$N$160,N$8,0)*HLOOKUP(N$10,'I | Inflation'!$C$52:$H$54,3,0),0)</f>
        <v>0</v>
      </c>
      <c r="O123" s="54">
        <f t="shared" si="1"/>
        <v>0</v>
      </c>
      <c r="P123" s="53"/>
    </row>
    <row r="124" spans="1:16" s="4" customFormat="1" x14ac:dyDescent="0.3">
      <c r="A124" s="56">
        <v>114</v>
      </c>
      <c r="B124" s="49" t="str">
        <f>IF('I | Forecast 23-27'!B124="","",'I | Forecast 23-27'!B124)</f>
        <v/>
      </c>
      <c r="C124" s="47" t="str">
        <f>IF('I | Forecast 23-27'!C124="","",'I | Forecast 23-27'!C124)</f>
        <v/>
      </c>
      <c r="D124" s="47" t="str">
        <f>IF('I | Forecast 23-27'!D124="","",'I | Forecast 23-27'!D124)</f>
        <v/>
      </c>
      <c r="E124" s="47" t="str">
        <f>IF('I | Forecast 23-27'!E124="","",'I | Forecast 23-27'!E124)</f>
        <v/>
      </c>
      <c r="F124" s="47" t="str">
        <f>IF('I | Forecast 23-27'!F124="","",'I | Forecast 23-27'!F124)</f>
        <v/>
      </c>
      <c r="G124" s="47" t="str">
        <f>IF('I | Forecast 23-27'!G124="","",'I | Forecast 23-27'!G124)</f>
        <v/>
      </c>
      <c r="H124" s="47" t="str">
        <f>IF('I | Forecast 23-27'!H124="","",'I | Forecast 23-27'!H124)</f>
        <v/>
      </c>
      <c r="I124" s="50"/>
      <c r="J124" s="52">
        <f>IFERROR(VLOOKUP($A124,'I | Forecast 23-27'!$A$11:$N$160,J$8,0)*HLOOKUP(J$10,'I | Inflation'!$C$52:$H$54,3,0),0)</f>
        <v>0</v>
      </c>
      <c r="K124" s="52">
        <f>IFERROR(VLOOKUP($A124,'I | Forecast 23-27'!$A$11:$N$160,K$8,0)*HLOOKUP(K$10,'I | Inflation'!$C$52:$H$54,3,0),0)</f>
        <v>0</v>
      </c>
      <c r="L124" s="52">
        <f>IFERROR(VLOOKUP($A124,'I | Forecast 23-27'!$A$11:$N$160,L$8,0)*HLOOKUP(L$10,'I | Inflation'!$C$52:$H$54,3,0),0)</f>
        <v>0</v>
      </c>
      <c r="M124" s="52">
        <f>IFERROR(VLOOKUP($A124,'I | Forecast 23-27'!$A$11:$N$160,M$8,0)*HLOOKUP(M$10,'I | Inflation'!$C$52:$H$54,3,0),0)</f>
        <v>0</v>
      </c>
      <c r="N124" s="52">
        <f>IFERROR(VLOOKUP($A124,'I | Forecast 23-27'!$A$11:$N$160,N$8,0)*HLOOKUP(N$10,'I | Inflation'!$C$52:$H$54,3,0),0)</f>
        <v>0</v>
      </c>
      <c r="O124" s="54">
        <f t="shared" si="1"/>
        <v>0</v>
      </c>
      <c r="P124" s="53"/>
    </row>
    <row r="125" spans="1:16" x14ac:dyDescent="0.3">
      <c r="A125" s="56">
        <v>115</v>
      </c>
      <c r="B125" s="49" t="str">
        <f>IF('I | Forecast 23-27'!B125="","",'I | Forecast 23-27'!B125)</f>
        <v/>
      </c>
      <c r="C125" s="47" t="str">
        <f>IF('I | Forecast 23-27'!C125="","",'I | Forecast 23-27'!C125)</f>
        <v/>
      </c>
      <c r="D125" s="47" t="str">
        <f>IF('I | Forecast 23-27'!D125="","",'I | Forecast 23-27'!D125)</f>
        <v/>
      </c>
      <c r="E125" s="47" t="str">
        <f>IF('I | Forecast 23-27'!E125="","",'I | Forecast 23-27'!E125)</f>
        <v/>
      </c>
      <c r="F125" s="47" t="str">
        <f>IF('I | Forecast 23-27'!F125="","",'I | Forecast 23-27'!F125)</f>
        <v/>
      </c>
      <c r="G125" s="47" t="str">
        <f>IF('I | Forecast 23-27'!G125="","",'I | Forecast 23-27'!G125)</f>
        <v/>
      </c>
      <c r="H125" s="47" t="str">
        <f>IF('I | Forecast 23-27'!H125="","",'I | Forecast 23-27'!H125)</f>
        <v/>
      </c>
      <c r="I125" s="50"/>
      <c r="J125" s="52">
        <f>IFERROR(VLOOKUP($A125,'I | Forecast 23-27'!$A$11:$N$160,J$8,0)*HLOOKUP(J$10,'I | Inflation'!$C$52:$H$54,3,0),0)</f>
        <v>0</v>
      </c>
      <c r="K125" s="52">
        <f>IFERROR(VLOOKUP($A125,'I | Forecast 23-27'!$A$11:$N$160,K$8,0)*HLOOKUP(K$10,'I | Inflation'!$C$52:$H$54,3,0),0)</f>
        <v>0</v>
      </c>
      <c r="L125" s="52">
        <f>IFERROR(VLOOKUP($A125,'I | Forecast 23-27'!$A$11:$N$160,L$8,0)*HLOOKUP(L$10,'I | Inflation'!$C$52:$H$54,3,0),0)</f>
        <v>0</v>
      </c>
      <c r="M125" s="52">
        <f>IFERROR(VLOOKUP($A125,'I | Forecast 23-27'!$A$11:$N$160,M$8,0)*HLOOKUP(M$10,'I | Inflation'!$C$52:$H$54,3,0),0)</f>
        <v>0</v>
      </c>
      <c r="N125" s="52">
        <f>IFERROR(VLOOKUP($A125,'I | Forecast 23-27'!$A$11:$N$160,N$8,0)*HLOOKUP(N$10,'I | Inflation'!$C$52:$H$54,3,0),0)</f>
        <v>0</v>
      </c>
      <c r="O125" s="54">
        <f t="shared" si="1"/>
        <v>0</v>
      </c>
      <c r="P125" s="53"/>
    </row>
    <row r="126" spans="1:16" x14ac:dyDescent="0.3">
      <c r="A126" s="56">
        <v>116</v>
      </c>
      <c r="B126" s="49" t="str">
        <f>IF('I | Forecast 23-27'!B126="","",'I | Forecast 23-27'!B126)</f>
        <v/>
      </c>
      <c r="C126" s="47" t="str">
        <f>IF('I | Forecast 23-27'!C126="","",'I | Forecast 23-27'!C126)</f>
        <v/>
      </c>
      <c r="D126" s="47" t="str">
        <f>IF('I | Forecast 23-27'!D126="","",'I | Forecast 23-27'!D126)</f>
        <v/>
      </c>
      <c r="E126" s="47" t="str">
        <f>IF('I | Forecast 23-27'!E126="","",'I | Forecast 23-27'!E126)</f>
        <v/>
      </c>
      <c r="F126" s="47" t="str">
        <f>IF('I | Forecast 23-27'!F126="","",'I | Forecast 23-27'!F126)</f>
        <v/>
      </c>
      <c r="G126" s="47" t="str">
        <f>IF('I | Forecast 23-27'!G126="","",'I | Forecast 23-27'!G126)</f>
        <v/>
      </c>
      <c r="H126" s="47" t="str">
        <f>IF('I | Forecast 23-27'!H126="","",'I | Forecast 23-27'!H126)</f>
        <v/>
      </c>
      <c r="I126" s="50"/>
      <c r="J126" s="52">
        <f>IFERROR(VLOOKUP($A126,'I | Forecast 23-27'!$A$11:$N$160,J$8,0)*HLOOKUP(J$10,'I | Inflation'!$C$52:$H$54,3,0),0)</f>
        <v>0</v>
      </c>
      <c r="K126" s="52">
        <f>IFERROR(VLOOKUP($A126,'I | Forecast 23-27'!$A$11:$N$160,K$8,0)*HLOOKUP(K$10,'I | Inflation'!$C$52:$H$54,3,0),0)</f>
        <v>0</v>
      </c>
      <c r="L126" s="52">
        <f>IFERROR(VLOOKUP($A126,'I | Forecast 23-27'!$A$11:$N$160,L$8,0)*HLOOKUP(L$10,'I | Inflation'!$C$52:$H$54,3,0),0)</f>
        <v>0</v>
      </c>
      <c r="M126" s="52">
        <f>IFERROR(VLOOKUP($A126,'I | Forecast 23-27'!$A$11:$N$160,M$8,0)*HLOOKUP(M$10,'I | Inflation'!$C$52:$H$54,3,0),0)</f>
        <v>0</v>
      </c>
      <c r="N126" s="52">
        <f>IFERROR(VLOOKUP($A126,'I | Forecast 23-27'!$A$11:$N$160,N$8,0)*HLOOKUP(N$10,'I | Inflation'!$C$52:$H$54,3,0),0)</f>
        <v>0</v>
      </c>
      <c r="O126" s="54">
        <f t="shared" si="1"/>
        <v>0</v>
      </c>
      <c r="P126" s="53"/>
    </row>
    <row r="127" spans="1:16" x14ac:dyDescent="0.3">
      <c r="A127" s="56">
        <v>117</v>
      </c>
      <c r="B127" s="49" t="str">
        <f>IF('I | Forecast 23-27'!B127="","",'I | Forecast 23-27'!B127)</f>
        <v/>
      </c>
      <c r="C127" s="47" t="str">
        <f>IF('I | Forecast 23-27'!C127="","",'I | Forecast 23-27'!C127)</f>
        <v/>
      </c>
      <c r="D127" s="47" t="str">
        <f>IF('I | Forecast 23-27'!D127="","",'I | Forecast 23-27'!D127)</f>
        <v/>
      </c>
      <c r="E127" s="47" t="str">
        <f>IF('I | Forecast 23-27'!E127="","",'I | Forecast 23-27'!E127)</f>
        <v/>
      </c>
      <c r="F127" s="47" t="str">
        <f>IF('I | Forecast 23-27'!F127="","",'I | Forecast 23-27'!F127)</f>
        <v/>
      </c>
      <c r="G127" s="47" t="str">
        <f>IF('I | Forecast 23-27'!G127="","",'I | Forecast 23-27'!G127)</f>
        <v/>
      </c>
      <c r="H127" s="47" t="str">
        <f>IF('I | Forecast 23-27'!H127="","",'I | Forecast 23-27'!H127)</f>
        <v/>
      </c>
      <c r="I127" s="50"/>
      <c r="J127" s="52">
        <f>IFERROR(VLOOKUP($A127,'I | Forecast 23-27'!$A$11:$N$160,J$8,0)*HLOOKUP(J$10,'I | Inflation'!$C$52:$H$54,3,0),0)</f>
        <v>0</v>
      </c>
      <c r="K127" s="52">
        <f>IFERROR(VLOOKUP($A127,'I | Forecast 23-27'!$A$11:$N$160,K$8,0)*HLOOKUP(K$10,'I | Inflation'!$C$52:$H$54,3,0),0)</f>
        <v>0</v>
      </c>
      <c r="L127" s="52">
        <f>IFERROR(VLOOKUP($A127,'I | Forecast 23-27'!$A$11:$N$160,L$8,0)*HLOOKUP(L$10,'I | Inflation'!$C$52:$H$54,3,0),0)</f>
        <v>0</v>
      </c>
      <c r="M127" s="52">
        <f>IFERROR(VLOOKUP($A127,'I | Forecast 23-27'!$A$11:$N$160,M$8,0)*HLOOKUP(M$10,'I | Inflation'!$C$52:$H$54,3,0),0)</f>
        <v>0</v>
      </c>
      <c r="N127" s="52">
        <f>IFERROR(VLOOKUP($A127,'I | Forecast 23-27'!$A$11:$N$160,N$8,0)*HLOOKUP(N$10,'I | Inflation'!$C$52:$H$54,3,0),0)</f>
        <v>0</v>
      </c>
      <c r="O127" s="54">
        <f t="shared" si="1"/>
        <v>0</v>
      </c>
      <c r="P127" s="53"/>
    </row>
    <row r="128" spans="1:16" x14ac:dyDescent="0.3">
      <c r="A128" s="56">
        <v>118</v>
      </c>
      <c r="B128" s="49" t="str">
        <f>IF('I | Forecast 23-27'!B128="","",'I | Forecast 23-27'!B128)</f>
        <v/>
      </c>
      <c r="C128" s="47" t="str">
        <f>IF('I | Forecast 23-27'!C128="","",'I | Forecast 23-27'!C128)</f>
        <v/>
      </c>
      <c r="D128" s="47" t="str">
        <f>IF('I | Forecast 23-27'!D128="","",'I | Forecast 23-27'!D128)</f>
        <v/>
      </c>
      <c r="E128" s="47" t="str">
        <f>IF('I | Forecast 23-27'!E128="","",'I | Forecast 23-27'!E128)</f>
        <v/>
      </c>
      <c r="F128" s="47" t="str">
        <f>IF('I | Forecast 23-27'!F128="","",'I | Forecast 23-27'!F128)</f>
        <v/>
      </c>
      <c r="G128" s="47" t="str">
        <f>IF('I | Forecast 23-27'!G128="","",'I | Forecast 23-27'!G128)</f>
        <v/>
      </c>
      <c r="H128" s="47" t="str">
        <f>IF('I | Forecast 23-27'!H128="","",'I | Forecast 23-27'!H128)</f>
        <v/>
      </c>
      <c r="I128" s="50"/>
      <c r="J128" s="52">
        <f>IFERROR(VLOOKUP($A128,'I | Forecast 23-27'!$A$11:$N$160,J$8,0)*HLOOKUP(J$10,'I | Inflation'!$C$52:$H$54,3,0),0)</f>
        <v>0</v>
      </c>
      <c r="K128" s="52">
        <f>IFERROR(VLOOKUP($A128,'I | Forecast 23-27'!$A$11:$N$160,K$8,0)*HLOOKUP(K$10,'I | Inflation'!$C$52:$H$54,3,0),0)</f>
        <v>0</v>
      </c>
      <c r="L128" s="52">
        <f>IFERROR(VLOOKUP($A128,'I | Forecast 23-27'!$A$11:$N$160,L$8,0)*HLOOKUP(L$10,'I | Inflation'!$C$52:$H$54,3,0),0)</f>
        <v>0</v>
      </c>
      <c r="M128" s="52">
        <f>IFERROR(VLOOKUP($A128,'I | Forecast 23-27'!$A$11:$N$160,M$8,0)*HLOOKUP(M$10,'I | Inflation'!$C$52:$H$54,3,0),0)</f>
        <v>0</v>
      </c>
      <c r="N128" s="52">
        <f>IFERROR(VLOOKUP($A128,'I | Forecast 23-27'!$A$11:$N$160,N$8,0)*HLOOKUP(N$10,'I | Inflation'!$C$52:$H$54,3,0),0)</f>
        <v>0</v>
      </c>
      <c r="O128" s="54">
        <f t="shared" si="1"/>
        <v>0</v>
      </c>
      <c r="P128" s="53"/>
    </row>
    <row r="129" spans="1:16" x14ac:dyDescent="0.3">
      <c r="A129" s="56">
        <v>119</v>
      </c>
      <c r="B129" s="49" t="str">
        <f>IF('I | Forecast 23-27'!B129="","",'I | Forecast 23-27'!B129)</f>
        <v/>
      </c>
      <c r="C129" s="47" t="str">
        <f>IF('I | Forecast 23-27'!C129="","",'I | Forecast 23-27'!C129)</f>
        <v/>
      </c>
      <c r="D129" s="47" t="str">
        <f>IF('I | Forecast 23-27'!D129="","",'I | Forecast 23-27'!D129)</f>
        <v/>
      </c>
      <c r="E129" s="47" t="str">
        <f>IF('I | Forecast 23-27'!E129="","",'I | Forecast 23-27'!E129)</f>
        <v/>
      </c>
      <c r="F129" s="47" t="str">
        <f>IF('I | Forecast 23-27'!F129="","",'I | Forecast 23-27'!F129)</f>
        <v/>
      </c>
      <c r="G129" s="47" t="str">
        <f>IF('I | Forecast 23-27'!G129="","",'I | Forecast 23-27'!G129)</f>
        <v/>
      </c>
      <c r="H129" s="47" t="str">
        <f>IF('I | Forecast 23-27'!H129="","",'I | Forecast 23-27'!H129)</f>
        <v/>
      </c>
      <c r="I129" s="50"/>
      <c r="J129" s="52">
        <f>IFERROR(VLOOKUP($A129,'I | Forecast 23-27'!$A$11:$N$160,J$8,0)*HLOOKUP(J$10,'I | Inflation'!$C$52:$H$54,3,0),0)</f>
        <v>0</v>
      </c>
      <c r="K129" s="52">
        <f>IFERROR(VLOOKUP($A129,'I | Forecast 23-27'!$A$11:$N$160,K$8,0)*HLOOKUP(K$10,'I | Inflation'!$C$52:$H$54,3,0),0)</f>
        <v>0</v>
      </c>
      <c r="L129" s="52">
        <f>IFERROR(VLOOKUP($A129,'I | Forecast 23-27'!$A$11:$N$160,L$8,0)*HLOOKUP(L$10,'I | Inflation'!$C$52:$H$54,3,0),0)</f>
        <v>0</v>
      </c>
      <c r="M129" s="52">
        <f>IFERROR(VLOOKUP($A129,'I | Forecast 23-27'!$A$11:$N$160,M$8,0)*HLOOKUP(M$10,'I | Inflation'!$C$52:$H$54,3,0),0)</f>
        <v>0</v>
      </c>
      <c r="N129" s="52">
        <f>IFERROR(VLOOKUP($A129,'I | Forecast 23-27'!$A$11:$N$160,N$8,0)*HLOOKUP(N$10,'I | Inflation'!$C$52:$H$54,3,0),0)</f>
        <v>0</v>
      </c>
      <c r="O129" s="54">
        <f t="shared" si="1"/>
        <v>0</v>
      </c>
      <c r="P129" s="53"/>
    </row>
    <row r="130" spans="1:16" s="4" customFormat="1" x14ac:dyDescent="0.3">
      <c r="A130" s="56">
        <v>120</v>
      </c>
      <c r="B130" s="49" t="str">
        <f>IF('I | Forecast 23-27'!B130="","",'I | Forecast 23-27'!B130)</f>
        <v/>
      </c>
      <c r="C130" s="47" t="str">
        <f>IF('I | Forecast 23-27'!C130="","",'I | Forecast 23-27'!C130)</f>
        <v/>
      </c>
      <c r="D130" s="47" t="str">
        <f>IF('I | Forecast 23-27'!D130="","",'I | Forecast 23-27'!D130)</f>
        <v/>
      </c>
      <c r="E130" s="47" t="str">
        <f>IF('I | Forecast 23-27'!E130="","",'I | Forecast 23-27'!E130)</f>
        <v/>
      </c>
      <c r="F130" s="47" t="str">
        <f>IF('I | Forecast 23-27'!F130="","",'I | Forecast 23-27'!F130)</f>
        <v/>
      </c>
      <c r="G130" s="47" t="str">
        <f>IF('I | Forecast 23-27'!G130="","",'I | Forecast 23-27'!G130)</f>
        <v/>
      </c>
      <c r="H130" s="47" t="str">
        <f>IF('I | Forecast 23-27'!H130="","",'I | Forecast 23-27'!H130)</f>
        <v/>
      </c>
      <c r="I130" s="50"/>
      <c r="J130" s="52">
        <f>IFERROR(VLOOKUP($A130,'I | Forecast 23-27'!$A$11:$N$160,J$8,0)*HLOOKUP(J$10,'I | Inflation'!$C$52:$H$54,3,0),0)</f>
        <v>0</v>
      </c>
      <c r="K130" s="52">
        <f>IFERROR(VLOOKUP($A130,'I | Forecast 23-27'!$A$11:$N$160,K$8,0)*HLOOKUP(K$10,'I | Inflation'!$C$52:$H$54,3,0),0)</f>
        <v>0</v>
      </c>
      <c r="L130" s="52">
        <f>IFERROR(VLOOKUP($A130,'I | Forecast 23-27'!$A$11:$N$160,L$8,0)*HLOOKUP(L$10,'I | Inflation'!$C$52:$H$54,3,0),0)</f>
        <v>0</v>
      </c>
      <c r="M130" s="52">
        <f>IFERROR(VLOOKUP($A130,'I | Forecast 23-27'!$A$11:$N$160,M$8,0)*HLOOKUP(M$10,'I | Inflation'!$C$52:$H$54,3,0),0)</f>
        <v>0</v>
      </c>
      <c r="N130" s="52">
        <f>IFERROR(VLOOKUP($A130,'I | Forecast 23-27'!$A$11:$N$160,N$8,0)*HLOOKUP(N$10,'I | Inflation'!$C$52:$H$54,3,0),0)</f>
        <v>0</v>
      </c>
      <c r="O130" s="54">
        <f t="shared" si="1"/>
        <v>0</v>
      </c>
      <c r="P130" s="53"/>
    </row>
    <row r="131" spans="1:16" s="4" customFormat="1" x14ac:dyDescent="0.3">
      <c r="A131" s="56">
        <v>121</v>
      </c>
      <c r="B131" s="49" t="str">
        <f>IF('I | Forecast 23-27'!B131="","",'I | Forecast 23-27'!B131)</f>
        <v/>
      </c>
      <c r="C131" s="47" t="str">
        <f>IF('I | Forecast 23-27'!C131="","",'I | Forecast 23-27'!C131)</f>
        <v/>
      </c>
      <c r="D131" s="47" t="str">
        <f>IF('I | Forecast 23-27'!D131="","",'I | Forecast 23-27'!D131)</f>
        <v/>
      </c>
      <c r="E131" s="47" t="str">
        <f>IF('I | Forecast 23-27'!E131="","",'I | Forecast 23-27'!E131)</f>
        <v/>
      </c>
      <c r="F131" s="47" t="str">
        <f>IF('I | Forecast 23-27'!F131="","",'I | Forecast 23-27'!F131)</f>
        <v/>
      </c>
      <c r="G131" s="47" t="str">
        <f>IF('I | Forecast 23-27'!G131="","",'I | Forecast 23-27'!G131)</f>
        <v/>
      </c>
      <c r="H131" s="47" t="str">
        <f>IF('I | Forecast 23-27'!H131="","",'I | Forecast 23-27'!H131)</f>
        <v/>
      </c>
      <c r="I131" s="50"/>
      <c r="J131" s="52">
        <f>IFERROR(VLOOKUP($A131,'I | Forecast 23-27'!$A$11:$N$160,J$8,0)*HLOOKUP(J$10,'I | Inflation'!$C$52:$H$54,3,0),0)</f>
        <v>0</v>
      </c>
      <c r="K131" s="52">
        <f>IFERROR(VLOOKUP($A131,'I | Forecast 23-27'!$A$11:$N$160,K$8,0)*HLOOKUP(K$10,'I | Inflation'!$C$52:$H$54,3,0),0)</f>
        <v>0</v>
      </c>
      <c r="L131" s="52">
        <f>IFERROR(VLOOKUP($A131,'I | Forecast 23-27'!$A$11:$N$160,L$8,0)*HLOOKUP(L$10,'I | Inflation'!$C$52:$H$54,3,0),0)</f>
        <v>0</v>
      </c>
      <c r="M131" s="52">
        <f>IFERROR(VLOOKUP($A131,'I | Forecast 23-27'!$A$11:$N$160,M$8,0)*HLOOKUP(M$10,'I | Inflation'!$C$52:$H$54,3,0),0)</f>
        <v>0</v>
      </c>
      <c r="N131" s="52">
        <f>IFERROR(VLOOKUP($A131,'I | Forecast 23-27'!$A$11:$N$160,N$8,0)*HLOOKUP(N$10,'I | Inflation'!$C$52:$H$54,3,0),0)</f>
        <v>0</v>
      </c>
      <c r="O131" s="54">
        <f t="shared" si="1"/>
        <v>0</v>
      </c>
      <c r="P131" s="53"/>
    </row>
    <row r="132" spans="1:16" s="4" customFormat="1" x14ac:dyDescent="0.3">
      <c r="A132" s="56">
        <v>122</v>
      </c>
      <c r="B132" s="49" t="str">
        <f>IF('I | Forecast 23-27'!B132="","",'I | Forecast 23-27'!B132)</f>
        <v/>
      </c>
      <c r="C132" s="47" t="str">
        <f>IF('I | Forecast 23-27'!C132="","",'I | Forecast 23-27'!C132)</f>
        <v/>
      </c>
      <c r="D132" s="47" t="str">
        <f>IF('I | Forecast 23-27'!D132="","",'I | Forecast 23-27'!D132)</f>
        <v/>
      </c>
      <c r="E132" s="47" t="str">
        <f>IF('I | Forecast 23-27'!E132="","",'I | Forecast 23-27'!E132)</f>
        <v/>
      </c>
      <c r="F132" s="47" t="str">
        <f>IF('I | Forecast 23-27'!F132="","",'I | Forecast 23-27'!F132)</f>
        <v/>
      </c>
      <c r="G132" s="47" t="str">
        <f>IF('I | Forecast 23-27'!G132="","",'I | Forecast 23-27'!G132)</f>
        <v/>
      </c>
      <c r="H132" s="47" t="str">
        <f>IF('I | Forecast 23-27'!H132="","",'I | Forecast 23-27'!H132)</f>
        <v/>
      </c>
      <c r="I132" s="50"/>
      <c r="J132" s="52">
        <f>IFERROR(VLOOKUP($A132,'I | Forecast 23-27'!$A$11:$N$160,J$8,0)*HLOOKUP(J$10,'I | Inflation'!$C$52:$H$54,3,0),0)</f>
        <v>0</v>
      </c>
      <c r="K132" s="52">
        <f>IFERROR(VLOOKUP($A132,'I | Forecast 23-27'!$A$11:$N$160,K$8,0)*HLOOKUP(K$10,'I | Inflation'!$C$52:$H$54,3,0),0)</f>
        <v>0</v>
      </c>
      <c r="L132" s="52">
        <f>IFERROR(VLOOKUP($A132,'I | Forecast 23-27'!$A$11:$N$160,L$8,0)*HLOOKUP(L$10,'I | Inflation'!$C$52:$H$54,3,0),0)</f>
        <v>0</v>
      </c>
      <c r="M132" s="52">
        <f>IFERROR(VLOOKUP($A132,'I | Forecast 23-27'!$A$11:$N$160,M$8,0)*HLOOKUP(M$10,'I | Inflation'!$C$52:$H$54,3,0),0)</f>
        <v>0</v>
      </c>
      <c r="N132" s="52">
        <f>IFERROR(VLOOKUP($A132,'I | Forecast 23-27'!$A$11:$N$160,N$8,0)*HLOOKUP(N$10,'I | Inflation'!$C$52:$H$54,3,0),0)</f>
        <v>0</v>
      </c>
      <c r="O132" s="54">
        <f t="shared" si="1"/>
        <v>0</v>
      </c>
      <c r="P132" s="53"/>
    </row>
    <row r="133" spans="1:16" x14ac:dyDescent="0.3">
      <c r="A133" s="56">
        <v>123</v>
      </c>
      <c r="B133" s="49" t="str">
        <f>IF('I | Forecast 23-27'!B133="","",'I | Forecast 23-27'!B133)</f>
        <v/>
      </c>
      <c r="C133" s="47" t="str">
        <f>IF('I | Forecast 23-27'!C133="","",'I | Forecast 23-27'!C133)</f>
        <v/>
      </c>
      <c r="D133" s="47" t="str">
        <f>IF('I | Forecast 23-27'!D133="","",'I | Forecast 23-27'!D133)</f>
        <v/>
      </c>
      <c r="E133" s="47" t="str">
        <f>IF('I | Forecast 23-27'!E133="","",'I | Forecast 23-27'!E133)</f>
        <v/>
      </c>
      <c r="F133" s="47" t="str">
        <f>IF('I | Forecast 23-27'!F133="","",'I | Forecast 23-27'!F133)</f>
        <v/>
      </c>
      <c r="G133" s="47" t="str">
        <f>IF('I | Forecast 23-27'!G133="","",'I | Forecast 23-27'!G133)</f>
        <v/>
      </c>
      <c r="H133" s="47" t="str">
        <f>IF('I | Forecast 23-27'!H133="","",'I | Forecast 23-27'!H133)</f>
        <v/>
      </c>
      <c r="I133" s="50"/>
      <c r="J133" s="52">
        <f>IFERROR(VLOOKUP($A133,'I | Forecast 23-27'!$A$11:$N$160,J$8,0)*HLOOKUP(J$10,'I | Inflation'!$C$52:$H$54,3,0),0)</f>
        <v>0</v>
      </c>
      <c r="K133" s="52">
        <f>IFERROR(VLOOKUP($A133,'I | Forecast 23-27'!$A$11:$N$160,K$8,0)*HLOOKUP(K$10,'I | Inflation'!$C$52:$H$54,3,0),0)</f>
        <v>0</v>
      </c>
      <c r="L133" s="52">
        <f>IFERROR(VLOOKUP($A133,'I | Forecast 23-27'!$A$11:$N$160,L$8,0)*HLOOKUP(L$10,'I | Inflation'!$C$52:$H$54,3,0),0)</f>
        <v>0</v>
      </c>
      <c r="M133" s="52">
        <f>IFERROR(VLOOKUP($A133,'I | Forecast 23-27'!$A$11:$N$160,M$8,0)*HLOOKUP(M$10,'I | Inflation'!$C$52:$H$54,3,0),0)</f>
        <v>0</v>
      </c>
      <c r="N133" s="52">
        <f>IFERROR(VLOOKUP($A133,'I | Forecast 23-27'!$A$11:$N$160,N$8,0)*HLOOKUP(N$10,'I | Inflation'!$C$52:$H$54,3,0),0)</f>
        <v>0</v>
      </c>
      <c r="O133" s="54">
        <f t="shared" si="1"/>
        <v>0</v>
      </c>
      <c r="P133" s="53"/>
    </row>
    <row r="134" spans="1:16" x14ac:dyDescent="0.3">
      <c r="A134" s="56">
        <v>124</v>
      </c>
      <c r="B134" s="49" t="str">
        <f>IF('I | Forecast 23-27'!B134="","",'I | Forecast 23-27'!B134)</f>
        <v/>
      </c>
      <c r="C134" s="47" t="str">
        <f>IF('I | Forecast 23-27'!C134="","",'I | Forecast 23-27'!C134)</f>
        <v/>
      </c>
      <c r="D134" s="47" t="str">
        <f>IF('I | Forecast 23-27'!D134="","",'I | Forecast 23-27'!D134)</f>
        <v/>
      </c>
      <c r="E134" s="47" t="str">
        <f>IF('I | Forecast 23-27'!E134="","",'I | Forecast 23-27'!E134)</f>
        <v/>
      </c>
      <c r="F134" s="47" t="str">
        <f>IF('I | Forecast 23-27'!F134="","",'I | Forecast 23-27'!F134)</f>
        <v/>
      </c>
      <c r="G134" s="47" t="str">
        <f>IF('I | Forecast 23-27'!G134="","",'I | Forecast 23-27'!G134)</f>
        <v/>
      </c>
      <c r="H134" s="47" t="str">
        <f>IF('I | Forecast 23-27'!H134="","",'I | Forecast 23-27'!H134)</f>
        <v/>
      </c>
      <c r="I134" s="50"/>
      <c r="J134" s="52">
        <f>IFERROR(VLOOKUP($A134,'I | Forecast 23-27'!$A$11:$N$160,J$8,0)*HLOOKUP(J$10,'I | Inflation'!$C$52:$H$54,3,0),0)</f>
        <v>0</v>
      </c>
      <c r="K134" s="52">
        <f>IFERROR(VLOOKUP($A134,'I | Forecast 23-27'!$A$11:$N$160,K$8,0)*HLOOKUP(K$10,'I | Inflation'!$C$52:$H$54,3,0),0)</f>
        <v>0</v>
      </c>
      <c r="L134" s="52">
        <f>IFERROR(VLOOKUP($A134,'I | Forecast 23-27'!$A$11:$N$160,L$8,0)*HLOOKUP(L$10,'I | Inflation'!$C$52:$H$54,3,0),0)</f>
        <v>0</v>
      </c>
      <c r="M134" s="52">
        <f>IFERROR(VLOOKUP($A134,'I | Forecast 23-27'!$A$11:$N$160,M$8,0)*HLOOKUP(M$10,'I | Inflation'!$C$52:$H$54,3,0),0)</f>
        <v>0</v>
      </c>
      <c r="N134" s="52">
        <f>IFERROR(VLOOKUP($A134,'I | Forecast 23-27'!$A$11:$N$160,N$8,0)*HLOOKUP(N$10,'I | Inflation'!$C$52:$H$54,3,0),0)</f>
        <v>0</v>
      </c>
      <c r="O134" s="54">
        <f t="shared" si="1"/>
        <v>0</v>
      </c>
      <c r="P134" s="53"/>
    </row>
    <row r="135" spans="1:16" x14ac:dyDescent="0.3">
      <c r="A135" s="56">
        <v>125</v>
      </c>
      <c r="B135" s="49" t="str">
        <f>IF('I | Forecast 23-27'!B135="","",'I | Forecast 23-27'!B135)</f>
        <v/>
      </c>
      <c r="C135" s="47" t="str">
        <f>IF('I | Forecast 23-27'!C135="","",'I | Forecast 23-27'!C135)</f>
        <v/>
      </c>
      <c r="D135" s="47" t="str">
        <f>IF('I | Forecast 23-27'!D135="","",'I | Forecast 23-27'!D135)</f>
        <v/>
      </c>
      <c r="E135" s="47" t="str">
        <f>IF('I | Forecast 23-27'!E135="","",'I | Forecast 23-27'!E135)</f>
        <v/>
      </c>
      <c r="F135" s="47" t="str">
        <f>IF('I | Forecast 23-27'!F135="","",'I | Forecast 23-27'!F135)</f>
        <v/>
      </c>
      <c r="G135" s="47" t="str">
        <f>IF('I | Forecast 23-27'!G135="","",'I | Forecast 23-27'!G135)</f>
        <v/>
      </c>
      <c r="H135" s="47" t="str">
        <f>IF('I | Forecast 23-27'!H135="","",'I | Forecast 23-27'!H135)</f>
        <v/>
      </c>
      <c r="I135" s="50"/>
      <c r="J135" s="52">
        <f>IFERROR(VLOOKUP($A135,'I | Forecast 23-27'!$A$11:$N$160,J$8,0)*HLOOKUP(J$10,'I | Inflation'!$C$52:$H$54,3,0),0)</f>
        <v>0</v>
      </c>
      <c r="K135" s="52">
        <f>IFERROR(VLOOKUP($A135,'I | Forecast 23-27'!$A$11:$N$160,K$8,0)*HLOOKUP(K$10,'I | Inflation'!$C$52:$H$54,3,0),0)</f>
        <v>0</v>
      </c>
      <c r="L135" s="52">
        <f>IFERROR(VLOOKUP($A135,'I | Forecast 23-27'!$A$11:$N$160,L$8,0)*HLOOKUP(L$10,'I | Inflation'!$C$52:$H$54,3,0),0)</f>
        <v>0</v>
      </c>
      <c r="M135" s="52">
        <f>IFERROR(VLOOKUP($A135,'I | Forecast 23-27'!$A$11:$N$160,M$8,0)*HLOOKUP(M$10,'I | Inflation'!$C$52:$H$54,3,0),0)</f>
        <v>0</v>
      </c>
      <c r="N135" s="52">
        <f>IFERROR(VLOOKUP($A135,'I | Forecast 23-27'!$A$11:$N$160,N$8,0)*HLOOKUP(N$10,'I | Inflation'!$C$52:$H$54,3,0),0)</f>
        <v>0</v>
      </c>
      <c r="O135" s="54">
        <f t="shared" si="1"/>
        <v>0</v>
      </c>
      <c r="P135" s="53"/>
    </row>
    <row r="136" spans="1:16" x14ac:dyDescent="0.3">
      <c r="A136" s="56">
        <v>126</v>
      </c>
      <c r="B136" s="49" t="str">
        <f>IF('I | Forecast 23-27'!B136="","",'I | Forecast 23-27'!B136)</f>
        <v/>
      </c>
      <c r="C136" s="47" t="str">
        <f>IF('I | Forecast 23-27'!C136="","",'I | Forecast 23-27'!C136)</f>
        <v/>
      </c>
      <c r="D136" s="47" t="str">
        <f>IF('I | Forecast 23-27'!D136="","",'I | Forecast 23-27'!D136)</f>
        <v/>
      </c>
      <c r="E136" s="47" t="str">
        <f>IF('I | Forecast 23-27'!E136="","",'I | Forecast 23-27'!E136)</f>
        <v/>
      </c>
      <c r="F136" s="47" t="str">
        <f>IF('I | Forecast 23-27'!F136="","",'I | Forecast 23-27'!F136)</f>
        <v/>
      </c>
      <c r="G136" s="47" t="str">
        <f>IF('I | Forecast 23-27'!G136="","",'I | Forecast 23-27'!G136)</f>
        <v/>
      </c>
      <c r="H136" s="47" t="str">
        <f>IF('I | Forecast 23-27'!H136="","",'I | Forecast 23-27'!H136)</f>
        <v/>
      </c>
      <c r="I136" s="50"/>
      <c r="J136" s="52">
        <f>IFERROR(VLOOKUP($A136,'I | Forecast 23-27'!$A$11:$N$160,J$8,0)*HLOOKUP(J$10,'I | Inflation'!$C$52:$H$54,3,0),0)</f>
        <v>0</v>
      </c>
      <c r="K136" s="52">
        <f>IFERROR(VLOOKUP($A136,'I | Forecast 23-27'!$A$11:$N$160,K$8,0)*HLOOKUP(K$10,'I | Inflation'!$C$52:$H$54,3,0),0)</f>
        <v>0</v>
      </c>
      <c r="L136" s="52">
        <f>IFERROR(VLOOKUP($A136,'I | Forecast 23-27'!$A$11:$N$160,L$8,0)*HLOOKUP(L$10,'I | Inflation'!$C$52:$H$54,3,0),0)</f>
        <v>0</v>
      </c>
      <c r="M136" s="52">
        <f>IFERROR(VLOOKUP($A136,'I | Forecast 23-27'!$A$11:$N$160,M$8,0)*HLOOKUP(M$10,'I | Inflation'!$C$52:$H$54,3,0),0)</f>
        <v>0</v>
      </c>
      <c r="N136" s="52">
        <f>IFERROR(VLOOKUP($A136,'I | Forecast 23-27'!$A$11:$N$160,N$8,0)*HLOOKUP(N$10,'I | Inflation'!$C$52:$H$54,3,0),0)</f>
        <v>0</v>
      </c>
      <c r="O136" s="54">
        <f t="shared" si="1"/>
        <v>0</v>
      </c>
      <c r="P136" s="53"/>
    </row>
    <row r="137" spans="1:16" x14ac:dyDescent="0.3">
      <c r="A137" s="56">
        <v>127</v>
      </c>
      <c r="B137" s="49" t="str">
        <f>IF('I | Forecast 23-27'!B137="","",'I | Forecast 23-27'!B137)</f>
        <v/>
      </c>
      <c r="C137" s="47" t="str">
        <f>IF('I | Forecast 23-27'!C137="","",'I | Forecast 23-27'!C137)</f>
        <v/>
      </c>
      <c r="D137" s="47" t="str">
        <f>IF('I | Forecast 23-27'!D137="","",'I | Forecast 23-27'!D137)</f>
        <v/>
      </c>
      <c r="E137" s="47" t="str">
        <f>IF('I | Forecast 23-27'!E137="","",'I | Forecast 23-27'!E137)</f>
        <v/>
      </c>
      <c r="F137" s="47" t="str">
        <f>IF('I | Forecast 23-27'!F137="","",'I | Forecast 23-27'!F137)</f>
        <v/>
      </c>
      <c r="G137" s="47" t="str">
        <f>IF('I | Forecast 23-27'!G137="","",'I | Forecast 23-27'!G137)</f>
        <v/>
      </c>
      <c r="H137" s="47" t="str">
        <f>IF('I | Forecast 23-27'!H137="","",'I | Forecast 23-27'!H137)</f>
        <v/>
      </c>
      <c r="I137" s="50"/>
      <c r="J137" s="52">
        <f>IFERROR(VLOOKUP($A137,'I | Forecast 23-27'!$A$11:$N$160,J$8,0)*HLOOKUP(J$10,'I | Inflation'!$C$52:$H$54,3,0),0)</f>
        <v>0</v>
      </c>
      <c r="K137" s="52">
        <f>IFERROR(VLOOKUP($A137,'I | Forecast 23-27'!$A$11:$N$160,K$8,0)*HLOOKUP(K$10,'I | Inflation'!$C$52:$H$54,3,0),0)</f>
        <v>0</v>
      </c>
      <c r="L137" s="52">
        <f>IFERROR(VLOOKUP($A137,'I | Forecast 23-27'!$A$11:$N$160,L$8,0)*HLOOKUP(L$10,'I | Inflation'!$C$52:$H$54,3,0),0)</f>
        <v>0</v>
      </c>
      <c r="M137" s="52">
        <f>IFERROR(VLOOKUP($A137,'I | Forecast 23-27'!$A$11:$N$160,M$8,0)*HLOOKUP(M$10,'I | Inflation'!$C$52:$H$54,3,0),0)</f>
        <v>0</v>
      </c>
      <c r="N137" s="52">
        <f>IFERROR(VLOOKUP($A137,'I | Forecast 23-27'!$A$11:$N$160,N$8,0)*HLOOKUP(N$10,'I | Inflation'!$C$52:$H$54,3,0),0)</f>
        <v>0</v>
      </c>
      <c r="O137" s="54">
        <f t="shared" si="1"/>
        <v>0</v>
      </c>
      <c r="P137" s="53"/>
    </row>
    <row r="138" spans="1:16" x14ac:dyDescent="0.3">
      <c r="A138" s="56">
        <v>128</v>
      </c>
      <c r="B138" s="49" t="str">
        <f>IF('I | Forecast 23-27'!B138="","",'I | Forecast 23-27'!B138)</f>
        <v/>
      </c>
      <c r="C138" s="47" t="str">
        <f>IF('I | Forecast 23-27'!C138="","",'I | Forecast 23-27'!C138)</f>
        <v/>
      </c>
      <c r="D138" s="47" t="str">
        <f>IF('I | Forecast 23-27'!D138="","",'I | Forecast 23-27'!D138)</f>
        <v/>
      </c>
      <c r="E138" s="47" t="str">
        <f>IF('I | Forecast 23-27'!E138="","",'I | Forecast 23-27'!E138)</f>
        <v/>
      </c>
      <c r="F138" s="47" t="str">
        <f>IF('I | Forecast 23-27'!F138="","",'I | Forecast 23-27'!F138)</f>
        <v/>
      </c>
      <c r="G138" s="47" t="str">
        <f>IF('I | Forecast 23-27'!G138="","",'I | Forecast 23-27'!G138)</f>
        <v/>
      </c>
      <c r="H138" s="47" t="str">
        <f>IF('I | Forecast 23-27'!H138="","",'I | Forecast 23-27'!H138)</f>
        <v/>
      </c>
      <c r="I138" s="50"/>
      <c r="J138" s="52">
        <f>IFERROR(VLOOKUP($A138,'I | Forecast 23-27'!$A$11:$N$160,J$8,0)*HLOOKUP(J$10,'I | Inflation'!$C$52:$H$54,3,0),0)</f>
        <v>0</v>
      </c>
      <c r="K138" s="52">
        <f>IFERROR(VLOOKUP($A138,'I | Forecast 23-27'!$A$11:$N$160,K$8,0)*HLOOKUP(K$10,'I | Inflation'!$C$52:$H$54,3,0),0)</f>
        <v>0</v>
      </c>
      <c r="L138" s="52">
        <f>IFERROR(VLOOKUP($A138,'I | Forecast 23-27'!$A$11:$N$160,L$8,0)*HLOOKUP(L$10,'I | Inflation'!$C$52:$H$54,3,0),0)</f>
        <v>0</v>
      </c>
      <c r="M138" s="52">
        <f>IFERROR(VLOOKUP($A138,'I | Forecast 23-27'!$A$11:$N$160,M$8,0)*HLOOKUP(M$10,'I | Inflation'!$C$52:$H$54,3,0),0)</f>
        <v>0</v>
      </c>
      <c r="N138" s="52">
        <f>IFERROR(VLOOKUP($A138,'I | Forecast 23-27'!$A$11:$N$160,N$8,0)*HLOOKUP(N$10,'I | Inflation'!$C$52:$H$54,3,0),0)</f>
        <v>0</v>
      </c>
      <c r="O138" s="54">
        <f t="shared" si="1"/>
        <v>0</v>
      </c>
      <c r="P138" s="53"/>
    </row>
    <row r="139" spans="1:16" x14ac:dyDescent="0.3">
      <c r="A139" s="56">
        <v>129</v>
      </c>
      <c r="B139" s="49" t="str">
        <f>IF('I | Forecast 23-27'!B139="","",'I | Forecast 23-27'!B139)</f>
        <v/>
      </c>
      <c r="C139" s="47" t="str">
        <f>IF('I | Forecast 23-27'!C139="","",'I | Forecast 23-27'!C139)</f>
        <v/>
      </c>
      <c r="D139" s="47" t="str">
        <f>IF('I | Forecast 23-27'!D139="","",'I | Forecast 23-27'!D139)</f>
        <v/>
      </c>
      <c r="E139" s="47" t="str">
        <f>IF('I | Forecast 23-27'!E139="","",'I | Forecast 23-27'!E139)</f>
        <v/>
      </c>
      <c r="F139" s="47" t="str">
        <f>IF('I | Forecast 23-27'!F139="","",'I | Forecast 23-27'!F139)</f>
        <v/>
      </c>
      <c r="G139" s="47" t="str">
        <f>IF('I | Forecast 23-27'!G139="","",'I | Forecast 23-27'!G139)</f>
        <v/>
      </c>
      <c r="H139" s="47" t="str">
        <f>IF('I | Forecast 23-27'!H139="","",'I | Forecast 23-27'!H139)</f>
        <v/>
      </c>
      <c r="I139" s="50"/>
      <c r="J139" s="52">
        <f>IFERROR(VLOOKUP($A139,'I | Forecast 23-27'!$A$11:$N$160,J$8,0)*HLOOKUP(J$10,'I | Inflation'!$C$52:$H$54,3,0),0)</f>
        <v>0</v>
      </c>
      <c r="K139" s="52">
        <f>IFERROR(VLOOKUP($A139,'I | Forecast 23-27'!$A$11:$N$160,K$8,0)*HLOOKUP(K$10,'I | Inflation'!$C$52:$H$54,3,0),0)</f>
        <v>0</v>
      </c>
      <c r="L139" s="52">
        <f>IFERROR(VLOOKUP($A139,'I | Forecast 23-27'!$A$11:$N$160,L$8,0)*HLOOKUP(L$10,'I | Inflation'!$C$52:$H$54,3,0),0)</f>
        <v>0</v>
      </c>
      <c r="M139" s="52">
        <f>IFERROR(VLOOKUP($A139,'I | Forecast 23-27'!$A$11:$N$160,M$8,0)*HLOOKUP(M$10,'I | Inflation'!$C$52:$H$54,3,0),0)</f>
        <v>0</v>
      </c>
      <c r="N139" s="52">
        <f>IFERROR(VLOOKUP($A139,'I | Forecast 23-27'!$A$11:$N$160,N$8,0)*HLOOKUP(N$10,'I | Inflation'!$C$52:$H$54,3,0),0)</f>
        <v>0</v>
      </c>
      <c r="O139" s="54">
        <f t="shared" si="1"/>
        <v>0</v>
      </c>
      <c r="P139" s="53"/>
    </row>
    <row r="140" spans="1:16" x14ac:dyDescent="0.3">
      <c r="A140" s="56">
        <v>130</v>
      </c>
      <c r="B140" s="49" t="str">
        <f>IF('I | Forecast 23-27'!B140="","",'I | Forecast 23-27'!B140)</f>
        <v/>
      </c>
      <c r="C140" s="47" t="str">
        <f>IF('I | Forecast 23-27'!C140="","",'I | Forecast 23-27'!C140)</f>
        <v/>
      </c>
      <c r="D140" s="47" t="str">
        <f>IF('I | Forecast 23-27'!D140="","",'I | Forecast 23-27'!D140)</f>
        <v/>
      </c>
      <c r="E140" s="47" t="str">
        <f>IF('I | Forecast 23-27'!E140="","",'I | Forecast 23-27'!E140)</f>
        <v/>
      </c>
      <c r="F140" s="47" t="str">
        <f>IF('I | Forecast 23-27'!F140="","",'I | Forecast 23-27'!F140)</f>
        <v/>
      </c>
      <c r="G140" s="47" t="str">
        <f>IF('I | Forecast 23-27'!G140="","",'I | Forecast 23-27'!G140)</f>
        <v/>
      </c>
      <c r="H140" s="47" t="str">
        <f>IF('I | Forecast 23-27'!H140="","",'I | Forecast 23-27'!H140)</f>
        <v/>
      </c>
      <c r="I140" s="50"/>
      <c r="J140" s="52">
        <f>IFERROR(VLOOKUP($A140,'I | Forecast 23-27'!$A$11:$N$160,J$8,0)*HLOOKUP(J$10,'I | Inflation'!$C$52:$H$54,3,0),0)</f>
        <v>0</v>
      </c>
      <c r="K140" s="52">
        <f>IFERROR(VLOOKUP($A140,'I | Forecast 23-27'!$A$11:$N$160,K$8,0)*HLOOKUP(K$10,'I | Inflation'!$C$52:$H$54,3,0),0)</f>
        <v>0</v>
      </c>
      <c r="L140" s="52">
        <f>IFERROR(VLOOKUP($A140,'I | Forecast 23-27'!$A$11:$N$160,L$8,0)*HLOOKUP(L$10,'I | Inflation'!$C$52:$H$54,3,0),0)</f>
        <v>0</v>
      </c>
      <c r="M140" s="52">
        <f>IFERROR(VLOOKUP($A140,'I | Forecast 23-27'!$A$11:$N$160,M$8,0)*HLOOKUP(M$10,'I | Inflation'!$C$52:$H$54,3,0),0)</f>
        <v>0</v>
      </c>
      <c r="N140" s="52">
        <f>IFERROR(VLOOKUP($A140,'I | Forecast 23-27'!$A$11:$N$160,N$8,0)*HLOOKUP(N$10,'I | Inflation'!$C$52:$H$54,3,0),0)</f>
        <v>0</v>
      </c>
      <c r="O140" s="54">
        <f t="shared" ref="O140:O160" si="2">SUM(J140:N140)</f>
        <v>0</v>
      </c>
      <c r="P140" s="53"/>
    </row>
    <row r="141" spans="1:16" x14ac:dyDescent="0.3">
      <c r="A141" s="56">
        <v>131</v>
      </c>
      <c r="B141" s="49" t="str">
        <f>IF('I | Forecast 23-27'!B141="","",'I | Forecast 23-27'!B141)</f>
        <v/>
      </c>
      <c r="C141" s="47" t="str">
        <f>IF('I | Forecast 23-27'!C141="","",'I | Forecast 23-27'!C141)</f>
        <v/>
      </c>
      <c r="D141" s="47" t="str">
        <f>IF('I | Forecast 23-27'!D141="","",'I | Forecast 23-27'!D141)</f>
        <v/>
      </c>
      <c r="E141" s="47" t="str">
        <f>IF('I | Forecast 23-27'!E141="","",'I | Forecast 23-27'!E141)</f>
        <v/>
      </c>
      <c r="F141" s="47" t="str">
        <f>IF('I | Forecast 23-27'!F141="","",'I | Forecast 23-27'!F141)</f>
        <v/>
      </c>
      <c r="G141" s="47" t="str">
        <f>IF('I | Forecast 23-27'!G141="","",'I | Forecast 23-27'!G141)</f>
        <v/>
      </c>
      <c r="H141" s="47" t="str">
        <f>IF('I | Forecast 23-27'!H141="","",'I | Forecast 23-27'!H141)</f>
        <v/>
      </c>
      <c r="I141" s="50"/>
      <c r="J141" s="52">
        <f>IFERROR(VLOOKUP($A141,'I | Forecast 23-27'!$A$11:$N$160,J$8,0)*HLOOKUP(J$10,'I | Inflation'!$C$52:$H$54,3,0),0)</f>
        <v>0</v>
      </c>
      <c r="K141" s="52">
        <f>IFERROR(VLOOKUP($A141,'I | Forecast 23-27'!$A$11:$N$160,K$8,0)*HLOOKUP(K$10,'I | Inflation'!$C$52:$H$54,3,0),0)</f>
        <v>0</v>
      </c>
      <c r="L141" s="52">
        <f>IFERROR(VLOOKUP($A141,'I | Forecast 23-27'!$A$11:$N$160,L$8,0)*HLOOKUP(L$10,'I | Inflation'!$C$52:$H$54,3,0),0)</f>
        <v>0</v>
      </c>
      <c r="M141" s="52">
        <f>IFERROR(VLOOKUP($A141,'I | Forecast 23-27'!$A$11:$N$160,M$8,0)*HLOOKUP(M$10,'I | Inflation'!$C$52:$H$54,3,0),0)</f>
        <v>0</v>
      </c>
      <c r="N141" s="52">
        <f>IFERROR(VLOOKUP($A141,'I | Forecast 23-27'!$A$11:$N$160,N$8,0)*HLOOKUP(N$10,'I | Inflation'!$C$52:$H$54,3,0),0)</f>
        <v>0</v>
      </c>
      <c r="O141" s="54">
        <f t="shared" si="2"/>
        <v>0</v>
      </c>
      <c r="P141" s="53"/>
    </row>
    <row r="142" spans="1:16" x14ac:dyDescent="0.3">
      <c r="A142" s="56">
        <v>132</v>
      </c>
      <c r="B142" s="49" t="str">
        <f>IF('I | Forecast 23-27'!B142="","",'I | Forecast 23-27'!B142)</f>
        <v/>
      </c>
      <c r="C142" s="47" t="str">
        <f>IF('I | Forecast 23-27'!C142="","",'I | Forecast 23-27'!C142)</f>
        <v/>
      </c>
      <c r="D142" s="47" t="str">
        <f>IF('I | Forecast 23-27'!D142="","",'I | Forecast 23-27'!D142)</f>
        <v/>
      </c>
      <c r="E142" s="47" t="str">
        <f>IF('I | Forecast 23-27'!E142="","",'I | Forecast 23-27'!E142)</f>
        <v/>
      </c>
      <c r="F142" s="47" t="str">
        <f>IF('I | Forecast 23-27'!F142="","",'I | Forecast 23-27'!F142)</f>
        <v/>
      </c>
      <c r="G142" s="47" t="str">
        <f>IF('I | Forecast 23-27'!G142="","",'I | Forecast 23-27'!G142)</f>
        <v/>
      </c>
      <c r="H142" s="47" t="str">
        <f>IF('I | Forecast 23-27'!H142="","",'I | Forecast 23-27'!H142)</f>
        <v/>
      </c>
      <c r="I142" s="50"/>
      <c r="J142" s="52">
        <f>IFERROR(VLOOKUP($A142,'I | Forecast 23-27'!$A$11:$N$160,J$8,0)*HLOOKUP(J$10,'I | Inflation'!$C$52:$H$54,3,0),0)</f>
        <v>0</v>
      </c>
      <c r="K142" s="52">
        <f>IFERROR(VLOOKUP($A142,'I | Forecast 23-27'!$A$11:$N$160,K$8,0)*HLOOKUP(K$10,'I | Inflation'!$C$52:$H$54,3,0),0)</f>
        <v>0</v>
      </c>
      <c r="L142" s="52">
        <f>IFERROR(VLOOKUP($A142,'I | Forecast 23-27'!$A$11:$N$160,L$8,0)*HLOOKUP(L$10,'I | Inflation'!$C$52:$H$54,3,0),0)</f>
        <v>0</v>
      </c>
      <c r="M142" s="52">
        <f>IFERROR(VLOOKUP($A142,'I | Forecast 23-27'!$A$11:$N$160,M$8,0)*HLOOKUP(M$10,'I | Inflation'!$C$52:$H$54,3,0),0)</f>
        <v>0</v>
      </c>
      <c r="N142" s="52">
        <f>IFERROR(VLOOKUP($A142,'I | Forecast 23-27'!$A$11:$N$160,N$8,0)*HLOOKUP(N$10,'I | Inflation'!$C$52:$H$54,3,0),0)</f>
        <v>0</v>
      </c>
      <c r="O142" s="54">
        <f t="shared" si="2"/>
        <v>0</v>
      </c>
      <c r="P142" s="53"/>
    </row>
    <row r="143" spans="1:16" x14ac:dyDescent="0.3">
      <c r="A143" s="56">
        <v>133</v>
      </c>
      <c r="B143" s="49" t="str">
        <f>IF('I | Forecast 23-27'!B143="","",'I | Forecast 23-27'!B143)</f>
        <v/>
      </c>
      <c r="C143" s="47" t="str">
        <f>IF('I | Forecast 23-27'!C143="","",'I | Forecast 23-27'!C143)</f>
        <v/>
      </c>
      <c r="D143" s="47" t="str">
        <f>IF('I | Forecast 23-27'!D143="","",'I | Forecast 23-27'!D143)</f>
        <v/>
      </c>
      <c r="E143" s="47" t="str">
        <f>IF('I | Forecast 23-27'!E143="","",'I | Forecast 23-27'!E143)</f>
        <v/>
      </c>
      <c r="F143" s="47" t="str">
        <f>IF('I | Forecast 23-27'!F143="","",'I | Forecast 23-27'!F143)</f>
        <v/>
      </c>
      <c r="G143" s="47" t="str">
        <f>IF('I | Forecast 23-27'!G143="","",'I | Forecast 23-27'!G143)</f>
        <v/>
      </c>
      <c r="H143" s="47" t="str">
        <f>IF('I | Forecast 23-27'!H143="","",'I | Forecast 23-27'!H143)</f>
        <v/>
      </c>
      <c r="I143" s="50"/>
      <c r="J143" s="52">
        <f>IFERROR(VLOOKUP($A143,'I | Forecast 23-27'!$A$11:$N$160,J$8,0)*HLOOKUP(J$10,'I | Inflation'!$C$52:$H$54,3,0),0)</f>
        <v>0</v>
      </c>
      <c r="K143" s="52">
        <f>IFERROR(VLOOKUP($A143,'I | Forecast 23-27'!$A$11:$N$160,K$8,0)*HLOOKUP(K$10,'I | Inflation'!$C$52:$H$54,3,0),0)</f>
        <v>0</v>
      </c>
      <c r="L143" s="52">
        <f>IFERROR(VLOOKUP($A143,'I | Forecast 23-27'!$A$11:$N$160,L$8,0)*HLOOKUP(L$10,'I | Inflation'!$C$52:$H$54,3,0),0)</f>
        <v>0</v>
      </c>
      <c r="M143" s="52">
        <f>IFERROR(VLOOKUP($A143,'I | Forecast 23-27'!$A$11:$N$160,M$8,0)*HLOOKUP(M$10,'I | Inflation'!$C$52:$H$54,3,0),0)</f>
        <v>0</v>
      </c>
      <c r="N143" s="52">
        <f>IFERROR(VLOOKUP($A143,'I | Forecast 23-27'!$A$11:$N$160,N$8,0)*HLOOKUP(N$10,'I | Inflation'!$C$52:$H$54,3,0),0)</f>
        <v>0</v>
      </c>
      <c r="O143" s="54">
        <f t="shared" si="2"/>
        <v>0</v>
      </c>
      <c r="P143" s="53"/>
    </row>
    <row r="144" spans="1:16" x14ac:dyDescent="0.3">
      <c r="A144" s="56">
        <v>134</v>
      </c>
      <c r="B144" s="49" t="str">
        <f>IF('I | Forecast 23-27'!B144="","",'I | Forecast 23-27'!B144)</f>
        <v/>
      </c>
      <c r="C144" s="47" t="str">
        <f>IF('I | Forecast 23-27'!C144="","",'I | Forecast 23-27'!C144)</f>
        <v/>
      </c>
      <c r="D144" s="47" t="str">
        <f>IF('I | Forecast 23-27'!D144="","",'I | Forecast 23-27'!D144)</f>
        <v/>
      </c>
      <c r="E144" s="47" t="str">
        <f>IF('I | Forecast 23-27'!E144="","",'I | Forecast 23-27'!E144)</f>
        <v/>
      </c>
      <c r="F144" s="47" t="str">
        <f>IF('I | Forecast 23-27'!F144="","",'I | Forecast 23-27'!F144)</f>
        <v/>
      </c>
      <c r="G144" s="47" t="str">
        <f>IF('I | Forecast 23-27'!G144="","",'I | Forecast 23-27'!G144)</f>
        <v/>
      </c>
      <c r="H144" s="47" t="str">
        <f>IF('I | Forecast 23-27'!H144="","",'I | Forecast 23-27'!H144)</f>
        <v/>
      </c>
      <c r="I144" s="50"/>
      <c r="J144" s="52">
        <f>IFERROR(VLOOKUP($A144,'I | Forecast 23-27'!$A$11:$N$160,J$8,0)*HLOOKUP(J$10,'I | Inflation'!$C$52:$H$54,3,0),0)</f>
        <v>0</v>
      </c>
      <c r="K144" s="52">
        <f>IFERROR(VLOOKUP($A144,'I | Forecast 23-27'!$A$11:$N$160,K$8,0)*HLOOKUP(K$10,'I | Inflation'!$C$52:$H$54,3,0),0)</f>
        <v>0</v>
      </c>
      <c r="L144" s="52">
        <f>IFERROR(VLOOKUP($A144,'I | Forecast 23-27'!$A$11:$N$160,L$8,0)*HLOOKUP(L$10,'I | Inflation'!$C$52:$H$54,3,0),0)</f>
        <v>0</v>
      </c>
      <c r="M144" s="52">
        <f>IFERROR(VLOOKUP($A144,'I | Forecast 23-27'!$A$11:$N$160,M$8,0)*HLOOKUP(M$10,'I | Inflation'!$C$52:$H$54,3,0),0)</f>
        <v>0</v>
      </c>
      <c r="N144" s="52">
        <f>IFERROR(VLOOKUP($A144,'I | Forecast 23-27'!$A$11:$N$160,N$8,0)*HLOOKUP(N$10,'I | Inflation'!$C$52:$H$54,3,0),0)</f>
        <v>0</v>
      </c>
      <c r="O144" s="54">
        <f t="shared" si="2"/>
        <v>0</v>
      </c>
      <c r="P144" s="53"/>
    </row>
    <row r="145" spans="1:16" x14ac:dyDescent="0.3">
      <c r="A145" s="56">
        <v>135</v>
      </c>
      <c r="B145" s="49" t="str">
        <f>IF('I | Forecast 23-27'!B145="","",'I | Forecast 23-27'!B145)</f>
        <v/>
      </c>
      <c r="C145" s="47" t="str">
        <f>IF('I | Forecast 23-27'!C145="","",'I | Forecast 23-27'!C145)</f>
        <v/>
      </c>
      <c r="D145" s="47" t="str">
        <f>IF('I | Forecast 23-27'!D145="","",'I | Forecast 23-27'!D145)</f>
        <v/>
      </c>
      <c r="E145" s="47" t="str">
        <f>IF('I | Forecast 23-27'!E145="","",'I | Forecast 23-27'!E145)</f>
        <v/>
      </c>
      <c r="F145" s="47" t="str">
        <f>IF('I | Forecast 23-27'!F145="","",'I | Forecast 23-27'!F145)</f>
        <v/>
      </c>
      <c r="G145" s="47" t="str">
        <f>IF('I | Forecast 23-27'!G145="","",'I | Forecast 23-27'!G145)</f>
        <v/>
      </c>
      <c r="H145" s="47" t="str">
        <f>IF('I | Forecast 23-27'!H145="","",'I | Forecast 23-27'!H145)</f>
        <v/>
      </c>
      <c r="I145" s="50"/>
      <c r="J145" s="52">
        <f>IFERROR(VLOOKUP($A145,'I | Forecast 23-27'!$A$11:$N$160,J$8,0)*HLOOKUP(J$10,'I | Inflation'!$C$52:$H$54,3,0),0)</f>
        <v>0</v>
      </c>
      <c r="K145" s="52">
        <f>IFERROR(VLOOKUP($A145,'I | Forecast 23-27'!$A$11:$N$160,K$8,0)*HLOOKUP(K$10,'I | Inflation'!$C$52:$H$54,3,0),0)</f>
        <v>0</v>
      </c>
      <c r="L145" s="52">
        <f>IFERROR(VLOOKUP($A145,'I | Forecast 23-27'!$A$11:$N$160,L$8,0)*HLOOKUP(L$10,'I | Inflation'!$C$52:$H$54,3,0),0)</f>
        <v>0</v>
      </c>
      <c r="M145" s="52">
        <f>IFERROR(VLOOKUP($A145,'I | Forecast 23-27'!$A$11:$N$160,M$8,0)*HLOOKUP(M$10,'I | Inflation'!$C$52:$H$54,3,0),0)</f>
        <v>0</v>
      </c>
      <c r="N145" s="52">
        <f>IFERROR(VLOOKUP($A145,'I | Forecast 23-27'!$A$11:$N$160,N$8,0)*HLOOKUP(N$10,'I | Inflation'!$C$52:$H$54,3,0),0)</f>
        <v>0</v>
      </c>
      <c r="O145" s="54">
        <f t="shared" si="2"/>
        <v>0</v>
      </c>
      <c r="P145" s="53"/>
    </row>
    <row r="146" spans="1:16" x14ac:dyDescent="0.3">
      <c r="A146" s="56">
        <v>136</v>
      </c>
      <c r="B146" s="49" t="str">
        <f>IF('I | Forecast 23-27'!B146="","",'I | Forecast 23-27'!B146)</f>
        <v/>
      </c>
      <c r="C146" s="47" t="str">
        <f>IF('I | Forecast 23-27'!C146="","",'I | Forecast 23-27'!C146)</f>
        <v/>
      </c>
      <c r="D146" s="47" t="str">
        <f>IF('I | Forecast 23-27'!D146="","",'I | Forecast 23-27'!D146)</f>
        <v/>
      </c>
      <c r="E146" s="47" t="str">
        <f>IF('I | Forecast 23-27'!E146="","",'I | Forecast 23-27'!E146)</f>
        <v/>
      </c>
      <c r="F146" s="47" t="str">
        <f>IF('I | Forecast 23-27'!F146="","",'I | Forecast 23-27'!F146)</f>
        <v/>
      </c>
      <c r="G146" s="47" t="str">
        <f>IF('I | Forecast 23-27'!G146="","",'I | Forecast 23-27'!G146)</f>
        <v/>
      </c>
      <c r="H146" s="47" t="str">
        <f>IF('I | Forecast 23-27'!H146="","",'I | Forecast 23-27'!H146)</f>
        <v/>
      </c>
      <c r="I146" s="50"/>
      <c r="J146" s="52">
        <f>IFERROR(VLOOKUP($A146,'I | Forecast 23-27'!$A$11:$N$160,J$8,0)*HLOOKUP(J$10,'I | Inflation'!$C$52:$H$54,3,0),0)</f>
        <v>0</v>
      </c>
      <c r="K146" s="52">
        <f>IFERROR(VLOOKUP($A146,'I | Forecast 23-27'!$A$11:$N$160,K$8,0)*HLOOKUP(K$10,'I | Inflation'!$C$52:$H$54,3,0),0)</f>
        <v>0</v>
      </c>
      <c r="L146" s="52">
        <f>IFERROR(VLOOKUP($A146,'I | Forecast 23-27'!$A$11:$N$160,L$8,0)*HLOOKUP(L$10,'I | Inflation'!$C$52:$H$54,3,0),0)</f>
        <v>0</v>
      </c>
      <c r="M146" s="52">
        <f>IFERROR(VLOOKUP($A146,'I | Forecast 23-27'!$A$11:$N$160,M$8,0)*HLOOKUP(M$10,'I | Inflation'!$C$52:$H$54,3,0),0)</f>
        <v>0</v>
      </c>
      <c r="N146" s="52">
        <f>IFERROR(VLOOKUP($A146,'I | Forecast 23-27'!$A$11:$N$160,N$8,0)*HLOOKUP(N$10,'I | Inflation'!$C$52:$H$54,3,0),0)</f>
        <v>0</v>
      </c>
      <c r="O146" s="54">
        <f t="shared" si="2"/>
        <v>0</v>
      </c>
      <c r="P146" s="53"/>
    </row>
    <row r="147" spans="1:16" x14ac:dyDescent="0.3">
      <c r="A147" s="56">
        <v>137</v>
      </c>
      <c r="B147" s="49" t="str">
        <f>IF('I | Forecast 23-27'!B147="","",'I | Forecast 23-27'!B147)</f>
        <v/>
      </c>
      <c r="C147" s="47" t="str">
        <f>IF('I | Forecast 23-27'!C147="","",'I | Forecast 23-27'!C147)</f>
        <v/>
      </c>
      <c r="D147" s="47" t="str">
        <f>IF('I | Forecast 23-27'!D147="","",'I | Forecast 23-27'!D147)</f>
        <v/>
      </c>
      <c r="E147" s="47" t="str">
        <f>IF('I | Forecast 23-27'!E147="","",'I | Forecast 23-27'!E147)</f>
        <v/>
      </c>
      <c r="F147" s="47" t="str">
        <f>IF('I | Forecast 23-27'!F147="","",'I | Forecast 23-27'!F147)</f>
        <v/>
      </c>
      <c r="G147" s="47" t="str">
        <f>IF('I | Forecast 23-27'!G147="","",'I | Forecast 23-27'!G147)</f>
        <v/>
      </c>
      <c r="H147" s="47" t="str">
        <f>IF('I | Forecast 23-27'!H147="","",'I | Forecast 23-27'!H147)</f>
        <v/>
      </c>
      <c r="I147" s="50"/>
      <c r="J147" s="52">
        <f>IFERROR(VLOOKUP($A147,'I | Forecast 23-27'!$A$11:$N$160,J$8,0)*HLOOKUP(J$10,'I | Inflation'!$C$52:$H$54,3,0),0)</f>
        <v>0</v>
      </c>
      <c r="K147" s="52">
        <f>IFERROR(VLOOKUP($A147,'I | Forecast 23-27'!$A$11:$N$160,K$8,0)*HLOOKUP(K$10,'I | Inflation'!$C$52:$H$54,3,0),0)</f>
        <v>0</v>
      </c>
      <c r="L147" s="52">
        <f>IFERROR(VLOOKUP($A147,'I | Forecast 23-27'!$A$11:$N$160,L$8,0)*HLOOKUP(L$10,'I | Inflation'!$C$52:$H$54,3,0),0)</f>
        <v>0</v>
      </c>
      <c r="M147" s="52">
        <f>IFERROR(VLOOKUP($A147,'I | Forecast 23-27'!$A$11:$N$160,M$8,0)*HLOOKUP(M$10,'I | Inflation'!$C$52:$H$54,3,0),0)</f>
        <v>0</v>
      </c>
      <c r="N147" s="52">
        <f>IFERROR(VLOOKUP($A147,'I | Forecast 23-27'!$A$11:$N$160,N$8,0)*HLOOKUP(N$10,'I | Inflation'!$C$52:$H$54,3,0),0)</f>
        <v>0</v>
      </c>
      <c r="O147" s="54">
        <f t="shared" si="2"/>
        <v>0</v>
      </c>
      <c r="P147" s="53"/>
    </row>
    <row r="148" spans="1:16" x14ac:dyDescent="0.3">
      <c r="A148" s="56">
        <v>138</v>
      </c>
      <c r="B148" s="49" t="str">
        <f>IF('I | Forecast 23-27'!B148="","",'I | Forecast 23-27'!B148)</f>
        <v/>
      </c>
      <c r="C148" s="47" t="str">
        <f>IF('I | Forecast 23-27'!C148="","",'I | Forecast 23-27'!C148)</f>
        <v/>
      </c>
      <c r="D148" s="47" t="str">
        <f>IF('I | Forecast 23-27'!D148="","",'I | Forecast 23-27'!D148)</f>
        <v/>
      </c>
      <c r="E148" s="47" t="str">
        <f>IF('I | Forecast 23-27'!E148="","",'I | Forecast 23-27'!E148)</f>
        <v/>
      </c>
      <c r="F148" s="47" t="str">
        <f>IF('I | Forecast 23-27'!F148="","",'I | Forecast 23-27'!F148)</f>
        <v/>
      </c>
      <c r="G148" s="47" t="str">
        <f>IF('I | Forecast 23-27'!G148="","",'I | Forecast 23-27'!G148)</f>
        <v/>
      </c>
      <c r="H148" s="47" t="str">
        <f>IF('I | Forecast 23-27'!H148="","",'I | Forecast 23-27'!H148)</f>
        <v/>
      </c>
      <c r="I148" s="50"/>
      <c r="J148" s="52">
        <f>IFERROR(VLOOKUP($A148,'I | Forecast 23-27'!$A$11:$N$160,J$8,0)*HLOOKUP(J$10,'I | Inflation'!$C$52:$H$54,3,0),0)</f>
        <v>0</v>
      </c>
      <c r="K148" s="52">
        <f>IFERROR(VLOOKUP($A148,'I | Forecast 23-27'!$A$11:$N$160,K$8,0)*HLOOKUP(K$10,'I | Inflation'!$C$52:$H$54,3,0),0)</f>
        <v>0</v>
      </c>
      <c r="L148" s="52">
        <f>IFERROR(VLOOKUP($A148,'I | Forecast 23-27'!$A$11:$N$160,L$8,0)*HLOOKUP(L$10,'I | Inflation'!$C$52:$H$54,3,0),0)</f>
        <v>0</v>
      </c>
      <c r="M148" s="52">
        <f>IFERROR(VLOOKUP($A148,'I | Forecast 23-27'!$A$11:$N$160,M$8,0)*HLOOKUP(M$10,'I | Inflation'!$C$52:$H$54,3,0),0)</f>
        <v>0</v>
      </c>
      <c r="N148" s="52">
        <f>IFERROR(VLOOKUP($A148,'I | Forecast 23-27'!$A$11:$N$160,N$8,0)*HLOOKUP(N$10,'I | Inflation'!$C$52:$H$54,3,0),0)</f>
        <v>0</v>
      </c>
      <c r="O148" s="54">
        <f t="shared" si="2"/>
        <v>0</v>
      </c>
      <c r="P148" s="53"/>
    </row>
    <row r="149" spans="1:16" x14ac:dyDescent="0.3">
      <c r="A149" s="56">
        <v>139</v>
      </c>
      <c r="B149" s="49" t="str">
        <f>IF('I | Forecast 23-27'!B149="","",'I | Forecast 23-27'!B149)</f>
        <v/>
      </c>
      <c r="C149" s="47" t="str">
        <f>IF('I | Forecast 23-27'!C149="","",'I | Forecast 23-27'!C149)</f>
        <v/>
      </c>
      <c r="D149" s="47" t="str">
        <f>IF('I | Forecast 23-27'!D149="","",'I | Forecast 23-27'!D149)</f>
        <v/>
      </c>
      <c r="E149" s="47" t="str">
        <f>IF('I | Forecast 23-27'!E149="","",'I | Forecast 23-27'!E149)</f>
        <v/>
      </c>
      <c r="F149" s="47" t="str">
        <f>IF('I | Forecast 23-27'!F149="","",'I | Forecast 23-27'!F149)</f>
        <v/>
      </c>
      <c r="G149" s="47" t="str">
        <f>IF('I | Forecast 23-27'!G149="","",'I | Forecast 23-27'!G149)</f>
        <v/>
      </c>
      <c r="H149" s="47" t="str">
        <f>IF('I | Forecast 23-27'!H149="","",'I | Forecast 23-27'!H149)</f>
        <v/>
      </c>
      <c r="I149" s="50"/>
      <c r="J149" s="52">
        <f>IFERROR(VLOOKUP($A149,'I | Forecast 23-27'!$A$11:$N$160,J$8,0)*HLOOKUP(J$10,'I | Inflation'!$C$52:$H$54,3,0),0)</f>
        <v>0</v>
      </c>
      <c r="K149" s="52">
        <f>IFERROR(VLOOKUP($A149,'I | Forecast 23-27'!$A$11:$N$160,K$8,0)*HLOOKUP(K$10,'I | Inflation'!$C$52:$H$54,3,0),0)</f>
        <v>0</v>
      </c>
      <c r="L149" s="52">
        <f>IFERROR(VLOOKUP($A149,'I | Forecast 23-27'!$A$11:$N$160,L$8,0)*HLOOKUP(L$10,'I | Inflation'!$C$52:$H$54,3,0),0)</f>
        <v>0</v>
      </c>
      <c r="M149" s="52">
        <f>IFERROR(VLOOKUP($A149,'I | Forecast 23-27'!$A$11:$N$160,M$8,0)*HLOOKUP(M$10,'I | Inflation'!$C$52:$H$54,3,0),0)</f>
        <v>0</v>
      </c>
      <c r="N149" s="52">
        <f>IFERROR(VLOOKUP($A149,'I | Forecast 23-27'!$A$11:$N$160,N$8,0)*HLOOKUP(N$10,'I | Inflation'!$C$52:$H$54,3,0),0)</f>
        <v>0</v>
      </c>
      <c r="O149" s="54">
        <f t="shared" si="2"/>
        <v>0</v>
      </c>
      <c r="P149" s="53"/>
    </row>
    <row r="150" spans="1:16" x14ac:dyDescent="0.3">
      <c r="A150" s="56">
        <v>140</v>
      </c>
      <c r="B150" s="49" t="str">
        <f>IF('I | Forecast 23-27'!B150="","",'I | Forecast 23-27'!B150)</f>
        <v/>
      </c>
      <c r="C150" s="47" t="str">
        <f>IF('I | Forecast 23-27'!C150="","",'I | Forecast 23-27'!C150)</f>
        <v/>
      </c>
      <c r="D150" s="47" t="str">
        <f>IF('I | Forecast 23-27'!D150="","",'I | Forecast 23-27'!D150)</f>
        <v/>
      </c>
      <c r="E150" s="47" t="str">
        <f>IF('I | Forecast 23-27'!E150="","",'I | Forecast 23-27'!E150)</f>
        <v/>
      </c>
      <c r="F150" s="47" t="str">
        <f>IF('I | Forecast 23-27'!F150="","",'I | Forecast 23-27'!F150)</f>
        <v/>
      </c>
      <c r="G150" s="47" t="str">
        <f>IF('I | Forecast 23-27'!G150="","",'I | Forecast 23-27'!G150)</f>
        <v/>
      </c>
      <c r="H150" s="47" t="str">
        <f>IF('I | Forecast 23-27'!H150="","",'I | Forecast 23-27'!H150)</f>
        <v/>
      </c>
      <c r="I150" s="50"/>
      <c r="J150" s="52">
        <f>IFERROR(VLOOKUP($A150,'I | Forecast 23-27'!$A$11:$N$160,J$8,0)*HLOOKUP(J$10,'I | Inflation'!$C$52:$H$54,3,0),0)</f>
        <v>0</v>
      </c>
      <c r="K150" s="52">
        <f>IFERROR(VLOOKUP($A150,'I | Forecast 23-27'!$A$11:$N$160,K$8,0)*HLOOKUP(K$10,'I | Inflation'!$C$52:$H$54,3,0),0)</f>
        <v>0</v>
      </c>
      <c r="L150" s="52">
        <f>IFERROR(VLOOKUP($A150,'I | Forecast 23-27'!$A$11:$N$160,L$8,0)*HLOOKUP(L$10,'I | Inflation'!$C$52:$H$54,3,0),0)</f>
        <v>0</v>
      </c>
      <c r="M150" s="52">
        <f>IFERROR(VLOOKUP($A150,'I | Forecast 23-27'!$A$11:$N$160,M$8,0)*HLOOKUP(M$10,'I | Inflation'!$C$52:$H$54,3,0),0)</f>
        <v>0</v>
      </c>
      <c r="N150" s="52">
        <f>IFERROR(VLOOKUP($A150,'I | Forecast 23-27'!$A$11:$N$160,N$8,0)*HLOOKUP(N$10,'I | Inflation'!$C$52:$H$54,3,0),0)</f>
        <v>0</v>
      </c>
      <c r="O150" s="54">
        <f t="shared" si="2"/>
        <v>0</v>
      </c>
      <c r="P150" s="53"/>
    </row>
    <row r="151" spans="1:16" x14ac:dyDescent="0.3">
      <c r="A151" s="56">
        <v>141</v>
      </c>
      <c r="B151" s="49" t="str">
        <f>IF('I | Forecast 23-27'!B151="","",'I | Forecast 23-27'!B151)</f>
        <v/>
      </c>
      <c r="C151" s="47" t="str">
        <f>IF('I | Forecast 23-27'!C151="","",'I | Forecast 23-27'!C151)</f>
        <v/>
      </c>
      <c r="D151" s="47" t="str">
        <f>IF('I | Forecast 23-27'!D151="","",'I | Forecast 23-27'!D151)</f>
        <v/>
      </c>
      <c r="E151" s="47" t="str">
        <f>IF('I | Forecast 23-27'!E151="","",'I | Forecast 23-27'!E151)</f>
        <v/>
      </c>
      <c r="F151" s="47" t="str">
        <f>IF('I | Forecast 23-27'!F151="","",'I | Forecast 23-27'!F151)</f>
        <v/>
      </c>
      <c r="G151" s="47" t="str">
        <f>IF('I | Forecast 23-27'!G151="","",'I | Forecast 23-27'!G151)</f>
        <v/>
      </c>
      <c r="H151" s="47" t="str">
        <f>IF('I | Forecast 23-27'!H151="","",'I | Forecast 23-27'!H151)</f>
        <v/>
      </c>
      <c r="I151" s="50"/>
      <c r="J151" s="52">
        <f>IFERROR(VLOOKUP($A151,'I | Forecast 23-27'!$A$11:$N$160,J$8,0)*HLOOKUP(J$10,'I | Inflation'!$C$52:$H$54,3,0),0)</f>
        <v>0</v>
      </c>
      <c r="K151" s="52">
        <f>IFERROR(VLOOKUP($A151,'I | Forecast 23-27'!$A$11:$N$160,K$8,0)*HLOOKUP(K$10,'I | Inflation'!$C$52:$H$54,3,0),0)</f>
        <v>0</v>
      </c>
      <c r="L151" s="52">
        <f>IFERROR(VLOOKUP($A151,'I | Forecast 23-27'!$A$11:$N$160,L$8,0)*HLOOKUP(L$10,'I | Inflation'!$C$52:$H$54,3,0),0)</f>
        <v>0</v>
      </c>
      <c r="M151" s="52">
        <f>IFERROR(VLOOKUP($A151,'I | Forecast 23-27'!$A$11:$N$160,M$8,0)*HLOOKUP(M$10,'I | Inflation'!$C$52:$H$54,3,0),0)</f>
        <v>0</v>
      </c>
      <c r="N151" s="52">
        <f>IFERROR(VLOOKUP($A151,'I | Forecast 23-27'!$A$11:$N$160,N$8,0)*HLOOKUP(N$10,'I | Inflation'!$C$52:$H$54,3,0),0)</f>
        <v>0</v>
      </c>
      <c r="O151" s="54">
        <f t="shared" si="2"/>
        <v>0</v>
      </c>
      <c r="P151" s="53"/>
    </row>
    <row r="152" spans="1:16" x14ac:dyDescent="0.3">
      <c r="A152" s="56">
        <v>142</v>
      </c>
      <c r="B152" s="49" t="str">
        <f>IF('I | Forecast 23-27'!B152="","",'I | Forecast 23-27'!B152)</f>
        <v/>
      </c>
      <c r="C152" s="47" t="str">
        <f>IF('I | Forecast 23-27'!C152="","",'I | Forecast 23-27'!C152)</f>
        <v/>
      </c>
      <c r="D152" s="47" t="str">
        <f>IF('I | Forecast 23-27'!D152="","",'I | Forecast 23-27'!D152)</f>
        <v/>
      </c>
      <c r="E152" s="47" t="str">
        <f>IF('I | Forecast 23-27'!E152="","",'I | Forecast 23-27'!E152)</f>
        <v/>
      </c>
      <c r="F152" s="47" t="str">
        <f>IF('I | Forecast 23-27'!F152="","",'I | Forecast 23-27'!F152)</f>
        <v/>
      </c>
      <c r="G152" s="47" t="str">
        <f>IF('I | Forecast 23-27'!G152="","",'I | Forecast 23-27'!G152)</f>
        <v/>
      </c>
      <c r="H152" s="47" t="str">
        <f>IF('I | Forecast 23-27'!H152="","",'I | Forecast 23-27'!H152)</f>
        <v/>
      </c>
      <c r="I152" s="50"/>
      <c r="J152" s="52">
        <f>IFERROR(VLOOKUP($A152,'I | Forecast 23-27'!$A$11:$N$160,J$8,0)*HLOOKUP(J$10,'I | Inflation'!$C$52:$H$54,3,0),0)</f>
        <v>0</v>
      </c>
      <c r="K152" s="52">
        <f>IFERROR(VLOOKUP($A152,'I | Forecast 23-27'!$A$11:$N$160,K$8,0)*HLOOKUP(K$10,'I | Inflation'!$C$52:$H$54,3,0),0)</f>
        <v>0</v>
      </c>
      <c r="L152" s="52">
        <f>IFERROR(VLOOKUP($A152,'I | Forecast 23-27'!$A$11:$N$160,L$8,0)*HLOOKUP(L$10,'I | Inflation'!$C$52:$H$54,3,0),0)</f>
        <v>0</v>
      </c>
      <c r="M152" s="52">
        <f>IFERROR(VLOOKUP($A152,'I | Forecast 23-27'!$A$11:$N$160,M$8,0)*HLOOKUP(M$10,'I | Inflation'!$C$52:$H$54,3,0),0)</f>
        <v>0</v>
      </c>
      <c r="N152" s="52">
        <f>IFERROR(VLOOKUP($A152,'I | Forecast 23-27'!$A$11:$N$160,N$8,0)*HLOOKUP(N$10,'I | Inflation'!$C$52:$H$54,3,0),0)</f>
        <v>0</v>
      </c>
      <c r="O152" s="54">
        <f t="shared" si="2"/>
        <v>0</v>
      </c>
      <c r="P152" s="53"/>
    </row>
    <row r="153" spans="1:16" x14ac:dyDescent="0.3">
      <c r="A153" s="56">
        <v>143</v>
      </c>
      <c r="B153" s="49" t="str">
        <f>IF('I | Forecast 23-27'!B153="","",'I | Forecast 23-27'!B153)</f>
        <v/>
      </c>
      <c r="C153" s="47" t="str">
        <f>IF('I | Forecast 23-27'!C153="","",'I | Forecast 23-27'!C153)</f>
        <v/>
      </c>
      <c r="D153" s="47" t="str">
        <f>IF('I | Forecast 23-27'!D153="","",'I | Forecast 23-27'!D153)</f>
        <v/>
      </c>
      <c r="E153" s="47" t="str">
        <f>IF('I | Forecast 23-27'!E153="","",'I | Forecast 23-27'!E153)</f>
        <v/>
      </c>
      <c r="F153" s="47" t="str">
        <f>IF('I | Forecast 23-27'!F153="","",'I | Forecast 23-27'!F153)</f>
        <v/>
      </c>
      <c r="G153" s="47" t="str">
        <f>IF('I | Forecast 23-27'!G153="","",'I | Forecast 23-27'!G153)</f>
        <v/>
      </c>
      <c r="H153" s="47" t="str">
        <f>IF('I | Forecast 23-27'!H153="","",'I | Forecast 23-27'!H153)</f>
        <v/>
      </c>
      <c r="I153" s="50"/>
      <c r="J153" s="52">
        <f>IFERROR(VLOOKUP($A153,'I | Forecast 23-27'!$A$11:$N$160,J$8,0)*HLOOKUP(J$10,'I | Inflation'!$C$52:$H$54,3,0),0)</f>
        <v>0</v>
      </c>
      <c r="K153" s="52">
        <f>IFERROR(VLOOKUP($A153,'I | Forecast 23-27'!$A$11:$N$160,K$8,0)*HLOOKUP(K$10,'I | Inflation'!$C$52:$H$54,3,0),0)</f>
        <v>0</v>
      </c>
      <c r="L153" s="52">
        <f>IFERROR(VLOOKUP($A153,'I | Forecast 23-27'!$A$11:$N$160,L$8,0)*HLOOKUP(L$10,'I | Inflation'!$C$52:$H$54,3,0),0)</f>
        <v>0</v>
      </c>
      <c r="M153" s="52">
        <f>IFERROR(VLOOKUP($A153,'I | Forecast 23-27'!$A$11:$N$160,M$8,0)*HLOOKUP(M$10,'I | Inflation'!$C$52:$H$54,3,0),0)</f>
        <v>0</v>
      </c>
      <c r="N153" s="52">
        <f>IFERROR(VLOOKUP($A153,'I | Forecast 23-27'!$A$11:$N$160,N$8,0)*HLOOKUP(N$10,'I | Inflation'!$C$52:$H$54,3,0),0)</f>
        <v>0</v>
      </c>
      <c r="O153" s="54">
        <f t="shared" si="2"/>
        <v>0</v>
      </c>
      <c r="P153" s="53"/>
    </row>
    <row r="154" spans="1:16" x14ac:dyDescent="0.3">
      <c r="A154" s="56">
        <v>144</v>
      </c>
      <c r="B154" s="49" t="str">
        <f>IF('I | Forecast 23-27'!B154="","",'I | Forecast 23-27'!B154)</f>
        <v/>
      </c>
      <c r="C154" s="47" t="str">
        <f>IF('I | Forecast 23-27'!C154="","",'I | Forecast 23-27'!C154)</f>
        <v/>
      </c>
      <c r="D154" s="47" t="str">
        <f>IF('I | Forecast 23-27'!D154="","",'I | Forecast 23-27'!D154)</f>
        <v/>
      </c>
      <c r="E154" s="47" t="str">
        <f>IF('I | Forecast 23-27'!E154="","",'I | Forecast 23-27'!E154)</f>
        <v/>
      </c>
      <c r="F154" s="47" t="str">
        <f>IF('I | Forecast 23-27'!F154="","",'I | Forecast 23-27'!F154)</f>
        <v/>
      </c>
      <c r="G154" s="47" t="str">
        <f>IF('I | Forecast 23-27'!G154="","",'I | Forecast 23-27'!G154)</f>
        <v/>
      </c>
      <c r="H154" s="47" t="str">
        <f>IF('I | Forecast 23-27'!H154="","",'I | Forecast 23-27'!H154)</f>
        <v/>
      </c>
      <c r="I154" s="50"/>
      <c r="J154" s="52">
        <f>IFERROR(VLOOKUP($A154,'I | Forecast 23-27'!$A$11:$N$160,J$8,0)*HLOOKUP(J$10,'I | Inflation'!$C$52:$H$54,3,0),0)</f>
        <v>0</v>
      </c>
      <c r="K154" s="52">
        <f>IFERROR(VLOOKUP($A154,'I | Forecast 23-27'!$A$11:$N$160,K$8,0)*HLOOKUP(K$10,'I | Inflation'!$C$52:$H$54,3,0),0)</f>
        <v>0</v>
      </c>
      <c r="L154" s="52">
        <f>IFERROR(VLOOKUP($A154,'I | Forecast 23-27'!$A$11:$N$160,L$8,0)*HLOOKUP(L$10,'I | Inflation'!$C$52:$H$54,3,0),0)</f>
        <v>0</v>
      </c>
      <c r="M154" s="52">
        <f>IFERROR(VLOOKUP($A154,'I | Forecast 23-27'!$A$11:$N$160,M$8,0)*HLOOKUP(M$10,'I | Inflation'!$C$52:$H$54,3,0),0)</f>
        <v>0</v>
      </c>
      <c r="N154" s="52">
        <f>IFERROR(VLOOKUP($A154,'I | Forecast 23-27'!$A$11:$N$160,N$8,0)*HLOOKUP(N$10,'I | Inflation'!$C$52:$H$54,3,0),0)</f>
        <v>0</v>
      </c>
      <c r="O154" s="54">
        <f t="shared" si="2"/>
        <v>0</v>
      </c>
      <c r="P154" s="53"/>
    </row>
    <row r="155" spans="1:16" x14ac:dyDescent="0.3">
      <c r="A155" s="56">
        <v>145</v>
      </c>
      <c r="B155" s="49" t="str">
        <f>IF('I | Forecast 23-27'!B155="","",'I | Forecast 23-27'!B155)</f>
        <v/>
      </c>
      <c r="C155" s="47" t="str">
        <f>IF('I | Forecast 23-27'!C155="","",'I | Forecast 23-27'!C155)</f>
        <v/>
      </c>
      <c r="D155" s="47" t="str">
        <f>IF('I | Forecast 23-27'!D155="","",'I | Forecast 23-27'!D155)</f>
        <v/>
      </c>
      <c r="E155" s="47" t="str">
        <f>IF('I | Forecast 23-27'!E155="","",'I | Forecast 23-27'!E155)</f>
        <v/>
      </c>
      <c r="F155" s="47" t="str">
        <f>IF('I | Forecast 23-27'!F155="","",'I | Forecast 23-27'!F155)</f>
        <v/>
      </c>
      <c r="G155" s="47" t="str">
        <f>IF('I | Forecast 23-27'!G155="","",'I | Forecast 23-27'!G155)</f>
        <v/>
      </c>
      <c r="H155" s="47" t="str">
        <f>IF('I | Forecast 23-27'!H155="","",'I | Forecast 23-27'!H155)</f>
        <v/>
      </c>
      <c r="I155" s="50"/>
      <c r="J155" s="52">
        <f>IFERROR(VLOOKUP($A155,'I | Forecast 23-27'!$A$11:$N$160,J$8,0)*HLOOKUP(J$10,'I | Inflation'!$C$52:$H$54,3,0),0)</f>
        <v>0</v>
      </c>
      <c r="K155" s="52">
        <f>IFERROR(VLOOKUP($A155,'I | Forecast 23-27'!$A$11:$N$160,K$8,0)*HLOOKUP(K$10,'I | Inflation'!$C$52:$H$54,3,0),0)</f>
        <v>0</v>
      </c>
      <c r="L155" s="52">
        <f>IFERROR(VLOOKUP($A155,'I | Forecast 23-27'!$A$11:$N$160,L$8,0)*HLOOKUP(L$10,'I | Inflation'!$C$52:$H$54,3,0),0)</f>
        <v>0</v>
      </c>
      <c r="M155" s="52">
        <f>IFERROR(VLOOKUP($A155,'I | Forecast 23-27'!$A$11:$N$160,M$8,0)*HLOOKUP(M$10,'I | Inflation'!$C$52:$H$54,3,0),0)</f>
        <v>0</v>
      </c>
      <c r="N155" s="52">
        <f>IFERROR(VLOOKUP($A155,'I | Forecast 23-27'!$A$11:$N$160,N$8,0)*HLOOKUP(N$10,'I | Inflation'!$C$52:$H$54,3,0),0)</f>
        <v>0</v>
      </c>
      <c r="O155" s="54">
        <f t="shared" si="2"/>
        <v>0</v>
      </c>
      <c r="P155" s="53"/>
    </row>
    <row r="156" spans="1:16" x14ac:dyDescent="0.3">
      <c r="A156" s="56">
        <v>146</v>
      </c>
      <c r="B156" s="49" t="str">
        <f>IF('I | Forecast 23-27'!B156="","",'I | Forecast 23-27'!B156)</f>
        <v/>
      </c>
      <c r="C156" s="47" t="str">
        <f>IF('I | Forecast 23-27'!C156="","",'I | Forecast 23-27'!C156)</f>
        <v/>
      </c>
      <c r="D156" s="47" t="str">
        <f>IF('I | Forecast 23-27'!D156="","",'I | Forecast 23-27'!D156)</f>
        <v/>
      </c>
      <c r="E156" s="47" t="str">
        <f>IF('I | Forecast 23-27'!E156="","",'I | Forecast 23-27'!E156)</f>
        <v/>
      </c>
      <c r="F156" s="47" t="str">
        <f>IF('I | Forecast 23-27'!F156="","",'I | Forecast 23-27'!F156)</f>
        <v/>
      </c>
      <c r="G156" s="47" t="str">
        <f>IF('I | Forecast 23-27'!G156="","",'I | Forecast 23-27'!G156)</f>
        <v/>
      </c>
      <c r="H156" s="47" t="str">
        <f>IF('I | Forecast 23-27'!H156="","",'I | Forecast 23-27'!H156)</f>
        <v/>
      </c>
      <c r="I156" s="50"/>
      <c r="J156" s="52">
        <f>IFERROR(VLOOKUP($A156,'I | Forecast 23-27'!$A$11:$N$160,J$8,0)*HLOOKUP(J$10,'I | Inflation'!$C$52:$H$54,3,0),0)</f>
        <v>0</v>
      </c>
      <c r="K156" s="52">
        <f>IFERROR(VLOOKUP($A156,'I | Forecast 23-27'!$A$11:$N$160,K$8,0)*HLOOKUP(K$10,'I | Inflation'!$C$52:$H$54,3,0),0)</f>
        <v>0</v>
      </c>
      <c r="L156" s="52">
        <f>IFERROR(VLOOKUP($A156,'I | Forecast 23-27'!$A$11:$N$160,L$8,0)*HLOOKUP(L$10,'I | Inflation'!$C$52:$H$54,3,0),0)</f>
        <v>0</v>
      </c>
      <c r="M156" s="52">
        <f>IFERROR(VLOOKUP($A156,'I | Forecast 23-27'!$A$11:$N$160,M$8,0)*HLOOKUP(M$10,'I | Inflation'!$C$52:$H$54,3,0),0)</f>
        <v>0</v>
      </c>
      <c r="N156" s="52">
        <f>IFERROR(VLOOKUP($A156,'I | Forecast 23-27'!$A$11:$N$160,N$8,0)*HLOOKUP(N$10,'I | Inflation'!$C$52:$H$54,3,0),0)</f>
        <v>0</v>
      </c>
      <c r="O156" s="54">
        <f t="shared" si="2"/>
        <v>0</v>
      </c>
      <c r="P156" s="53"/>
    </row>
    <row r="157" spans="1:16" x14ac:dyDescent="0.3">
      <c r="A157" s="56">
        <v>147</v>
      </c>
      <c r="B157" s="49" t="str">
        <f>IF('I | Forecast 23-27'!B157="","",'I | Forecast 23-27'!B157)</f>
        <v/>
      </c>
      <c r="C157" s="47" t="str">
        <f>IF('I | Forecast 23-27'!C157="","",'I | Forecast 23-27'!C157)</f>
        <v/>
      </c>
      <c r="D157" s="47" t="str">
        <f>IF('I | Forecast 23-27'!D157="","",'I | Forecast 23-27'!D157)</f>
        <v/>
      </c>
      <c r="E157" s="47" t="str">
        <f>IF('I | Forecast 23-27'!E157="","",'I | Forecast 23-27'!E157)</f>
        <v/>
      </c>
      <c r="F157" s="47" t="str">
        <f>IF('I | Forecast 23-27'!F157="","",'I | Forecast 23-27'!F157)</f>
        <v/>
      </c>
      <c r="G157" s="47" t="str">
        <f>IF('I | Forecast 23-27'!G157="","",'I | Forecast 23-27'!G157)</f>
        <v/>
      </c>
      <c r="H157" s="47" t="str">
        <f>IF('I | Forecast 23-27'!H157="","",'I | Forecast 23-27'!H157)</f>
        <v/>
      </c>
      <c r="I157" s="50"/>
      <c r="J157" s="52">
        <f>IFERROR(VLOOKUP($A157,'I | Forecast 23-27'!$A$11:$N$160,J$8,0)*HLOOKUP(J$10,'I | Inflation'!$C$52:$H$54,3,0),0)</f>
        <v>0</v>
      </c>
      <c r="K157" s="52">
        <f>IFERROR(VLOOKUP($A157,'I | Forecast 23-27'!$A$11:$N$160,K$8,0)*HLOOKUP(K$10,'I | Inflation'!$C$52:$H$54,3,0),0)</f>
        <v>0</v>
      </c>
      <c r="L157" s="52">
        <f>IFERROR(VLOOKUP($A157,'I | Forecast 23-27'!$A$11:$N$160,L$8,0)*HLOOKUP(L$10,'I | Inflation'!$C$52:$H$54,3,0),0)</f>
        <v>0</v>
      </c>
      <c r="M157" s="52">
        <f>IFERROR(VLOOKUP($A157,'I | Forecast 23-27'!$A$11:$N$160,M$8,0)*HLOOKUP(M$10,'I | Inflation'!$C$52:$H$54,3,0),0)</f>
        <v>0</v>
      </c>
      <c r="N157" s="52">
        <f>IFERROR(VLOOKUP($A157,'I | Forecast 23-27'!$A$11:$N$160,N$8,0)*HLOOKUP(N$10,'I | Inflation'!$C$52:$H$54,3,0),0)</f>
        <v>0</v>
      </c>
      <c r="O157" s="54">
        <f t="shared" si="2"/>
        <v>0</v>
      </c>
      <c r="P157" s="53"/>
    </row>
    <row r="158" spans="1:16" x14ac:dyDescent="0.3">
      <c r="A158" s="56">
        <v>148</v>
      </c>
      <c r="B158" s="49" t="str">
        <f>IF('I | Forecast 23-27'!B158="","",'I | Forecast 23-27'!B158)</f>
        <v/>
      </c>
      <c r="C158" s="47" t="str">
        <f>IF('I | Forecast 23-27'!C158="","",'I | Forecast 23-27'!C158)</f>
        <v/>
      </c>
      <c r="D158" s="47" t="str">
        <f>IF('I | Forecast 23-27'!D158="","",'I | Forecast 23-27'!D158)</f>
        <v/>
      </c>
      <c r="E158" s="47" t="str">
        <f>IF('I | Forecast 23-27'!E158="","",'I | Forecast 23-27'!E158)</f>
        <v/>
      </c>
      <c r="F158" s="47" t="str">
        <f>IF('I | Forecast 23-27'!F158="","",'I | Forecast 23-27'!F158)</f>
        <v/>
      </c>
      <c r="G158" s="47" t="str">
        <f>IF('I | Forecast 23-27'!G158="","",'I | Forecast 23-27'!G158)</f>
        <v/>
      </c>
      <c r="H158" s="47" t="str">
        <f>IF('I | Forecast 23-27'!H158="","",'I | Forecast 23-27'!H158)</f>
        <v/>
      </c>
      <c r="I158" s="50"/>
      <c r="J158" s="52">
        <f>IFERROR(VLOOKUP($A158,'I | Forecast 23-27'!$A$11:$N$160,J$8,0)*HLOOKUP(J$10,'I | Inflation'!$C$52:$H$54,3,0),0)</f>
        <v>0</v>
      </c>
      <c r="K158" s="52">
        <f>IFERROR(VLOOKUP($A158,'I | Forecast 23-27'!$A$11:$N$160,K$8,0)*HLOOKUP(K$10,'I | Inflation'!$C$52:$H$54,3,0),0)</f>
        <v>0</v>
      </c>
      <c r="L158" s="52">
        <f>IFERROR(VLOOKUP($A158,'I | Forecast 23-27'!$A$11:$N$160,L$8,0)*HLOOKUP(L$10,'I | Inflation'!$C$52:$H$54,3,0),0)</f>
        <v>0</v>
      </c>
      <c r="M158" s="52">
        <f>IFERROR(VLOOKUP($A158,'I | Forecast 23-27'!$A$11:$N$160,M$8,0)*HLOOKUP(M$10,'I | Inflation'!$C$52:$H$54,3,0),0)</f>
        <v>0</v>
      </c>
      <c r="N158" s="52">
        <f>IFERROR(VLOOKUP($A158,'I | Forecast 23-27'!$A$11:$N$160,N$8,0)*HLOOKUP(N$10,'I | Inflation'!$C$52:$H$54,3,0),0)</f>
        <v>0</v>
      </c>
      <c r="O158" s="54">
        <f t="shared" si="2"/>
        <v>0</v>
      </c>
      <c r="P158" s="53"/>
    </row>
    <row r="159" spans="1:16" x14ac:dyDescent="0.3">
      <c r="A159" s="56">
        <v>149</v>
      </c>
      <c r="B159" s="49" t="str">
        <f>IF('I | Forecast 23-27'!B159="","",'I | Forecast 23-27'!B159)</f>
        <v/>
      </c>
      <c r="C159" s="47" t="str">
        <f>IF('I | Forecast 23-27'!C159="","",'I | Forecast 23-27'!C159)</f>
        <v/>
      </c>
      <c r="D159" s="47" t="str">
        <f>IF('I | Forecast 23-27'!D159="","",'I | Forecast 23-27'!D159)</f>
        <v/>
      </c>
      <c r="E159" s="47" t="str">
        <f>IF('I | Forecast 23-27'!E159="","",'I | Forecast 23-27'!E159)</f>
        <v/>
      </c>
      <c r="F159" s="47" t="str">
        <f>IF('I | Forecast 23-27'!F159="","",'I | Forecast 23-27'!F159)</f>
        <v/>
      </c>
      <c r="G159" s="47" t="str">
        <f>IF('I | Forecast 23-27'!G159="","",'I | Forecast 23-27'!G159)</f>
        <v/>
      </c>
      <c r="H159" s="47" t="str">
        <f>IF('I | Forecast 23-27'!H159="","",'I | Forecast 23-27'!H159)</f>
        <v/>
      </c>
      <c r="I159" s="50"/>
      <c r="J159" s="52">
        <f>IFERROR(VLOOKUP($A159,'I | Forecast 23-27'!$A$11:$N$160,J$8,0)*HLOOKUP(J$10,'I | Inflation'!$C$52:$H$54,3,0),0)</f>
        <v>0</v>
      </c>
      <c r="K159" s="52">
        <f>IFERROR(VLOOKUP($A159,'I | Forecast 23-27'!$A$11:$N$160,K$8,0)*HLOOKUP(K$10,'I | Inflation'!$C$52:$H$54,3,0),0)</f>
        <v>0</v>
      </c>
      <c r="L159" s="52">
        <f>IFERROR(VLOOKUP($A159,'I | Forecast 23-27'!$A$11:$N$160,L$8,0)*HLOOKUP(L$10,'I | Inflation'!$C$52:$H$54,3,0),0)</f>
        <v>0</v>
      </c>
      <c r="M159" s="52">
        <f>IFERROR(VLOOKUP($A159,'I | Forecast 23-27'!$A$11:$N$160,M$8,0)*HLOOKUP(M$10,'I | Inflation'!$C$52:$H$54,3,0),0)</f>
        <v>0</v>
      </c>
      <c r="N159" s="52">
        <f>IFERROR(VLOOKUP($A159,'I | Forecast 23-27'!$A$11:$N$160,N$8,0)*HLOOKUP(N$10,'I | Inflation'!$C$52:$H$54,3,0),0)</f>
        <v>0</v>
      </c>
      <c r="O159" s="54">
        <f t="shared" si="2"/>
        <v>0</v>
      </c>
      <c r="P159" s="53"/>
    </row>
    <row r="160" spans="1:16" x14ac:dyDescent="0.3">
      <c r="A160" s="56">
        <v>150</v>
      </c>
      <c r="B160" s="49" t="str">
        <f>IF('I | Forecast 23-27'!B160="","",'I | Forecast 23-27'!B160)</f>
        <v/>
      </c>
      <c r="C160" s="47" t="str">
        <f>IF('I | Forecast 23-27'!C160="","",'I | Forecast 23-27'!C160)</f>
        <v/>
      </c>
      <c r="D160" s="47" t="str">
        <f>IF('I | Forecast 23-27'!D160="","",'I | Forecast 23-27'!D160)</f>
        <v/>
      </c>
      <c r="E160" s="47" t="str">
        <f>IF('I | Forecast 23-27'!E160="","",'I | Forecast 23-27'!E160)</f>
        <v/>
      </c>
      <c r="F160" s="47" t="str">
        <f>IF('I | Forecast 23-27'!F160="","",'I | Forecast 23-27'!F160)</f>
        <v/>
      </c>
      <c r="G160" s="47" t="str">
        <f>IF('I | Forecast 23-27'!G160="","",'I | Forecast 23-27'!G160)</f>
        <v/>
      </c>
      <c r="H160" s="47" t="str">
        <f>IF('I | Forecast 23-27'!H160="","",'I | Forecast 23-27'!H160)</f>
        <v/>
      </c>
      <c r="I160" s="50"/>
      <c r="J160" s="52">
        <f>IFERROR(VLOOKUP($A160,'I | Forecast 23-27'!$A$11:$N$160,J$8,0)*HLOOKUP(J$10,'I | Inflation'!$C$52:$H$54,3,0),0)</f>
        <v>0</v>
      </c>
      <c r="K160" s="52">
        <f>IFERROR(VLOOKUP($A160,'I | Forecast 23-27'!$A$11:$N$160,K$8,0)*HLOOKUP(K$10,'I | Inflation'!$C$52:$H$54,3,0),0)</f>
        <v>0</v>
      </c>
      <c r="L160" s="52">
        <f>IFERROR(VLOOKUP($A160,'I | Forecast 23-27'!$A$11:$N$160,L$8,0)*HLOOKUP(L$10,'I | Inflation'!$C$52:$H$54,3,0),0)</f>
        <v>0</v>
      </c>
      <c r="M160" s="52">
        <f>IFERROR(VLOOKUP($A160,'I | Forecast 23-27'!$A$11:$N$160,M$8,0)*HLOOKUP(M$10,'I | Inflation'!$C$52:$H$54,3,0),0)</f>
        <v>0</v>
      </c>
      <c r="N160" s="52">
        <f>IFERROR(VLOOKUP($A160,'I | Forecast 23-27'!$A$11:$N$160,N$8,0)*HLOOKUP(N$10,'I | Inflation'!$C$52:$H$54,3,0),0)</f>
        <v>0</v>
      </c>
      <c r="O160" s="54">
        <f t="shared" si="2"/>
        <v>0</v>
      </c>
      <c r="P160" s="53"/>
    </row>
    <row r="161" spans="1:15" x14ac:dyDescent="0.3">
      <c r="A161" s="13"/>
      <c r="B161" s="10" t="s">
        <v>26</v>
      </c>
      <c r="C161" s="10"/>
      <c r="D161" s="12"/>
      <c r="E161" s="12"/>
      <c r="F161" s="12"/>
      <c r="G161" s="12"/>
      <c r="H161" s="12"/>
      <c r="I161" s="19"/>
      <c r="J161" s="20">
        <f>SUM(J11:J160)</f>
        <v>20416141.566617146</v>
      </c>
      <c r="K161" s="20">
        <f t="shared" ref="K161:N161" si="3">SUM(K11:K160)</f>
        <v>6761240.8212464154</v>
      </c>
      <c r="L161" s="20">
        <f t="shared" si="3"/>
        <v>5472318.8013311327</v>
      </c>
      <c r="M161" s="20">
        <f t="shared" si="3"/>
        <v>3905527.0883433134</v>
      </c>
      <c r="N161" s="20">
        <f t="shared" si="3"/>
        <v>6915754.4011963075</v>
      </c>
      <c r="O161" s="20">
        <f>SUM(O11:O160)</f>
        <v>43470982.678734317</v>
      </c>
    </row>
    <row r="163" spans="1:15" s="42" customFormat="1" x14ac:dyDescent="0.3">
      <c r="F163" s="43"/>
      <c r="G163" s="43"/>
      <c r="H163" s="43"/>
      <c r="J163" s="45"/>
      <c r="K163" s="45"/>
      <c r="L163" s="45"/>
      <c r="M163" s="45"/>
      <c r="N163" s="45"/>
      <c r="O163" s="45"/>
    </row>
    <row r="164" spans="1:15" s="42" customFormat="1" x14ac:dyDescent="0.3">
      <c r="F164" s="43"/>
      <c r="G164" s="43"/>
      <c r="H164" s="43"/>
      <c r="J164" s="46"/>
      <c r="K164" s="46"/>
      <c r="L164" s="46"/>
      <c r="M164" s="46"/>
      <c r="N164" s="46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AF912-F09D-409B-953F-A37771CB94E6}">
  <sheetPr>
    <tabColor theme="4" tint="0.79998168889431442"/>
  </sheetPr>
  <dimension ref="A2:AJ164"/>
  <sheetViews>
    <sheetView showGridLines="0" zoomScale="130" zoomScaleNormal="130" workbookViewId="0">
      <pane ySplit="10" topLeftCell="A23" activePane="bottomLeft" state="frozen"/>
      <selection pane="bottomLeft" activeCell="D5" sqref="D5"/>
    </sheetView>
  </sheetViews>
  <sheetFormatPr defaultColWidth="8.625" defaultRowHeight="16.5" x14ac:dyDescent="0.3"/>
  <cols>
    <col min="1" max="1" width="4.625" style="2" customWidth="1"/>
    <col min="2" max="2" width="46.25" style="2" bestFit="1" customWidth="1"/>
    <col min="3" max="3" width="14.625" style="2" bestFit="1" customWidth="1"/>
    <col min="4" max="4" width="22.375" style="2" bestFit="1" customWidth="1"/>
    <col min="5" max="5" width="17.375" style="2" customWidth="1"/>
    <col min="6" max="6" width="11.875" style="2" customWidth="1"/>
    <col min="7" max="7" width="15.25" style="2" customWidth="1"/>
    <col min="8" max="8" width="6.125" style="3" bestFit="1" customWidth="1"/>
    <col min="9" max="9" width="7.5" style="3" bestFit="1" customWidth="1"/>
    <col min="10" max="10" width="2.625" style="2" customWidth="1"/>
    <col min="11" max="12" width="24.625" style="2" customWidth="1"/>
    <col min="13" max="13" width="2.625" style="2" customWidth="1"/>
    <col min="14" max="15" width="24.625" style="2" customWidth="1"/>
    <col min="16" max="16" width="2.625" style="2" hidden="1" customWidth="1"/>
    <col min="17" max="18" width="24.625" style="2" hidden="1" customWidth="1"/>
    <col min="19" max="19" width="2.625" style="2" hidden="1" customWidth="1"/>
    <col min="20" max="21" width="24.625" style="2" hidden="1" customWidth="1"/>
    <col min="22" max="22" width="2.625" style="2" hidden="1" customWidth="1"/>
    <col min="23" max="24" width="24.625" style="2" hidden="1" customWidth="1"/>
    <col min="25" max="25" width="2.625" style="2" customWidth="1"/>
    <col min="26" max="27" width="24.625" style="2" customWidth="1"/>
    <col min="28" max="28" width="2.625" style="2" customWidth="1"/>
    <col min="29" max="30" width="24.625" style="2" customWidth="1"/>
    <col min="31" max="31" width="2.625" style="2" customWidth="1"/>
    <col min="32" max="33" width="24.625" style="2" customWidth="1"/>
    <col min="34" max="34" width="2.625" style="2" customWidth="1"/>
    <col min="35" max="36" width="24.625" style="2" customWidth="1"/>
    <col min="37" max="16384" width="8.625" style="2"/>
  </cols>
  <sheetData>
    <row r="2" spans="1:36" x14ac:dyDescent="0.3">
      <c r="L2" s="2">
        <f>IF($H64="nominal",VLOOKUP($A64,'I | Capex forecast'!$A$11:$AA$160,K$8,0),VLOOKUP($A64,'I | Capex forecast'!$A$11:$AA$160,K$8,0))</f>
        <v>0</v>
      </c>
    </row>
    <row r="6" spans="1:36" s="24" customFormat="1" ht="18.75" x14ac:dyDescent="0.3">
      <c r="A6" s="27" t="s">
        <v>48</v>
      </c>
      <c r="H6" s="26"/>
      <c r="I6" s="26"/>
      <c r="K6" s="66" t="s">
        <v>36</v>
      </c>
      <c r="L6" s="117">
        <f>SUM(K161:L161)</f>
        <v>25165931.451639324</v>
      </c>
      <c r="N6" s="66" t="s">
        <v>36</v>
      </c>
      <c r="O6" s="117">
        <f>SUM(N161:O161)</f>
        <v>589.51587685163179</v>
      </c>
      <c r="Z6" s="66" t="s">
        <v>36</v>
      </c>
      <c r="AA6" s="117">
        <f>SUM(Z161:AA161)</f>
        <v>2264933.8306475393</v>
      </c>
      <c r="AC6" s="66" t="s">
        <v>36</v>
      </c>
      <c r="AD6" s="117">
        <f>SUM(AC161:AD161)</f>
        <v>27431454.798163719</v>
      </c>
      <c r="AF6" s="66" t="s">
        <v>36</v>
      </c>
      <c r="AG6" s="117">
        <f>SUM(AF161:AG161)</f>
        <v>5660601.0977382604</v>
      </c>
      <c r="AI6" s="66" t="s">
        <v>36</v>
      </c>
      <c r="AJ6" s="117">
        <f>SUM(AI161:AJ161)</f>
        <v>27431454.798163719</v>
      </c>
    </row>
    <row r="7" spans="1:36" s="24" customFormat="1" ht="18.75" x14ac:dyDescent="0.3">
      <c r="A7" s="23" t="s">
        <v>179</v>
      </c>
      <c r="H7" s="26"/>
      <c r="I7" s="26"/>
    </row>
    <row r="8" spans="1:36" x14ac:dyDescent="0.3">
      <c r="A8" s="18"/>
      <c r="K8" s="3">
        <v>12</v>
      </c>
      <c r="L8" s="3">
        <v>13</v>
      </c>
      <c r="N8" s="3"/>
      <c r="O8" s="3"/>
      <c r="Q8" s="3"/>
      <c r="R8" s="3"/>
      <c r="T8" s="3"/>
      <c r="U8" s="3"/>
      <c r="W8" s="3"/>
      <c r="X8" s="3"/>
      <c r="Z8" s="3"/>
      <c r="AA8" s="3"/>
      <c r="AC8" s="3"/>
      <c r="AD8" s="3"/>
      <c r="AF8" s="3"/>
      <c r="AG8" s="3"/>
      <c r="AI8" s="3"/>
      <c r="AJ8" s="3"/>
    </row>
    <row r="9" spans="1:36" ht="18.75" x14ac:dyDescent="0.3">
      <c r="A9" s="7" t="s">
        <v>28</v>
      </c>
      <c r="B9" s="7"/>
      <c r="C9" s="7"/>
      <c r="D9" s="7"/>
      <c r="E9" s="7"/>
      <c r="F9" s="7"/>
      <c r="G9" s="7"/>
      <c r="H9" s="88"/>
      <c r="I9" s="88"/>
      <c r="K9" s="7" t="s">
        <v>189</v>
      </c>
      <c r="L9" s="15"/>
      <c r="N9" s="7" t="s">
        <v>188</v>
      </c>
      <c r="O9" s="15"/>
      <c r="Q9" s="7" t="s">
        <v>184</v>
      </c>
      <c r="R9" s="15"/>
      <c r="T9" s="7" t="s">
        <v>185</v>
      </c>
      <c r="U9" s="15"/>
      <c r="W9" s="7" t="s">
        <v>186</v>
      </c>
      <c r="X9" s="15"/>
      <c r="Z9" s="7" t="s">
        <v>187</v>
      </c>
      <c r="AA9" s="15"/>
      <c r="AC9" s="7" t="s">
        <v>190</v>
      </c>
      <c r="AD9" s="15"/>
      <c r="AF9" s="7" t="s">
        <v>191</v>
      </c>
      <c r="AG9" s="15"/>
      <c r="AI9" s="7" t="s">
        <v>196</v>
      </c>
      <c r="AJ9" s="15"/>
    </row>
    <row r="10" spans="1:36" s="68" customFormat="1" ht="36" x14ac:dyDescent="0.2">
      <c r="A10" s="64" t="s">
        <v>30</v>
      </c>
      <c r="B10" s="65" t="s">
        <v>22</v>
      </c>
      <c r="C10" s="65" t="s">
        <v>142</v>
      </c>
      <c r="D10" s="65" t="s">
        <v>103</v>
      </c>
      <c r="E10" s="65" t="s">
        <v>0</v>
      </c>
      <c r="F10" s="65" t="s">
        <v>141</v>
      </c>
      <c r="G10" s="65" t="s">
        <v>31</v>
      </c>
      <c r="H10" s="66" t="s">
        <v>23</v>
      </c>
      <c r="I10" s="66" t="s">
        <v>32</v>
      </c>
      <c r="J10" s="67"/>
      <c r="K10" s="112" t="s">
        <v>120</v>
      </c>
      <c r="L10" s="112" t="s">
        <v>119</v>
      </c>
      <c r="N10" s="112" t="s">
        <v>120</v>
      </c>
      <c r="O10" s="112" t="s">
        <v>119</v>
      </c>
      <c r="Q10" s="112" t="s">
        <v>120</v>
      </c>
      <c r="R10" s="112" t="s">
        <v>119</v>
      </c>
      <c r="T10" s="112" t="s">
        <v>120</v>
      </c>
      <c r="U10" s="112" t="s">
        <v>119</v>
      </c>
      <c r="W10" s="112" t="s">
        <v>120</v>
      </c>
      <c r="X10" s="112" t="s">
        <v>119</v>
      </c>
      <c r="Z10" s="112" t="s">
        <v>120</v>
      </c>
      <c r="AA10" s="112" t="s">
        <v>119</v>
      </c>
      <c r="AC10" s="112" t="s">
        <v>120</v>
      </c>
      <c r="AD10" s="112" t="s">
        <v>119</v>
      </c>
      <c r="AF10" s="112" t="s">
        <v>120</v>
      </c>
      <c r="AG10" s="112" t="s">
        <v>119</v>
      </c>
      <c r="AI10" s="112" t="s">
        <v>120</v>
      </c>
      <c r="AJ10" s="112" t="s">
        <v>119</v>
      </c>
    </row>
    <row r="11" spans="1:36" s="4" customFormat="1" x14ac:dyDescent="0.3">
      <c r="A11" s="56">
        <v>1</v>
      </c>
      <c r="B11" s="48" t="str">
        <f>IF('I | Capex forecast'!B11="","",'I | Capex forecast'!B11)</f>
        <v>Lytton Valve replacement DN300 &amp; DN200</v>
      </c>
      <c r="C11" s="48" t="str">
        <f>IF('I | Capex forecast'!C11="","",'I | Capex forecast'!C11)</f>
        <v>SIB</v>
      </c>
      <c r="D11" s="48" t="str">
        <f>IF('I | Capex forecast'!D11="","",'I | Capex forecast'!D11)</f>
        <v>Valve replacement</v>
      </c>
      <c r="E11" s="48" t="str">
        <f>IF('I | Capex forecast'!E11="","",'I | Capex forecast'!E11)</f>
        <v>Pipelines</v>
      </c>
      <c r="F11" s="48" t="str">
        <f>IF('I | Capex forecast'!F11="","",'I | Capex forecast'!F11)</f>
        <v>Replacement</v>
      </c>
      <c r="G11" s="48" t="str">
        <f>IF('I | Capex forecast'!G11="","",'I | Capex forecast'!G11)</f>
        <v>As incurred</v>
      </c>
      <c r="H11" s="48" t="str">
        <f>IF('I | Capex forecast'!H11="","",'I | Capex forecast'!H11)</f>
        <v>FY 26</v>
      </c>
      <c r="I11" s="48" t="str">
        <f>IF('I | Capex forecast'!I11="","",'I | Capex forecast'!I11)</f>
        <v>Mid-year</v>
      </c>
      <c r="J11" s="50"/>
      <c r="K11" s="52">
        <f>IFERROR(IF($H11="nominal",VLOOKUP($A11,'I | Capex forecast'!$A$11:$AA$160,K$8,0),VLOOKUP($A11,'I | Capex forecast'!$A$11:$AA$160,K$8,0)*INDEX('I | Inflation'!$G$41:$I$43,MATCH($H11,'I | Inflation'!$F$41:$F$43,0),MATCH(K$10,'I | Inflation'!$G$40:$I$40,0))),0)</f>
        <v>0</v>
      </c>
      <c r="L11" s="52">
        <f>IFERROR(IF($H11="nominal",VLOOKUP($A11,'I | Capex forecast'!$A$11:$AA$160,L$8,0),VLOOKUP($A11,'I | Capex forecast'!$A$11:$AA$160,L$8,0)*INDEX('I | Inflation'!$G$41:$I$43,MATCH($H11,'I | Inflation'!$F$41:$F$43,0),MATCH(L$10,'I | Inflation'!$G$40:$I$40,0))),0)</f>
        <v>0</v>
      </c>
      <c r="M11" s="53"/>
      <c r="N11" s="52">
        <f>K11*VLOOKUP($A11,'I | Capex forecast'!$A$11:$AA$160,21,0)*(HLOOKUP(N$10,'I | Inflation'!$D$57:$J$59,3,0)-1)</f>
        <v>0</v>
      </c>
      <c r="O11" s="52">
        <f>L11*VLOOKUP($A11,'I | Capex forecast'!$A$11:$AA$160,21,0)*(HLOOKUP(O$10,'I | Inflation'!$D$57:$J$59,3,0)-1)</f>
        <v>0</v>
      </c>
      <c r="P11" s="53"/>
      <c r="Q11" s="52"/>
      <c r="R11" s="52"/>
      <c r="S11" s="53"/>
      <c r="T11" s="52"/>
      <c r="U11" s="52"/>
      <c r="V11" s="53"/>
      <c r="W11" s="52"/>
      <c r="X11" s="52"/>
      <c r="Y11" s="53"/>
      <c r="Z11" s="52">
        <f>K11*VLOOKUP($A11,'I | Capex forecast'!$A$11:$AA$160,27,0)</f>
        <v>0</v>
      </c>
      <c r="AA11" s="52">
        <f>L11*VLOOKUP($A11,'I | Capex forecast'!$A$11:$AA$160,27,0)</f>
        <v>0</v>
      </c>
      <c r="AB11" s="53"/>
      <c r="AC11" s="52">
        <f t="shared" ref="AC11:AC42" si="0">K11+N11+Q11+T11+W11+Z11</f>
        <v>0</v>
      </c>
      <c r="AD11" s="52">
        <f t="shared" ref="AD11:AD42" si="1">L11+O11+R11+U11+X11+AA11</f>
        <v>0</v>
      </c>
      <c r="AE11" s="53"/>
      <c r="AF11" s="52">
        <f>IF(VLOOKUP($A11,'I | Capex forecast'!$A$11:$AA$160,10,0)="Yes",AC11,0)</f>
        <v>0</v>
      </c>
      <c r="AG11" s="52">
        <f>IF(VLOOKUP($A11,'I | Capex forecast'!$A$11:$AA$160,10,0)="Yes",AD11,0)</f>
        <v>0</v>
      </c>
      <c r="AH11" s="53"/>
      <c r="AI11" s="52">
        <f t="shared" ref="AI11:AI42" si="2">IF($G11="As incurred",AC11,IF($G11=AI$10,$AC11+$AD11,0))</f>
        <v>0</v>
      </c>
      <c r="AJ11" s="52">
        <f t="shared" ref="AJ11:AJ42" si="3">IF($G11="As incurred",AD11,IF($G11=AJ$10,$AC11+$AD11,0))</f>
        <v>0</v>
      </c>
    </row>
    <row r="12" spans="1:36" s="4" customFormat="1" x14ac:dyDescent="0.3">
      <c r="A12" s="56">
        <f t="shared" ref="A12:A43" si="4">A11+1</f>
        <v>2</v>
      </c>
      <c r="B12" s="48" t="str">
        <f>IF('I | Capex forecast'!B12="","",'I | Capex forecast'!B12)</f>
        <v>DN200 Lytton Lateral - ILI - MFL</v>
      </c>
      <c r="C12" s="48" t="str">
        <f>IF('I | Capex forecast'!C12="","",'I | Capex forecast'!C12)</f>
        <v>Pipeline Integrity</v>
      </c>
      <c r="D12" s="48" t="str">
        <f>IF('I | Capex forecast'!D12="","",'I | Capex forecast'!D12)</f>
        <v>ILI</v>
      </c>
      <c r="E12" s="48" t="str">
        <f>IF('I | Capex forecast'!E12="","",'I | Capex forecast'!E12)</f>
        <v>Pipeline Integrity</v>
      </c>
      <c r="F12" s="48" t="str">
        <f>IF('I | Capex forecast'!F12="","",'I | Capex forecast'!F12)</f>
        <v>Replacement</v>
      </c>
      <c r="G12" s="48" t="str">
        <f>IF('I | Capex forecast'!G12="","",'I | Capex forecast'!G12)</f>
        <v>As incurred</v>
      </c>
      <c r="H12" s="48" t="str">
        <f>IF('I | Capex forecast'!H12="","",'I | Capex forecast'!H12)</f>
        <v>FY 26</v>
      </c>
      <c r="I12" s="48" t="str">
        <f>IF('I | Capex forecast'!I12="","",'I | Capex forecast'!I12)</f>
        <v>Mid-year</v>
      </c>
      <c r="J12" s="50"/>
      <c r="K12" s="52">
        <f>IFERROR(IF($H12="nominal",VLOOKUP($A12,'I | Capex forecast'!$A$11:$AA$160,K$8,0),VLOOKUP($A12,'I | Capex forecast'!$A$11:$AA$160,K$8,0)*INDEX('I | Inflation'!$G$41:$I$43,MATCH($H12,'I | Inflation'!$F$41:$F$43,0),MATCH(K$10,'I | Inflation'!$G$40:$I$40,0))),0)</f>
        <v>0</v>
      </c>
      <c r="L12" s="52">
        <f>IFERROR(IF($H12="nominal",VLOOKUP($A12,'I | Capex forecast'!$A$11:$AA$160,L$8,0),VLOOKUP($A12,'I | Capex forecast'!$A$11:$AA$160,L$8,0)*INDEX('I | Inflation'!$G$41:$I$43,MATCH($H12,'I | Inflation'!$F$41:$F$43,0),MATCH(L$10,'I | Inflation'!$G$40:$I$40,0))),0)</f>
        <v>0</v>
      </c>
      <c r="M12" s="53"/>
      <c r="N12" s="52">
        <f>K12*VLOOKUP($A12,'I | Capex forecast'!$A$11:$AA$160,21,0)*(HLOOKUP(N$10,'I | Inflation'!$D$57:$J$59,3,0)-1)</f>
        <v>0</v>
      </c>
      <c r="O12" s="52">
        <f>L12*VLOOKUP($A12,'I | Capex forecast'!$A$11:$AA$160,21,0)*(HLOOKUP(O$10,'I | Inflation'!$D$57:$J$59,3,0)-1)</f>
        <v>0</v>
      </c>
      <c r="P12" s="53"/>
      <c r="Q12" s="52"/>
      <c r="R12" s="52"/>
      <c r="S12" s="53"/>
      <c r="T12" s="52"/>
      <c r="U12" s="52"/>
      <c r="V12" s="53"/>
      <c r="W12" s="52"/>
      <c r="X12" s="52"/>
      <c r="Y12" s="53"/>
      <c r="Z12" s="52">
        <f>K12*VLOOKUP($A12,'I | Capex forecast'!$A$11:$AA$160,27,0)</f>
        <v>0</v>
      </c>
      <c r="AA12" s="52">
        <f>L12*VLOOKUP($A12,'I | Capex forecast'!$A$11:$AA$160,27,0)</f>
        <v>0</v>
      </c>
      <c r="AB12" s="53"/>
      <c r="AC12" s="52">
        <f t="shared" si="0"/>
        <v>0</v>
      </c>
      <c r="AD12" s="52">
        <f t="shared" si="1"/>
        <v>0</v>
      </c>
      <c r="AE12" s="53"/>
      <c r="AF12" s="52">
        <f>IF(VLOOKUP($A12,'I | Capex forecast'!$A$11:$AA$160,10,0)="Yes",AC12,0)</f>
        <v>0</v>
      </c>
      <c r="AG12" s="52">
        <f>IF(VLOOKUP($A12,'I | Capex forecast'!$A$11:$AA$160,10,0)="Yes",AD12,0)</f>
        <v>0</v>
      </c>
      <c r="AH12" s="53"/>
      <c r="AI12" s="52">
        <f t="shared" si="2"/>
        <v>0</v>
      </c>
      <c r="AJ12" s="52">
        <f t="shared" si="3"/>
        <v>0</v>
      </c>
    </row>
    <row r="13" spans="1:36" s="4" customFormat="1" x14ac:dyDescent="0.3">
      <c r="A13" s="56">
        <f t="shared" si="4"/>
        <v>3</v>
      </c>
      <c r="B13" s="48" t="str">
        <f>IF('I | Capex forecast'!B13="","",'I | Capex forecast'!B13)</f>
        <v>DN250 Peat Lateral - ILI</v>
      </c>
      <c r="C13" s="48" t="str">
        <f>IF('I | Capex forecast'!C13="","",'I | Capex forecast'!C13)</f>
        <v>Pipeline Integrity</v>
      </c>
      <c r="D13" s="48" t="str">
        <f>IF('I | Capex forecast'!D13="","",'I | Capex forecast'!D13)</f>
        <v>ILI</v>
      </c>
      <c r="E13" s="48" t="str">
        <f>IF('I | Capex forecast'!E13="","",'I | Capex forecast'!E13)</f>
        <v>Pipeline Integrity</v>
      </c>
      <c r="F13" s="48" t="str">
        <f>IF('I | Capex forecast'!F13="","",'I | Capex forecast'!F13)</f>
        <v>Replacement</v>
      </c>
      <c r="G13" s="48" t="str">
        <f>IF('I | Capex forecast'!G13="","",'I | Capex forecast'!G13)</f>
        <v>As incurred</v>
      </c>
      <c r="H13" s="48" t="str">
        <f>IF('I | Capex forecast'!H13="","",'I | Capex forecast'!H13)</f>
        <v>FY 26</v>
      </c>
      <c r="I13" s="48" t="str">
        <f>IF('I | Capex forecast'!I13="","",'I | Capex forecast'!I13)</f>
        <v>Mid-year</v>
      </c>
      <c r="J13" s="50"/>
      <c r="K13" s="52">
        <f>IFERROR(IF($H13="nominal",VLOOKUP($A13,'I | Capex forecast'!$A$11:$AA$160,K$8,0),VLOOKUP($A13,'I | Capex forecast'!$A$11:$AA$160,K$8,0)*INDEX('I | Inflation'!$G$41:$I$43,MATCH($H13,'I | Inflation'!$F$41:$F$43,0),MATCH(K$10,'I | Inflation'!$G$40:$I$40,0))),0)</f>
        <v>0</v>
      </c>
      <c r="L13" s="52">
        <f>IFERROR(IF($H13="nominal",VLOOKUP($A13,'I | Capex forecast'!$A$11:$AA$160,L$8,0),VLOOKUP($A13,'I | Capex forecast'!$A$11:$AA$160,L$8,0)*INDEX('I | Inflation'!$G$41:$I$43,MATCH($H13,'I | Inflation'!$F$41:$F$43,0),MATCH(L$10,'I | Inflation'!$G$40:$I$40,0))),0)</f>
        <v>0</v>
      </c>
      <c r="M13" s="53"/>
      <c r="N13" s="52">
        <f>K13*VLOOKUP($A13,'I | Capex forecast'!$A$11:$AA$160,21,0)*(HLOOKUP(N$10,'I | Inflation'!$D$57:$J$59,3,0)-1)</f>
        <v>0</v>
      </c>
      <c r="O13" s="52">
        <f>L13*VLOOKUP($A13,'I | Capex forecast'!$A$11:$AA$160,21,0)*(HLOOKUP(O$10,'I | Inflation'!$D$57:$J$59,3,0)-1)</f>
        <v>0</v>
      </c>
      <c r="P13" s="53"/>
      <c r="Q13" s="52"/>
      <c r="R13" s="52"/>
      <c r="S13" s="53"/>
      <c r="T13" s="52"/>
      <c r="U13" s="52"/>
      <c r="V13" s="53"/>
      <c r="W13" s="52"/>
      <c r="X13" s="52"/>
      <c r="Y13" s="53"/>
      <c r="Z13" s="52">
        <f>K13*VLOOKUP($A13,'I | Capex forecast'!$A$11:$AA$160,27,0)</f>
        <v>0</v>
      </c>
      <c r="AA13" s="52">
        <f>L13*VLOOKUP($A13,'I | Capex forecast'!$A$11:$AA$160,27,0)</f>
        <v>0</v>
      </c>
      <c r="AB13" s="53"/>
      <c r="AC13" s="52">
        <f t="shared" si="0"/>
        <v>0</v>
      </c>
      <c r="AD13" s="52">
        <f t="shared" si="1"/>
        <v>0</v>
      </c>
      <c r="AE13" s="53"/>
      <c r="AF13" s="52">
        <f>IF(VLOOKUP($A13,'I | Capex forecast'!$A$11:$AA$160,10,0)="Yes",AC13,0)</f>
        <v>0</v>
      </c>
      <c r="AG13" s="52">
        <f>IF(VLOOKUP($A13,'I | Capex forecast'!$A$11:$AA$160,10,0)="Yes",AD13,0)</f>
        <v>0</v>
      </c>
      <c r="AH13" s="53"/>
      <c r="AI13" s="52">
        <f t="shared" si="2"/>
        <v>0</v>
      </c>
      <c r="AJ13" s="52">
        <f t="shared" si="3"/>
        <v>0</v>
      </c>
    </row>
    <row r="14" spans="1:36" s="4" customFormat="1" x14ac:dyDescent="0.3">
      <c r="A14" s="56">
        <f t="shared" si="4"/>
        <v>4</v>
      </c>
      <c r="B14" s="48" t="str">
        <f>IF('I | Capex forecast'!B14="","",'I | Capex forecast'!B14)</f>
        <v>DN250 Peat Lateral - Validation Dig ILI</v>
      </c>
      <c r="C14" s="48" t="str">
        <f>IF('I | Capex forecast'!C14="","",'I | Capex forecast'!C14)</f>
        <v>Pipeline Integrity</v>
      </c>
      <c r="D14" s="48" t="str">
        <f>IF('I | Capex forecast'!D14="","",'I | Capex forecast'!D14)</f>
        <v>Validation dig</v>
      </c>
      <c r="E14" s="48" t="str">
        <f>IF('I | Capex forecast'!E14="","",'I | Capex forecast'!E14)</f>
        <v>Pipeline Integrity</v>
      </c>
      <c r="F14" s="48" t="str">
        <f>IF('I | Capex forecast'!F14="","",'I | Capex forecast'!F14)</f>
        <v>Replacement</v>
      </c>
      <c r="G14" s="48" t="str">
        <f>IF('I | Capex forecast'!G14="","",'I | Capex forecast'!G14)</f>
        <v>As incurred</v>
      </c>
      <c r="H14" s="48" t="str">
        <f>IF('I | Capex forecast'!H14="","",'I | Capex forecast'!H14)</f>
        <v>FY 26</v>
      </c>
      <c r="I14" s="48" t="str">
        <f>IF('I | Capex forecast'!I14="","",'I | Capex forecast'!I14)</f>
        <v>Mid-year</v>
      </c>
      <c r="J14" s="50"/>
      <c r="K14" s="52">
        <f>IFERROR(IF($H14="nominal",VLOOKUP($A14,'I | Capex forecast'!$A$11:$AA$160,K$8,0),VLOOKUP($A14,'I | Capex forecast'!$A$11:$AA$160,K$8,0)*INDEX('I | Inflation'!$G$41:$I$43,MATCH($H14,'I | Inflation'!$F$41:$F$43,0),MATCH(K$10,'I | Inflation'!$G$40:$I$40,0))),0)</f>
        <v>0</v>
      </c>
      <c r="L14" s="52">
        <f>IFERROR(IF($H14="nominal",VLOOKUP($A14,'I | Capex forecast'!$A$11:$AA$160,L$8,0),VLOOKUP($A14,'I | Capex forecast'!$A$11:$AA$160,L$8,0)*INDEX('I | Inflation'!$G$41:$I$43,MATCH($H14,'I | Inflation'!$F$41:$F$43,0),MATCH(L$10,'I | Inflation'!$G$40:$I$40,0))),0)</f>
        <v>0</v>
      </c>
      <c r="M14" s="53"/>
      <c r="N14" s="52">
        <f>K14*VLOOKUP($A14,'I | Capex forecast'!$A$11:$AA$160,21,0)*(HLOOKUP(N$10,'I | Inflation'!$D$57:$J$59,3,0)-1)</f>
        <v>0</v>
      </c>
      <c r="O14" s="52">
        <f>L14*VLOOKUP($A14,'I | Capex forecast'!$A$11:$AA$160,21,0)*(HLOOKUP(O$10,'I | Inflation'!$D$57:$J$59,3,0)-1)</f>
        <v>0</v>
      </c>
      <c r="P14" s="53"/>
      <c r="Q14" s="52"/>
      <c r="R14" s="52"/>
      <c r="S14" s="53"/>
      <c r="T14" s="52"/>
      <c r="U14" s="52"/>
      <c r="V14" s="53"/>
      <c r="W14" s="52"/>
      <c r="X14" s="52"/>
      <c r="Y14" s="53"/>
      <c r="Z14" s="52">
        <f>K14*VLOOKUP($A14,'I | Capex forecast'!$A$11:$AA$160,27,0)</f>
        <v>0</v>
      </c>
      <c r="AA14" s="52">
        <f>L14*VLOOKUP($A14,'I | Capex forecast'!$A$11:$AA$160,27,0)</f>
        <v>0</v>
      </c>
      <c r="AB14" s="53"/>
      <c r="AC14" s="52">
        <f t="shared" si="0"/>
        <v>0</v>
      </c>
      <c r="AD14" s="52">
        <f t="shared" si="1"/>
        <v>0</v>
      </c>
      <c r="AE14" s="53"/>
      <c r="AF14" s="52">
        <f>IF(VLOOKUP($A14,'I | Capex forecast'!$A$11:$AA$160,10,0)="Yes",AC14,0)</f>
        <v>0</v>
      </c>
      <c r="AG14" s="52">
        <f>IF(VLOOKUP($A14,'I | Capex forecast'!$A$11:$AA$160,10,0)="Yes",AD14,0)</f>
        <v>0</v>
      </c>
      <c r="AH14" s="53"/>
      <c r="AI14" s="52">
        <f t="shared" si="2"/>
        <v>0</v>
      </c>
      <c r="AJ14" s="52">
        <f t="shared" si="3"/>
        <v>0</v>
      </c>
    </row>
    <row r="15" spans="1:36" s="4" customFormat="1" x14ac:dyDescent="0.3">
      <c r="A15" s="56">
        <f t="shared" si="4"/>
        <v>5</v>
      </c>
      <c r="B15" s="48" t="str">
        <f>IF('I | Capex forecast'!B15="","",'I | Capex forecast'!B15)</f>
        <v>DN300 Metro - ILI - MFL + EMAT</v>
      </c>
      <c r="C15" s="48" t="str">
        <f>IF('I | Capex forecast'!C15="","",'I | Capex forecast'!C15)</f>
        <v>Pipeline Integrity</v>
      </c>
      <c r="D15" s="48" t="str">
        <f>IF('I | Capex forecast'!D15="","",'I | Capex forecast'!D15)</f>
        <v>ILI</v>
      </c>
      <c r="E15" s="48" t="str">
        <f>IF('I | Capex forecast'!E15="","",'I | Capex forecast'!E15)</f>
        <v>Pipeline Integrity</v>
      </c>
      <c r="F15" s="48" t="str">
        <f>IF('I | Capex forecast'!F15="","",'I | Capex forecast'!F15)</f>
        <v>Replacement</v>
      </c>
      <c r="G15" s="48" t="str">
        <f>IF('I | Capex forecast'!G15="","",'I | Capex forecast'!G15)</f>
        <v>As incurred</v>
      </c>
      <c r="H15" s="48" t="str">
        <f>IF('I | Capex forecast'!H15="","",'I | Capex forecast'!H15)</f>
        <v>FY 26</v>
      </c>
      <c r="I15" s="48" t="str">
        <f>IF('I | Capex forecast'!I15="","",'I | Capex forecast'!I15)</f>
        <v>Mid-year</v>
      </c>
      <c r="J15" s="50"/>
      <c r="K15" s="52">
        <f>IFERROR(IF($H15="nominal",VLOOKUP($A15,'I | Capex forecast'!$A$11:$AA$160,K$8,0),VLOOKUP($A15,'I | Capex forecast'!$A$11:$AA$160,K$8,0)*INDEX('I | Inflation'!$G$41:$I$43,MATCH($H15,'I | Inflation'!$F$41:$F$43,0),MATCH(K$10,'I | Inflation'!$G$40:$I$40,0))),0)</f>
        <v>0</v>
      </c>
      <c r="L15" s="52">
        <f>IFERROR(IF($H15="nominal",VLOOKUP($A15,'I | Capex forecast'!$A$11:$AA$160,L$8,0),VLOOKUP($A15,'I | Capex forecast'!$A$11:$AA$160,L$8,0)*INDEX('I | Inflation'!$G$41:$I$43,MATCH($H15,'I | Inflation'!$F$41:$F$43,0),MATCH(L$10,'I | Inflation'!$G$40:$I$40,0))),0)</f>
        <v>0</v>
      </c>
      <c r="M15" s="53"/>
      <c r="N15" s="52">
        <f>K15*VLOOKUP($A15,'I | Capex forecast'!$A$11:$AA$160,21,0)*(HLOOKUP(N$10,'I | Inflation'!$D$57:$J$59,3,0)-1)</f>
        <v>0</v>
      </c>
      <c r="O15" s="52">
        <f>L15*VLOOKUP($A15,'I | Capex forecast'!$A$11:$AA$160,21,0)*(HLOOKUP(O$10,'I | Inflation'!$D$57:$J$59,3,0)-1)</f>
        <v>0</v>
      </c>
      <c r="P15" s="53"/>
      <c r="Q15" s="52"/>
      <c r="R15" s="52"/>
      <c r="S15" s="53"/>
      <c r="T15" s="52"/>
      <c r="U15" s="52"/>
      <c r="V15" s="53"/>
      <c r="W15" s="52"/>
      <c r="X15" s="52"/>
      <c r="Y15" s="53"/>
      <c r="Z15" s="52">
        <f>K15*VLOOKUP($A15,'I | Capex forecast'!$A$11:$AA$160,27,0)</f>
        <v>0</v>
      </c>
      <c r="AA15" s="52">
        <f>L15*VLOOKUP($A15,'I | Capex forecast'!$A$11:$AA$160,27,0)</f>
        <v>0</v>
      </c>
      <c r="AB15" s="53"/>
      <c r="AC15" s="52">
        <f t="shared" si="0"/>
        <v>0</v>
      </c>
      <c r="AD15" s="52">
        <f t="shared" si="1"/>
        <v>0</v>
      </c>
      <c r="AE15" s="53"/>
      <c r="AF15" s="52">
        <f>IF(VLOOKUP($A15,'I | Capex forecast'!$A$11:$AA$160,10,0)="Yes",AC15,0)</f>
        <v>0</v>
      </c>
      <c r="AG15" s="52">
        <f>IF(VLOOKUP($A15,'I | Capex forecast'!$A$11:$AA$160,10,0)="Yes",AD15,0)</f>
        <v>0</v>
      </c>
      <c r="AH15" s="53"/>
      <c r="AI15" s="52">
        <f t="shared" si="2"/>
        <v>0</v>
      </c>
      <c r="AJ15" s="52">
        <f t="shared" si="3"/>
        <v>0</v>
      </c>
    </row>
    <row r="16" spans="1:36" s="4" customFormat="1" x14ac:dyDescent="0.3">
      <c r="A16" s="56">
        <f t="shared" si="4"/>
        <v>6</v>
      </c>
      <c r="B16" s="48" t="str">
        <f>IF('I | Capex forecast'!B16="","",'I | Capex forecast'!B16)</f>
        <v>DN300 Metro - Validation dig ILI</v>
      </c>
      <c r="C16" s="48" t="str">
        <f>IF('I | Capex forecast'!C16="","",'I | Capex forecast'!C16)</f>
        <v>Pipeline Integrity</v>
      </c>
      <c r="D16" s="48" t="str">
        <f>IF('I | Capex forecast'!D16="","",'I | Capex forecast'!D16)</f>
        <v>Validation dig</v>
      </c>
      <c r="E16" s="48" t="str">
        <f>IF('I | Capex forecast'!E16="","",'I | Capex forecast'!E16)</f>
        <v>Pipeline Integrity</v>
      </c>
      <c r="F16" s="48" t="str">
        <f>IF('I | Capex forecast'!F16="","",'I | Capex forecast'!F16)</f>
        <v>Replacement</v>
      </c>
      <c r="G16" s="48" t="str">
        <f>IF('I | Capex forecast'!G16="","",'I | Capex forecast'!G16)</f>
        <v>As incurred</v>
      </c>
      <c r="H16" s="48" t="str">
        <f>IF('I | Capex forecast'!H16="","",'I | Capex forecast'!H16)</f>
        <v>FY 26</v>
      </c>
      <c r="I16" s="48" t="str">
        <f>IF('I | Capex forecast'!I16="","",'I | Capex forecast'!I16)</f>
        <v>Mid-year</v>
      </c>
      <c r="J16" s="50"/>
      <c r="K16" s="52">
        <f>IFERROR(IF($H16="nominal",VLOOKUP($A16,'I | Capex forecast'!$A$11:$AA$160,K$8,0),VLOOKUP($A16,'I | Capex forecast'!$A$11:$AA$160,K$8,0)*INDEX('I | Inflation'!$G$41:$I$43,MATCH($H16,'I | Inflation'!$F$41:$F$43,0),MATCH(K$10,'I | Inflation'!$G$40:$I$40,0))),0)</f>
        <v>0</v>
      </c>
      <c r="L16" s="52">
        <f>IFERROR(IF($H16="nominal",VLOOKUP($A16,'I | Capex forecast'!$A$11:$AA$160,L$8,0),VLOOKUP($A16,'I | Capex forecast'!$A$11:$AA$160,L$8,0)*INDEX('I | Inflation'!$G$41:$I$43,MATCH($H16,'I | Inflation'!$F$41:$F$43,0),MATCH(L$10,'I | Inflation'!$G$40:$I$40,0))),0)</f>
        <v>0</v>
      </c>
      <c r="M16" s="53"/>
      <c r="N16" s="52">
        <f>K16*VLOOKUP($A16,'I | Capex forecast'!$A$11:$AA$160,21,0)*(HLOOKUP(N$10,'I | Inflation'!$D$57:$J$59,3,0)-1)</f>
        <v>0</v>
      </c>
      <c r="O16" s="52">
        <f>L16*VLOOKUP($A16,'I | Capex forecast'!$A$11:$AA$160,21,0)*(HLOOKUP(O$10,'I | Inflation'!$D$57:$J$59,3,0)-1)</f>
        <v>0</v>
      </c>
      <c r="P16" s="53"/>
      <c r="Q16" s="52"/>
      <c r="R16" s="52"/>
      <c r="S16" s="53"/>
      <c r="T16" s="52"/>
      <c r="U16" s="52"/>
      <c r="V16" s="53"/>
      <c r="W16" s="52"/>
      <c r="X16" s="52"/>
      <c r="Y16" s="53"/>
      <c r="Z16" s="52">
        <f>K16*VLOOKUP($A16,'I | Capex forecast'!$A$11:$AA$160,27,0)</f>
        <v>0</v>
      </c>
      <c r="AA16" s="52">
        <f>L16*VLOOKUP($A16,'I | Capex forecast'!$A$11:$AA$160,27,0)</f>
        <v>0</v>
      </c>
      <c r="AB16" s="53"/>
      <c r="AC16" s="52">
        <f t="shared" si="0"/>
        <v>0</v>
      </c>
      <c r="AD16" s="52">
        <f t="shared" si="1"/>
        <v>0</v>
      </c>
      <c r="AE16" s="53"/>
      <c r="AF16" s="52">
        <f>IF(VLOOKUP($A16,'I | Capex forecast'!$A$11:$AA$160,10,0)="Yes",AC16,0)</f>
        <v>0</v>
      </c>
      <c r="AG16" s="52">
        <f>IF(VLOOKUP($A16,'I | Capex forecast'!$A$11:$AA$160,10,0)="Yes",AD16,0)</f>
        <v>0</v>
      </c>
      <c r="AH16" s="53"/>
      <c r="AI16" s="52">
        <f t="shared" si="2"/>
        <v>0</v>
      </c>
      <c r="AJ16" s="52">
        <f t="shared" si="3"/>
        <v>0</v>
      </c>
    </row>
    <row r="17" spans="1:36" s="4" customFormat="1" x14ac:dyDescent="0.3">
      <c r="A17" s="56">
        <f t="shared" si="4"/>
        <v>7</v>
      </c>
      <c r="B17" s="48" t="str">
        <f>IF('I | Capex forecast'!B17="","",'I | Capex forecast'!B17)</f>
        <v>DN400 - MFL Campaign (3 sections) FY28-30</v>
      </c>
      <c r="C17" s="48" t="str">
        <f>IF('I | Capex forecast'!C17="","",'I | Capex forecast'!C17)</f>
        <v>Pipeline Integrity</v>
      </c>
      <c r="D17" s="48" t="str">
        <f>IF('I | Capex forecast'!D17="","",'I | Capex forecast'!D17)</f>
        <v>ILI</v>
      </c>
      <c r="E17" s="48" t="str">
        <f>IF('I | Capex forecast'!E17="","",'I | Capex forecast'!E17)</f>
        <v>Pipeline Integrity</v>
      </c>
      <c r="F17" s="48" t="str">
        <f>IF('I | Capex forecast'!F17="","",'I | Capex forecast'!F17)</f>
        <v>Replacement</v>
      </c>
      <c r="G17" s="48" t="str">
        <f>IF('I | Capex forecast'!G17="","",'I | Capex forecast'!G17)</f>
        <v>As incurred</v>
      </c>
      <c r="H17" s="48" t="str">
        <f>IF('I | Capex forecast'!H17="","",'I | Capex forecast'!H17)</f>
        <v>FY 26</v>
      </c>
      <c r="I17" s="48" t="str">
        <f>IF('I | Capex forecast'!I17="","",'I | Capex forecast'!I17)</f>
        <v>Mid-year</v>
      </c>
      <c r="J17" s="50"/>
      <c r="K17" s="52">
        <f>IFERROR(IF($H17="nominal",VLOOKUP($A17,'I | Capex forecast'!$A$11:$AA$160,K$8,0),VLOOKUP($A17,'I | Capex forecast'!$A$11:$AA$160,K$8,0)*INDEX('I | Inflation'!$G$41:$I$43,MATCH($H17,'I | Inflation'!$F$41:$F$43,0),MATCH(K$10,'I | Inflation'!$G$40:$I$40,0))),0)</f>
        <v>0</v>
      </c>
      <c r="L17" s="52">
        <f>IFERROR(IF($H17="nominal",VLOOKUP($A17,'I | Capex forecast'!$A$11:$AA$160,L$8,0),VLOOKUP($A17,'I | Capex forecast'!$A$11:$AA$160,L$8,0)*INDEX('I | Inflation'!$G$41:$I$43,MATCH($H17,'I | Inflation'!$F$41:$F$43,0),MATCH(L$10,'I | Inflation'!$G$40:$I$40,0))),0)</f>
        <v>0</v>
      </c>
      <c r="M17" s="53"/>
      <c r="N17" s="52">
        <f>K17*VLOOKUP($A17,'I | Capex forecast'!$A$11:$AA$160,21,0)*(HLOOKUP(N$10,'I | Inflation'!$D$57:$J$59,3,0)-1)</f>
        <v>0</v>
      </c>
      <c r="O17" s="52">
        <f>L17*VLOOKUP($A17,'I | Capex forecast'!$A$11:$AA$160,21,0)*(HLOOKUP(O$10,'I | Inflation'!$D$57:$J$59,3,0)-1)</f>
        <v>0</v>
      </c>
      <c r="P17" s="53"/>
      <c r="Q17" s="52"/>
      <c r="R17" s="52"/>
      <c r="S17" s="53"/>
      <c r="T17" s="52"/>
      <c r="U17" s="52"/>
      <c r="V17" s="53"/>
      <c r="W17" s="52"/>
      <c r="X17" s="52"/>
      <c r="Y17" s="53"/>
      <c r="Z17" s="52">
        <f>K17*VLOOKUP($A17,'I | Capex forecast'!$A$11:$AA$160,27,0)</f>
        <v>0</v>
      </c>
      <c r="AA17" s="52">
        <f>L17*VLOOKUP($A17,'I | Capex forecast'!$A$11:$AA$160,27,0)</f>
        <v>0</v>
      </c>
      <c r="AB17" s="53"/>
      <c r="AC17" s="52">
        <f t="shared" si="0"/>
        <v>0</v>
      </c>
      <c r="AD17" s="52">
        <f t="shared" si="1"/>
        <v>0</v>
      </c>
      <c r="AE17" s="53"/>
      <c r="AF17" s="52">
        <f>IF(VLOOKUP($A17,'I | Capex forecast'!$A$11:$AA$160,10,0)="Yes",AC17,0)</f>
        <v>0</v>
      </c>
      <c r="AG17" s="52">
        <f>IF(VLOOKUP($A17,'I | Capex forecast'!$A$11:$AA$160,10,0)="Yes",AD17,0)</f>
        <v>0</v>
      </c>
      <c r="AH17" s="53"/>
      <c r="AI17" s="52">
        <f t="shared" si="2"/>
        <v>0</v>
      </c>
      <c r="AJ17" s="52">
        <f t="shared" si="3"/>
        <v>0</v>
      </c>
    </row>
    <row r="18" spans="1:36" s="4" customFormat="1" x14ac:dyDescent="0.3">
      <c r="A18" s="56">
        <f t="shared" si="4"/>
        <v>8</v>
      </c>
      <c r="B18" s="48" t="str">
        <f>IF('I | Capex forecast'!B18="","",'I | Capex forecast'!B18)</f>
        <v>DN400 - MFL Campaign (5 sections) FY26-28</v>
      </c>
      <c r="C18" s="48" t="str">
        <f>IF('I | Capex forecast'!C18="","",'I | Capex forecast'!C18)</f>
        <v>Pipeline Integrity</v>
      </c>
      <c r="D18" s="48" t="str">
        <f>IF('I | Capex forecast'!D18="","",'I | Capex forecast'!D18)</f>
        <v>ILI</v>
      </c>
      <c r="E18" s="48" t="str">
        <f>IF('I | Capex forecast'!E18="","",'I | Capex forecast'!E18)</f>
        <v>Pipeline Integrity</v>
      </c>
      <c r="F18" s="48" t="str">
        <f>IF('I | Capex forecast'!F18="","",'I | Capex forecast'!F18)</f>
        <v>Replacement</v>
      </c>
      <c r="G18" s="48" t="str">
        <f>IF('I | Capex forecast'!G18="","",'I | Capex forecast'!G18)</f>
        <v>As incurred</v>
      </c>
      <c r="H18" s="48" t="str">
        <f>IF('I | Capex forecast'!H18="","",'I | Capex forecast'!H18)</f>
        <v>FY 26</v>
      </c>
      <c r="I18" s="48" t="str">
        <f>IF('I | Capex forecast'!I18="","",'I | Capex forecast'!I18)</f>
        <v>Mid-year</v>
      </c>
      <c r="J18" s="50"/>
      <c r="K18" s="52">
        <f>IFERROR(IF($H18="nominal",VLOOKUP($A18,'I | Capex forecast'!$A$11:$AA$160,K$8,0),VLOOKUP($A18,'I | Capex forecast'!$A$11:$AA$160,K$8,0)*INDEX('I | Inflation'!$G$41:$I$43,MATCH($H18,'I | Inflation'!$F$41:$F$43,0),MATCH(K$10,'I | Inflation'!$G$40:$I$40,0))),0)</f>
        <v>0</v>
      </c>
      <c r="L18" s="52">
        <f>IFERROR(IF($H18="nominal",VLOOKUP($A18,'I | Capex forecast'!$A$11:$AA$160,L$8,0),VLOOKUP($A18,'I | Capex forecast'!$A$11:$AA$160,L$8,0)*INDEX('I | Inflation'!$G$41:$I$43,MATCH($H18,'I | Inflation'!$F$41:$F$43,0),MATCH(L$10,'I | Inflation'!$G$40:$I$40,0))),0)</f>
        <v>0</v>
      </c>
      <c r="M18" s="53"/>
      <c r="N18" s="52">
        <f>K18*VLOOKUP($A18,'I | Capex forecast'!$A$11:$AA$160,21,0)*(HLOOKUP(N$10,'I | Inflation'!$D$57:$J$59,3,0)-1)</f>
        <v>0</v>
      </c>
      <c r="O18" s="52">
        <f>L18*VLOOKUP($A18,'I | Capex forecast'!$A$11:$AA$160,21,0)*(HLOOKUP(O$10,'I | Inflation'!$D$57:$J$59,3,0)-1)</f>
        <v>0</v>
      </c>
      <c r="P18" s="53"/>
      <c r="Q18" s="52"/>
      <c r="R18" s="52"/>
      <c r="S18" s="53"/>
      <c r="T18" s="52"/>
      <c r="U18" s="52"/>
      <c r="V18" s="53"/>
      <c r="W18" s="52"/>
      <c r="X18" s="52"/>
      <c r="Y18" s="53"/>
      <c r="Z18" s="52">
        <f>K18*VLOOKUP($A18,'I | Capex forecast'!$A$11:$AA$160,27,0)</f>
        <v>0</v>
      </c>
      <c r="AA18" s="52">
        <f>L18*VLOOKUP($A18,'I | Capex forecast'!$A$11:$AA$160,27,0)</f>
        <v>0</v>
      </c>
      <c r="AB18" s="53"/>
      <c r="AC18" s="52">
        <f t="shared" si="0"/>
        <v>0</v>
      </c>
      <c r="AD18" s="52">
        <f t="shared" si="1"/>
        <v>0</v>
      </c>
      <c r="AE18" s="53"/>
      <c r="AF18" s="52">
        <f>IF(VLOOKUP($A18,'I | Capex forecast'!$A$11:$AA$160,10,0)="Yes",AC18,0)</f>
        <v>0</v>
      </c>
      <c r="AG18" s="52">
        <f>IF(VLOOKUP($A18,'I | Capex forecast'!$A$11:$AA$160,10,0)="Yes",AD18,0)</f>
        <v>0</v>
      </c>
      <c r="AH18" s="53"/>
      <c r="AI18" s="52">
        <f t="shared" si="2"/>
        <v>0</v>
      </c>
      <c r="AJ18" s="52">
        <f t="shared" si="3"/>
        <v>0</v>
      </c>
    </row>
    <row r="19" spans="1:36" s="4" customFormat="1" x14ac:dyDescent="0.3">
      <c r="A19" s="56">
        <f t="shared" si="4"/>
        <v>9</v>
      </c>
      <c r="B19" s="48" t="str">
        <f>IF('I | Capex forecast'!B19="","",'I | Capex forecast'!B19)</f>
        <v>DN400 - Validation Dig ILI (3 sections)</v>
      </c>
      <c r="C19" s="48" t="str">
        <f>IF('I | Capex forecast'!C19="","",'I | Capex forecast'!C19)</f>
        <v>Pipeline Integrity</v>
      </c>
      <c r="D19" s="48" t="str">
        <f>IF('I | Capex forecast'!D19="","",'I | Capex forecast'!D19)</f>
        <v>Validation dig</v>
      </c>
      <c r="E19" s="48" t="str">
        <f>IF('I | Capex forecast'!E19="","",'I | Capex forecast'!E19)</f>
        <v>Pipeline Integrity</v>
      </c>
      <c r="F19" s="48" t="str">
        <f>IF('I | Capex forecast'!F19="","",'I | Capex forecast'!F19)</f>
        <v>Replacement</v>
      </c>
      <c r="G19" s="48" t="str">
        <f>IF('I | Capex forecast'!G19="","",'I | Capex forecast'!G19)</f>
        <v>As incurred</v>
      </c>
      <c r="H19" s="48" t="str">
        <f>IF('I | Capex forecast'!H19="","",'I | Capex forecast'!H19)</f>
        <v>FY 26</v>
      </c>
      <c r="I19" s="48" t="str">
        <f>IF('I | Capex forecast'!I19="","",'I | Capex forecast'!I19)</f>
        <v>Mid-year</v>
      </c>
      <c r="J19" s="50"/>
      <c r="K19" s="52">
        <f>IFERROR(IF($H19="nominal",VLOOKUP($A19,'I | Capex forecast'!$A$11:$AA$160,K$8,0),VLOOKUP($A19,'I | Capex forecast'!$A$11:$AA$160,K$8,0)*INDEX('I | Inflation'!$G$41:$I$43,MATCH($H19,'I | Inflation'!$F$41:$F$43,0),MATCH(K$10,'I | Inflation'!$G$40:$I$40,0))),0)</f>
        <v>0</v>
      </c>
      <c r="L19" s="52">
        <f>IFERROR(IF($H19="nominal",VLOOKUP($A19,'I | Capex forecast'!$A$11:$AA$160,L$8,0),VLOOKUP($A19,'I | Capex forecast'!$A$11:$AA$160,L$8,0)*INDEX('I | Inflation'!$G$41:$I$43,MATCH($H19,'I | Inflation'!$F$41:$F$43,0),MATCH(L$10,'I | Inflation'!$G$40:$I$40,0))),0)</f>
        <v>0</v>
      </c>
      <c r="M19" s="53"/>
      <c r="N19" s="52">
        <f>K19*VLOOKUP($A19,'I | Capex forecast'!$A$11:$AA$160,21,0)*(HLOOKUP(N$10,'I | Inflation'!$D$57:$J$59,3,0)-1)</f>
        <v>0</v>
      </c>
      <c r="O19" s="52">
        <f>L19*VLOOKUP($A19,'I | Capex forecast'!$A$11:$AA$160,21,0)*(HLOOKUP(O$10,'I | Inflation'!$D$57:$J$59,3,0)-1)</f>
        <v>0</v>
      </c>
      <c r="P19" s="53"/>
      <c r="Q19" s="52"/>
      <c r="R19" s="52"/>
      <c r="S19" s="53"/>
      <c r="T19" s="52"/>
      <c r="U19" s="52"/>
      <c r="V19" s="53"/>
      <c r="W19" s="52"/>
      <c r="X19" s="52"/>
      <c r="Y19" s="53"/>
      <c r="Z19" s="52">
        <f>K19*VLOOKUP($A19,'I | Capex forecast'!$A$11:$AA$160,27,0)</f>
        <v>0</v>
      </c>
      <c r="AA19" s="52">
        <f>L19*VLOOKUP($A19,'I | Capex forecast'!$A$11:$AA$160,27,0)</f>
        <v>0</v>
      </c>
      <c r="AB19" s="53"/>
      <c r="AC19" s="52">
        <f t="shared" si="0"/>
        <v>0</v>
      </c>
      <c r="AD19" s="52">
        <f t="shared" si="1"/>
        <v>0</v>
      </c>
      <c r="AE19" s="53"/>
      <c r="AF19" s="52">
        <f>IF(VLOOKUP($A19,'I | Capex forecast'!$A$11:$AA$160,10,0)="Yes",AC19,0)</f>
        <v>0</v>
      </c>
      <c r="AG19" s="52">
        <f>IF(VLOOKUP($A19,'I | Capex forecast'!$A$11:$AA$160,10,0)="Yes",AD19,0)</f>
        <v>0</v>
      </c>
      <c r="AH19" s="53"/>
      <c r="AI19" s="52">
        <f t="shared" si="2"/>
        <v>0</v>
      </c>
      <c r="AJ19" s="52">
        <f t="shared" si="3"/>
        <v>0</v>
      </c>
    </row>
    <row r="20" spans="1:36" s="4" customFormat="1" x14ac:dyDescent="0.3">
      <c r="A20" s="56">
        <f t="shared" si="4"/>
        <v>10</v>
      </c>
      <c r="B20" s="48" t="str">
        <f>IF('I | Capex forecast'!B20="","",'I | Capex forecast'!B20)</f>
        <v>DN400 - Validation Dig ILI (5 sections)</v>
      </c>
      <c r="C20" s="48" t="str">
        <f>IF('I | Capex forecast'!C20="","",'I | Capex forecast'!C20)</f>
        <v>Pipeline Integrity</v>
      </c>
      <c r="D20" s="48" t="str">
        <f>IF('I | Capex forecast'!D20="","",'I | Capex forecast'!D20)</f>
        <v>Validation dig</v>
      </c>
      <c r="E20" s="48" t="str">
        <f>IF('I | Capex forecast'!E20="","",'I | Capex forecast'!E20)</f>
        <v>Pipeline Integrity</v>
      </c>
      <c r="F20" s="48" t="str">
        <f>IF('I | Capex forecast'!F20="","",'I | Capex forecast'!F20)</f>
        <v>Replacement</v>
      </c>
      <c r="G20" s="48" t="str">
        <f>IF('I | Capex forecast'!G20="","",'I | Capex forecast'!G20)</f>
        <v>As incurred</v>
      </c>
      <c r="H20" s="48" t="str">
        <f>IF('I | Capex forecast'!H20="","",'I | Capex forecast'!H20)</f>
        <v>FY 26</v>
      </c>
      <c r="I20" s="48" t="str">
        <f>IF('I | Capex forecast'!I20="","",'I | Capex forecast'!I20)</f>
        <v>Mid-year</v>
      </c>
      <c r="J20" s="50"/>
      <c r="K20" s="52">
        <f>IFERROR(IF($H20="nominal",VLOOKUP($A20,'I | Capex forecast'!$A$11:$AA$160,K$8,0),VLOOKUP($A20,'I | Capex forecast'!$A$11:$AA$160,K$8,0)*INDEX('I | Inflation'!$G$41:$I$43,MATCH($H20,'I | Inflation'!$F$41:$F$43,0),MATCH(K$10,'I | Inflation'!$G$40:$I$40,0))),0)</f>
        <v>0</v>
      </c>
      <c r="L20" s="52">
        <f>IFERROR(IF($H20="nominal",VLOOKUP($A20,'I | Capex forecast'!$A$11:$AA$160,L$8,0),VLOOKUP($A20,'I | Capex forecast'!$A$11:$AA$160,L$8,0)*INDEX('I | Inflation'!$G$41:$I$43,MATCH($H20,'I | Inflation'!$F$41:$F$43,0),MATCH(L$10,'I | Inflation'!$G$40:$I$40,0))),0)</f>
        <v>0</v>
      </c>
      <c r="M20" s="53"/>
      <c r="N20" s="52">
        <f>K20*VLOOKUP($A20,'I | Capex forecast'!$A$11:$AA$160,21,0)*(HLOOKUP(N$10,'I | Inflation'!$D$57:$J$59,3,0)-1)</f>
        <v>0</v>
      </c>
      <c r="O20" s="52">
        <f>L20*VLOOKUP($A20,'I | Capex forecast'!$A$11:$AA$160,21,0)*(HLOOKUP(O$10,'I | Inflation'!$D$57:$J$59,3,0)-1)</f>
        <v>0</v>
      </c>
      <c r="P20" s="53"/>
      <c r="Q20" s="52"/>
      <c r="R20" s="52"/>
      <c r="S20" s="53"/>
      <c r="T20" s="52"/>
      <c r="U20" s="52"/>
      <c r="V20" s="53"/>
      <c r="W20" s="52"/>
      <c r="X20" s="52"/>
      <c r="Y20" s="53"/>
      <c r="Z20" s="52">
        <f>K20*VLOOKUP($A20,'I | Capex forecast'!$A$11:$AA$160,27,0)</f>
        <v>0</v>
      </c>
      <c r="AA20" s="52">
        <f>L20*VLOOKUP($A20,'I | Capex forecast'!$A$11:$AA$160,27,0)</f>
        <v>0</v>
      </c>
      <c r="AB20" s="53"/>
      <c r="AC20" s="52">
        <f t="shared" si="0"/>
        <v>0</v>
      </c>
      <c r="AD20" s="52">
        <f t="shared" si="1"/>
        <v>0</v>
      </c>
      <c r="AE20" s="53"/>
      <c r="AF20" s="52">
        <f>IF(VLOOKUP($A20,'I | Capex forecast'!$A$11:$AA$160,10,0)="Yes",AC20,0)</f>
        <v>0</v>
      </c>
      <c r="AG20" s="52">
        <f>IF(VLOOKUP($A20,'I | Capex forecast'!$A$11:$AA$160,10,0)="Yes",AD20,0)</f>
        <v>0</v>
      </c>
      <c r="AH20" s="53"/>
      <c r="AI20" s="52">
        <f t="shared" si="2"/>
        <v>0</v>
      </c>
      <c r="AJ20" s="52">
        <f t="shared" si="3"/>
        <v>0</v>
      </c>
    </row>
    <row r="21" spans="1:36" s="4" customFormat="1" x14ac:dyDescent="0.3">
      <c r="A21" s="56">
        <f t="shared" si="4"/>
        <v>11</v>
      </c>
      <c r="B21" s="48" t="str">
        <f>IF('I | Capex forecast'!B21="","",'I | Capex forecast'!B21)</f>
        <v>CP Program</v>
      </c>
      <c r="C21" s="48" t="str">
        <f>IF('I | Capex forecast'!C21="","",'I | Capex forecast'!C21)</f>
        <v>Pipeline Integrity</v>
      </c>
      <c r="D21" s="48" t="str">
        <f>IF('I | Capex forecast'!D21="","",'I | Capex forecast'!D21)</f>
        <v>CP</v>
      </c>
      <c r="E21" s="48" t="str">
        <f>IF('I | Capex forecast'!E21="","",'I | Capex forecast'!E21)</f>
        <v>Pipelines</v>
      </c>
      <c r="F21" s="48" t="str">
        <f>IF('I | Capex forecast'!F21="","",'I | Capex forecast'!F21)</f>
        <v>Replacement</v>
      </c>
      <c r="G21" s="48" t="str">
        <f>IF('I | Capex forecast'!G21="","",'I | Capex forecast'!G21)</f>
        <v>As incurred</v>
      </c>
      <c r="H21" s="48" t="str">
        <f>IF('I | Capex forecast'!H21="","",'I | Capex forecast'!H21)</f>
        <v>FY 26</v>
      </c>
      <c r="I21" s="48" t="str">
        <f>IF('I | Capex forecast'!I21="","",'I | Capex forecast'!I21)</f>
        <v>Mid-year</v>
      </c>
      <c r="J21" s="50"/>
      <c r="K21" s="52">
        <f>IFERROR(IF($H21="nominal",VLOOKUP($A21,'I | Capex forecast'!$A$11:$AA$160,K$8,0),VLOOKUP($A21,'I | Capex forecast'!$A$11:$AA$160,K$8,0)*INDEX('I | Inflation'!$G$41:$I$43,MATCH($H21,'I | Inflation'!$F$41:$F$43,0),MATCH(K$10,'I | Inflation'!$G$40:$I$40,0))),0)</f>
        <v>0</v>
      </c>
      <c r="L21" s="52">
        <f>IFERROR(IF($H21="nominal",VLOOKUP($A21,'I | Capex forecast'!$A$11:$AA$160,L$8,0),VLOOKUP($A21,'I | Capex forecast'!$A$11:$AA$160,L$8,0)*INDEX('I | Inflation'!$G$41:$I$43,MATCH($H21,'I | Inflation'!$F$41:$F$43,0),MATCH(L$10,'I | Inflation'!$G$40:$I$40,0))),0)</f>
        <v>0</v>
      </c>
      <c r="M21" s="53"/>
      <c r="N21" s="52">
        <f>K21*VLOOKUP($A21,'I | Capex forecast'!$A$11:$AA$160,21,0)*(HLOOKUP(N$10,'I | Inflation'!$D$57:$J$59,3,0)-1)</f>
        <v>0</v>
      </c>
      <c r="O21" s="52">
        <f>L21*VLOOKUP($A21,'I | Capex forecast'!$A$11:$AA$160,21,0)*(HLOOKUP(O$10,'I | Inflation'!$D$57:$J$59,3,0)-1)</f>
        <v>0</v>
      </c>
      <c r="P21" s="53"/>
      <c r="Q21" s="52"/>
      <c r="R21" s="52"/>
      <c r="S21" s="53"/>
      <c r="T21" s="52"/>
      <c r="U21" s="52"/>
      <c r="V21" s="53"/>
      <c r="W21" s="52"/>
      <c r="X21" s="52"/>
      <c r="Y21" s="53"/>
      <c r="Z21" s="52">
        <f>K21*VLOOKUP($A21,'I | Capex forecast'!$A$11:$AA$160,27,0)</f>
        <v>0</v>
      </c>
      <c r="AA21" s="52">
        <f>L21*VLOOKUP($A21,'I | Capex forecast'!$A$11:$AA$160,27,0)</f>
        <v>0</v>
      </c>
      <c r="AB21" s="53"/>
      <c r="AC21" s="52">
        <f t="shared" si="0"/>
        <v>0</v>
      </c>
      <c r="AD21" s="52">
        <f t="shared" si="1"/>
        <v>0</v>
      </c>
      <c r="AE21" s="53"/>
      <c r="AF21" s="52">
        <f>IF(VLOOKUP($A21,'I | Capex forecast'!$A$11:$AA$160,10,0)="Yes",AC21,0)</f>
        <v>0</v>
      </c>
      <c r="AG21" s="52">
        <f>IF(VLOOKUP($A21,'I | Capex forecast'!$A$11:$AA$160,10,0)="Yes",AD21,0)</f>
        <v>0</v>
      </c>
      <c r="AH21" s="53"/>
      <c r="AI21" s="52">
        <f t="shared" si="2"/>
        <v>0</v>
      </c>
      <c r="AJ21" s="52">
        <f t="shared" si="3"/>
        <v>0</v>
      </c>
    </row>
    <row r="22" spans="1:36" s="4" customFormat="1" x14ac:dyDescent="0.3">
      <c r="A22" s="56">
        <f t="shared" si="4"/>
        <v>12</v>
      </c>
      <c r="B22" s="48" t="str">
        <f>IF('I | Capex forecast'!B22="","",'I | Capex forecast'!B22)</f>
        <v>CP Interference (DN250) and Registration</v>
      </c>
      <c r="C22" s="48" t="str">
        <f>IF('I | Capex forecast'!C22="","",'I | Capex forecast'!C22)</f>
        <v>Pipeline Integrity</v>
      </c>
      <c r="D22" s="48" t="str">
        <f>IF('I | Capex forecast'!D22="","",'I | Capex forecast'!D22)</f>
        <v>CP</v>
      </c>
      <c r="E22" s="48" t="str">
        <f>IF('I | Capex forecast'!E22="","",'I | Capex forecast'!E22)</f>
        <v>Pipelines</v>
      </c>
      <c r="F22" s="48" t="str">
        <f>IF('I | Capex forecast'!F22="","",'I | Capex forecast'!F22)</f>
        <v>Replacement</v>
      </c>
      <c r="G22" s="48" t="str">
        <f>IF('I | Capex forecast'!G22="","",'I | Capex forecast'!G22)</f>
        <v>As incurred</v>
      </c>
      <c r="H22" s="48" t="str">
        <f>IF('I | Capex forecast'!H22="","",'I | Capex forecast'!H22)</f>
        <v>FY 26</v>
      </c>
      <c r="I22" s="48" t="str">
        <f>IF('I | Capex forecast'!I22="","",'I | Capex forecast'!I22)</f>
        <v>Mid-year</v>
      </c>
      <c r="J22" s="50"/>
      <c r="K22" s="52">
        <f>IFERROR(IF($H22="nominal",VLOOKUP($A22,'I | Capex forecast'!$A$11:$AA$160,K$8,0),VLOOKUP($A22,'I | Capex forecast'!$A$11:$AA$160,K$8,0)*INDEX('I | Inflation'!$G$41:$I$43,MATCH($H22,'I | Inflation'!$F$41:$F$43,0),MATCH(K$10,'I | Inflation'!$G$40:$I$40,0))),0)</f>
        <v>0</v>
      </c>
      <c r="L22" s="52">
        <f>IFERROR(IF($H22="nominal",VLOOKUP($A22,'I | Capex forecast'!$A$11:$AA$160,L$8,0),VLOOKUP($A22,'I | Capex forecast'!$A$11:$AA$160,L$8,0)*INDEX('I | Inflation'!$G$41:$I$43,MATCH($H22,'I | Inflation'!$F$41:$F$43,0),MATCH(L$10,'I | Inflation'!$G$40:$I$40,0))),0)</f>
        <v>0</v>
      </c>
      <c r="M22" s="53"/>
      <c r="N22" s="52">
        <f>K22*VLOOKUP($A22,'I | Capex forecast'!$A$11:$AA$160,21,0)*(HLOOKUP(N$10,'I | Inflation'!$D$57:$J$59,3,0)-1)</f>
        <v>0</v>
      </c>
      <c r="O22" s="52">
        <f>L22*VLOOKUP($A22,'I | Capex forecast'!$A$11:$AA$160,21,0)*(HLOOKUP(O$10,'I | Inflation'!$D$57:$J$59,3,0)-1)</f>
        <v>0</v>
      </c>
      <c r="P22" s="53"/>
      <c r="Q22" s="52"/>
      <c r="R22" s="52"/>
      <c r="S22" s="53"/>
      <c r="T22" s="52"/>
      <c r="U22" s="52"/>
      <c r="V22" s="53"/>
      <c r="W22" s="52"/>
      <c r="X22" s="52"/>
      <c r="Y22" s="53"/>
      <c r="Z22" s="52">
        <f>K22*VLOOKUP($A22,'I | Capex forecast'!$A$11:$AA$160,27,0)</f>
        <v>0</v>
      </c>
      <c r="AA22" s="52">
        <f>L22*VLOOKUP($A22,'I | Capex forecast'!$A$11:$AA$160,27,0)</f>
        <v>0</v>
      </c>
      <c r="AB22" s="53"/>
      <c r="AC22" s="52">
        <f t="shared" si="0"/>
        <v>0</v>
      </c>
      <c r="AD22" s="52">
        <f t="shared" si="1"/>
        <v>0</v>
      </c>
      <c r="AE22" s="53"/>
      <c r="AF22" s="52">
        <f>IF(VLOOKUP($A22,'I | Capex forecast'!$A$11:$AA$160,10,0)="Yes",AC22,0)</f>
        <v>0</v>
      </c>
      <c r="AG22" s="52">
        <f>IF(VLOOKUP($A22,'I | Capex forecast'!$A$11:$AA$160,10,0)="Yes",AD22,0)</f>
        <v>0</v>
      </c>
      <c r="AH22" s="53"/>
      <c r="AI22" s="52">
        <f t="shared" si="2"/>
        <v>0</v>
      </c>
      <c r="AJ22" s="52">
        <f t="shared" si="3"/>
        <v>0</v>
      </c>
    </row>
    <row r="23" spans="1:36" s="4" customFormat="1" x14ac:dyDescent="0.3">
      <c r="A23" s="56">
        <f t="shared" si="4"/>
        <v>13</v>
      </c>
      <c r="B23" s="48" t="str">
        <f>IF('I | Capex forecast'!B23="","",'I | Capex forecast'!B23)</f>
        <v>DN200 Lytton Lateral - Validation Dig ILI</v>
      </c>
      <c r="C23" s="48" t="str">
        <f>IF('I | Capex forecast'!C23="","",'I | Capex forecast'!C23)</f>
        <v>Pipeline Integrity</v>
      </c>
      <c r="D23" s="48" t="str">
        <f>IF('I | Capex forecast'!D23="","",'I | Capex forecast'!D23)</f>
        <v>Validation dig</v>
      </c>
      <c r="E23" s="48" t="str">
        <f>IF('I | Capex forecast'!E23="","",'I | Capex forecast'!E23)</f>
        <v>Pipeline Integrity</v>
      </c>
      <c r="F23" s="48" t="str">
        <f>IF('I | Capex forecast'!F23="","",'I | Capex forecast'!F23)</f>
        <v>Replacement</v>
      </c>
      <c r="G23" s="48" t="str">
        <f>IF('I | Capex forecast'!G23="","",'I | Capex forecast'!G23)</f>
        <v>As incurred</v>
      </c>
      <c r="H23" s="48" t="str">
        <f>IF('I | Capex forecast'!H23="","",'I | Capex forecast'!H23)</f>
        <v>FY 26</v>
      </c>
      <c r="I23" s="48" t="str">
        <f>IF('I | Capex forecast'!I23="","",'I | Capex forecast'!I23)</f>
        <v>Mid-year</v>
      </c>
      <c r="J23" s="50"/>
      <c r="K23" s="52">
        <f>IFERROR(IF($H23="nominal",VLOOKUP($A23,'I | Capex forecast'!$A$11:$AA$160,K$8,0),VLOOKUP($A23,'I | Capex forecast'!$A$11:$AA$160,K$8,0)*INDEX('I | Inflation'!$G$41:$I$43,MATCH($H23,'I | Inflation'!$F$41:$F$43,0),MATCH(K$10,'I | Inflation'!$G$40:$I$40,0))),0)</f>
        <v>0</v>
      </c>
      <c r="L23" s="52">
        <f>IFERROR(IF($H23="nominal",VLOOKUP($A23,'I | Capex forecast'!$A$11:$AA$160,L$8,0),VLOOKUP($A23,'I | Capex forecast'!$A$11:$AA$160,L$8,0)*INDEX('I | Inflation'!$G$41:$I$43,MATCH($H23,'I | Inflation'!$F$41:$F$43,0),MATCH(L$10,'I | Inflation'!$G$40:$I$40,0))),0)</f>
        <v>0</v>
      </c>
      <c r="M23" s="53"/>
      <c r="N23" s="52">
        <f>K23*VLOOKUP($A23,'I | Capex forecast'!$A$11:$AA$160,21,0)*(HLOOKUP(N$10,'I | Inflation'!$D$57:$J$59,3,0)-1)</f>
        <v>0</v>
      </c>
      <c r="O23" s="52">
        <f>L23*VLOOKUP($A23,'I | Capex forecast'!$A$11:$AA$160,21,0)*(HLOOKUP(O$10,'I | Inflation'!$D$57:$J$59,3,0)-1)</f>
        <v>0</v>
      </c>
      <c r="P23" s="53"/>
      <c r="Q23" s="52"/>
      <c r="R23" s="52"/>
      <c r="S23" s="53"/>
      <c r="T23" s="52"/>
      <c r="U23" s="52"/>
      <c r="V23" s="53"/>
      <c r="W23" s="52"/>
      <c r="X23" s="52"/>
      <c r="Y23" s="53"/>
      <c r="Z23" s="52">
        <f>K23*VLOOKUP($A23,'I | Capex forecast'!$A$11:$AA$160,27,0)</f>
        <v>0</v>
      </c>
      <c r="AA23" s="52">
        <f>L23*VLOOKUP($A23,'I | Capex forecast'!$A$11:$AA$160,27,0)</f>
        <v>0</v>
      </c>
      <c r="AB23" s="53"/>
      <c r="AC23" s="52">
        <f t="shared" si="0"/>
        <v>0</v>
      </c>
      <c r="AD23" s="52">
        <f t="shared" si="1"/>
        <v>0</v>
      </c>
      <c r="AE23" s="53"/>
      <c r="AF23" s="52">
        <f>IF(VLOOKUP($A23,'I | Capex forecast'!$A$11:$AA$160,10,0)="Yes",AC23,0)</f>
        <v>0</v>
      </c>
      <c r="AG23" s="52">
        <f>IF(VLOOKUP($A23,'I | Capex forecast'!$A$11:$AA$160,10,0)="Yes",AD23,0)</f>
        <v>0</v>
      </c>
      <c r="AH23" s="53"/>
      <c r="AI23" s="52">
        <f t="shared" si="2"/>
        <v>0</v>
      </c>
      <c r="AJ23" s="52">
        <f t="shared" si="3"/>
        <v>0</v>
      </c>
    </row>
    <row r="24" spans="1:36" s="4" customFormat="1" x14ac:dyDescent="0.3">
      <c r="A24" s="56">
        <f t="shared" si="4"/>
        <v>14</v>
      </c>
      <c r="B24" s="48" t="str">
        <f>IF('I | Capex forecast'!B24="","",'I | Capex forecast'!B24)</f>
        <v>DN250 Supply Security - Phase 2a</v>
      </c>
      <c r="C24" s="48" t="str">
        <f>IF('I | Capex forecast'!C24="","",'I | Capex forecast'!C24)</f>
        <v>DN250 Supply Security Project</v>
      </c>
      <c r="D24" s="48" t="str">
        <f>IF('I | Capex forecast'!D24="","",'I | Capex forecast'!D24)</f>
        <v>Security</v>
      </c>
      <c r="E24" s="48" t="str">
        <f>IF('I | Capex forecast'!E24="","",'I | Capex forecast'!E24)</f>
        <v>Pipelines</v>
      </c>
      <c r="F24" s="48" t="str">
        <f>IF('I | Capex forecast'!F24="","",'I | Capex forecast'!F24)</f>
        <v>Replacement</v>
      </c>
      <c r="G24" s="48" t="str">
        <f>IF('I | Capex forecast'!G24="","",'I | Capex forecast'!G24)</f>
        <v>As incurred</v>
      </c>
      <c r="H24" s="48" t="str">
        <f>IF('I | Capex forecast'!H24="","",'I | Capex forecast'!H24)</f>
        <v>FY 26</v>
      </c>
      <c r="I24" s="48" t="str">
        <f>IF('I | Capex forecast'!I24="","",'I | Capex forecast'!I24)</f>
        <v>Mid-year</v>
      </c>
      <c r="J24" s="50"/>
      <c r="K24" s="52">
        <f>IFERROR(IF($H24="nominal",VLOOKUP($A24,'I | Capex forecast'!$A$11:$AA$160,K$8,0),VLOOKUP($A24,'I | Capex forecast'!$A$11:$AA$160,K$8,0)*INDEX('I | Inflation'!$G$41:$I$43,MATCH($H24,'I | Inflation'!$F$41:$F$43,0),MATCH(K$10,'I | Inflation'!$G$40:$I$40,0))),0)</f>
        <v>0</v>
      </c>
      <c r="L24" s="52">
        <f>IFERROR(IF($H24="nominal",VLOOKUP($A24,'I | Capex forecast'!$A$11:$AA$160,L$8,0),VLOOKUP($A24,'I | Capex forecast'!$A$11:$AA$160,L$8,0)*INDEX('I | Inflation'!$G$41:$I$43,MATCH($H24,'I | Inflation'!$F$41:$F$43,0),MATCH(L$10,'I | Inflation'!$G$40:$I$40,0))),0)</f>
        <v>0</v>
      </c>
      <c r="M24" s="53"/>
      <c r="N24" s="52">
        <f>K24*VLOOKUP($A24,'I | Capex forecast'!$A$11:$AA$160,21,0)*(HLOOKUP(N$10,'I | Inflation'!$D$57:$J$59,3,0)-1)</f>
        <v>0</v>
      </c>
      <c r="O24" s="52">
        <f>L24*VLOOKUP($A24,'I | Capex forecast'!$A$11:$AA$160,21,0)*(HLOOKUP(O$10,'I | Inflation'!$D$57:$J$59,3,0)-1)</f>
        <v>0</v>
      </c>
      <c r="P24" s="53"/>
      <c r="Q24" s="52"/>
      <c r="R24" s="52"/>
      <c r="S24" s="53"/>
      <c r="T24" s="52"/>
      <c r="U24" s="52"/>
      <c r="V24" s="53"/>
      <c r="W24" s="52"/>
      <c r="X24" s="52"/>
      <c r="Y24" s="53"/>
      <c r="Z24" s="52">
        <f>K24*VLOOKUP($A24,'I | Capex forecast'!$A$11:$AA$160,27,0)</f>
        <v>0</v>
      </c>
      <c r="AA24" s="52">
        <f>L24*VLOOKUP($A24,'I | Capex forecast'!$A$11:$AA$160,27,0)</f>
        <v>0</v>
      </c>
      <c r="AB24" s="53"/>
      <c r="AC24" s="52">
        <f t="shared" si="0"/>
        <v>0</v>
      </c>
      <c r="AD24" s="52">
        <f t="shared" si="1"/>
        <v>0</v>
      </c>
      <c r="AE24" s="53"/>
      <c r="AF24" s="52">
        <f>IF(VLOOKUP($A24,'I | Capex forecast'!$A$11:$AA$160,10,0)="Yes",AC24,0)</f>
        <v>0</v>
      </c>
      <c r="AG24" s="52">
        <f>IF(VLOOKUP($A24,'I | Capex forecast'!$A$11:$AA$160,10,0)="Yes",AD24,0)</f>
        <v>0</v>
      </c>
      <c r="AH24" s="53"/>
      <c r="AI24" s="52">
        <f t="shared" si="2"/>
        <v>0</v>
      </c>
      <c r="AJ24" s="52">
        <f t="shared" si="3"/>
        <v>0</v>
      </c>
    </row>
    <row r="25" spans="1:36" s="4" customFormat="1" x14ac:dyDescent="0.3">
      <c r="A25" s="56">
        <f t="shared" si="4"/>
        <v>15</v>
      </c>
      <c r="B25" s="48" t="str">
        <f>IF('I | Capex forecast'!B25="","",'I | Capex forecast'!B25)</f>
        <v>DN300 Pig Receiver Safety Upgrades (SEA Compound)​</v>
      </c>
      <c r="C25" s="48" t="str">
        <f>IF('I | Capex forecast'!C25="","",'I | Capex forecast'!C25)</f>
        <v>Pipeline Integrity</v>
      </c>
      <c r="D25" s="48" t="str">
        <f>IF('I | Capex forecast'!D25="","",'I | Capex forecast'!D25)</f>
        <v>ILI upgrade</v>
      </c>
      <c r="E25" s="48" t="str">
        <f>IF('I | Capex forecast'!E25="","",'I | Capex forecast'!E25)</f>
        <v>Pipelines</v>
      </c>
      <c r="F25" s="48" t="str">
        <f>IF('I | Capex forecast'!F25="","",'I | Capex forecast'!F25)</f>
        <v>Replacement</v>
      </c>
      <c r="G25" s="48" t="str">
        <f>IF('I | Capex forecast'!G25="","",'I | Capex forecast'!G25)</f>
        <v>As incurred</v>
      </c>
      <c r="H25" s="48" t="str">
        <f>IF('I | Capex forecast'!H25="","",'I | Capex forecast'!H25)</f>
        <v>FY 26</v>
      </c>
      <c r="I25" s="48" t="str">
        <f>IF('I | Capex forecast'!I25="","",'I | Capex forecast'!I25)</f>
        <v>Mid-year</v>
      </c>
      <c r="J25" s="50"/>
      <c r="K25" s="52">
        <f>IFERROR(IF($H25="nominal",VLOOKUP($A25,'I | Capex forecast'!$A$11:$AA$160,K$8,0),VLOOKUP($A25,'I | Capex forecast'!$A$11:$AA$160,K$8,0)*INDEX('I | Inflation'!$G$41:$I$43,MATCH($H25,'I | Inflation'!$F$41:$F$43,0),MATCH(K$10,'I | Inflation'!$G$40:$I$40,0))),0)</f>
        <v>0</v>
      </c>
      <c r="L25" s="52">
        <f>IFERROR(IF($H25="nominal",VLOOKUP($A25,'I | Capex forecast'!$A$11:$AA$160,L$8,0),VLOOKUP($A25,'I | Capex forecast'!$A$11:$AA$160,L$8,0)*INDEX('I | Inflation'!$G$41:$I$43,MATCH($H25,'I | Inflation'!$F$41:$F$43,0),MATCH(L$10,'I | Inflation'!$G$40:$I$40,0))),0)</f>
        <v>0</v>
      </c>
      <c r="M25" s="53"/>
      <c r="N25" s="52">
        <f>K25*VLOOKUP($A25,'I | Capex forecast'!$A$11:$AA$160,21,0)*(HLOOKUP(N$10,'I | Inflation'!$D$57:$J$59,3,0)-1)</f>
        <v>0</v>
      </c>
      <c r="O25" s="52">
        <f>L25*VLOOKUP($A25,'I | Capex forecast'!$A$11:$AA$160,21,0)*(HLOOKUP(O$10,'I | Inflation'!$D$57:$J$59,3,0)-1)</f>
        <v>0</v>
      </c>
      <c r="P25" s="53"/>
      <c r="Q25" s="52"/>
      <c r="R25" s="52"/>
      <c r="S25" s="53"/>
      <c r="T25" s="52"/>
      <c r="U25" s="52"/>
      <c r="V25" s="53"/>
      <c r="W25" s="52"/>
      <c r="X25" s="52"/>
      <c r="Y25" s="53"/>
      <c r="Z25" s="52">
        <f>K25*VLOOKUP($A25,'I | Capex forecast'!$A$11:$AA$160,27,0)</f>
        <v>0</v>
      </c>
      <c r="AA25" s="52">
        <f>L25*VLOOKUP($A25,'I | Capex forecast'!$A$11:$AA$160,27,0)</f>
        <v>0</v>
      </c>
      <c r="AB25" s="53"/>
      <c r="AC25" s="52">
        <f t="shared" si="0"/>
        <v>0</v>
      </c>
      <c r="AD25" s="52">
        <f t="shared" si="1"/>
        <v>0</v>
      </c>
      <c r="AE25" s="53"/>
      <c r="AF25" s="52">
        <f>IF(VLOOKUP($A25,'I | Capex forecast'!$A$11:$AA$160,10,0)="Yes",AC25,0)</f>
        <v>0</v>
      </c>
      <c r="AG25" s="52">
        <f>IF(VLOOKUP($A25,'I | Capex forecast'!$A$11:$AA$160,10,0)="Yes",AD25,0)</f>
        <v>0</v>
      </c>
      <c r="AH25" s="53"/>
      <c r="AI25" s="52">
        <f t="shared" si="2"/>
        <v>0</v>
      </c>
      <c r="AJ25" s="52">
        <f t="shared" si="3"/>
        <v>0</v>
      </c>
    </row>
    <row r="26" spans="1:36" s="4" customFormat="1" x14ac:dyDescent="0.3">
      <c r="A26" s="56">
        <f t="shared" si="4"/>
        <v>16</v>
      </c>
      <c r="B26" s="48" t="str">
        <f>IF('I | Capex forecast'!B26="","",'I | Capex forecast'!B26)</f>
        <v>DN250 AC Mitigation (Oakey to Bellbird Park)</v>
      </c>
      <c r="C26" s="48" t="str">
        <f>IF('I | Capex forecast'!C26="","",'I | Capex forecast'!C26)</f>
        <v>DN250 Supply Security Project</v>
      </c>
      <c r="D26" s="48" t="str">
        <f>IF('I | Capex forecast'!D26="","",'I | Capex forecast'!D26)</f>
        <v>AC mitigation</v>
      </c>
      <c r="E26" s="48" t="str">
        <f>IF('I | Capex forecast'!E26="","",'I | Capex forecast'!E26)</f>
        <v>Pipelines</v>
      </c>
      <c r="F26" s="48" t="str">
        <f>IF('I | Capex forecast'!F26="","",'I | Capex forecast'!F26)</f>
        <v>Replacement</v>
      </c>
      <c r="G26" s="48" t="str">
        <f>IF('I | Capex forecast'!G26="","",'I | Capex forecast'!G26)</f>
        <v>As incurred</v>
      </c>
      <c r="H26" s="48" t="str">
        <f>IF('I | Capex forecast'!H26="","",'I | Capex forecast'!H26)</f>
        <v>FY 26</v>
      </c>
      <c r="I26" s="48" t="str">
        <f>IF('I | Capex forecast'!I26="","",'I | Capex forecast'!I26)</f>
        <v>Mid-year</v>
      </c>
      <c r="J26" s="50"/>
      <c r="K26" s="52">
        <f>IFERROR(IF($H26="nominal",VLOOKUP($A26,'I | Capex forecast'!$A$11:$AA$160,K$8,0),VLOOKUP($A26,'I | Capex forecast'!$A$11:$AA$160,K$8,0)*INDEX('I | Inflation'!$G$41:$I$43,MATCH($H26,'I | Inflation'!$F$41:$F$43,0),MATCH(K$10,'I | Inflation'!$G$40:$I$40,0))),0)</f>
        <v>0</v>
      </c>
      <c r="L26" s="52">
        <f>IFERROR(IF($H26="nominal",VLOOKUP($A26,'I | Capex forecast'!$A$11:$AA$160,L$8,0),VLOOKUP($A26,'I | Capex forecast'!$A$11:$AA$160,L$8,0)*INDEX('I | Inflation'!$G$41:$I$43,MATCH($H26,'I | Inflation'!$F$41:$F$43,0),MATCH(L$10,'I | Inflation'!$G$40:$I$40,0))),0)</f>
        <v>0</v>
      </c>
      <c r="M26" s="53"/>
      <c r="N26" s="52">
        <f>K26*VLOOKUP($A26,'I | Capex forecast'!$A$11:$AA$160,21,0)*(HLOOKUP(N$10,'I | Inflation'!$D$57:$J$59,3,0)-1)</f>
        <v>0</v>
      </c>
      <c r="O26" s="52">
        <f>L26*VLOOKUP($A26,'I | Capex forecast'!$A$11:$AA$160,21,0)*(HLOOKUP(O$10,'I | Inflation'!$D$57:$J$59,3,0)-1)</f>
        <v>0</v>
      </c>
      <c r="P26" s="53"/>
      <c r="Q26" s="52"/>
      <c r="R26" s="52"/>
      <c r="S26" s="53"/>
      <c r="T26" s="52"/>
      <c r="U26" s="52"/>
      <c r="V26" s="53"/>
      <c r="W26" s="52"/>
      <c r="X26" s="52"/>
      <c r="Y26" s="53"/>
      <c r="Z26" s="52">
        <f>K26*VLOOKUP($A26,'I | Capex forecast'!$A$11:$AA$160,27,0)</f>
        <v>0</v>
      </c>
      <c r="AA26" s="52">
        <f>L26*VLOOKUP($A26,'I | Capex forecast'!$A$11:$AA$160,27,0)</f>
        <v>0</v>
      </c>
      <c r="AB26" s="53"/>
      <c r="AC26" s="52">
        <f t="shared" si="0"/>
        <v>0</v>
      </c>
      <c r="AD26" s="52">
        <f t="shared" si="1"/>
        <v>0</v>
      </c>
      <c r="AE26" s="53"/>
      <c r="AF26" s="52">
        <f>IF(VLOOKUP($A26,'I | Capex forecast'!$A$11:$AA$160,10,0)="Yes",AC26,0)</f>
        <v>0</v>
      </c>
      <c r="AG26" s="52">
        <f>IF(VLOOKUP($A26,'I | Capex forecast'!$A$11:$AA$160,10,0)="Yes",AD26,0)</f>
        <v>0</v>
      </c>
      <c r="AH26" s="53"/>
      <c r="AI26" s="52">
        <f t="shared" si="2"/>
        <v>0</v>
      </c>
      <c r="AJ26" s="52">
        <f t="shared" si="3"/>
        <v>0</v>
      </c>
    </row>
    <row r="27" spans="1:36" s="4" customFormat="1" x14ac:dyDescent="0.3">
      <c r="A27" s="56">
        <f t="shared" si="4"/>
        <v>17</v>
      </c>
      <c r="B27" s="48" t="str">
        <f>IF('I | Capex forecast'!B27="","",'I | Capex forecast'!B27)</f>
        <v>DN250 Suspension - Phase 3</v>
      </c>
      <c r="C27" s="48" t="str">
        <f>IF('I | Capex forecast'!C27="","",'I | Capex forecast'!C27)</f>
        <v>DN250 Supply Security Project</v>
      </c>
      <c r="D27" s="48" t="str">
        <f>IF('I | Capex forecast'!D27="","",'I | Capex forecast'!D27)</f>
        <v>DN250 Supply Security</v>
      </c>
      <c r="E27" s="48" t="str">
        <f>IF('I | Capex forecast'!E27="","",'I | Capex forecast'!E27)</f>
        <v>Pipelines</v>
      </c>
      <c r="F27" s="48" t="str">
        <f>IF('I | Capex forecast'!F27="","",'I | Capex forecast'!F27)</f>
        <v>Replacement</v>
      </c>
      <c r="G27" s="48" t="str">
        <f>IF('I | Capex forecast'!G27="","",'I | Capex forecast'!G27)</f>
        <v>As incurred</v>
      </c>
      <c r="H27" s="48" t="str">
        <f>IF('I | Capex forecast'!H27="","",'I | Capex forecast'!H27)</f>
        <v>FY 26</v>
      </c>
      <c r="I27" s="48" t="str">
        <f>IF('I | Capex forecast'!I27="","",'I | Capex forecast'!I27)</f>
        <v>Mid-year</v>
      </c>
      <c r="J27" s="50"/>
      <c r="K27" s="52">
        <f>IFERROR(IF($H27="nominal",VLOOKUP($A27,'I | Capex forecast'!$A$11:$AA$160,K$8,0),VLOOKUP($A27,'I | Capex forecast'!$A$11:$AA$160,K$8,0)*INDEX('I | Inflation'!$G$41:$I$43,MATCH($H27,'I | Inflation'!$F$41:$F$43,0),MATCH(K$10,'I | Inflation'!$G$40:$I$40,0))),0)</f>
        <v>0</v>
      </c>
      <c r="L27" s="52">
        <f>IFERROR(IF($H27="nominal",VLOOKUP($A27,'I | Capex forecast'!$A$11:$AA$160,L$8,0),VLOOKUP($A27,'I | Capex forecast'!$A$11:$AA$160,L$8,0)*INDEX('I | Inflation'!$G$41:$I$43,MATCH($H27,'I | Inflation'!$F$41:$F$43,0),MATCH(L$10,'I | Inflation'!$G$40:$I$40,0))),0)</f>
        <v>0</v>
      </c>
      <c r="M27" s="53"/>
      <c r="N27" s="52">
        <f>K27*VLOOKUP($A27,'I | Capex forecast'!$A$11:$AA$160,21,0)*(HLOOKUP(N$10,'I | Inflation'!$D$57:$J$59,3,0)-1)</f>
        <v>0</v>
      </c>
      <c r="O27" s="52">
        <f>L27*VLOOKUP($A27,'I | Capex forecast'!$A$11:$AA$160,21,0)*(HLOOKUP(O$10,'I | Inflation'!$D$57:$J$59,3,0)-1)</f>
        <v>0</v>
      </c>
      <c r="P27" s="53"/>
      <c r="Q27" s="52"/>
      <c r="R27" s="52"/>
      <c r="S27" s="53"/>
      <c r="T27" s="52"/>
      <c r="U27" s="52"/>
      <c r="V27" s="53"/>
      <c r="W27" s="52"/>
      <c r="X27" s="52"/>
      <c r="Y27" s="53"/>
      <c r="Z27" s="52">
        <f>K27*VLOOKUP($A27,'I | Capex forecast'!$A$11:$AA$160,27,0)</f>
        <v>0</v>
      </c>
      <c r="AA27" s="52">
        <f>L27*VLOOKUP($A27,'I | Capex forecast'!$A$11:$AA$160,27,0)</f>
        <v>0</v>
      </c>
      <c r="AB27" s="53"/>
      <c r="AC27" s="52">
        <f t="shared" si="0"/>
        <v>0</v>
      </c>
      <c r="AD27" s="52">
        <f t="shared" si="1"/>
        <v>0</v>
      </c>
      <c r="AE27" s="53"/>
      <c r="AF27" s="52">
        <f>IF(VLOOKUP($A27,'I | Capex forecast'!$A$11:$AA$160,10,0)="Yes",AC27,0)</f>
        <v>0</v>
      </c>
      <c r="AG27" s="52">
        <f>IF(VLOOKUP($A27,'I | Capex forecast'!$A$11:$AA$160,10,0)="Yes",AD27,0)</f>
        <v>0</v>
      </c>
      <c r="AH27" s="53"/>
      <c r="AI27" s="52">
        <f t="shared" si="2"/>
        <v>0</v>
      </c>
      <c r="AJ27" s="52">
        <f t="shared" si="3"/>
        <v>0</v>
      </c>
    </row>
    <row r="28" spans="1:36" s="4" customFormat="1" x14ac:dyDescent="0.3">
      <c r="A28" s="56">
        <f t="shared" si="4"/>
        <v>18</v>
      </c>
      <c r="B28" s="48" t="str">
        <f>IF('I | Capex forecast'!B28="","",'I | Capex forecast'!B28)</f>
        <v>Gowrie Creek flood protection</v>
      </c>
      <c r="C28" s="48" t="str">
        <f>IF('I | Capex forecast'!C28="","",'I | Capex forecast'!C28)</f>
        <v>Environment</v>
      </c>
      <c r="D28" s="48" t="str">
        <f>IF('I | Capex forecast'!D28="","",'I | Capex forecast'!D28)</f>
        <v>Gowrie Creek</v>
      </c>
      <c r="E28" s="48" t="str">
        <f>IF('I | Capex forecast'!E28="","",'I | Capex forecast'!E28)</f>
        <v>Pipelines</v>
      </c>
      <c r="F28" s="48" t="str">
        <f>IF('I | Capex forecast'!F28="","",'I | Capex forecast'!F28)</f>
        <v>Replacement</v>
      </c>
      <c r="G28" s="48" t="str">
        <f>IF('I | Capex forecast'!G28="","",'I | Capex forecast'!G28)</f>
        <v>As incurred</v>
      </c>
      <c r="H28" s="48" t="str">
        <f>IF('I | Capex forecast'!H28="","",'I | Capex forecast'!H28)</f>
        <v>FY 26</v>
      </c>
      <c r="I28" s="48" t="str">
        <f>IF('I | Capex forecast'!I28="","",'I | Capex forecast'!I28)</f>
        <v>Mid-year</v>
      </c>
      <c r="J28" s="50"/>
      <c r="K28" s="52">
        <f>IFERROR(IF($H28="nominal",VLOOKUP($A28,'I | Capex forecast'!$A$11:$AA$160,K$8,0),VLOOKUP($A28,'I | Capex forecast'!$A$11:$AA$160,K$8,0)*INDEX('I | Inflation'!$G$41:$I$43,MATCH($H28,'I | Inflation'!$F$41:$F$43,0),MATCH(K$10,'I | Inflation'!$G$40:$I$40,0))),0)</f>
        <v>0</v>
      </c>
      <c r="L28" s="52">
        <f>IFERROR(IF($H28="nominal",VLOOKUP($A28,'I | Capex forecast'!$A$11:$AA$160,L$8,0),VLOOKUP($A28,'I | Capex forecast'!$A$11:$AA$160,L$8,0)*INDEX('I | Inflation'!$G$41:$I$43,MATCH($H28,'I | Inflation'!$F$41:$F$43,0),MATCH(L$10,'I | Inflation'!$G$40:$I$40,0))),0)</f>
        <v>0</v>
      </c>
      <c r="M28" s="53"/>
      <c r="N28" s="52">
        <f>K28*VLOOKUP($A28,'I | Capex forecast'!$A$11:$AA$160,21,0)*(HLOOKUP(N$10,'I | Inflation'!$D$57:$J$59,3,0)-1)</f>
        <v>0</v>
      </c>
      <c r="O28" s="52">
        <f>L28*VLOOKUP($A28,'I | Capex forecast'!$A$11:$AA$160,21,0)*(HLOOKUP(O$10,'I | Inflation'!$D$57:$J$59,3,0)-1)</f>
        <v>0</v>
      </c>
      <c r="P28" s="53"/>
      <c r="Q28" s="52"/>
      <c r="R28" s="52"/>
      <c r="S28" s="53"/>
      <c r="T28" s="52"/>
      <c r="U28" s="52"/>
      <c r="V28" s="53"/>
      <c r="W28" s="52"/>
      <c r="X28" s="52"/>
      <c r="Y28" s="53"/>
      <c r="Z28" s="52">
        <f>K28*VLOOKUP($A28,'I | Capex forecast'!$A$11:$AA$160,27,0)</f>
        <v>0</v>
      </c>
      <c r="AA28" s="52">
        <f>L28*VLOOKUP($A28,'I | Capex forecast'!$A$11:$AA$160,27,0)</f>
        <v>0</v>
      </c>
      <c r="AB28" s="53"/>
      <c r="AC28" s="52">
        <f t="shared" si="0"/>
        <v>0</v>
      </c>
      <c r="AD28" s="52">
        <f t="shared" si="1"/>
        <v>0</v>
      </c>
      <c r="AE28" s="53"/>
      <c r="AF28" s="52">
        <f>IF(VLOOKUP($A28,'I | Capex forecast'!$A$11:$AA$160,10,0)="Yes",AC28,0)</f>
        <v>0</v>
      </c>
      <c r="AG28" s="52">
        <f>IF(VLOOKUP($A28,'I | Capex forecast'!$A$11:$AA$160,10,0)="Yes",AD28,0)</f>
        <v>0</v>
      </c>
      <c r="AH28" s="53"/>
      <c r="AI28" s="52">
        <f t="shared" si="2"/>
        <v>0</v>
      </c>
      <c r="AJ28" s="52">
        <f t="shared" si="3"/>
        <v>0</v>
      </c>
    </row>
    <row r="29" spans="1:36" s="4" customFormat="1" x14ac:dyDescent="0.3">
      <c r="A29" s="56">
        <f t="shared" si="4"/>
        <v>19</v>
      </c>
      <c r="B29" s="48" t="str">
        <f>IF('I | Capex forecast'!B29="","",'I | Capex forecast'!B29)</f>
        <v>Station Painting</v>
      </c>
      <c r="C29" s="48" t="str">
        <f>IF('I | Capex forecast'!C29="","",'I | Capex forecast'!C29)</f>
        <v>Site equipment</v>
      </c>
      <c r="D29" s="48" t="str">
        <f>IF('I | Capex forecast'!D29="","",'I | Capex forecast'!D29)</f>
        <v>Station painting</v>
      </c>
      <c r="E29" s="48" t="str">
        <f>IF('I | Capex forecast'!E29="","",'I | Capex forecast'!E29)</f>
        <v>Compressors</v>
      </c>
      <c r="F29" s="48" t="str">
        <f>IF('I | Capex forecast'!F29="","",'I | Capex forecast'!F29)</f>
        <v>Replacement</v>
      </c>
      <c r="G29" s="48" t="str">
        <f>IF('I | Capex forecast'!G29="","",'I | Capex forecast'!G29)</f>
        <v>As incurred</v>
      </c>
      <c r="H29" s="48" t="str">
        <f>IF('I | Capex forecast'!H29="","",'I | Capex forecast'!H29)</f>
        <v>FY 26</v>
      </c>
      <c r="I29" s="48" t="str">
        <f>IF('I | Capex forecast'!I29="","",'I | Capex forecast'!I29)</f>
        <v>Mid-year</v>
      </c>
      <c r="J29" s="50"/>
      <c r="K29" s="52">
        <f>IFERROR(IF($H29="nominal",VLOOKUP($A29,'I | Capex forecast'!$A$11:$AA$160,K$8,0),VLOOKUP($A29,'I | Capex forecast'!$A$11:$AA$160,K$8,0)*INDEX('I | Inflation'!$G$41:$I$43,MATCH($H29,'I | Inflation'!$F$41:$F$43,0),MATCH(K$10,'I | Inflation'!$G$40:$I$40,0))),0)</f>
        <v>0</v>
      </c>
      <c r="L29" s="52">
        <f>IFERROR(IF($H29="nominal",VLOOKUP($A29,'I | Capex forecast'!$A$11:$AA$160,L$8,0),VLOOKUP($A29,'I | Capex forecast'!$A$11:$AA$160,L$8,0)*INDEX('I | Inflation'!$G$41:$I$43,MATCH($H29,'I | Inflation'!$F$41:$F$43,0),MATCH(L$10,'I | Inflation'!$G$40:$I$40,0))),0)</f>
        <v>0</v>
      </c>
      <c r="M29" s="53"/>
      <c r="N29" s="52">
        <f>K29*VLOOKUP($A29,'I | Capex forecast'!$A$11:$AA$160,21,0)*(HLOOKUP(N$10,'I | Inflation'!$D$57:$J$59,3,0)-1)</f>
        <v>0</v>
      </c>
      <c r="O29" s="52">
        <f>L29*VLOOKUP($A29,'I | Capex forecast'!$A$11:$AA$160,21,0)*(HLOOKUP(O$10,'I | Inflation'!$D$57:$J$59,3,0)-1)</f>
        <v>0</v>
      </c>
      <c r="P29" s="53"/>
      <c r="Q29" s="52"/>
      <c r="R29" s="52"/>
      <c r="S29" s="53"/>
      <c r="T29" s="52"/>
      <c r="U29" s="52"/>
      <c r="V29" s="53"/>
      <c r="W29" s="52"/>
      <c r="X29" s="52"/>
      <c r="Y29" s="53"/>
      <c r="Z29" s="52">
        <f>K29*VLOOKUP($A29,'I | Capex forecast'!$A$11:$AA$160,27,0)</f>
        <v>0</v>
      </c>
      <c r="AA29" s="52">
        <f>L29*VLOOKUP($A29,'I | Capex forecast'!$A$11:$AA$160,27,0)</f>
        <v>0</v>
      </c>
      <c r="AB29" s="53"/>
      <c r="AC29" s="52">
        <f t="shared" si="0"/>
        <v>0</v>
      </c>
      <c r="AD29" s="52">
        <f t="shared" si="1"/>
        <v>0</v>
      </c>
      <c r="AE29" s="53"/>
      <c r="AF29" s="52">
        <f>IF(VLOOKUP($A29,'I | Capex forecast'!$A$11:$AA$160,10,0)="Yes",AC29,0)</f>
        <v>0</v>
      </c>
      <c r="AG29" s="52">
        <f>IF(VLOOKUP($A29,'I | Capex forecast'!$A$11:$AA$160,10,0)="Yes",AD29,0)</f>
        <v>0</v>
      </c>
      <c r="AH29" s="53"/>
      <c r="AI29" s="52">
        <f t="shared" si="2"/>
        <v>0</v>
      </c>
      <c r="AJ29" s="52">
        <f t="shared" si="3"/>
        <v>0</v>
      </c>
    </row>
    <row r="30" spans="1:36" s="4" customFormat="1" x14ac:dyDescent="0.3">
      <c r="A30" s="56">
        <f t="shared" si="4"/>
        <v>20</v>
      </c>
      <c r="B30" s="48" t="str">
        <f>IF('I | Capex forecast'!B30="","",'I | Capex forecast'!B30)</f>
        <v>Replacement for Crane truck</v>
      </c>
      <c r="C30" s="48" t="str">
        <f>IF('I | Capex forecast'!C30="","",'I | Capex forecast'!C30)</f>
        <v>SIB</v>
      </c>
      <c r="D30" s="48" t="str">
        <f>IF('I | Capex forecast'!D30="","",'I | Capex forecast'!D30)</f>
        <v>SIB</v>
      </c>
      <c r="E30" s="48" t="str">
        <f>IF('I | Capex forecast'!E30="","",'I | Capex forecast'!E30)</f>
        <v>SIB capex</v>
      </c>
      <c r="F30" s="48" t="str">
        <f>IF('I | Capex forecast'!F30="","",'I | Capex forecast'!F30)</f>
        <v>Replacement</v>
      </c>
      <c r="G30" s="48" t="str">
        <f>IF('I | Capex forecast'!G30="","",'I | Capex forecast'!G30)</f>
        <v>As incurred</v>
      </c>
      <c r="H30" s="48" t="str">
        <f>IF('I | Capex forecast'!H30="","",'I | Capex forecast'!H30)</f>
        <v>FY 26</v>
      </c>
      <c r="I30" s="48" t="str">
        <f>IF('I | Capex forecast'!I30="","",'I | Capex forecast'!I30)</f>
        <v>Mid-year</v>
      </c>
      <c r="J30" s="50"/>
      <c r="K30" s="52">
        <f>IFERROR(IF($H30="nominal",VLOOKUP($A30,'I | Capex forecast'!$A$11:$AA$160,K$8,0),VLOOKUP($A30,'I | Capex forecast'!$A$11:$AA$160,K$8,0)*INDEX('I | Inflation'!$G$41:$I$43,MATCH($H30,'I | Inflation'!$F$41:$F$43,0),MATCH(K$10,'I | Inflation'!$G$40:$I$40,0))),0)</f>
        <v>0</v>
      </c>
      <c r="L30" s="52">
        <f>IFERROR(IF($H30="nominal",VLOOKUP($A30,'I | Capex forecast'!$A$11:$AA$160,L$8,0),VLOOKUP($A30,'I | Capex forecast'!$A$11:$AA$160,L$8,0)*INDEX('I | Inflation'!$G$41:$I$43,MATCH($H30,'I | Inflation'!$F$41:$F$43,0),MATCH(L$10,'I | Inflation'!$G$40:$I$40,0))),0)</f>
        <v>0</v>
      </c>
      <c r="M30" s="53"/>
      <c r="N30" s="52">
        <f>K30*VLOOKUP($A30,'I | Capex forecast'!$A$11:$AA$160,21,0)*(HLOOKUP(N$10,'I | Inflation'!$D$57:$J$59,3,0)-1)</f>
        <v>0</v>
      </c>
      <c r="O30" s="52">
        <f>L30*VLOOKUP($A30,'I | Capex forecast'!$A$11:$AA$160,21,0)*(HLOOKUP(O$10,'I | Inflation'!$D$57:$J$59,3,0)-1)</f>
        <v>0</v>
      </c>
      <c r="P30" s="53"/>
      <c r="Q30" s="52"/>
      <c r="R30" s="52"/>
      <c r="S30" s="53"/>
      <c r="T30" s="52"/>
      <c r="U30" s="52"/>
      <c r="V30" s="53"/>
      <c r="W30" s="52"/>
      <c r="X30" s="52"/>
      <c r="Y30" s="53"/>
      <c r="Z30" s="52">
        <f>K30*VLOOKUP($A30,'I | Capex forecast'!$A$11:$AA$160,27,0)</f>
        <v>0</v>
      </c>
      <c r="AA30" s="52">
        <f>L30*VLOOKUP($A30,'I | Capex forecast'!$A$11:$AA$160,27,0)</f>
        <v>0</v>
      </c>
      <c r="AB30" s="53"/>
      <c r="AC30" s="52">
        <f t="shared" si="0"/>
        <v>0</v>
      </c>
      <c r="AD30" s="52">
        <f t="shared" si="1"/>
        <v>0</v>
      </c>
      <c r="AE30" s="53"/>
      <c r="AF30" s="52">
        <f>IF(VLOOKUP($A30,'I | Capex forecast'!$A$11:$AA$160,10,0)="Yes",AC30,0)</f>
        <v>0</v>
      </c>
      <c r="AG30" s="52">
        <f>IF(VLOOKUP($A30,'I | Capex forecast'!$A$11:$AA$160,10,0)="Yes",AD30,0)</f>
        <v>0</v>
      </c>
      <c r="AH30" s="53"/>
      <c r="AI30" s="52">
        <f t="shared" si="2"/>
        <v>0</v>
      </c>
      <c r="AJ30" s="52">
        <f t="shared" si="3"/>
        <v>0</v>
      </c>
    </row>
    <row r="31" spans="1:36" s="4" customFormat="1" x14ac:dyDescent="0.3">
      <c r="A31" s="56">
        <f t="shared" si="4"/>
        <v>21</v>
      </c>
      <c r="B31" s="48" t="str">
        <f>IF('I | Capex forecast'!B31="","",'I | Capex forecast'!B31)</f>
        <v>Generator Upgrades</v>
      </c>
      <c r="C31" s="48" t="str">
        <f>IF('I | Capex forecast'!C31="","",'I | Capex forecast'!C31)</f>
        <v>SIB</v>
      </c>
      <c r="D31" s="48" t="str">
        <f>IF('I | Capex forecast'!D31="","",'I | Capex forecast'!D31)</f>
        <v>SIB</v>
      </c>
      <c r="E31" s="48" t="str">
        <f>IF('I | Capex forecast'!E31="","",'I | Capex forecast'!E31)</f>
        <v>SIB capex</v>
      </c>
      <c r="F31" s="48" t="str">
        <f>IF('I | Capex forecast'!F31="","",'I | Capex forecast'!F31)</f>
        <v>Replacement</v>
      </c>
      <c r="G31" s="48" t="str">
        <f>IF('I | Capex forecast'!G31="","",'I | Capex forecast'!G31)</f>
        <v>As incurred</v>
      </c>
      <c r="H31" s="48" t="str">
        <f>IF('I | Capex forecast'!H31="","",'I | Capex forecast'!H31)</f>
        <v>FY 26</v>
      </c>
      <c r="I31" s="48" t="str">
        <f>IF('I | Capex forecast'!I31="","",'I | Capex forecast'!I31)</f>
        <v>Mid-year</v>
      </c>
      <c r="J31" s="50"/>
      <c r="K31" s="52">
        <f>IFERROR(IF($H31="nominal",VLOOKUP($A31,'I | Capex forecast'!$A$11:$AA$160,K$8,0),VLOOKUP($A31,'I | Capex forecast'!$A$11:$AA$160,K$8,0)*INDEX('I | Inflation'!$G$41:$I$43,MATCH($H31,'I | Inflation'!$F$41:$F$43,0),MATCH(K$10,'I | Inflation'!$G$40:$I$40,0))),0)</f>
        <v>0</v>
      </c>
      <c r="L31" s="52">
        <f>IFERROR(IF($H31="nominal",VLOOKUP($A31,'I | Capex forecast'!$A$11:$AA$160,L$8,0),VLOOKUP($A31,'I | Capex forecast'!$A$11:$AA$160,L$8,0)*INDEX('I | Inflation'!$G$41:$I$43,MATCH($H31,'I | Inflation'!$F$41:$F$43,0),MATCH(L$10,'I | Inflation'!$G$40:$I$40,0))),0)</f>
        <v>0</v>
      </c>
      <c r="M31" s="53"/>
      <c r="N31" s="52">
        <f>K31*VLOOKUP($A31,'I | Capex forecast'!$A$11:$AA$160,21,0)*(HLOOKUP(N$10,'I | Inflation'!$D$57:$J$59,3,0)-1)</f>
        <v>0</v>
      </c>
      <c r="O31" s="52">
        <f>L31*VLOOKUP($A31,'I | Capex forecast'!$A$11:$AA$160,21,0)*(HLOOKUP(O$10,'I | Inflation'!$D$57:$J$59,3,0)-1)</f>
        <v>0</v>
      </c>
      <c r="P31" s="53"/>
      <c r="Q31" s="52"/>
      <c r="R31" s="52"/>
      <c r="S31" s="53"/>
      <c r="T31" s="52"/>
      <c r="U31" s="52"/>
      <c r="V31" s="53"/>
      <c r="W31" s="52"/>
      <c r="X31" s="52"/>
      <c r="Y31" s="53"/>
      <c r="Z31" s="52">
        <f>K31*VLOOKUP($A31,'I | Capex forecast'!$A$11:$AA$160,27,0)</f>
        <v>0</v>
      </c>
      <c r="AA31" s="52">
        <f>L31*VLOOKUP($A31,'I | Capex forecast'!$A$11:$AA$160,27,0)</f>
        <v>0</v>
      </c>
      <c r="AB31" s="53"/>
      <c r="AC31" s="52">
        <f t="shared" si="0"/>
        <v>0</v>
      </c>
      <c r="AD31" s="52">
        <f t="shared" si="1"/>
        <v>0</v>
      </c>
      <c r="AE31" s="53"/>
      <c r="AF31" s="52">
        <f>IF(VLOOKUP($A31,'I | Capex forecast'!$A$11:$AA$160,10,0)="Yes",AC31,0)</f>
        <v>0</v>
      </c>
      <c r="AG31" s="52">
        <f>IF(VLOOKUP($A31,'I | Capex forecast'!$A$11:$AA$160,10,0)="Yes",AD31,0)</f>
        <v>0</v>
      </c>
      <c r="AH31" s="53"/>
      <c r="AI31" s="52">
        <f t="shared" si="2"/>
        <v>0</v>
      </c>
      <c r="AJ31" s="52">
        <f t="shared" si="3"/>
        <v>0</v>
      </c>
    </row>
    <row r="32" spans="1:36" s="4" customFormat="1" x14ac:dyDescent="0.3">
      <c r="A32" s="56">
        <f t="shared" si="4"/>
        <v>22</v>
      </c>
      <c r="B32" s="48" t="str">
        <f>IF('I | Capex forecast'!B32="","",'I | Capex forecast'!B32)</f>
        <v>SDV at Condamine</v>
      </c>
      <c r="C32" s="48" t="str">
        <f>IF('I | Capex forecast'!C32="","",'I | Capex forecast'!C32)</f>
        <v>SIB</v>
      </c>
      <c r="D32" s="48" t="str">
        <f>IF('I | Capex forecast'!D32="","",'I | Capex forecast'!D32)</f>
        <v>SIB</v>
      </c>
      <c r="E32" s="48" t="str">
        <f>IF('I | Capex forecast'!E32="","",'I | Capex forecast'!E32)</f>
        <v>SIB capex</v>
      </c>
      <c r="F32" s="48" t="str">
        <f>IF('I | Capex forecast'!F32="","",'I | Capex forecast'!F32)</f>
        <v>Replacement</v>
      </c>
      <c r="G32" s="48" t="str">
        <f>IF('I | Capex forecast'!G32="","",'I | Capex forecast'!G32)</f>
        <v>As incurred</v>
      </c>
      <c r="H32" s="48" t="str">
        <f>IF('I | Capex forecast'!H32="","",'I | Capex forecast'!H32)</f>
        <v>FY 26</v>
      </c>
      <c r="I32" s="48" t="str">
        <f>IF('I | Capex forecast'!I32="","",'I | Capex forecast'!I32)</f>
        <v>Mid-year</v>
      </c>
      <c r="J32" s="50"/>
      <c r="K32" s="52">
        <f>IFERROR(IF($H32="nominal",VLOOKUP($A32,'I | Capex forecast'!$A$11:$AA$160,K$8,0),VLOOKUP($A32,'I | Capex forecast'!$A$11:$AA$160,K$8,0)*INDEX('I | Inflation'!$G$41:$I$43,MATCH($H32,'I | Inflation'!$F$41:$F$43,0),MATCH(K$10,'I | Inflation'!$G$40:$I$40,0))),0)</f>
        <v>0</v>
      </c>
      <c r="L32" s="52">
        <f>IFERROR(IF($H32="nominal",VLOOKUP($A32,'I | Capex forecast'!$A$11:$AA$160,L$8,0),VLOOKUP($A32,'I | Capex forecast'!$A$11:$AA$160,L$8,0)*INDEX('I | Inflation'!$G$41:$I$43,MATCH($H32,'I | Inflation'!$F$41:$F$43,0),MATCH(L$10,'I | Inflation'!$G$40:$I$40,0))),0)</f>
        <v>0</v>
      </c>
      <c r="M32" s="53"/>
      <c r="N32" s="52">
        <f>K32*VLOOKUP($A32,'I | Capex forecast'!$A$11:$AA$160,21,0)*(HLOOKUP(N$10,'I | Inflation'!$D$57:$J$59,3,0)-1)</f>
        <v>0</v>
      </c>
      <c r="O32" s="52">
        <f>L32*VLOOKUP($A32,'I | Capex forecast'!$A$11:$AA$160,21,0)*(HLOOKUP(O$10,'I | Inflation'!$D$57:$J$59,3,0)-1)</f>
        <v>0</v>
      </c>
      <c r="P32" s="53"/>
      <c r="Q32" s="52"/>
      <c r="R32" s="52"/>
      <c r="S32" s="53"/>
      <c r="T32" s="52"/>
      <c r="U32" s="52"/>
      <c r="V32" s="53"/>
      <c r="W32" s="52"/>
      <c r="X32" s="52"/>
      <c r="Y32" s="53"/>
      <c r="Z32" s="52">
        <f>K32*VLOOKUP($A32,'I | Capex forecast'!$A$11:$AA$160,27,0)</f>
        <v>0</v>
      </c>
      <c r="AA32" s="52">
        <f>L32*VLOOKUP($A32,'I | Capex forecast'!$A$11:$AA$160,27,0)</f>
        <v>0</v>
      </c>
      <c r="AB32" s="53"/>
      <c r="AC32" s="52">
        <f t="shared" si="0"/>
        <v>0</v>
      </c>
      <c r="AD32" s="52">
        <f t="shared" si="1"/>
        <v>0</v>
      </c>
      <c r="AE32" s="53"/>
      <c r="AF32" s="52">
        <f>IF(VLOOKUP($A32,'I | Capex forecast'!$A$11:$AA$160,10,0)="Yes",AC32,0)</f>
        <v>0</v>
      </c>
      <c r="AG32" s="52">
        <f>IF(VLOOKUP($A32,'I | Capex forecast'!$A$11:$AA$160,10,0)="Yes",AD32,0)</f>
        <v>0</v>
      </c>
      <c r="AH32" s="53"/>
      <c r="AI32" s="52">
        <f t="shared" si="2"/>
        <v>0</v>
      </c>
      <c r="AJ32" s="52">
        <f t="shared" si="3"/>
        <v>0</v>
      </c>
    </row>
    <row r="33" spans="1:36" s="4" customFormat="1" x14ac:dyDescent="0.3">
      <c r="A33" s="56">
        <f t="shared" si="4"/>
        <v>23</v>
      </c>
      <c r="B33" s="48" t="str">
        <f>IF('I | Capex forecast'!B33="","",'I | Capex forecast'!B33)</f>
        <v>Woodroy, Arubial &amp; Scotia Actuators</v>
      </c>
      <c r="C33" s="48" t="str">
        <f>IF('I | Capex forecast'!C33="","",'I | Capex forecast'!C33)</f>
        <v>SIB</v>
      </c>
      <c r="D33" s="48" t="str">
        <f>IF('I | Capex forecast'!D33="","",'I | Capex forecast'!D33)</f>
        <v>SIB</v>
      </c>
      <c r="E33" s="48" t="str">
        <f>IF('I | Capex forecast'!E33="","",'I | Capex forecast'!E33)</f>
        <v>SIB capex</v>
      </c>
      <c r="F33" s="48" t="str">
        <f>IF('I | Capex forecast'!F33="","",'I | Capex forecast'!F33)</f>
        <v>Replacement</v>
      </c>
      <c r="G33" s="48" t="str">
        <f>IF('I | Capex forecast'!G33="","",'I | Capex forecast'!G33)</f>
        <v>As incurred</v>
      </c>
      <c r="H33" s="48" t="str">
        <f>IF('I | Capex forecast'!H33="","",'I | Capex forecast'!H33)</f>
        <v>FY 26</v>
      </c>
      <c r="I33" s="48" t="str">
        <f>IF('I | Capex forecast'!I33="","",'I | Capex forecast'!I33)</f>
        <v>Mid-year</v>
      </c>
      <c r="J33" s="50"/>
      <c r="K33" s="52">
        <f>IFERROR(IF($H33="nominal",VLOOKUP($A33,'I | Capex forecast'!$A$11:$AA$160,K$8,0),VLOOKUP($A33,'I | Capex forecast'!$A$11:$AA$160,K$8,0)*INDEX('I | Inflation'!$G$41:$I$43,MATCH($H33,'I | Inflation'!$F$41:$F$43,0),MATCH(K$10,'I | Inflation'!$G$40:$I$40,0))),0)</f>
        <v>0</v>
      </c>
      <c r="L33" s="52">
        <f>IFERROR(IF($H33="nominal",VLOOKUP($A33,'I | Capex forecast'!$A$11:$AA$160,L$8,0),VLOOKUP($A33,'I | Capex forecast'!$A$11:$AA$160,L$8,0)*INDEX('I | Inflation'!$G$41:$I$43,MATCH($H33,'I | Inflation'!$F$41:$F$43,0),MATCH(L$10,'I | Inflation'!$G$40:$I$40,0))),0)</f>
        <v>0</v>
      </c>
      <c r="M33" s="53"/>
      <c r="N33" s="52">
        <f>K33*VLOOKUP($A33,'I | Capex forecast'!$A$11:$AA$160,21,0)*(HLOOKUP(N$10,'I | Inflation'!$D$57:$J$59,3,0)-1)</f>
        <v>0</v>
      </c>
      <c r="O33" s="52">
        <f>L33*VLOOKUP($A33,'I | Capex forecast'!$A$11:$AA$160,21,0)*(HLOOKUP(O$10,'I | Inflation'!$D$57:$J$59,3,0)-1)</f>
        <v>0</v>
      </c>
      <c r="P33" s="53"/>
      <c r="Q33" s="52"/>
      <c r="R33" s="52"/>
      <c r="S33" s="53"/>
      <c r="T33" s="52"/>
      <c r="U33" s="52"/>
      <c r="V33" s="53"/>
      <c r="W33" s="52"/>
      <c r="X33" s="52"/>
      <c r="Y33" s="53"/>
      <c r="Z33" s="52">
        <f>K33*VLOOKUP($A33,'I | Capex forecast'!$A$11:$AA$160,27,0)</f>
        <v>0</v>
      </c>
      <c r="AA33" s="52">
        <f>L33*VLOOKUP($A33,'I | Capex forecast'!$A$11:$AA$160,27,0)</f>
        <v>0</v>
      </c>
      <c r="AB33" s="53"/>
      <c r="AC33" s="52">
        <f t="shared" si="0"/>
        <v>0</v>
      </c>
      <c r="AD33" s="52">
        <f t="shared" si="1"/>
        <v>0</v>
      </c>
      <c r="AE33" s="53"/>
      <c r="AF33" s="52">
        <f>IF(VLOOKUP($A33,'I | Capex forecast'!$A$11:$AA$160,10,0)="Yes",AC33,0)</f>
        <v>0</v>
      </c>
      <c r="AG33" s="52">
        <f>IF(VLOOKUP($A33,'I | Capex forecast'!$A$11:$AA$160,10,0)="Yes",AD33,0)</f>
        <v>0</v>
      </c>
      <c r="AH33" s="53"/>
      <c r="AI33" s="52">
        <f t="shared" si="2"/>
        <v>0</v>
      </c>
      <c r="AJ33" s="52">
        <f t="shared" si="3"/>
        <v>0</v>
      </c>
    </row>
    <row r="34" spans="1:36" s="4" customFormat="1" x14ac:dyDescent="0.3">
      <c r="A34" s="56">
        <f t="shared" si="4"/>
        <v>24</v>
      </c>
      <c r="B34" s="48" t="str">
        <f>IF('I | Capex forecast'!B34="","",'I | Capex forecast'!B34)</f>
        <v>Controlwave Micro RTUs &amp; Flow Computer end of Life replacement</v>
      </c>
      <c r="C34" s="48" t="str">
        <f>IF('I | Capex forecast'!C34="","",'I | Capex forecast'!C34)</f>
        <v>Gas Instruments</v>
      </c>
      <c r="D34" s="48" t="str">
        <f>IF('I | Capex forecast'!D34="","",'I | Capex forecast'!D34)</f>
        <v>Flow computer &amp; RTU upgrades</v>
      </c>
      <c r="E34" s="48" t="str">
        <f>IF('I | Capex forecast'!E34="","",'I | Capex forecast'!E34)</f>
        <v>Regulators and meters</v>
      </c>
      <c r="F34" s="48" t="str">
        <f>IF('I | Capex forecast'!F34="","",'I | Capex forecast'!F34)</f>
        <v>Replacement</v>
      </c>
      <c r="G34" s="48" t="str">
        <f>IF('I | Capex forecast'!G34="","",'I | Capex forecast'!G34)</f>
        <v>As incurred</v>
      </c>
      <c r="H34" s="48" t="str">
        <f>IF('I | Capex forecast'!H34="","",'I | Capex forecast'!H34)</f>
        <v>FY 26</v>
      </c>
      <c r="I34" s="48" t="str">
        <f>IF('I | Capex forecast'!I34="","",'I | Capex forecast'!I34)</f>
        <v>Mid-year</v>
      </c>
      <c r="J34" s="50"/>
      <c r="K34" s="52">
        <f>IFERROR(IF($H34="nominal",VLOOKUP($A34,'I | Capex forecast'!$A$11:$AA$160,K$8,0),VLOOKUP($A34,'I | Capex forecast'!$A$11:$AA$160,K$8,0)*INDEX('I | Inflation'!$G$41:$I$43,MATCH($H34,'I | Inflation'!$F$41:$F$43,0),MATCH(K$10,'I | Inflation'!$G$40:$I$40,0))),0)</f>
        <v>0</v>
      </c>
      <c r="L34" s="52">
        <f>IFERROR(IF($H34="nominal",VLOOKUP($A34,'I | Capex forecast'!$A$11:$AA$160,L$8,0),VLOOKUP($A34,'I | Capex forecast'!$A$11:$AA$160,L$8,0)*INDEX('I | Inflation'!$G$41:$I$43,MATCH($H34,'I | Inflation'!$F$41:$F$43,0),MATCH(L$10,'I | Inflation'!$G$40:$I$40,0))),0)</f>
        <v>0</v>
      </c>
      <c r="M34" s="53"/>
      <c r="N34" s="52">
        <f>K34*VLOOKUP($A34,'I | Capex forecast'!$A$11:$AA$160,21,0)*(HLOOKUP(N$10,'I | Inflation'!$D$57:$J$59,3,0)-1)</f>
        <v>0</v>
      </c>
      <c r="O34" s="52">
        <f>L34*VLOOKUP($A34,'I | Capex forecast'!$A$11:$AA$160,21,0)*(HLOOKUP(O$10,'I | Inflation'!$D$57:$J$59,3,0)-1)</f>
        <v>0</v>
      </c>
      <c r="P34" s="53"/>
      <c r="Q34" s="52"/>
      <c r="R34" s="52"/>
      <c r="S34" s="53"/>
      <c r="T34" s="52"/>
      <c r="U34" s="52"/>
      <c r="V34" s="53"/>
      <c r="W34" s="52"/>
      <c r="X34" s="52"/>
      <c r="Y34" s="53"/>
      <c r="Z34" s="52">
        <f>K34*VLOOKUP($A34,'I | Capex forecast'!$A$11:$AA$160,27,0)</f>
        <v>0</v>
      </c>
      <c r="AA34" s="52">
        <f>L34*VLOOKUP($A34,'I | Capex forecast'!$A$11:$AA$160,27,0)</f>
        <v>0</v>
      </c>
      <c r="AB34" s="53"/>
      <c r="AC34" s="52">
        <f t="shared" si="0"/>
        <v>0</v>
      </c>
      <c r="AD34" s="52">
        <f t="shared" si="1"/>
        <v>0</v>
      </c>
      <c r="AE34" s="53"/>
      <c r="AF34" s="52">
        <f>IF(VLOOKUP($A34,'I | Capex forecast'!$A$11:$AA$160,10,0)="Yes",AC34,0)</f>
        <v>0</v>
      </c>
      <c r="AG34" s="52">
        <f>IF(VLOOKUP($A34,'I | Capex forecast'!$A$11:$AA$160,10,0)="Yes",AD34,0)</f>
        <v>0</v>
      </c>
      <c r="AH34" s="53"/>
      <c r="AI34" s="52">
        <f t="shared" si="2"/>
        <v>0</v>
      </c>
      <c r="AJ34" s="52">
        <f t="shared" si="3"/>
        <v>0</v>
      </c>
    </row>
    <row r="35" spans="1:36" s="4" customFormat="1" x14ac:dyDescent="0.3">
      <c r="A35" s="56">
        <f t="shared" si="4"/>
        <v>25</v>
      </c>
      <c r="B35" s="48" t="str">
        <f>IF('I | Capex forecast'!B35="","",'I | Capex forecast'!B35)</f>
        <v>Dalby CS Control Room footings</v>
      </c>
      <c r="C35" s="48" t="str">
        <f>IF('I | Capex forecast'!C35="","",'I | Capex forecast'!C35)</f>
        <v>SIB</v>
      </c>
      <c r="D35" s="48" t="str">
        <f>IF('I | Capex forecast'!D35="","",'I | Capex forecast'!D35)</f>
        <v>SIB</v>
      </c>
      <c r="E35" s="48" t="str">
        <f>IF('I | Capex forecast'!E35="","",'I | Capex forecast'!E35)</f>
        <v>Compressors</v>
      </c>
      <c r="F35" s="48" t="str">
        <f>IF('I | Capex forecast'!F35="","",'I | Capex forecast'!F35)</f>
        <v>Replacement</v>
      </c>
      <c r="G35" s="48" t="str">
        <f>IF('I | Capex forecast'!G35="","",'I | Capex forecast'!G35)</f>
        <v>As incurred</v>
      </c>
      <c r="H35" s="48" t="str">
        <f>IF('I | Capex forecast'!H35="","",'I | Capex forecast'!H35)</f>
        <v>FY 26</v>
      </c>
      <c r="I35" s="48" t="str">
        <f>IF('I | Capex forecast'!I35="","",'I | Capex forecast'!I35)</f>
        <v>Mid-year</v>
      </c>
      <c r="J35" s="50"/>
      <c r="K35" s="52">
        <f>IFERROR(IF($H35="nominal",VLOOKUP($A35,'I | Capex forecast'!$A$11:$AA$160,K$8,0),VLOOKUP($A35,'I | Capex forecast'!$A$11:$AA$160,K$8,0)*INDEX('I | Inflation'!$G$41:$I$43,MATCH($H35,'I | Inflation'!$F$41:$F$43,0),MATCH(K$10,'I | Inflation'!$G$40:$I$40,0))),0)</f>
        <v>0</v>
      </c>
      <c r="L35" s="52">
        <f>IFERROR(IF($H35="nominal",VLOOKUP($A35,'I | Capex forecast'!$A$11:$AA$160,L$8,0),VLOOKUP($A35,'I | Capex forecast'!$A$11:$AA$160,L$8,0)*INDEX('I | Inflation'!$G$41:$I$43,MATCH($H35,'I | Inflation'!$F$41:$F$43,0),MATCH(L$10,'I | Inflation'!$G$40:$I$40,0))),0)</f>
        <v>0</v>
      </c>
      <c r="M35" s="53"/>
      <c r="N35" s="52">
        <f>K35*VLOOKUP($A35,'I | Capex forecast'!$A$11:$AA$160,21,0)*(HLOOKUP(N$10,'I | Inflation'!$D$57:$J$59,3,0)-1)</f>
        <v>0</v>
      </c>
      <c r="O35" s="52">
        <f>L35*VLOOKUP($A35,'I | Capex forecast'!$A$11:$AA$160,21,0)*(HLOOKUP(O$10,'I | Inflation'!$D$57:$J$59,3,0)-1)</f>
        <v>0</v>
      </c>
      <c r="P35" s="53"/>
      <c r="Q35" s="52"/>
      <c r="R35" s="52"/>
      <c r="S35" s="53"/>
      <c r="T35" s="52"/>
      <c r="U35" s="52"/>
      <c r="V35" s="53"/>
      <c r="W35" s="52"/>
      <c r="X35" s="52"/>
      <c r="Y35" s="53"/>
      <c r="Z35" s="52">
        <f>K35*VLOOKUP($A35,'I | Capex forecast'!$A$11:$AA$160,27,0)</f>
        <v>0</v>
      </c>
      <c r="AA35" s="52">
        <f>L35*VLOOKUP($A35,'I | Capex forecast'!$A$11:$AA$160,27,0)</f>
        <v>0</v>
      </c>
      <c r="AB35" s="53"/>
      <c r="AC35" s="52">
        <f t="shared" si="0"/>
        <v>0</v>
      </c>
      <c r="AD35" s="52">
        <f t="shared" si="1"/>
        <v>0</v>
      </c>
      <c r="AE35" s="53"/>
      <c r="AF35" s="52">
        <f>IF(VLOOKUP($A35,'I | Capex forecast'!$A$11:$AA$160,10,0)="Yes",AC35,0)</f>
        <v>0</v>
      </c>
      <c r="AG35" s="52">
        <f>IF(VLOOKUP($A35,'I | Capex forecast'!$A$11:$AA$160,10,0)="Yes",AD35,0)</f>
        <v>0</v>
      </c>
      <c r="AH35" s="53"/>
      <c r="AI35" s="52">
        <f t="shared" si="2"/>
        <v>0</v>
      </c>
      <c r="AJ35" s="52">
        <f t="shared" si="3"/>
        <v>0</v>
      </c>
    </row>
    <row r="36" spans="1:36" s="4" customFormat="1" x14ac:dyDescent="0.3">
      <c r="A36" s="56">
        <f t="shared" si="4"/>
        <v>26</v>
      </c>
      <c r="B36" s="48" t="str">
        <f>IF('I | Capex forecast'!B36="","",'I | Capex forecast'!B36)</f>
        <v>Earthing upgrades</v>
      </c>
      <c r="C36" s="48" t="str">
        <f>IF('I | Capex forecast'!C36="","",'I | Capex forecast'!C36)</f>
        <v>Site equipment</v>
      </c>
      <c r="D36" s="48" t="str">
        <f>IF('I | Capex forecast'!D36="","",'I | Capex forecast'!D36)</f>
        <v>Earthing upgrades</v>
      </c>
      <c r="E36" s="48" t="str">
        <f>IF('I | Capex forecast'!E36="","",'I | Capex forecast'!E36)</f>
        <v>SIB capex</v>
      </c>
      <c r="F36" s="48" t="str">
        <f>IF('I | Capex forecast'!F36="","",'I | Capex forecast'!F36)</f>
        <v>Replacement</v>
      </c>
      <c r="G36" s="48" t="str">
        <f>IF('I | Capex forecast'!G36="","",'I | Capex forecast'!G36)</f>
        <v>As incurred</v>
      </c>
      <c r="H36" s="48" t="str">
        <f>IF('I | Capex forecast'!H36="","",'I | Capex forecast'!H36)</f>
        <v>FY 26</v>
      </c>
      <c r="I36" s="48" t="str">
        <f>IF('I | Capex forecast'!I36="","",'I | Capex forecast'!I36)</f>
        <v>Mid-year</v>
      </c>
      <c r="J36" s="50"/>
      <c r="K36" s="52">
        <f>IFERROR(IF($H36="nominal",VLOOKUP($A36,'I | Capex forecast'!$A$11:$AA$160,K$8,0),VLOOKUP($A36,'I | Capex forecast'!$A$11:$AA$160,K$8,0)*INDEX('I | Inflation'!$G$41:$I$43,MATCH($H36,'I | Inflation'!$F$41:$F$43,0),MATCH(K$10,'I | Inflation'!$G$40:$I$40,0))),0)</f>
        <v>0</v>
      </c>
      <c r="L36" s="52">
        <f>IFERROR(IF($H36="nominal",VLOOKUP($A36,'I | Capex forecast'!$A$11:$AA$160,L$8,0),VLOOKUP($A36,'I | Capex forecast'!$A$11:$AA$160,L$8,0)*INDEX('I | Inflation'!$G$41:$I$43,MATCH($H36,'I | Inflation'!$F$41:$F$43,0),MATCH(L$10,'I | Inflation'!$G$40:$I$40,0))),0)</f>
        <v>0</v>
      </c>
      <c r="M36" s="53"/>
      <c r="N36" s="52">
        <f>K36*VLOOKUP($A36,'I | Capex forecast'!$A$11:$AA$160,21,0)*(HLOOKUP(N$10,'I | Inflation'!$D$57:$J$59,3,0)-1)</f>
        <v>0</v>
      </c>
      <c r="O36" s="52">
        <f>L36*VLOOKUP($A36,'I | Capex forecast'!$A$11:$AA$160,21,0)*(HLOOKUP(O$10,'I | Inflation'!$D$57:$J$59,3,0)-1)</f>
        <v>0</v>
      </c>
      <c r="P36" s="53"/>
      <c r="Q36" s="52"/>
      <c r="R36" s="52"/>
      <c r="S36" s="53"/>
      <c r="T36" s="52"/>
      <c r="U36" s="52"/>
      <c r="V36" s="53"/>
      <c r="W36" s="52"/>
      <c r="X36" s="52"/>
      <c r="Y36" s="53"/>
      <c r="Z36" s="52">
        <f>K36*VLOOKUP($A36,'I | Capex forecast'!$A$11:$AA$160,27,0)</f>
        <v>0</v>
      </c>
      <c r="AA36" s="52">
        <f>L36*VLOOKUP($A36,'I | Capex forecast'!$A$11:$AA$160,27,0)</f>
        <v>0</v>
      </c>
      <c r="AB36" s="53"/>
      <c r="AC36" s="52">
        <f t="shared" si="0"/>
        <v>0</v>
      </c>
      <c r="AD36" s="52">
        <f t="shared" si="1"/>
        <v>0</v>
      </c>
      <c r="AE36" s="53"/>
      <c r="AF36" s="52">
        <f>IF(VLOOKUP($A36,'I | Capex forecast'!$A$11:$AA$160,10,0)="Yes",AC36,0)</f>
        <v>0</v>
      </c>
      <c r="AG36" s="52">
        <f>IF(VLOOKUP($A36,'I | Capex forecast'!$A$11:$AA$160,10,0)="Yes",AD36,0)</f>
        <v>0</v>
      </c>
      <c r="AH36" s="53"/>
      <c r="AI36" s="52">
        <f t="shared" si="2"/>
        <v>0</v>
      </c>
      <c r="AJ36" s="52">
        <f t="shared" si="3"/>
        <v>0</v>
      </c>
    </row>
    <row r="37" spans="1:36" s="4" customFormat="1" x14ac:dyDescent="0.3">
      <c r="A37" s="56">
        <f t="shared" si="4"/>
        <v>27</v>
      </c>
      <c r="B37" s="48" t="str">
        <f>IF('I | Capex forecast'!B37="","",'I | Capex forecast'!B37)</f>
        <v>Woodroyd - GC &amp; Moisture Analyser</v>
      </c>
      <c r="C37" s="48" t="str">
        <f>IF('I | Capex forecast'!C37="","",'I | Capex forecast'!C37)</f>
        <v>Gas Instruments</v>
      </c>
      <c r="D37" s="48" t="str">
        <f>IF('I | Capex forecast'!D37="","",'I | Capex forecast'!D37)</f>
        <v>Gas specification metering</v>
      </c>
      <c r="E37" s="48" t="str">
        <f>IF('I | Capex forecast'!E37="","",'I | Capex forecast'!E37)</f>
        <v>Regulators and meters</v>
      </c>
      <c r="F37" s="48" t="str">
        <f>IF('I | Capex forecast'!F37="","",'I | Capex forecast'!F37)</f>
        <v>Replacement</v>
      </c>
      <c r="G37" s="48" t="str">
        <f>IF('I | Capex forecast'!G37="","",'I | Capex forecast'!G37)</f>
        <v>As incurred</v>
      </c>
      <c r="H37" s="48" t="str">
        <f>IF('I | Capex forecast'!H37="","",'I | Capex forecast'!H37)</f>
        <v>FY 26</v>
      </c>
      <c r="I37" s="48" t="str">
        <f>IF('I | Capex forecast'!I37="","",'I | Capex forecast'!I37)</f>
        <v>Mid-year</v>
      </c>
      <c r="J37" s="50"/>
      <c r="K37" s="52">
        <f>IFERROR(IF($H37="nominal",VLOOKUP($A37,'I | Capex forecast'!$A$11:$AA$160,K$8,0),VLOOKUP($A37,'I | Capex forecast'!$A$11:$AA$160,K$8,0)*INDEX('I | Inflation'!$G$41:$I$43,MATCH($H37,'I | Inflation'!$F$41:$F$43,0),MATCH(K$10,'I | Inflation'!$G$40:$I$40,0))),0)</f>
        <v>0</v>
      </c>
      <c r="L37" s="52">
        <f>IFERROR(IF($H37="nominal",VLOOKUP($A37,'I | Capex forecast'!$A$11:$AA$160,L$8,0),VLOOKUP($A37,'I | Capex forecast'!$A$11:$AA$160,L$8,0)*INDEX('I | Inflation'!$G$41:$I$43,MATCH($H37,'I | Inflation'!$F$41:$F$43,0),MATCH(L$10,'I | Inflation'!$G$40:$I$40,0))),0)</f>
        <v>0</v>
      </c>
      <c r="M37" s="53"/>
      <c r="N37" s="52">
        <f>K37*VLOOKUP($A37,'I | Capex forecast'!$A$11:$AA$160,21,0)*(HLOOKUP(N$10,'I | Inflation'!$D$57:$J$59,3,0)-1)</f>
        <v>0</v>
      </c>
      <c r="O37" s="52">
        <f>L37*VLOOKUP($A37,'I | Capex forecast'!$A$11:$AA$160,21,0)*(HLOOKUP(O$10,'I | Inflation'!$D$57:$J$59,3,0)-1)</f>
        <v>0</v>
      </c>
      <c r="P37" s="53"/>
      <c r="Q37" s="52"/>
      <c r="R37" s="52"/>
      <c r="S37" s="53"/>
      <c r="T37" s="52"/>
      <c r="U37" s="52"/>
      <c r="V37" s="53"/>
      <c r="W37" s="52"/>
      <c r="X37" s="52"/>
      <c r="Y37" s="53"/>
      <c r="Z37" s="52">
        <f>K37*VLOOKUP($A37,'I | Capex forecast'!$A$11:$AA$160,27,0)</f>
        <v>0</v>
      </c>
      <c r="AA37" s="52">
        <f>L37*VLOOKUP($A37,'I | Capex forecast'!$A$11:$AA$160,27,0)</f>
        <v>0</v>
      </c>
      <c r="AB37" s="53"/>
      <c r="AC37" s="52">
        <f t="shared" si="0"/>
        <v>0</v>
      </c>
      <c r="AD37" s="52">
        <f t="shared" si="1"/>
        <v>0</v>
      </c>
      <c r="AE37" s="53"/>
      <c r="AF37" s="52">
        <f>IF(VLOOKUP($A37,'I | Capex forecast'!$A$11:$AA$160,10,0)="Yes",AC37,0)</f>
        <v>0</v>
      </c>
      <c r="AG37" s="52">
        <f>IF(VLOOKUP($A37,'I | Capex forecast'!$A$11:$AA$160,10,0)="Yes",AD37,0)</f>
        <v>0</v>
      </c>
      <c r="AH37" s="53"/>
      <c r="AI37" s="52">
        <f t="shared" si="2"/>
        <v>0</v>
      </c>
      <c r="AJ37" s="52">
        <f t="shared" si="3"/>
        <v>0</v>
      </c>
    </row>
    <row r="38" spans="1:36" s="4" customFormat="1" x14ac:dyDescent="0.3">
      <c r="A38" s="56">
        <f t="shared" si="4"/>
        <v>28</v>
      </c>
      <c r="B38" s="48" t="str">
        <f>IF('I | Capex forecast'!B38="","",'I | Capex forecast'!B38)</f>
        <v>Scotia - GC &amp; Moisture Analyser</v>
      </c>
      <c r="C38" s="48" t="str">
        <f>IF('I | Capex forecast'!C38="","",'I | Capex forecast'!C38)</f>
        <v>Gas Instruments</v>
      </c>
      <c r="D38" s="48" t="str">
        <f>IF('I | Capex forecast'!D38="","",'I | Capex forecast'!D38)</f>
        <v>Gas specification metering</v>
      </c>
      <c r="E38" s="48" t="str">
        <f>IF('I | Capex forecast'!E38="","",'I | Capex forecast'!E38)</f>
        <v>Regulators and meters</v>
      </c>
      <c r="F38" s="48" t="str">
        <f>IF('I | Capex forecast'!F38="","",'I | Capex forecast'!F38)</f>
        <v>Replacement</v>
      </c>
      <c r="G38" s="48" t="str">
        <f>IF('I | Capex forecast'!G38="","",'I | Capex forecast'!G38)</f>
        <v>As incurred</v>
      </c>
      <c r="H38" s="48" t="str">
        <f>IF('I | Capex forecast'!H38="","",'I | Capex forecast'!H38)</f>
        <v>FY 26</v>
      </c>
      <c r="I38" s="48" t="str">
        <f>IF('I | Capex forecast'!I38="","",'I | Capex forecast'!I38)</f>
        <v>Mid-year</v>
      </c>
      <c r="J38" s="50"/>
      <c r="K38" s="52">
        <f>IFERROR(IF($H38="nominal",VLOOKUP($A38,'I | Capex forecast'!$A$11:$AA$160,K$8,0),VLOOKUP($A38,'I | Capex forecast'!$A$11:$AA$160,K$8,0)*INDEX('I | Inflation'!$G$41:$I$43,MATCH($H38,'I | Inflation'!$F$41:$F$43,0),MATCH(K$10,'I | Inflation'!$G$40:$I$40,0))),0)</f>
        <v>0</v>
      </c>
      <c r="L38" s="52">
        <f>IFERROR(IF($H38="nominal",VLOOKUP($A38,'I | Capex forecast'!$A$11:$AA$160,L$8,0),VLOOKUP($A38,'I | Capex forecast'!$A$11:$AA$160,L$8,0)*INDEX('I | Inflation'!$G$41:$I$43,MATCH($H38,'I | Inflation'!$F$41:$F$43,0),MATCH(L$10,'I | Inflation'!$G$40:$I$40,0))),0)</f>
        <v>0</v>
      </c>
      <c r="M38" s="53"/>
      <c r="N38" s="52">
        <f>K38*VLOOKUP($A38,'I | Capex forecast'!$A$11:$AA$160,21,0)*(HLOOKUP(N$10,'I | Inflation'!$D$57:$J$59,3,0)-1)</f>
        <v>0</v>
      </c>
      <c r="O38" s="52">
        <f>L38*VLOOKUP($A38,'I | Capex forecast'!$A$11:$AA$160,21,0)*(HLOOKUP(O$10,'I | Inflation'!$D$57:$J$59,3,0)-1)</f>
        <v>0</v>
      </c>
      <c r="P38" s="53"/>
      <c r="Q38" s="52"/>
      <c r="R38" s="52"/>
      <c r="S38" s="53"/>
      <c r="T38" s="52"/>
      <c r="U38" s="52"/>
      <c r="V38" s="53"/>
      <c r="W38" s="52"/>
      <c r="X38" s="52"/>
      <c r="Y38" s="53"/>
      <c r="Z38" s="52">
        <f>K38*VLOOKUP($A38,'I | Capex forecast'!$A$11:$AA$160,27,0)</f>
        <v>0</v>
      </c>
      <c r="AA38" s="52">
        <f>L38*VLOOKUP($A38,'I | Capex forecast'!$A$11:$AA$160,27,0)</f>
        <v>0</v>
      </c>
      <c r="AB38" s="53"/>
      <c r="AC38" s="52">
        <f t="shared" si="0"/>
        <v>0</v>
      </c>
      <c r="AD38" s="52">
        <f t="shared" si="1"/>
        <v>0</v>
      </c>
      <c r="AE38" s="53"/>
      <c r="AF38" s="52">
        <f>IF(VLOOKUP($A38,'I | Capex forecast'!$A$11:$AA$160,10,0)="Yes",AC38,0)</f>
        <v>0</v>
      </c>
      <c r="AG38" s="52">
        <f>IF(VLOOKUP($A38,'I | Capex forecast'!$A$11:$AA$160,10,0)="Yes",AD38,0)</f>
        <v>0</v>
      </c>
      <c r="AH38" s="53"/>
      <c r="AI38" s="52">
        <f t="shared" si="2"/>
        <v>0</v>
      </c>
      <c r="AJ38" s="52">
        <f t="shared" si="3"/>
        <v>0</v>
      </c>
    </row>
    <row r="39" spans="1:36" s="4" customFormat="1" x14ac:dyDescent="0.3">
      <c r="A39" s="56">
        <f t="shared" si="4"/>
        <v>29</v>
      </c>
      <c r="B39" s="48" t="str">
        <f>IF('I | Capex forecast'!B39="","",'I | Capex forecast'!B39)</f>
        <v>Ellengrove GC Upgrade</v>
      </c>
      <c r="C39" s="48" t="str">
        <f>IF('I | Capex forecast'!C39="","",'I | Capex forecast'!C39)</f>
        <v>Gas Instruments</v>
      </c>
      <c r="D39" s="48" t="str">
        <f>IF('I | Capex forecast'!D39="","",'I | Capex forecast'!D39)</f>
        <v>Gas specification metering</v>
      </c>
      <c r="E39" s="48" t="str">
        <f>IF('I | Capex forecast'!E39="","",'I | Capex forecast'!E39)</f>
        <v>Regulators and meters</v>
      </c>
      <c r="F39" s="48" t="str">
        <f>IF('I | Capex forecast'!F39="","",'I | Capex forecast'!F39)</f>
        <v>Replacement</v>
      </c>
      <c r="G39" s="48" t="str">
        <f>IF('I | Capex forecast'!G39="","",'I | Capex forecast'!G39)</f>
        <v>As incurred</v>
      </c>
      <c r="H39" s="48" t="str">
        <f>IF('I | Capex forecast'!H39="","",'I | Capex forecast'!H39)</f>
        <v>FY 26</v>
      </c>
      <c r="I39" s="48" t="str">
        <f>IF('I | Capex forecast'!I39="","",'I | Capex forecast'!I39)</f>
        <v>Mid-year</v>
      </c>
      <c r="J39" s="50"/>
      <c r="K39" s="52">
        <f>IFERROR(IF($H39="nominal",VLOOKUP($A39,'I | Capex forecast'!$A$11:$AA$160,K$8,0),VLOOKUP($A39,'I | Capex forecast'!$A$11:$AA$160,K$8,0)*INDEX('I | Inflation'!$G$41:$I$43,MATCH($H39,'I | Inflation'!$F$41:$F$43,0),MATCH(K$10,'I | Inflation'!$G$40:$I$40,0))),0)</f>
        <v>0</v>
      </c>
      <c r="L39" s="52">
        <f>IFERROR(IF($H39="nominal",VLOOKUP($A39,'I | Capex forecast'!$A$11:$AA$160,L$8,0),VLOOKUP($A39,'I | Capex forecast'!$A$11:$AA$160,L$8,0)*INDEX('I | Inflation'!$G$41:$I$43,MATCH($H39,'I | Inflation'!$F$41:$F$43,0),MATCH(L$10,'I | Inflation'!$G$40:$I$40,0))),0)</f>
        <v>0</v>
      </c>
      <c r="M39" s="53"/>
      <c r="N39" s="52">
        <f>K39*VLOOKUP($A39,'I | Capex forecast'!$A$11:$AA$160,21,0)*(HLOOKUP(N$10,'I | Inflation'!$D$57:$J$59,3,0)-1)</f>
        <v>0</v>
      </c>
      <c r="O39" s="52">
        <f>L39*VLOOKUP($A39,'I | Capex forecast'!$A$11:$AA$160,21,0)*(HLOOKUP(O$10,'I | Inflation'!$D$57:$J$59,3,0)-1)</f>
        <v>0</v>
      </c>
      <c r="P39" s="53"/>
      <c r="Q39" s="52"/>
      <c r="R39" s="52"/>
      <c r="S39" s="53"/>
      <c r="T39" s="52"/>
      <c r="U39" s="52"/>
      <c r="V39" s="53"/>
      <c r="W39" s="52"/>
      <c r="X39" s="52"/>
      <c r="Y39" s="53"/>
      <c r="Z39" s="52">
        <f>K39*VLOOKUP($A39,'I | Capex forecast'!$A$11:$AA$160,27,0)</f>
        <v>0</v>
      </c>
      <c r="AA39" s="52">
        <f>L39*VLOOKUP($A39,'I | Capex forecast'!$A$11:$AA$160,27,0)</f>
        <v>0</v>
      </c>
      <c r="AB39" s="53"/>
      <c r="AC39" s="52">
        <f t="shared" si="0"/>
        <v>0</v>
      </c>
      <c r="AD39" s="52">
        <f t="shared" si="1"/>
        <v>0</v>
      </c>
      <c r="AE39" s="53"/>
      <c r="AF39" s="52">
        <f>IF(VLOOKUP($A39,'I | Capex forecast'!$A$11:$AA$160,10,0)="Yes",AC39,0)</f>
        <v>0</v>
      </c>
      <c r="AG39" s="52">
        <f>IF(VLOOKUP($A39,'I | Capex forecast'!$A$11:$AA$160,10,0)="Yes",AD39,0)</f>
        <v>0</v>
      </c>
      <c r="AH39" s="53"/>
      <c r="AI39" s="52">
        <f t="shared" si="2"/>
        <v>0</v>
      </c>
      <c r="AJ39" s="52">
        <f t="shared" si="3"/>
        <v>0</v>
      </c>
    </row>
    <row r="40" spans="1:36" s="4" customFormat="1" x14ac:dyDescent="0.3">
      <c r="A40" s="56">
        <f t="shared" si="4"/>
        <v>30</v>
      </c>
      <c r="B40" s="48" t="str">
        <f>IF('I | Capex forecast'!B40="","",'I | Capex forecast'!B40)</f>
        <v>Brightview GC Upgrade</v>
      </c>
      <c r="C40" s="48" t="str">
        <f>IF('I | Capex forecast'!C40="","",'I | Capex forecast'!C40)</f>
        <v>Gas Instruments</v>
      </c>
      <c r="D40" s="48" t="str">
        <f>IF('I | Capex forecast'!D40="","",'I | Capex forecast'!D40)</f>
        <v>Gas specification metering</v>
      </c>
      <c r="E40" s="48" t="str">
        <f>IF('I | Capex forecast'!E40="","",'I | Capex forecast'!E40)</f>
        <v>Regulators and meters</v>
      </c>
      <c r="F40" s="48" t="str">
        <f>IF('I | Capex forecast'!F40="","",'I | Capex forecast'!F40)</f>
        <v>Replacement</v>
      </c>
      <c r="G40" s="48" t="str">
        <f>IF('I | Capex forecast'!G40="","",'I | Capex forecast'!G40)</f>
        <v>As incurred</v>
      </c>
      <c r="H40" s="48" t="str">
        <f>IF('I | Capex forecast'!H40="","",'I | Capex forecast'!H40)</f>
        <v>FY 26</v>
      </c>
      <c r="I40" s="48" t="str">
        <f>IF('I | Capex forecast'!I40="","",'I | Capex forecast'!I40)</f>
        <v>Mid-year</v>
      </c>
      <c r="J40" s="50"/>
      <c r="K40" s="52">
        <f>IFERROR(IF($H40="nominal",VLOOKUP($A40,'I | Capex forecast'!$A$11:$AA$160,K$8,0),VLOOKUP($A40,'I | Capex forecast'!$A$11:$AA$160,K$8,0)*INDEX('I | Inflation'!$G$41:$I$43,MATCH($H40,'I | Inflation'!$F$41:$F$43,0),MATCH(K$10,'I | Inflation'!$G$40:$I$40,0))),0)</f>
        <v>0</v>
      </c>
      <c r="L40" s="52">
        <f>IFERROR(IF($H40="nominal",VLOOKUP($A40,'I | Capex forecast'!$A$11:$AA$160,L$8,0),VLOOKUP($A40,'I | Capex forecast'!$A$11:$AA$160,L$8,0)*INDEX('I | Inflation'!$G$41:$I$43,MATCH($H40,'I | Inflation'!$F$41:$F$43,0),MATCH(L$10,'I | Inflation'!$G$40:$I$40,0))),0)</f>
        <v>0</v>
      </c>
      <c r="M40" s="53"/>
      <c r="N40" s="52">
        <f>K40*VLOOKUP($A40,'I | Capex forecast'!$A$11:$AA$160,21,0)*(HLOOKUP(N$10,'I | Inflation'!$D$57:$J$59,3,0)-1)</f>
        <v>0</v>
      </c>
      <c r="O40" s="52">
        <f>L40*VLOOKUP($A40,'I | Capex forecast'!$A$11:$AA$160,21,0)*(HLOOKUP(O$10,'I | Inflation'!$D$57:$J$59,3,0)-1)</f>
        <v>0</v>
      </c>
      <c r="P40" s="53"/>
      <c r="Q40" s="52"/>
      <c r="R40" s="52"/>
      <c r="S40" s="53"/>
      <c r="T40" s="52"/>
      <c r="U40" s="52"/>
      <c r="V40" s="53"/>
      <c r="W40" s="52"/>
      <c r="X40" s="52"/>
      <c r="Y40" s="53"/>
      <c r="Z40" s="52">
        <f>K40*VLOOKUP($A40,'I | Capex forecast'!$A$11:$AA$160,27,0)</f>
        <v>0</v>
      </c>
      <c r="AA40" s="52">
        <f>L40*VLOOKUP($A40,'I | Capex forecast'!$A$11:$AA$160,27,0)</f>
        <v>0</v>
      </c>
      <c r="AB40" s="53"/>
      <c r="AC40" s="52">
        <f t="shared" si="0"/>
        <v>0</v>
      </c>
      <c r="AD40" s="52">
        <f t="shared" si="1"/>
        <v>0</v>
      </c>
      <c r="AE40" s="53"/>
      <c r="AF40" s="52">
        <f>IF(VLOOKUP($A40,'I | Capex forecast'!$A$11:$AA$160,10,0)="Yes",AC40,0)</f>
        <v>0</v>
      </c>
      <c r="AG40" s="52">
        <f>IF(VLOOKUP($A40,'I | Capex forecast'!$A$11:$AA$160,10,0)="Yes",AD40,0)</f>
        <v>0</v>
      </c>
      <c r="AH40" s="53"/>
      <c r="AI40" s="52">
        <f t="shared" si="2"/>
        <v>0</v>
      </c>
      <c r="AJ40" s="52">
        <f t="shared" si="3"/>
        <v>0</v>
      </c>
    </row>
    <row r="41" spans="1:36" s="4" customFormat="1" x14ac:dyDescent="0.3">
      <c r="A41" s="56">
        <f t="shared" si="4"/>
        <v>31</v>
      </c>
      <c r="B41" s="48" t="str">
        <f>IF('I | Capex forecast'!B41="","",'I | Capex forecast'!B41)</f>
        <v>Redbank Plains - Turbine Meter Upgrade</v>
      </c>
      <c r="C41" s="48" t="str">
        <f>IF('I | Capex forecast'!C41="","",'I | Capex forecast'!C41)</f>
        <v>Gas Instruments</v>
      </c>
      <c r="D41" s="48" t="str">
        <f>IF('I | Capex forecast'!D41="","",'I | Capex forecast'!D41)</f>
        <v>Turbine meter upgrade</v>
      </c>
      <c r="E41" s="48" t="str">
        <f>IF('I | Capex forecast'!E41="","",'I | Capex forecast'!E41)</f>
        <v>Regulators and meters</v>
      </c>
      <c r="F41" s="48" t="str">
        <f>IF('I | Capex forecast'!F41="","",'I | Capex forecast'!F41)</f>
        <v>Replacement</v>
      </c>
      <c r="G41" s="48" t="str">
        <f>IF('I | Capex forecast'!G41="","",'I | Capex forecast'!G41)</f>
        <v>As incurred</v>
      </c>
      <c r="H41" s="48" t="str">
        <f>IF('I | Capex forecast'!H41="","",'I | Capex forecast'!H41)</f>
        <v>FY 26</v>
      </c>
      <c r="I41" s="48" t="str">
        <f>IF('I | Capex forecast'!I41="","",'I | Capex forecast'!I41)</f>
        <v>Mid-year</v>
      </c>
      <c r="J41" s="50"/>
      <c r="K41" s="52">
        <f>IFERROR(IF($H41="nominal",VLOOKUP($A41,'I | Capex forecast'!$A$11:$AA$160,K$8,0),VLOOKUP($A41,'I | Capex forecast'!$A$11:$AA$160,K$8,0)*INDEX('I | Inflation'!$G$41:$I$43,MATCH($H41,'I | Inflation'!$F$41:$F$43,0),MATCH(K$10,'I | Inflation'!$G$40:$I$40,0))),0)</f>
        <v>0</v>
      </c>
      <c r="L41" s="52">
        <f>IFERROR(IF($H41="nominal",VLOOKUP($A41,'I | Capex forecast'!$A$11:$AA$160,L$8,0),VLOOKUP($A41,'I | Capex forecast'!$A$11:$AA$160,L$8,0)*INDEX('I | Inflation'!$G$41:$I$43,MATCH($H41,'I | Inflation'!$F$41:$F$43,0),MATCH(L$10,'I | Inflation'!$G$40:$I$40,0))),0)</f>
        <v>0</v>
      </c>
      <c r="M41" s="53"/>
      <c r="N41" s="52">
        <f>K41*VLOOKUP($A41,'I | Capex forecast'!$A$11:$AA$160,21,0)*(HLOOKUP(N$10,'I | Inflation'!$D$57:$J$59,3,0)-1)</f>
        <v>0</v>
      </c>
      <c r="O41" s="52">
        <f>L41*VLOOKUP($A41,'I | Capex forecast'!$A$11:$AA$160,21,0)*(HLOOKUP(O$10,'I | Inflation'!$D$57:$J$59,3,0)-1)</f>
        <v>0</v>
      </c>
      <c r="P41" s="53"/>
      <c r="Q41" s="52"/>
      <c r="R41" s="52"/>
      <c r="S41" s="53"/>
      <c r="T41" s="52"/>
      <c r="U41" s="52"/>
      <c r="V41" s="53"/>
      <c r="W41" s="52"/>
      <c r="X41" s="52"/>
      <c r="Y41" s="53"/>
      <c r="Z41" s="52">
        <f>K41*VLOOKUP($A41,'I | Capex forecast'!$A$11:$AA$160,27,0)</f>
        <v>0</v>
      </c>
      <c r="AA41" s="52">
        <f>L41*VLOOKUP($A41,'I | Capex forecast'!$A$11:$AA$160,27,0)</f>
        <v>0</v>
      </c>
      <c r="AB41" s="53"/>
      <c r="AC41" s="52">
        <f t="shared" si="0"/>
        <v>0</v>
      </c>
      <c r="AD41" s="52">
        <f t="shared" si="1"/>
        <v>0</v>
      </c>
      <c r="AE41" s="53"/>
      <c r="AF41" s="52">
        <f>IF(VLOOKUP($A41,'I | Capex forecast'!$A$11:$AA$160,10,0)="Yes",AC41,0)</f>
        <v>0</v>
      </c>
      <c r="AG41" s="52">
        <f>IF(VLOOKUP($A41,'I | Capex forecast'!$A$11:$AA$160,10,0)="Yes",AD41,0)</f>
        <v>0</v>
      </c>
      <c r="AH41" s="53"/>
      <c r="AI41" s="52">
        <f t="shared" si="2"/>
        <v>0</v>
      </c>
      <c r="AJ41" s="52">
        <f t="shared" si="3"/>
        <v>0</v>
      </c>
    </row>
    <row r="42" spans="1:36" s="4" customFormat="1" x14ac:dyDescent="0.3">
      <c r="A42" s="56">
        <f t="shared" si="4"/>
        <v>32</v>
      </c>
      <c r="B42" s="48" t="str">
        <f>IF('I | Capex forecast'!B42="","",'I | Capex forecast'!B42)</f>
        <v>Toowoomba - Turbine Meter Upgrade</v>
      </c>
      <c r="C42" s="48" t="str">
        <f>IF('I | Capex forecast'!C42="","",'I | Capex forecast'!C42)</f>
        <v>Gas Instruments</v>
      </c>
      <c r="D42" s="48" t="str">
        <f>IF('I | Capex forecast'!D42="","",'I | Capex forecast'!D42)</f>
        <v>Turbine meter upgrade</v>
      </c>
      <c r="E42" s="48" t="str">
        <f>IF('I | Capex forecast'!E42="","",'I | Capex forecast'!E42)</f>
        <v>Regulators and meters</v>
      </c>
      <c r="F42" s="48" t="str">
        <f>IF('I | Capex forecast'!F42="","",'I | Capex forecast'!F42)</f>
        <v>Replacement</v>
      </c>
      <c r="G42" s="48" t="str">
        <f>IF('I | Capex forecast'!G42="","",'I | Capex forecast'!G42)</f>
        <v>As incurred</v>
      </c>
      <c r="H42" s="48" t="str">
        <f>IF('I | Capex forecast'!H42="","",'I | Capex forecast'!H42)</f>
        <v>FY 26</v>
      </c>
      <c r="I42" s="48" t="str">
        <f>IF('I | Capex forecast'!I42="","",'I | Capex forecast'!I42)</f>
        <v>Mid-year</v>
      </c>
      <c r="J42" s="50"/>
      <c r="K42" s="52">
        <f>IFERROR(IF($H42="nominal",VLOOKUP($A42,'I | Capex forecast'!$A$11:$AA$160,K$8,0),VLOOKUP($A42,'I | Capex forecast'!$A$11:$AA$160,K$8,0)*INDEX('I | Inflation'!$G$41:$I$43,MATCH($H42,'I | Inflation'!$F$41:$F$43,0),MATCH(K$10,'I | Inflation'!$G$40:$I$40,0))),0)</f>
        <v>0</v>
      </c>
      <c r="L42" s="52">
        <f>IFERROR(IF($H42="nominal",VLOOKUP($A42,'I | Capex forecast'!$A$11:$AA$160,L$8,0),VLOOKUP($A42,'I | Capex forecast'!$A$11:$AA$160,L$8,0)*INDEX('I | Inflation'!$G$41:$I$43,MATCH($H42,'I | Inflation'!$F$41:$F$43,0),MATCH(L$10,'I | Inflation'!$G$40:$I$40,0))),0)</f>
        <v>0</v>
      </c>
      <c r="M42" s="53"/>
      <c r="N42" s="52">
        <f>K42*VLOOKUP($A42,'I | Capex forecast'!$A$11:$AA$160,21,0)*(HLOOKUP(N$10,'I | Inflation'!$D$57:$J$59,3,0)-1)</f>
        <v>0</v>
      </c>
      <c r="O42" s="52">
        <f>L42*VLOOKUP($A42,'I | Capex forecast'!$A$11:$AA$160,21,0)*(HLOOKUP(O$10,'I | Inflation'!$D$57:$J$59,3,0)-1)</f>
        <v>0</v>
      </c>
      <c r="P42" s="53"/>
      <c r="Q42" s="52"/>
      <c r="R42" s="52"/>
      <c r="S42" s="53"/>
      <c r="T42" s="52"/>
      <c r="U42" s="52"/>
      <c r="V42" s="53"/>
      <c r="W42" s="52"/>
      <c r="X42" s="52"/>
      <c r="Y42" s="53"/>
      <c r="Z42" s="52">
        <f>K42*VLOOKUP($A42,'I | Capex forecast'!$A$11:$AA$160,27,0)</f>
        <v>0</v>
      </c>
      <c r="AA42" s="52">
        <f>L42*VLOOKUP($A42,'I | Capex forecast'!$A$11:$AA$160,27,0)</f>
        <v>0</v>
      </c>
      <c r="AB42" s="53"/>
      <c r="AC42" s="52">
        <f t="shared" si="0"/>
        <v>0</v>
      </c>
      <c r="AD42" s="52">
        <f t="shared" si="1"/>
        <v>0</v>
      </c>
      <c r="AE42" s="53"/>
      <c r="AF42" s="52">
        <f>IF(VLOOKUP($A42,'I | Capex forecast'!$A$11:$AA$160,10,0)="Yes",AC42,0)</f>
        <v>0</v>
      </c>
      <c r="AG42" s="52">
        <f>IF(VLOOKUP($A42,'I | Capex forecast'!$A$11:$AA$160,10,0)="Yes",AD42,0)</f>
        <v>0</v>
      </c>
      <c r="AH42" s="53"/>
      <c r="AI42" s="52">
        <f t="shared" si="2"/>
        <v>0</v>
      </c>
      <c r="AJ42" s="52">
        <f t="shared" si="3"/>
        <v>0</v>
      </c>
    </row>
    <row r="43" spans="1:36" s="4" customFormat="1" x14ac:dyDescent="0.3">
      <c r="A43" s="56">
        <f t="shared" si="4"/>
        <v>33</v>
      </c>
      <c r="B43" s="48" t="str">
        <f>IF('I | Capex forecast'!B43="","",'I | Capex forecast'!B43)</f>
        <v>Instrument Calibrators</v>
      </c>
      <c r="C43" s="48" t="str">
        <f>IF('I | Capex forecast'!C43="","",'I | Capex forecast'!C43)</f>
        <v>Tools</v>
      </c>
      <c r="D43" s="48" t="str">
        <f>IF('I | Capex forecast'!D43="","",'I | Capex forecast'!D43)</f>
        <v>Calibrators</v>
      </c>
      <c r="E43" s="48" t="str">
        <f>IF('I | Capex forecast'!E43="","",'I | Capex forecast'!E43)</f>
        <v>SIB capex</v>
      </c>
      <c r="F43" s="48" t="str">
        <f>IF('I | Capex forecast'!F43="","",'I | Capex forecast'!F43)</f>
        <v>Replacement</v>
      </c>
      <c r="G43" s="48" t="str">
        <f>IF('I | Capex forecast'!G43="","",'I | Capex forecast'!G43)</f>
        <v>As incurred</v>
      </c>
      <c r="H43" s="48" t="str">
        <f>IF('I | Capex forecast'!H43="","",'I | Capex forecast'!H43)</f>
        <v>FY 26</v>
      </c>
      <c r="I43" s="48" t="str">
        <f>IF('I | Capex forecast'!I43="","",'I | Capex forecast'!I43)</f>
        <v>Mid-year</v>
      </c>
      <c r="J43" s="50"/>
      <c r="K43" s="52">
        <f>IFERROR(IF($H43="nominal",VLOOKUP($A43,'I | Capex forecast'!$A$11:$AA$160,K$8,0),VLOOKUP($A43,'I | Capex forecast'!$A$11:$AA$160,K$8,0)*INDEX('I | Inflation'!$G$41:$I$43,MATCH($H43,'I | Inflation'!$F$41:$F$43,0),MATCH(K$10,'I | Inflation'!$G$40:$I$40,0))),0)</f>
        <v>0</v>
      </c>
      <c r="L43" s="52">
        <f>IFERROR(IF($H43="nominal",VLOOKUP($A43,'I | Capex forecast'!$A$11:$AA$160,L$8,0),VLOOKUP($A43,'I | Capex forecast'!$A$11:$AA$160,L$8,0)*INDEX('I | Inflation'!$G$41:$I$43,MATCH($H43,'I | Inflation'!$F$41:$F$43,0),MATCH(L$10,'I | Inflation'!$G$40:$I$40,0))),0)</f>
        <v>0</v>
      </c>
      <c r="M43" s="53"/>
      <c r="N43" s="52">
        <f>K43*VLOOKUP($A43,'I | Capex forecast'!$A$11:$AA$160,21,0)*(HLOOKUP(N$10,'I | Inflation'!$D$57:$J$59,3,0)-1)</f>
        <v>0</v>
      </c>
      <c r="O43" s="52">
        <f>L43*VLOOKUP($A43,'I | Capex forecast'!$A$11:$AA$160,21,0)*(HLOOKUP(O$10,'I | Inflation'!$D$57:$J$59,3,0)-1)</f>
        <v>0</v>
      </c>
      <c r="P43" s="53"/>
      <c r="Q43" s="52"/>
      <c r="R43" s="52"/>
      <c r="S43" s="53"/>
      <c r="T43" s="52"/>
      <c r="U43" s="52"/>
      <c r="V43" s="53"/>
      <c r="W43" s="52"/>
      <c r="X43" s="52"/>
      <c r="Y43" s="53"/>
      <c r="Z43" s="52">
        <f>K43*VLOOKUP($A43,'I | Capex forecast'!$A$11:$AA$160,27,0)</f>
        <v>0</v>
      </c>
      <c r="AA43" s="52">
        <f>L43*VLOOKUP($A43,'I | Capex forecast'!$A$11:$AA$160,27,0)</f>
        <v>0</v>
      </c>
      <c r="AB43" s="53"/>
      <c r="AC43" s="52">
        <f t="shared" ref="AC43:AC74" si="5">K43+N43+Q43+T43+W43+Z43</f>
        <v>0</v>
      </c>
      <c r="AD43" s="52">
        <f t="shared" ref="AD43:AD74" si="6">L43+O43+R43+U43+X43+AA43</f>
        <v>0</v>
      </c>
      <c r="AE43" s="53"/>
      <c r="AF43" s="52">
        <f>IF(VLOOKUP($A43,'I | Capex forecast'!$A$11:$AA$160,10,0)="Yes",AC43,0)</f>
        <v>0</v>
      </c>
      <c r="AG43" s="52">
        <f>IF(VLOOKUP($A43,'I | Capex forecast'!$A$11:$AA$160,10,0)="Yes",AD43,0)</f>
        <v>0</v>
      </c>
      <c r="AH43" s="53"/>
      <c r="AI43" s="52">
        <f t="shared" ref="AI43:AI74" si="7">IF($G43="As incurred",AC43,IF($G43=AI$10,$AC43+$AD43,0))</f>
        <v>0</v>
      </c>
      <c r="AJ43" s="52">
        <f t="shared" ref="AJ43:AJ74" si="8">IF($G43="As incurred",AD43,IF($G43=AJ$10,$AC43+$AD43,0))</f>
        <v>0</v>
      </c>
    </row>
    <row r="44" spans="1:36" s="4" customFormat="1" x14ac:dyDescent="0.3">
      <c r="A44" s="56">
        <f t="shared" ref="A44:A67" si="9">A43+1</f>
        <v>34</v>
      </c>
      <c r="B44" s="48" t="str">
        <f>IF('I | Capex forecast'!B44="","",'I | Capex forecast'!B44)</f>
        <v>Safety Critical Digs (Complex)</v>
      </c>
      <c r="C44" s="48" t="str">
        <f>IF('I | Capex forecast'!C44="","",'I | Capex forecast'!C44)</f>
        <v>Pipeline Integrity</v>
      </c>
      <c r="D44" s="48" t="str">
        <f>IF('I | Capex forecast'!D44="","",'I | Capex forecast'!D44)</f>
        <v>Safety digs</v>
      </c>
      <c r="E44" s="48" t="str">
        <f>IF('I | Capex forecast'!E44="","",'I | Capex forecast'!E44)</f>
        <v>Pipelines</v>
      </c>
      <c r="F44" s="48" t="str">
        <f>IF('I | Capex forecast'!F44="","",'I | Capex forecast'!F44)</f>
        <v>Replacement</v>
      </c>
      <c r="G44" s="48" t="str">
        <f>IF('I | Capex forecast'!G44="","",'I | Capex forecast'!G44)</f>
        <v>As incurred</v>
      </c>
      <c r="H44" s="48" t="str">
        <f>IF('I | Capex forecast'!H44="","",'I | Capex forecast'!H44)</f>
        <v>FY 26</v>
      </c>
      <c r="I44" s="48" t="str">
        <f>IF('I | Capex forecast'!I44="","",'I | Capex forecast'!I44)</f>
        <v>Mid-year</v>
      </c>
      <c r="J44" s="50"/>
      <c r="K44" s="52">
        <f>IFERROR(IF($H44="nominal",VLOOKUP($A44,'I | Capex forecast'!$A$11:$AA$160,K$8,0),VLOOKUP($A44,'I | Capex forecast'!$A$11:$AA$160,K$8,0)*INDEX('I | Inflation'!$G$41:$I$43,MATCH($H44,'I | Inflation'!$F$41:$F$43,0),MATCH(K$10,'I | Inflation'!$G$40:$I$40,0))),0)</f>
        <v>0</v>
      </c>
      <c r="L44" s="52">
        <f>IFERROR(IF($H44="nominal",VLOOKUP($A44,'I | Capex forecast'!$A$11:$AA$160,L$8,0),VLOOKUP($A44,'I | Capex forecast'!$A$11:$AA$160,L$8,0)*INDEX('I | Inflation'!$G$41:$I$43,MATCH($H44,'I | Inflation'!$F$41:$F$43,0),MATCH(L$10,'I | Inflation'!$G$40:$I$40,0))),0)</f>
        <v>0</v>
      </c>
      <c r="M44" s="53"/>
      <c r="N44" s="52">
        <f>K44*VLOOKUP($A44,'I | Capex forecast'!$A$11:$AA$160,21,0)*(HLOOKUP(N$10,'I | Inflation'!$D$57:$J$59,3,0)-1)</f>
        <v>0</v>
      </c>
      <c r="O44" s="52">
        <f>L44*VLOOKUP($A44,'I | Capex forecast'!$A$11:$AA$160,21,0)*(HLOOKUP(O$10,'I | Inflation'!$D$57:$J$59,3,0)-1)</f>
        <v>0</v>
      </c>
      <c r="P44" s="53"/>
      <c r="Q44" s="52"/>
      <c r="R44" s="52"/>
      <c r="S44" s="53"/>
      <c r="T44" s="52"/>
      <c r="U44" s="52"/>
      <c r="V44" s="53"/>
      <c r="W44" s="52"/>
      <c r="X44" s="52"/>
      <c r="Y44" s="53"/>
      <c r="Z44" s="52">
        <f>K44*VLOOKUP($A44,'I | Capex forecast'!$A$11:$AA$160,27,0)</f>
        <v>0</v>
      </c>
      <c r="AA44" s="52">
        <f>L44*VLOOKUP($A44,'I | Capex forecast'!$A$11:$AA$160,27,0)</f>
        <v>0</v>
      </c>
      <c r="AB44" s="53"/>
      <c r="AC44" s="52">
        <f t="shared" si="5"/>
        <v>0</v>
      </c>
      <c r="AD44" s="52">
        <f t="shared" si="6"/>
        <v>0</v>
      </c>
      <c r="AE44" s="53"/>
      <c r="AF44" s="52">
        <f>IF(VLOOKUP($A44,'I | Capex forecast'!$A$11:$AA$160,10,0)="Yes",AC44,0)</f>
        <v>0</v>
      </c>
      <c r="AG44" s="52">
        <f>IF(VLOOKUP($A44,'I | Capex forecast'!$A$11:$AA$160,10,0)="Yes",AD44,0)</f>
        <v>0</v>
      </c>
      <c r="AH44" s="53"/>
      <c r="AI44" s="52">
        <f t="shared" si="7"/>
        <v>0</v>
      </c>
      <c r="AJ44" s="52">
        <f t="shared" si="8"/>
        <v>0</v>
      </c>
    </row>
    <row r="45" spans="1:36" s="4" customFormat="1" x14ac:dyDescent="0.3">
      <c r="A45" s="56">
        <f t="shared" si="9"/>
        <v>35</v>
      </c>
      <c r="B45" s="48" t="str">
        <f>IF('I | Capex forecast'!B45="","",'I | Capex forecast'!B45)</f>
        <v>Safety Critical Digs (Non-complex)</v>
      </c>
      <c r="C45" s="48" t="str">
        <f>IF('I | Capex forecast'!C45="","",'I | Capex forecast'!C45)</f>
        <v>Pipeline Integrity</v>
      </c>
      <c r="D45" s="48" t="str">
        <f>IF('I | Capex forecast'!D45="","",'I | Capex forecast'!D45)</f>
        <v>Safety digs</v>
      </c>
      <c r="E45" s="48" t="str">
        <f>IF('I | Capex forecast'!E45="","",'I | Capex forecast'!E45)</f>
        <v>Pipelines</v>
      </c>
      <c r="F45" s="48" t="str">
        <f>IF('I | Capex forecast'!F45="","",'I | Capex forecast'!F45)</f>
        <v>Replacement</v>
      </c>
      <c r="G45" s="48" t="str">
        <f>IF('I | Capex forecast'!G45="","",'I | Capex forecast'!G45)</f>
        <v>As incurred</v>
      </c>
      <c r="H45" s="48" t="str">
        <f>IF('I | Capex forecast'!H45="","",'I | Capex forecast'!H45)</f>
        <v>FY 26</v>
      </c>
      <c r="I45" s="48" t="str">
        <f>IF('I | Capex forecast'!I45="","",'I | Capex forecast'!I45)</f>
        <v>Mid-year</v>
      </c>
      <c r="J45" s="50"/>
      <c r="K45" s="52">
        <f>IFERROR(IF($H45="nominal",VLOOKUP($A45,'I | Capex forecast'!$A$11:$AA$160,K$8,0),VLOOKUP($A45,'I | Capex forecast'!$A$11:$AA$160,K$8,0)*INDEX('I | Inflation'!$G$41:$I$43,MATCH($H45,'I | Inflation'!$F$41:$F$43,0),MATCH(K$10,'I | Inflation'!$G$40:$I$40,0))),0)</f>
        <v>0</v>
      </c>
      <c r="L45" s="52">
        <f>IFERROR(IF($H45="nominal",VLOOKUP($A45,'I | Capex forecast'!$A$11:$AA$160,L$8,0),VLOOKUP($A45,'I | Capex forecast'!$A$11:$AA$160,L$8,0)*INDEX('I | Inflation'!$G$41:$I$43,MATCH($H45,'I | Inflation'!$F$41:$F$43,0),MATCH(L$10,'I | Inflation'!$G$40:$I$40,0))),0)</f>
        <v>0</v>
      </c>
      <c r="M45" s="53"/>
      <c r="N45" s="52">
        <f>K45*VLOOKUP($A45,'I | Capex forecast'!$A$11:$AA$160,21,0)*(HLOOKUP(N$10,'I | Inflation'!$D$57:$J$59,3,0)-1)</f>
        <v>0</v>
      </c>
      <c r="O45" s="52">
        <f>L45*VLOOKUP($A45,'I | Capex forecast'!$A$11:$AA$160,21,0)*(HLOOKUP(O$10,'I | Inflation'!$D$57:$J$59,3,0)-1)</f>
        <v>0</v>
      </c>
      <c r="P45" s="53"/>
      <c r="Q45" s="52"/>
      <c r="R45" s="52"/>
      <c r="S45" s="53"/>
      <c r="T45" s="52"/>
      <c r="U45" s="52"/>
      <c r="V45" s="53"/>
      <c r="W45" s="52"/>
      <c r="X45" s="52"/>
      <c r="Y45" s="53"/>
      <c r="Z45" s="52">
        <f>K45*VLOOKUP($A45,'I | Capex forecast'!$A$11:$AA$160,27,0)</f>
        <v>0</v>
      </c>
      <c r="AA45" s="52">
        <f>L45*VLOOKUP($A45,'I | Capex forecast'!$A$11:$AA$160,27,0)</f>
        <v>0</v>
      </c>
      <c r="AB45" s="53"/>
      <c r="AC45" s="52">
        <f t="shared" si="5"/>
        <v>0</v>
      </c>
      <c r="AD45" s="52">
        <f t="shared" si="6"/>
        <v>0</v>
      </c>
      <c r="AE45" s="53"/>
      <c r="AF45" s="52">
        <f>IF(VLOOKUP($A45,'I | Capex forecast'!$A$11:$AA$160,10,0)="Yes",AC45,0)</f>
        <v>0</v>
      </c>
      <c r="AG45" s="52">
        <f>IF(VLOOKUP($A45,'I | Capex forecast'!$A$11:$AA$160,10,0)="Yes",AD45,0)</f>
        <v>0</v>
      </c>
      <c r="AH45" s="53"/>
      <c r="AI45" s="52">
        <f t="shared" si="7"/>
        <v>0</v>
      </c>
      <c r="AJ45" s="52">
        <f t="shared" si="8"/>
        <v>0</v>
      </c>
    </row>
    <row r="46" spans="1:36" s="4" customFormat="1" x14ac:dyDescent="0.3">
      <c r="A46" s="56">
        <f t="shared" si="9"/>
        <v>36</v>
      </c>
      <c r="B46" s="48" t="str">
        <f>IF('I | Capex forecast'!B46="","",'I | Capex forecast'!B46)</f>
        <v xml:space="preserve">Ellengrove Reliability </v>
      </c>
      <c r="C46" s="48" t="str">
        <f>IF('I | Capex forecast'!C46="","",'I | Capex forecast'!C46)</f>
        <v>SIB</v>
      </c>
      <c r="D46" s="48" t="str">
        <f>IF('I | Capex forecast'!D46="","",'I | Capex forecast'!D46)</f>
        <v>Ellengrove Reliability</v>
      </c>
      <c r="E46" s="48" t="str">
        <f>IF('I | Capex forecast'!E46="","",'I | Capex forecast'!E46)</f>
        <v>Pipelines</v>
      </c>
      <c r="F46" s="48" t="str">
        <f>IF('I | Capex forecast'!F46="","",'I | Capex forecast'!F46)</f>
        <v>Replacement</v>
      </c>
      <c r="G46" s="48" t="str">
        <f>IF('I | Capex forecast'!G46="","",'I | Capex forecast'!G46)</f>
        <v>As incurred</v>
      </c>
      <c r="H46" s="48" t="str">
        <f>IF('I | Capex forecast'!H46="","",'I | Capex forecast'!H46)</f>
        <v>FY 26</v>
      </c>
      <c r="I46" s="48" t="str">
        <f>IF('I | Capex forecast'!I46="","",'I | Capex forecast'!I46)</f>
        <v>Mid-year</v>
      </c>
      <c r="J46" s="50"/>
      <c r="K46" s="52">
        <f>IFERROR(IF($H46="nominal",VLOOKUP($A46,'I | Capex forecast'!$A$11:$AA$160,K$8,0),VLOOKUP($A46,'I | Capex forecast'!$A$11:$AA$160,K$8,0)*INDEX('I | Inflation'!$G$41:$I$43,MATCH($H46,'I | Inflation'!$F$41:$F$43,0),MATCH(K$10,'I | Inflation'!$G$40:$I$40,0))),0)</f>
        <v>0</v>
      </c>
      <c r="L46" s="52">
        <f>IFERROR(IF($H46="nominal",VLOOKUP($A46,'I | Capex forecast'!$A$11:$AA$160,L$8,0),VLOOKUP($A46,'I | Capex forecast'!$A$11:$AA$160,L$8,0)*INDEX('I | Inflation'!$G$41:$I$43,MATCH($H46,'I | Inflation'!$F$41:$F$43,0),MATCH(L$10,'I | Inflation'!$G$40:$I$40,0))),0)</f>
        <v>0</v>
      </c>
      <c r="M46" s="53"/>
      <c r="N46" s="52">
        <f>K46*VLOOKUP($A46,'I | Capex forecast'!$A$11:$AA$160,21,0)*(HLOOKUP(N$10,'I | Inflation'!$D$57:$J$59,3,0)-1)</f>
        <v>0</v>
      </c>
      <c r="O46" s="52">
        <f>L46*VLOOKUP($A46,'I | Capex forecast'!$A$11:$AA$160,21,0)*(HLOOKUP(O$10,'I | Inflation'!$D$57:$J$59,3,0)-1)</f>
        <v>0</v>
      </c>
      <c r="P46" s="53"/>
      <c r="Q46" s="52"/>
      <c r="R46" s="52"/>
      <c r="S46" s="53"/>
      <c r="T46" s="52"/>
      <c r="U46" s="52"/>
      <c r="V46" s="53"/>
      <c r="W46" s="52"/>
      <c r="X46" s="52"/>
      <c r="Y46" s="53"/>
      <c r="Z46" s="52">
        <f>K46*VLOOKUP($A46,'I | Capex forecast'!$A$11:$AA$160,27,0)</f>
        <v>0</v>
      </c>
      <c r="AA46" s="52">
        <f>L46*VLOOKUP($A46,'I | Capex forecast'!$A$11:$AA$160,27,0)</f>
        <v>0</v>
      </c>
      <c r="AB46" s="53"/>
      <c r="AC46" s="52">
        <f t="shared" si="5"/>
        <v>0</v>
      </c>
      <c r="AD46" s="52">
        <f t="shared" si="6"/>
        <v>0</v>
      </c>
      <c r="AE46" s="53"/>
      <c r="AF46" s="52">
        <f>IF(VLOOKUP($A46,'I | Capex forecast'!$A$11:$AA$160,10,0)="Yes",AC46,0)</f>
        <v>0</v>
      </c>
      <c r="AG46" s="52">
        <f>IF(VLOOKUP($A46,'I | Capex forecast'!$A$11:$AA$160,10,0)="Yes",AD46,0)</f>
        <v>0</v>
      </c>
      <c r="AH46" s="53"/>
      <c r="AI46" s="52">
        <f t="shared" si="7"/>
        <v>0</v>
      </c>
      <c r="AJ46" s="52">
        <f t="shared" si="8"/>
        <v>0</v>
      </c>
    </row>
    <row r="47" spans="1:36" s="4" customFormat="1" x14ac:dyDescent="0.3">
      <c r="A47" s="56">
        <f t="shared" si="9"/>
        <v>37</v>
      </c>
      <c r="B47" s="48" t="str">
        <f>IF('I | Capex forecast'!B47="","",'I | Capex forecast'!B47)</f>
        <v>Calibration Tools Improvement</v>
      </c>
      <c r="C47" s="48" t="str">
        <f>IF('I | Capex forecast'!C47="","",'I | Capex forecast'!C47)</f>
        <v>Tools</v>
      </c>
      <c r="D47" s="48" t="str">
        <f>IF('I | Capex forecast'!D47="","",'I | Capex forecast'!D47)</f>
        <v>Calibrators</v>
      </c>
      <c r="E47" s="48" t="str">
        <f>IF('I | Capex forecast'!E47="","",'I | Capex forecast'!E47)</f>
        <v>SIB capex</v>
      </c>
      <c r="F47" s="48" t="str">
        <f>IF('I | Capex forecast'!F47="","",'I | Capex forecast'!F47)</f>
        <v>Replacement</v>
      </c>
      <c r="G47" s="48" t="str">
        <f>IF('I | Capex forecast'!G47="","",'I | Capex forecast'!G47)</f>
        <v>As incurred</v>
      </c>
      <c r="H47" s="48" t="str">
        <f>IF('I | Capex forecast'!H47="","",'I | Capex forecast'!H47)</f>
        <v>FY 26</v>
      </c>
      <c r="I47" s="48" t="str">
        <f>IF('I | Capex forecast'!I47="","",'I | Capex forecast'!I47)</f>
        <v>Mid-year</v>
      </c>
      <c r="J47" s="50"/>
      <c r="K47" s="52">
        <f>IFERROR(IF($H47="nominal",VLOOKUP($A47,'I | Capex forecast'!$A$11:$AA$160,K$8,0),VLOOKUP($A47,'I | Capex forecast'!$A$11:$AA$160,K$8,0)*INDEX('I | Inflation'!$G$41:$I$43,MATCH($H47,'I | Inflation'!$F$41:$F$43,0),MATCH(K$10,'I | Inflation'!$G$40:$I$40,0))),0)</f>
        <v>0</v>
      </c>
      <c r="L47" s="52">
        <f>IFERROR(IF($H47="nominal",VLOOKUP($A47,'I | Capex forecast'!$A$11:$AA$160,L$8,0),VLOOKUP($A47,'I | Capex forecast'!$A$11:$AA$160,L$8,0)*INDEX('I | Inflation'!$G$41:$I$43,MATCH($H47,'I | Inflation'!$F$41:$F$43,0),MATCH(L$10,'I | Inflation'!$G$40:$I$40,0))),0)</f>
        <v>0</v>
      </c>
      <c r="M47" s="53"/>
      <c r="N47" s="52">
        <f>K47*VLOOKUP($A47,'I | Capex forecast'!$A$11:$AA$160,21,0)*(HLOOKUP(N$10,'I | Inflation'!$D$57:$J$59,3,0)-1)</f>
        <v>0</v>
      </c>
      <c r="O47" s="52">
        <f>L47*VLOOKUP($A47,'I | Capex forecast'!$A$11:$AA$160,21,0)*(HLOOKUP(O$10,'I | Inflation'!$D$57:$J$59,3,0)-1)</f>
        <v>0</v>
      </c>
      <c r="P47" s="53"/>
      <c r="Q47" s="52"/>
      <c r="R47" s="52"/>
      <c r="S47" s="53"/>
      <c r="T47" s="52"/>
      <c r="U47" s="52"/>
      <c r="V47" s="53"/>
      <c r="W47" s="52"/>
      <c r="X47" s="52"/>
      <c r="Y47" s="53"/>
      <c r="Z47" s="52">
        <f>K47*VLOOKUP($A47,'I | Capex forecast'!$A$11:$AA$160,27,0)</f>
        <v>0</v>
      </c>
      <c r="AA47" s="52">
        <f>L47*VLOOKUP($A47,'I | Capex forecast'!$A$11:$AA$160,27,0)</f>
        <v>0</v>
      </c>
      <c r="AB47" s="53"/>
      <c r="AC47" s="52">
        <f t="shared" si="5"/>
        <v>0</v>
      </c>
      <c r="AD47" s="52">
        <f t="shared" si="6"/>
        <v>0</v>
      </c>
      <c r="AE47" s="53"/>
      <c r="AF47" s="52">
        <f>IF(VLOOKUP($A47,'I | Capex forecast'!$A$11:$AA$160,10,0)="Yes",AC47,0)</f>
        <v>0</v>
      </c>
      <c r="AG47" s="52">
        <f>IF(VLOOKUP($A47,'I | Capex forecast'!$A$11:$AA$160,10,0)="Yes",AD47,0)</f>
        <v>0</v>
      </c>
      <c r="AH47" s="53"/>
      <c r="AI47" s="52">
        <f t="shared" si="7"/>
        <v>0</v>
      </c>
      <c r="AJ47" s="52">
        <f t="shared" si="8"/>
        <v>0</v>
      </c>
    </row>
    <row r="48" spans="1:36" s="4" customFormat="1" x14ac:dyDescent="0.3">
      <c r="A48" s="56">
        <f t="shared" si="9"/>
        <v>38</v>
      </c>
      <c r="B48" s="48" t="str">
        <f>IF('I | Capex forecast'!B48="","",'I | Capex forecast'!B48)</f>
        <v>Enhanced Methane Survey</v>
      </c>
      <c r="C48" s="48" t="str">
        <f>IF('I | Capex forecast'!C48="","",'I | Capex forecast'!C48)</f>
        <v>Pipeline Integrity</v>
      </c>
      <c r="D48" s="48" t="str">
        <f>IF('I | Capex forecast'!D48="","",'I | Capex forecast'!D48)</f>
        <v>Enhanced Methane Survey</v>
      </c>
      <c r="E48" s="48" t="str">
        <f>IF('I | Capex forecast'!E48="","",'I | Capex forecast'!E48)</f>
        <v>Pipelines</v>
      </c>
      <c r="F48" s="48" t="str">
        <f>IF('I | Capex forecast'!F48="","",'I | Capex forecast'!F48)</f>
        <v>Replacement</v>
      </c>
      <c r="G48" s="48" t="str">
        <f>IF('I | Capex forecast'!G48="","",'I | Capex forecast'!G48)</f>
        <v>As incurred</v>
      </c>
      <c r="H48" s="48" t="str">
        <f>IF('I | Capex forecast'!H48="","",'I | Capex forecast'!H48)</f>
        <v>FY 26</v>
      </c>
      <c r="I48" s="48" t="str">
        <f>IF('I | Capex forecast'!I48="","",'I | Capex forecast'!I48)</f>
        <v>Mid-year</v>
      </c>
      <c r="J48" s="50"/>
      <c r="K48" s="52">
        <f>IFERROR(IF($H48="nominal",VLOOKUP($A48,'I | Capex forecast'!$A$11:$AA$160,K$8,0),VLOOKUP($A48,'I | Capex forecast'!$A$11:$AA$160,K$8,0)*INDEX('I | Inflation'!$G$41:$I$43,MATCH($H48,'I | Inflation'!$F$41:$F$43,0),MATCH(K$10,'I | Inflation'!$G$40:$I$40,0))),0)</f>
        <v>0</v>
      </c>
      <c r="L48" s="52">
        <f>IFERROR(IF($H48="nominal",VLOOKUP($A48,'I | Capex forecast'!$A$11:$AA$160,L$8,0),VLOOKUP($A48,'I | Capex forecast'!$A$11:$AA$160,L$8,0)*INDEX('I | Inflation'!$G$41:$I$43,MATCH($H48,'I | Inflation'!$F$41:$F$43,0),MATCH(L$10,'I | Inflation'!$G$40:$I$40,0))),0)</f>
        <v>0</v>
      </c>
      <c r="M48" s="53"/>
      <c r="N48" s="52">
        <f>K48*VLOOKUP($A48,'I | Capex forecast'!$A$11:$AA$160,21,0)*(HLOOKUP(N$10,'I | Inflation'!$D$57:$J$59,3,0)-1)</f>
        <v>0</v>
      </c>
      <c r="O48" s="52">
        <f>L48*VLOOKUP($A48,'I | Capex forecast'!$A$11:$AA$160,21,0)*(HLOOKUP(O$10,'I | Inflation'!$D$57:$J$59,3,0)-1)</f>
        <v>0</v>
      </c>
      <c r="P48" s="53"/>
      <c r="Q48" s="52"/>
      <c r="R48" s="52"/>
      <c r="S48" s="53"/>
      <c r="T48" s="52"/>
      <c r="U48" s="52"/>
      <c r="V48" s="53"/>
      <c r="W48" s="52"/>
      <c r="X48" s="52"/>
      <c r="Y48" s="53"/>
      <c r="Z48" s="52">
        <f>K48*VLOOKUP($A48,'I | Capex forecast'!$A$11:$AA$160,27,0)</f>
        <v>0</v>
      </c>
      <c r="AA48" s="52">
        <f>L48*VLOOKUP($A48,'I | Capex forecast'!$A$11:$AA$160,27,0)</f>
        <v>0</v>
      </c>
      <c r="AB48" s="53"/>
      <c r="AC48" s="52">
        <f t="shared" si="5"/>
        <v>0</v>
      </c>
      <c r="AD48" s="52">
        <f t="shared" si="6"/>
        <v>0</v>
      </c>
      <c r="AE48" s="53"/>
      <c r="AF48" s="52">
        <f>IF(VLOOKUP($A48,'I | Capex forecast'!$A$11:$AA$160,10,0)="Yes",AC48,0)</f>
        <v>0</v>
      </c>
      <c r="AG48" s="52">
        <f>IF(VLOOKUP($A48,'I | Capex forecast'!$A$11:$AA$160,10,0)="Yes",AD48,0)</f>
        <v>0</v>
      </c>
      <c r="AH48" s="53"/>
      <c r="AI48" s="52">
        <f t="shared" si="7"/>
        <v>0</v>
      </c>
      <c r="AJ48" s="52">
        <f t="shared" si="8"/>
        <v>0</v>
      </c>
    </row>
    <row r="49" spans="1:36" s="4" customFormat="1" x14ac:dyDescent="0.3">
      <c r="A49" s="56">
        <f t="shared" si="9"/>
        <v>39</v>
      </c>
      <c r="B49" s="48" t="str">
        <f>IF('I | Capex forecast'!B49="","",'I | Capex forecast'!B49)</f>
        <v>Minor Projects</v>
      </c>
      <c r="C49" s="48" t="str">
        <f>IF('I | Capex forecast'!C49="","",'I | Capex forecast'!C49)</f>
        <v>SIB</v>
      </c>
      <c r="D49" s="48" t="str">
        <f>IF('I | Capex forecast'!D49="","",'I | Capex forecast'!D49)</f>
        <v>SIB</v>
      </c>
      <c r="E49" s="48" t="str">
        <f>IF('I | Capex forecast'!E49="","",'I | Capex forecast'!E49)</f>
        <v>SIB Capex</v>
      </c>
      <c r="F49" s="48" t="str">
        <f>IF('I | Capex forecast'!F49="","",'I | Capex forecast'!F49)</f>
        <v>Replacement</v>
      </c>
      <c r="G49" s="48" t="str">
        <f>IF('I | Capex forecast'!G49="","",'I | Capex forecast'!G49)</f>
        <v>As incurred</v>
      </c>
      <c r="H49" s="48" t="str">
        <f>IF('I | Capex forecast'!H49="","",'I | Capex forecast'!H49)</f>
        <v>FY 27</v>
      </c>
      <c r="I49" s="48" t="str">
        <f>IF('I | Capex forecast'!I49="","",'I | Capex forecast'!I49)</f>
        <v>Mid-year</v>
      </c>
      <c r="J49" s="50"/>
      <c r="K49" s="52">
        <f>IFERROR(IF($H49="nominal",VLOOKUP($A49,'I | Capex forecast'!$A$11:$AA$160,K$8,0),VLOOKUP($A49,'I | Capex forecast'!$A$11:$AA$160,K$8,0)*INDEX('I | Inflation'!$G$41:$I$43,MATCH($H49,'I | Inflation'!$F$41:$F$43,0),MATCH(K$10,'I | Inflation'!$G$40:$I$40,0))),0)</f>
        <v>0</v>
      </c>
      <c r="L49" s="52">
        <f>IFERROR(IF($H49="nominal",VLOOKUP($A49,'I | Capex forecast'!$A$11:$AA$160,L$8,0),VLOOKUP($A49,'I | Capex forecast'!$A$11:$AA$160,L$8,0)*INDEX('I | Inflation'!$G$41:$I$43,MATCH($H49,'I | Inflation'!$F$41:$F$43,0),MATCH(L$10,'I | Inflation'!$G$40:$I$40,0))),0)</f>
        <v>0</v>
      </c>
      <c r="M49" s="53"/>
      <c r="N49" s="52">
        <f>K49*VLOOKUP($A49,'I | Capex forecast'!$A$11:$AA$160,21,0)*(HLOOKUP(N$10,'I | Inflation'!$D$57:$J$59,3,0)-1)</f>
        <v>0</v>
      </c>
      <c r="O49" s="52">
        <f>L49*VLOOKUP($A49,'I | Capex forecast'!$A$11:$AA$160,21,0)*(HLOOKUP(O$10,'I | Inflation'!$D$57:$J$59,3,0)-1)</f>
        <v>0</v>
      </c>
      <c r="P49" s="53"/>
      <c r="Q49" s="52"/>
      <c r="R49" s="52"/>
      <c r="S49" s="53"/>
      <c r="T49" s="52"/>
      <c r="U49" s="52"/>
      <c r="V49" s="53"/>
      <c r="W49" s="52"/>
      <c r="X49" s="52"/>
      <c r="Y49" s="53"/>
      <c r="Z49" s="52">
        <f>K49*VLOOKUP($A49,'I | Capex forecast'!$A$11:$AA$160,27,0)</f>
        <v>0</v>
      </c>
      <c r="AA49" s="52">
        <f>L49*VLOOKUP($A49,'I | Capex forecast'!$A$11:$AA$160,27,0)</f>
        <v>0</v>
      </c>
      <c r="AB49" s="53"/>
      <c r="AC49" s="52">
        <f t="shared" si="5"/>
        <v>0</v>
      </c>
      <c r="AD49" s="52">
        <f t="shared" si="6"/>
        <v>0</v>
      </c>
      <c r="AE49" s="53"/>
      <c r="AF49" s="52">
        <f>IF(VLOOKUP($A49,'I | Capex forecast'!$A$11:$AA$160,10,0)="Yes",AC49,0)</f>
        <v>0</v>
      </c>
      <c r="AG49" s="52">
        <f>IF(VLOOKUP($A49,'I | Capex forecast'!$A$11:$AA$160,10,0)="Yes",AD49,0)</f>
        <v>0</v>
      </c>
      <c r="AH49" s="53"/>
      <c r="AI49" s="52">
        <f t="shared" si="7"/>
        <v>0</v>
      </c>
      <c r="AJ49" s="52">
        <f t="shared" si="8"/>
        <v>0</v>
      </c>
    </row>
    <row r="50" spans="1:36" s="4" customFormat="1" x14ac:dyDescent="0.3">
      <c r="A50" s="56">
        <f t="shared" si="9"/>
        <v>40</v>
      </c>
      <c r="B50" s="48" t="str">
        <f>IF('I | Capex forecast'!B50="","",'I | Capex forecast'!B50)</f>
        <v>Corporate</v>
      </c>
      <c r="C50" s="48" t="str">
        <f>IF('I | Capex forecast'!C50="","",'I | Capex forecast'!C50)</f>
        <v>Corporate</v>
      </c>
      <c r="D50" s="48" t="str">
        <f>IF('I | Capex forecast'!D50="","",'I | Capex forecast'!D50)</f>
        <v>Corporate</v>
      </c>
      <c r="E50" s="48" t="str">
        <f>IF('I | Capex forecast'!E50="","",'I | Capex forecast'!E50)</f>
        <v>SIB Capex</v>
      </c>
      <c r="F50" s="48" t="str">
        <f>IF('I | Capex forecast'!F50="","",'I | Capex forecast'!F50)</f>
        <v>Non-network</v>
      </c>
      <c r="G50" s="48" t="str">
        <f>IF('I | Capex forecast'!G50="","",'I | Capex forecast'!G50)</f>
        <v>As incurred</v>
      </c>
      <c r="H50" s="48" t="str">
        <f>IF('I | Capex forecast'!H50="","",'I | Capex forecast'!H50)</f>
        <v>FY 27</v>
      </c>
      <c r="I50" s="48" t="str">
        <f>IF('I | Capex forecast'!I50="","",'I | Capex forecast'!I50)</f>
        <v>Mid-year</v>
      </c>
      <c r="J50" s="50"/>
      <c r="K50" s="52">
        <f>IFERROR(IF($H50="nominal",VLOOKUP($A50,'I | Capex forecast'!$A$11:$AA$160,K$8,0),VLOOKUP($A50,'I | Capex forecast'!$A$11:$AA$160,K$8,0)*INDEX('I | Inflation'!$G$41:$I$43,MATCH($H50,'I | Inflation'!$F$41:$F$43,0),MATCH(K$10,'I | Inflation'!$G$40:$I$40,0))),0)</f>
        <v>140812.37362686716</v>
      </c>
      <c r="L50" s="52">
        <f>IFERROR(IF($H50="nominal",VLOOKUP($A50,'I | Capex forecast'!$A$11:$AA$160,L$8,0),VLOOKUP($A50,'I | Capex forecast'!$A$11:$AA$160,L$8,0)*INDEX('I | Inflation'!$G$41:$I$43,MATCH($H50,'I | Inflation'!$F$41:$F$43,0),MATCH(L$10,'I | Inflation'!$G$40:$I$40,0))),0)</f>
        <v>146444.86857194186</v>
      </c>
      <c r="M50" s="53"/>
      <c r="N50" s="52">
        <f>K50*VLOOKUP($A50,'I | Capex forecast'!$A$11:$AA$160,21,0)*(HLOOKUP(N$10,'I | Inflation'!$D$57:$J$59,3,0)-1)</f>
        <v>0</v>
      </c>
      <c r="O50" s="52">
        <f>L50*VLOOKUP($A50,'I | Capex forecast'!$A$11:$AA$160,21,0)*(HLOOKUP(O$10,'I | Inflation'!$D$57:$J$59,3,0)-1)</f>
        <v>0</v>
      </c>
      <c r="P50" s="53"/>
      <c r="Q50" s="52"/>
      <c r="R50" s="52"/>
      <c r="S50" s="53"/>
      <c r="T50" s="52"/>
      <c r="U50" s="52"/>
      <c r="V50" s="53"/>
      <c r="W50" s="52"/>
      <c r="X50" s="52"/>
      <c r="Y50" s="53"/>
      <c r="Z50" s="52">
        <f>K50*VLOOKUP($A50,'I | Capex forecast'!$A$11:$AA$160,27,0)</f>
        <v>12673.113626418044</v>
      </c>
      <c r="AA50" s="52">
        <f>L50*VLOOKUP($A50,'I | Capex forecast'!$A$11:$AA$160,27,0)</f>
        <v>13180.038171474767</v>
      </c>
      <c r="AB50" s="53"/>
      <c r="AC50" s="52">
        <f t="shared" si="5"/>
        <v>153485.48725328522</v>
      </c>
      <c r="AD50" s="52">
        <f t="shared" si="6"/>
        <v>159624.90674341662</v>
      </c>
      <c r="AE50" s="53"/>
      <c r="AF50" s="52">
        <f>IF(VLOOKUP($A50,'I | Capex forecast'!$A$11:$AA$160,10,0)="Yes",AC50,0)</f>
        <v>153485.48725328522</v>
      </c>
      <c r="AG50" s="52">
        <f>IF(VLOOKUP($A50,'I | Capex forecast'!$A$11:$AA$160,10,0)="Yes",AD50,0)</f>
        <v>159624.90674341662</v>
      </c>
      <c r="AH50" s="53"/>
      <c r="AI50" s="52">
        <f t="shared" si="7"/>
        <v>153485.48725328522</v>
      </c>
      <c r="AJ50" s="52">
        <f t="shared" si="8"/>
        <v>159624.90674341662</v>
      </c>
    </row>
    <row r="51" spans="1:36" s="4" customFormat="1" x14ac:dyDescent="0.3">
      <c r="A51" s="56">
        <f t="shared" si="9"/>
        <v>41</v>
      </c>
      <c r="B51" s="48" t="str">
        <f>IF('I | Capex forecast'!B51="","",'I | Capex forecast'!B51)</f>
        <v>Group IT</v>
      </c>
      <c r="C51" s="48" t="str">
        <f>IF('I | Capex forecast'!C51="","",'I | Capex forecast'!C51)</f>
        <v>Group IT</v>
      </c>
      <c r="D51" s="48" t="str">
        <f>IF('I | Capex forecast'!D51="","",'I | Capex forecast'!D51)</f>
        <v>Group IT</v>
      </c>
      <c r="E51" s="48" t="str">
        <f>IF('I | Capex forecast'!E51="","",'I | Capex forecast'!E51)</f>
        <v>Group IT</v>
      </c>
      <c r="F51" s="48" t="str">
        <f>IF('I | Capex forecast'!F51="","",'I | Capex forecast'!F51)</f>
        <v>Non-network</v>
      </c>
      <c r="G51" s="48" t="str">
        <f>IF('I | Capex forecast'!G51="","",'I | Capex forecast'!G51)</f>
        <v>As incurred</v>
      </c>
      <c r="H51" s="48" t="str">
        <f>IF('I | Capex forecast'!H51="","",'I | Capex forecast'!H51)</f>
        <v>FY 27</v>
      </c>
      <c r="I51" s="48" t="str">
        <f>IF('I | Capex forecast'!I51="","",'I | Capex forecast'!I51)</f>
        <v>Mid-year</v>
      </c>
      <c r="J51" s="50"/>
      <c r="K51" s="52">
        <f>IFERROR(IF($H51="nominal",VLOOKUP($A51,'I | Capex forecast'!$A$11:$AA$160,K$8,0),VLOOKUP($A51,'I | Capex forecast'!$A$11:$AA$160,K$8,0)*INDEX('I | Inflation'!$G$41:$I$43,MATCH($H51,'I | Inflation'!$F$41:$F$43,0),MATCH(K$10,'I | Inflation'!$G$40:$I$40,0))),0)</f>
        <v>3522077.7994745378</v>
      </c>
      <c r="L51" s="52">
        <f>IFERROR(IF($H51="nominal",VLOOKUP($A51,'I | Capex forecast'!$A$11:$AA$160,L$8,0),VLOOKUP($A51,'I | Capex forecast'!$A$11:$AA$160,L$8,0)*INDEX('I | Inflation'!$G$41:$I$43,MATCH($H51,'I | Inflation'!$F$41:$F$43,0),MATCH(L$10,'I | Inflation'!$G$40:$I$40,0))),0)</f>
        <v>598970.68677140202</v>
      </c>
      <c r="M51" s="53"/>
      <c r="N51" s="52">
        <f>K51*VLOOKUP($A51,'I | Capex forecast'!$A$11:$AA$160,21,0)*(HLOOKUP(N$10,'I | Inflation'!$D$57:$J$59,3,0)-1)</f>
        <v>0</v>
      </c>
      <c r="O51" s="52">
        <f>L51*VLOOKUP($A51,'I | Capex forecast'!$A$11:$AA$160,21,0)*(HLOOKUP(O$10,'I | Inflation'!$D$57:$J$59,3,0)-1)</f>
        <v>0</v>
      </c>
      <c r="P51" s="53"/>
      <c r="Q51" s="52"/>
      <c r="R51" s="52"/>
      <c r="S51" s="53"/>
      <c r="T51" s="52"/>
      <c r="U51" s="52"/>
      <c r="V51" s="53"/>
      <c r="W51" s="52"/>
      <c r="X51" s="52"/>
      <c r="Y51" s="53"/>
      <c r="Z51" s="52">
        <f>K51*VLOOKUP($A51,'I | Capex forecast'!$A$11:$AA$160,27,0)</f>
        <v>316987.00195270841</v>
      </c>
      <c r="AA51" s="52">
        <f>L51*VLOOKUP($A51,'I | Capex forecast'!$A$11:$AA$160,27,0)</f>
        <v>53907.361809426176</v>
      </c>
      <c r="AB51" s="53"/>
      <c r="AC51" s="52">
        <f t="shared" si="5"/>
        <v>3839064.8014272461</v>
      </c>
      <c r="AD51" s="52">
        <f t="shared" si="6"/>
        <v>652878.04858082824</v>
      </c>
      <c r="AE51" s="53"/>
      <c r="AF51" s="52">
        <f>IF(VLOOKUP($A51,'I | Capex forecast'!$A$11:$AA$160,10,0)="Yes",AC51,0)</f>
        <v>3839064.8014272461</v>
      </c>
      <c r="AG51" s="52">
        <f>IF(VLOOKUP($A51,'I | Capex forecast'!$A$11:$AA$160,10,0)="Yes",AD51,0)</f>
        <v>652878.04858082824</v>
      </c>
      <c r="AH51" s="53"/>
      <c r="AI51" s="52">
        <f t="shared" si="7"/>
        <v>3839064.8014272461</v>
      </c>
      <c r="AJ51" s="52">
        <f t="shared" si="8"/>
        <v>652878.04858082824</v>
      </c>
    </row>
    <row r="52" spans="1:36" s="4" customFormat="1" x14ac:dyDescent="0.3">
      <c r="A52" s="56">
        <f t="shared" si="9"/>
        <v>42</v>
      </c>
      <c r="B52" s="48" t="str">
        <f>IF('I | Capex forecast'!B52="","",'I | Capex forecast'!B52)</f>
        <v>Property Leases</v>
      </c>
      <c r="C52" s="48" t="str">
        <f>IF('I | Capex forecast'!C52="","",'I | Capex forecast'!C52)</f>
        <v>Property Leases</v>
      </c>
      <c r="D52" s="48" t="str">
        <f>IF('I | Capex forecast'!D52="","",'I | Capex forecast'!D52)</f>
        <v>Property Leases</v>
      </c>
      <c r="E52" s="48" t="str">
        <f>IF('I | Capex forecast'!E52="","",'I | Capex forecast'!E52)</f>
        <v>SIB Capex</v>
      </c>
      <c r="F52" s="48" t="str">
        <f>IF('I | Capex forecast'!F52="","",'I | Capex forecast'!F52)</f>
        <v>Non-network</v>
      </c>
      <c r="G52" s="48" t="str">
        <f>IF('I | Capex forecast'!G52="","",'I | Capex forecast'!G52)</f>
        <v>As incurred</v>
      </c>
      <c r="H52" s="48" t="str">
        <f>IF('I | Capex forecast'!H52="","",'I | Capex forecast'!H52)</f>
        <v>FY 27</v>
      </c>
      <c r="I52" s="48" t="str">
        <f>IF('I | Capex forecast'!I52="","",'I | Capex forecast'!I52)</f>
        <v>Mid-year</v>
      </c>
      <c r="J52" s="50"/>
      <c r="K52" s="52">
        <f>IFERROR(IF($H52="nominal",VLOOKUP($A52,'I | Capex forecast'!$A$11:$AA$160,K$8,0),VLOOKUP($A52,'I | Capex forecast'!$A$11:$AA$160,K$8,0)*INDEX('I | Inflation'!$G$41:$I$43,MATCH($H52,'I | Inflation'!$F$41:$F$43,0),MATCH(K$10,'I | Inflation'!$G$40:$I$40,0))),0)</f>
        <v>185823.91199725971</v>
      </c>
      <c r="L52" s="52">
        <f>IFERROR(IF($H52="nominal",VLOOKUP($A52,'I | Capex forecast'!$A$11:$AA$160,L$8,0),VLOOKUP($A52,'I | Capex forecast'!$A$11:$AA$160,L$8,0)*INDEX('I | Inflation'!$G$41:$I$43,MATCH($H52,'I | Inflation'!$F$41:$F$43,0),MATCH(L$10,'I | Inflation'!$G$40:$I$40,0))),0)</f>
        <v>193256.8684771501</v>
      </c>
      <c r="M52" s="53"/>
      <c r="N52" s="52">
        <f>K52*VLOOKUP($A52,'I | Capex forecast'!$A$11:$AA$160,21,0)*(HLOOKUP(N$10,'I | Inflation'!$D$57:$J$59,3,0)-1)</f>
        <v>0</v>
      </c>
      <c r="O52" s="52">
        <f>L52*VLOOKUP($A52,'I | Capex forecast'!$A$11:$AA$160,21,0)*(HLOOKUP(O$10,'I | Inflation'!$D$57:$J$59,3,0)-1)</f>
        <v>0</v>
      </c>
      <c r="P52" s="53"/>
      <c r="Q52" s="52"/>
      <c r="R52" s="52"/>
      <c r="S52" s="53"/>
      <c r="T52" s="52"/>
      <c r="U52" s="52"/>
      <c r="V52" s="53"/>
      <c r="W52" s="52"/>
      <c r="X52" s="52"/>
      <c r="Y52" s="53"/>
      <c r="Z52" s="52">
        <f>K52*VLOOKUP($A52,'I | Capex forecast'!$A$11:$AA$160,27,0)</f>
        <v>16724.152079753374</v>
      </c>
      <c r="AA52" s="52">
        <f>L52*VLOOKUP($A52,'I | Capex forecast'!$A$11:$AA$160,27,0)</f>
        <v>17393.118162943509</v>
      </c>
      <c r="AB52" s="53"/>
      <c r="AC52" s="52">
        <f t="shared" si="5"/>
        <v>202548.06407701308</v>
      </c>
      <c r="AD52" s="52">
        <f t="shared" si="6"/>
        <v>210649.98664009362</v>
      </c>
      <c r="AE52" s="53"/>
      <c r="AF52" s="52">
        <f>IF(VLOOKUP($A52,'I | Capex forecast'!$A$11:$AA$160,10,0)="Yes",AC52,0)</f>
        <v>202548.06407701308</v>
      </c>
      <c r="AG52" s="52">
        <f>IF(VLOOKUP($A52,'I | Capex forecast'!$A$11:$AA$160,10,0)="Yes",AD52,0)</f>
        <v>210649.98664009362</v>
      </c>
      <c r="AH52" s="53"/>
      <c r="AI52" s="52">
        <f t="shared" si="7"/>
        <v>202548.06407701308</v>
      </c>
      <c r="AJ52" s="52">
        <f t="shared" si="8"/>
        <v>210649.98664009362</v>
      </c>
    </row>
    <row r="53" spans="1:36" s="4" customFormat="1" x14ac:dyDescent="0.3">
      <c r="A53" s="56">
        <f t="shared" si="9"/>
        <v>43</v>
      </c>
      <c r="B53" s="48" t="str">
        <f>IF('I | Capex forecast'!B53="","",'I | Capex forecast'!B53)</f>
        <v>Vehicle Leases</v>
      </c>
      <c r="C53" s="48" t="str">
        <f>IF('I | Capex forecast'!C53="","",'I | Capex forecast'!C53)</f>
        <v>Vehicle Leases</v>
      </c>
      <c r="D53" s="48" t="str">
        <f>IF('I | Capex forecast'!D53="","",'I | Capex forecast'!D53)</f>
        <v>Vehicle Leases</v>
      </c>
      <c r="E53" s="48" t="str">
        <f>IF('I | Capex forecast'!E53="","",'I | Capex forecast'!E53)</f>
        <v>SIB Capex</v>
      </c>
      <c r="F53" s="48" t="str">
        <f>IF('I | Capex forecast'!F53="","",'I | Capex forecast'!F53)</f>
        <v>Non-network</v>
      </c>
      <c r="G53" s="48" t="str">
        <f>IF('I | Capex forecast'!G53="","",'I | Capex forecast'!G53)</f>
        <v>As incurred</v>
      </c>
      <c r="H53" s="48" t="str">
        <f>IF('I | Capex forecast'!H53="","",'I | Capex forecast'!H53)</f>
        <v>FY 27</v>
      </c>
      <c r="I53" s="48" t="str">
        <f>IF('I | Capex forecast'!I53="","",'I | Capex forecast'!I53)</f>
        <v>Mid-year</v>
      </c>
      <c r="J53" s="50"/>
      <c r="K53" s="52">
        <f>IFERROR(IF($H53="nominal",VLOOKUP($A53,'I | Capex forecast'!$A$11:$AA$160,K$8,0),VLOOKUP($A53,'I | Capex forecast'!$A$11:$AA$160,K$8,0)*INDEX('I | Inflation'!$G$41:$I$43,MATCH($H53,'I | Inflation'!$F$41:$F$43,0),MATCH(K$10,'I | Inflation'!$G$40:$I$40,0))),0)</f>
        <v>198934.07223258581</v>
      </c>
      <c r="L53" s="52">
        <f>IFERROR(IF($H53="nominal",VLOOKUP($A53,'I | Capex forecast'!$A$11:$AA$160,L$8,0),VLOOKUP($A53,'I | Capex forecast'!$A$11:$AA$160,L$8,0)*INDEX('I | Inflation'!$G$41:$I$43,MATCH($H53,'I | Inflation'!$F$41:$F$43,0),MATCH(L$10,'I | Inflation'!$G$40:$I$40,0))),0)</f>
        <v>206891.43512188923</v>
      </c>
      <c r="M53" s="53"/>
      <c r="N53" s="52">
        <f>K53*VLOOKUP($A53,'I | Capex forecast'!$A$11:$AA$160,21,0)*(HLOOKUP(N$10,'I | Inflation'!$D$57:$J$59,3,0)-1)</f>
        <v>0</v>
      </c>
      <c r="O53" s="52">
        <f>L53*VLOOKUP($A53,'I | Capex forecast'!$A$11:$AA$160,21,0)*(HLOOKUP(O$10,'I | Inflation'!$D$57:$J$59,3,0)-1)</f>
        <v>0</v>
      </c>
      <c r="P53" s="53"/>
      <c r="Q53" s="52"/>
      <c r="R53" s="52"/>
      <c r="S53" s="53"/>
      <c r="T53" s="52"/>
      <c r="U53" s="52"/>
      <c r="V53" s="53"/>
      <c r="W53" s="52"/>
      <c r="X53" s="52"/>
      <c r="Y53" s="53"/>
      <c r="Z53" s="52">
        <f>K53*VLOOKUP($A53,'I | Capex forecast'!$A$11:$AA$160,27,0)</f>
        <v>17904.06650093272</v>
      </c>
      <c r="AA53" s="52">
        <f>L53*VLOOKUP($A53,'I | Capex forecast'!$A$11:$AA$160,27,0)</f>
        <v>18620.22916097003</v>
      </c>
      <c r="AB53" s="53"/>
      <c r="AC53" s="52">
        <f t="shared" si="5"/>
        <v>216838.13873351854</v>
      </c>
      <c r="AD53" s="52">
        <f t="shared" si="6"/>
        <v>225511.66428285924</v>
      </c>
      <c r="AE53" s="53"/>
      <c r="AF53" s="52">
        <f>IF(VLOOKUP($A53,'I | Capex forecast'!$A$11:$AA$160,10,0)="Yes",AC53,0)</f>
        <v>216838.13873351854</v>
      </c>
      <c r="AG53" s="52">
        <f>IF(VLOOKUP($A53,'I | Capex forecast'!$A$11:$AA$160,10,0)="Yes",AD53,0)</f>
        <v>225511.66428285924</v>
      </c>
      <c r="AH53" s="53"/>
      <c r="AI53" s="52">
        <f t="shared" si="7"/>
        <v>216838.13873351854</v>
      </c>
      <c r="AJ53" s="52">
        <f t="shared" si="8"/>
        <v>225511.66428285924</v>
      </c>
    </row>
    <row r="54" spans="1:36" s="4" customFormat="1" x14ac:dyDescent="0.3">
      <c r="A54" s="56">
        <f t="shared" si="9"/>
        <v>44</v>
      </c>
      <c r="B54" s="48" t="str">
        <f>IF('I | Capex forecast'!B54="","",'I | Capex forecast'!B54)</f>
        <v>Access Arrangement</v>
      </c>
      <c r="C54" s="48" t="str">
        <f>IF('I | Capex forecast'!C54="","",'I | Capex forecast'!C54)</f>
        <v>Access Arrangement</v>
      </c>
      <c r="D54" s="48" t="str">
        <f>IF('I | Capex forecast'!D54="","",'I | Capex forecast'!D54)</f>
        <v>Access Arrangement</v>
      </c>
      <c r="E54" s="48" t="str">
        <f>IF('I | Capex forecast'!E54="","",'I | Capex forecast'!E54)</f>
        <v>Capitalised AA costs</v>
      </c>
      <c r="F54" s="48" t="str">
        <f>IF('I | Capex forecast'!F54="","",'I | Capex forecast'!F54)</f>
        <v>Non-network</v>
      </c>
      <c r="G54" s="48" t="str">
        <f>IF('I | Capex forecast'!G54="","",'I | Capex forecast'!G54)</f>
        <v>As incurred</v>
      </c>
      <c r="H54" s="48" t="str">
        <f>IF('I | Capex forecast'!H54="","",'I | Capex forecast'!H54)</f>
        <v>FY 27</v>
      </c>
      <c r="I54" s="48" t="str">
        <f>IF('I | Capex forecast'!I54="","",'I | Capex forecast'!I54)</f>
        <v>Mid-year</v>
      </c>
      <c r="J54" s="50"/>
      <c r="K54" s="52">
        <f>IFERROR(IF($H54="nominal",VLOOKUP($A54,'I | Capex forecast'!$A$11:$AA$160,K$8,0),VLOOKUP($A54,'I | Capex forecast'!$A$11:$AA$160,K$8,0)*INDEX('I | Inflation'!$G$41:$I$43,MATCH($H54,'I | Inflation'!$F$41:$F$43,0),MATCH(K$10,'I | Inflation'!$G$40:$I$40,0))),0)</f>
        <v>309192.30769230769</v>
      </c>
      <c r="L54" s="52">
        <f>IFERROR(IF($H54="nominal",VLOOKUP($A54,'I | Capex forecast'!$A$11:$AA$160,L$8,0),VLOOKUP($A54,'I | Capex forecast'!$A$11:$AA$160,L$8,0)*INDEX('I | Inflation'!$G$41:$I$43,MATCH($H54,'I | Inflation'!$F$41:$F$43,0),MATCH(L$10,'I | Inflation'!$G$40:$I$40,0))),0)</f>
        <v>60000</v>
      </c>
      <c r="M54" s="53"/>
      <c r="N54" s="52">
        <f>K54*VLOOKUP($A54,'I | Capex forecast'!$A$11:$AA$160,21,0)*(HLOOKUP(N$10,'I | Inflation'!$D$57:$J$59,3,0)-1)</f>
        <v>0</v>
      </c>
      <c r="O54" s="52">
        <f>L54*VLOOKUP($A54,'I | Capex forecast'!$A$11:$AA$160,21,0)*(HLOOKUP(O$10,'I | Inflation'!$D$57:$J$59,3,0)-1)</f>
        <v>589.51587685163179</v>
      </c>
      <c r="P54" s="53"/>
      <c r="Q54" s="52"/>
      <c r="R54" s="52"/>
      <c r="S54" s="53"/>
      <c r="T54" s="52"/>
      <c r="U54" s="52"/>
      <c r="V54" s="53"/>
      <c r="W54" s="52"/>
      <c r="X54" s="52"/>
      <c r="Y54" s="53"/>
      <c r="Z54" s="52">
        <f>K54*VLOOKUP($A54,'I | Capex forecast'!$A$11:$AA$160,27,0)</f>
        <v>27827.307692307691</v>
      </c>
      <c r="AA54" s="52">
        <f>L54*VLOOKUP($A54,'I | Capex forecast'!$A$11:$AA$160,27,0)</f>
        <v>5400</v>
      </c>
      <c r="AB54" s="53"/>
      <c r="AC54" s="52">
        <f t="shared" si="5"/>
        <v>337019.61538461538</v>
      </c>
      <c r="AD54" s="52">
        <f t="shared" si="6"/>
        <v>65989.515876851627</v>
      </c>
      <c r="AE54" s="53"/>
      <c r="AF54" s="52">
        <f>IF(VLOOKUP($A54,'I | Capex forecast'!$A$11:$AA$160,10,0)="Yes",AC54,0)</f>
        <v>0</v>
      </c>
      <c r="AG54" s="52">
        <f>IF(VLOOKUP($A54,'I | Capex forecast'!$A$11:$AA$160,10,0)="Yes",AD54,0)</f>
        <v>0</v>
      </c>
      <c r="AH54" s="53"/>
      <c r="AI54" s="52">
        <f t="shared" si="7"/>
        <v>337019.61538461538</v>
      </c>
      <c r="AJ54" s="52">
        <f t="shared" si="8"/>
        <v>65989.515876851627</v>
      </c>
    </row>
    <row r="55" spans="1:36" s="4" customFormat="1" x14ac:dyDescent="0.3">
      <c r="A55" s="56">
        <f t="shared" si="9"/>
        <v>45</v>
      </c>
      <c r="B55" s="48" t="str">
        <f>IF('I | Capex forecast'!B55="","",'I | Capex forecast'!B55)</f>
        <v>DN300 Metro ILI - EMAT + C-MFL</v>
      </c>
      <c r="C55" s="48" t="str">
        <f>IF('I | Capex forecast'!C55="","",'I | Capex forecast'!C55)</f>
        <v>Pipeline Integrity</v>
      </c>
      <c r="D55" s="48" t="str">
        <f>IF('I | Capex forecast'!D55="","",'I | Capex forecast'!D55)</f>
        <v/>
      </c>
      <c r="E55" s="48" t="str">
        <f>IF('I | Capex forecast'!E55="","",'I | Capex forecast'!E55)</f>
        <v>Pipelines</v>
      </c>
      <c r="F55" s="48" t="str">
        <f>IF('I | Capex forecast'!F55="","",'I | Capex forecast'!F55)</f>
        <v>Replacement</v>
      </c>
      <c r="G55" s="48" t="str">
        <f>IF('I | Capex forecast'!G55="","",'I | Capex forecast'!G55)</f>
        <v>As incurred</v>
      </c>
      <c r="H55" s="48" t="str">
        <f>IF('I | Capex forecast'!H55="","",'I | Capex forecast'!H55)</f>
        <v>FY 26</v>
      </c>
      <c r="I55" s="48" t="str">
        <f>IF('I | Capex forecast'!I55="","",'I | Capex forecast'!I55)</f>
        <v>End-year</v>
      </c>
      <c r="J55" s="50"/>
      <c r="K55" s="52">
        <f>IFERROR(IF($H55="nominal",VLOOKUP($A55,'I | Capex forecast'!$A$11:$AA$160,K$8,0),VLOOKUP($A55,'I | Capex forecast'!$A$11:$AA$160,K$8,0)*INDEX('I | Inflation'!$G$41:$I$43,MATCH($H55,'I | Inflation'!$F$41:$F$43,0),MATCH(K$10,'I | Inflation'!$G$40:$I$40,0))),0)</f>
        <v>1425087</v>
      </c>
      <c r="L55" s="52">
        <f>IFERROR(IF($H55="nominal",VLOOKUP($A55,'I | Capex forecast'!$A$11:$AA$160,L$8,0),VLOOKUP($A55,'I | Capex forecast'!$A$11:$AA$160,L$8,0)*INDEX('I | Inflation'!$G$41:$I$43,MATCH($H55,'I | Inflation'!$F$41:$F$43,0),MATCH(L$10,'I | Inflation'!$G$40:$I$40,0))),0)</f>
        <v>744132.49040000001</v>
      </c>
      <c r="M55" s="53"/>
      <c r="N55" s="52">
        <f>K55*VLOOKUP($A55,'I | Capex forecast'!$A$11:$AA$160,21,0)*(HLOOKUP(N$10,'I | Inflation'!$D$57:$J$59,3,0)-1)</f>
        <v>0</v>
      </c>
      <c r="O55" s="52">
        <f>L55*VLOOKUP($A55,'I | Capex forecast'!$A$11:$AA$160,21,0)*(HLOOKUP(O$10,'I | Inflation'!$D$57:$J$59,3,0)-1)</f>
        <v>0</v>
      </c>
      <c r="P55" s="53"/>
      <c r="Q55" s="52"/>
      <c r="R55" s="52"/>
      <c r="S55" s="53"/>
      <c r="T55" s="52"/>
      <c r="U55" s="52"/>
      <c r="V55" s="53"/>
      <c r="W55" s="52"/>
      <c r="X55" s="52"/>
      <c r="Y55" s="53"/>
      <c r="Z55" s="52">
        <f>K55*VLOOKUP($A55,'I | Capex forecast'!$A$11:$AA$160,27,0)</f>
        <v>128257.83</v>
      </c>
      <c r="AA55" s="52">
        <f>L55*VLOOKUP($A55,'I | Capex forecast'!$A$11:$AA$160,27,0)</f>
        <v>66971.924136000001</v>
      </c>
      <c r="AB55" s="53"/>
      <c r="AC55" s="52">
        <f t="shared" si="5"/>
        <v>1553344.83</v>
      </c>
      <c r="AD55" s="52">
        <f t="shared" si="6"/>
        <v>811104.414536</v>
      </c>
      <c r="AE55" s="53"/>
      <c r="AF55" s="52">
        <f>IF(VLOOKUP($A55,'I | Capex forecast'!$A$11:$AA$160,10,0)="Yes",AC55,0)</f>
        <v>0</v>
      </c>
      <c r="AG55" s="52">
        <f>IF(VLOOKUP($A55,'I | Capex forecast'!$A$11:$AA$160,10,0)="Yes",AD55,0)</f>
        <v>0</v>
      </c>
      <c r="AH55" s="53"/>
      <c r="AI55" s="52">
        <f t="shared" si="7"/>
        <v>1553344.83</v>
      </c>
      <c r="AJ55" s="52">
        <f t="shared" si="8"/>
        <v>811104.414536</v>
      </c>
    </row>
    <row r="56" spans="1:36" s="4" customFormat="1" x14ac:dyDescent="0.3">
      <c r="A56" s="56">
        <f t="shared" si="9"/>
        <v>46</v>
      </c>
      <c r="B56" s="48" t="str">
        <f>IF('I | Capex forecast'!B56="","",'I | Capex forecast'!B56)</f>
        <v>DN250 Supply Security - Phase 2a Current AA</v>
      </c>
      <c r="C56" s="48" t="str">
        <f>IF('I | Capex forecast'!C56="","",'I | Capex forecast'!C56)</f>
        <v>DN250 Supply Security Project</v>
      </c>
      <c r="D56" s="48" t="str">
        <f>IF('I | Capex forecast'!D56="","",'I | Capex forecast'!D56)</f>
        <v/>
      </c>
      <c r="E56" s="48" t="str">
        <f>IF('I | Capex forecast'!E56="","",'I | Capex forecast'!E56)</f>
        <v>Pipelines</v>
      </c>
      <c r="F56" s="48" t="str">
        <f>IF('I | Capex forecast'!F56="","",'I | Capex forecast'!F56)</f>
        <v>Replacement</v>
      </c>
      <c r="G56" s="48" t="str">
        <f>IF('I | Capex forecast'!G56="","",'I | Capex forecast'!G56)</f>
        <v>As incurred</v>
      </c>
      <c r="H56" s="48" t="str">
        <f>IF('I | Capex forecast'!H56="","",'I | Capex forecast'!H56)</f>
        <v>FY 26</v>
      </c>
      <c r="I56" s="48" t="str">
        <f>IF('I | Capex forecast'!I56="","",'I | Capex forecast'!I56)</f>
        <v>End-year</v>
      </c>
      <c r="J56" s="50"/>
      <c r="K56" s="52">
        <f>IFERROR(IF($H56="nominal",VLOOKUP($A56,'I | Capex forecast'!$A$11:$AA$160,K$8,0),VLOOKUP($A56,'I | Capex forecast'!$A$11:$AA$160,K$8,0)*INDEX('I | Inflation'!$G$41:$I$43,MATCH($H56,'I | Inflation'!$F$41:$F$43,0),MATCH(K$10,'I | Inflation'!$G$40:$I$40,0))),0)</f>
        <v>908354</v>
      </c>
      <c r="L56" s="52">
        <f>IFERROR(IF($H56="nominal",VLOOKUP($A56,'I | Capex forecast'!$A$11:$AA$160,L$8,0),VLOOKUP($A56,'I | Capex forecast'!$A$11:$AA$160,L$8,0)*INDEX('I | Inflation'!$G$41:$I$43,MATCH($H56,'I | Inflation'!$F$41:$F$43,0),MATCH(L$10,'I | Inflation'!$G$40:$I$40,0))),0)</f>
        <v>5259871.7703999998</v>
      </c>
      <c r="M56" s="53"/>
      <c r="N56" s="52">
        <f>K56*VLOOKUP($A56,'I | Capex forecast'!$A$11:$AA$160,21,0)*(HLOOKUP(N$10,'I | Inflation'!$D$57:$J$59,3,0)-1)</f>
        <v>0</v>
      </c>
      <c r="O56" s="52">
        <f>L56*VLOOKUP($A56,'I | Capex forecast'!$A$11:$AA$160,21,0)*(HLOOKUP(O$10,'I | Inflation'!$D$57:$J$59,3,0)-1)</f>
        <v>0</v>
      </c>
      <c r="P56" s="53"/>
      <c r="Q56" s="52"/>
      <c r="R56" s="52"/>
      <c r="S56" s="53"/>
      <c r="T56" s="52"/>
      <c r="U56" s="52"/>
      <c r="V56" s="53"/>
      <c r="W56" s="52"/>
      <c r="X56" s="52"/>
      <c r="Y56" s="53"/>
      <c r="Z56" s="52">
        <f>K56*VLOOKUP($A56,'I | Capex forecast'!$A$11:$AA$160,27,0)</f>
        <v>81751.86</v>
      </c>
      <c r="AA56" s="52">
        <f>L56*VLOOKUP($A56,'I | Capex forecast'!$A$11:$AA$160,27,0)</f>
        <v>473388.45933599997</v>
      </c>
      <c r="AB56" s="53"/>
      <c r="AC56" s="52">
        <f t="shared" si="5"/>
        <v>990105.86</v>
      </c>
      <c r="AD56" s="52">
        <f t="shared" si="6"/>
        <v>5733260.2297359994</v>
      </c>
      <c r="AE56" s="53"/>
      <c r="AF56" s="52">
        <f>IF(VLOOKUP($A56,'I | Capex forecast'!$A$11:$AA$160,10,0)="Yes",AC56,0)</f>
        <v>0</v>
      </c>
      <c r="AG56" s="52">
        <f>IF(VLOOKUP($A56,'I | Capex forecast'!$A$11:$AA$160,10,0)="Yes",AD56,0)</f>
        <v>0</v>
      </c>
      <c r="AH56" s="53"/>
      <c r="AI56" s="52">
        <f t="shared" si="7"/>
        <v>990105.86</v>
      </c>
      <c r="AJ56" s="52">
        <f t="shared" si="8"/>
        <v>5733260.2297359994</v>
      </c>
    </row>
    <row r="57" spans="1:36" s="4" customFormat="1" x14ac:dyDescent="0.3">
      <c r="A57" s="56">
        <f t="shared" si="9"/>
        <v>47</v>
      </c>
      <c r="B57" s="48" t="str">
        <f>IF('I | Capex forecast'!B57="","",'I | Capex forecast'!B57)</f>
        <v>DN400 - MFL Campaign (5 sections) FY2026-28</v>
      </c>
      <c r="C57" s="48" t="str">
        <f>IF('I | Capex forecast'!C57="","",'I | Capex forecast'!C57)</f>
        <v>Pipeline Integrity</v>
      </c>
      <c r="D57" s="48" t="str">
        <f>IF('I | Capex forecast'!D57="","",'I | Capex forecast'!D57)</f>
        <v/>
      </c>
      <c r="E57" s="48" t="str">
        <f>IF('I | Capex forecast'!E57="","",'I | Capex forecast'!E57)</f>
        <v>Pipelines</v>
      </c>
      <c r="F57" s="48" t="str">
        <f>IF('I | Capex forecast'!F57="","",'I | Capex forecast'!F57)</f>
        <v>Replacement</v>
      </c>
      <c r="G57" s="48" t="str">
        <f>IF('I | Capex forecast'!G57="","",'I | Capex forecast'!G57)</f>
        <v>As incurred</v>
      </c>
      <c r="H57" s="48" t="str">
        <f>IF('I | Capex forecast'!H57="","",'I | Capex forecast'!H57)</f>
        <v>FY 26</v>
      </c>
      <c r="I57" s="48" t="str">
        <f>IF('I | Capex forecast'!I57="","",'I | Capex forecast'!I57)</f>
        <v>End-year</v>
      </c>
      <c r="J57" s="50"/>
      <c r="K57" s="52">
        <f>IFERROR(IF($H57="nominal",VLOOKUP($A57,'I | Capex forecast'!$A$11:$AA$160,K$8,0),VLOOKUP($A57,'I | Capex forecast'!$A$11:$AA$160,K$8,0)*INDEX('I | Inflation'!$G$41:$I$43,MATCH($H57,'I | Inflation'!$F$41:$F$43,0),MATCH(K$10,'I | Inflation'!$G$40:$I$40,0))),0)</f>
        <v>763762</v>
      </c>
      <c r="L57" s="52">
        <f>IFERROR(IF($H57="nominal",VLOOKUP($A57,'I | Capex forecast'!$A$11:$AA$160,L$8,0),VLOOKUP($A57,'I | Capex forecast'!$A$11:$AA$160,L$8,0)*INDEX('I | Inflation'!$G$41:$I$43,MATCH($H57,'I | Inflation'!$F$41:$F$43,0),MATCH(L$10,'I | Inflation'!$G$40:$I$40,0))),0)</f>
        <v>2161543.2280000001</v>
      </c>
      <c r="M57" s="53"/>
      <c r="N57" s="52">
        <f>K57*VLOOKUP($A57,'I | Capex forecast'!$A$11:$AA$160,21,0)*(HLOOKUP(N$10,'I | Inflation'!$D$57:$J$59,3,0)-1)</f>
        <v>0</v>
      </c>
      <c r="O57" s="52">
        <f>L57*VLOOKUP($A57,'I | Capex forecast'!$A$11:$AA$160,21,0)*(HLOOKUP(O$10,'I | Inflation'!$D$57:$J$59,3,0)-1)</f>
        <v>0</v>
      </c>
      <c r="P57" s="53"/>
      <c r="Q57" s="52"/>
      <c r="R57" s="52"/>
      <c r="S57" s="53"/>
      <c r="T57" s="52"/>
      <c r="U57" s="52"/>
      <c r="V57" s="53"/>
      <c r="W57" s="52"/>
      <c r="X57" s="52"/>
      <c r="Y57" s="53"/>
      <c r="Z57" s="52">
        <f>K57*VLOOKUP($A57,'I | Capex forecast'!$A$11:$AA$160,27,0)</f>
        <v>68738.58</v>
      </c>
      <c r="AA57" s="52">
        <f>L57*VLOOKUP($A57,'I | Capex forecast'!$A$11:$AA$160,27,0)</f>
        <v>194538.89052000002</v>
      </c>
      <c r="AB57" s="53"/>
      <c r="AC57" s="52">
        <f t="shared" si="5"/>
        <v>832500.58</v>
      </c>
      <c r="AD57" s="52">
        <f t="shared" si="6"/>
        <v>2356082.11852</v>
      </c>
      <c r="AE57" s="53"/>
      <c r="AF57" s="52">
        <f>IF(VLOOKUP($A57,'I | Capex forecast'!$A$11:$AA$160,10,0)="Yes",AC57,0)</f>
        <v>0</v>
      </c>
      <c r="AG57" s="52">
        <f>IF(VLOOKUP($A57,'I | Capex forecast'!$A$11:$AA$160,10,0)="Yes",AD57,0)</f>
        <v>0</v>
      </c>
      <c r="AH57" s="53"/>
      <c r="AI57" s="52">
        <f t="shared" si="7"/>
        <v>832500.58</v>
      </c>
      <c r="AJ57" s="52">
        <f t="shared" si="8"/>
        <v>2356082.11852</v>
      </c>
    </row>
    <row r="58" spans="1:36" s="4" customFormat="1" x14ac:dyDescent="0.3">
      <c r="A58" s="56">
        <f t="shared" si="9"/>
        <v>48</v>
      </c>
      <c r="B58" s="48" t="str">
        <f>IF('I | Capex forecast'!B58="","",'I | Capex forecast'!B58)</f>
        <v>DN300 Metro MFL Validation Digs - FY26</v>
      </c>
      <c r="C58" s="48" t="str">
        <f>IF('I | Capex forecast'!C58="","",'I | Capex forecast'!C58)</f>
        <v>Pipeline Integrity</v>
      </c>
      <c r="D58" s="48" t="str">
        <f>IF('I | Capex forecast'!D58="","",'I | Capex forecast'!D58)</f>
        <v/>
      </c>
      <c r="E58" s="48" t="str">
        <f>IF('I | Capex forecast'!E58="","",'I | Capex forecast'!E58)</f>
        <v>Pipelines</v>
      </c>
      <c r="F58" s="48" t="str">
        <f>IF('I | Capex forecast'!F58="","",'I | Capex forecast'!F58)</f>
        <v>Replacement</v>
      </c>
      <c r="G58" s="48" t="str">
        <f>IF('I | Capex forecast'!G58="","",'I | Capex forecast'!G58)</f>
        <v>As incurred</v>
      </c>
      <c r="H58" s="48" t="str">
        <f>IF('I | Capex forecast'!H58="","",'I | Capex forecast'!H58)</f>
        <v>FY 26</v>
      </c>
      <c r="I58" s="48" t="str">
        <f>IF('I | Capex forecast'!I58="","",'I | Capex forecast'!I58)</f>
        <v>End-year</v>
      </c>
      <c r="J58" s="50"/>
      <c r="K58" s="52">
        <f>IFERROR(IF($H58="nominal",VLOOKUP($A58,'I | Capex forecast'!$A$11:$AA$160,K$8,0),VLOOKUP($A58,'I | Capex forecast'!$A$11:$AA$160,K$8,0)*INDEX('I | Inflation'!$G$41:$I$43,MATCH($H58,'I | Inflation'!$F$41:$F$43,0),MATCH(K$10,'I | Inflation'!$G$40:$I$40,0))),0)</f>
        <v>735000</v>
      </c>
      <c r="L58" s="52">
        <f>IFERROR(IF($H58="nominal",VLOOKUP($A58,'I | Capex forecast'!$A$11:$AA$160,L$8,0),VLOOKUP($A58,'I | Capex forecast'!$A$11:$AA$160,L$8,0)*INDEX('I | Inflation'!$G$41:$I$43,MATCH($H58,'I | Inflation'!$F$41:$F$43,0),MATCH(L$10,'I | Inflation'!$G$40:$I$40,0))),0)</f>
        <v>53052.480000000003</v>
      </c>
      <c r="M58" s="53"/>
      <c r="N58" s="52">
        <f>K58*VLOOKUP($A58,'I | Capex forecast'!$A$11:$AA$160,21,0)*(HLOOKUP(N$10,'I | Inflation'!$D$57:$J$59,3,0)-1)</f>
        <v>0</v>
      </c>
      <c r="O58" s="52">
        <f>L58*VLOOKUP($A58,'I | Capex forecast'!$A$11:$AA$160,21,0)*(HLOOKUP(O$10,'I | Inflation'!$D$57:$J$59,3,0)-1)</f>
        <v>0</v>
      </c>
      <c r="P58" s="53"/>
      <c r="Q58" s="52"/>
      <c r="R58" s="52"/>
      <c r="S58" s="53"/>
      <c r="T58" s="52"/>
      <c r="U58" s="52"/>
      <c r="V58" s="53"/>
      <c r="W58" s="52"/>
      <c r="X58" s="52"/>
      <c r="Y58" s="53"/>
      <c r="Z58" s="52">
        <f>K58*VLOOKUP($A58,'I | Capex forecast'!$A$11:$AA$160,27,0)</f>
        <v>66150</v>
      </c>
      <c r="AA58" s="52">
        <f>L58*VLOOKUP($A58,'I | Capex forecast'!$A$11:$AA$160,27,0)</f>
        <v>4774.7232000000004</v>
      </c>
      <c r="AB58" s="53"/>
      <c r="AC58" s="52">
        <f t="shared" si="5"/>
        <v>801150</v>
      </c>
      <c r="AD58" s="52">
        <f t="shared" si="6"/>
        <v>57827.203200000004</v>
      </c>
      <c r="AE58" s="53"/>
      <c r="AF58" s="52">
        <f>IF(VLOOKUP($A58,'I | Capex forecast'!$A$11:$AA$160,10,0)="Yes",AC58,0)</f>
        <v>0</v>
      </c>
      <c r="AG58" s="52">
        <f>IF(VLOOKUP($A58,'I | Capex forecast'!$A$11:$AA$160,10,0)="Yes",AD58,0)</f>
        <v>0</v>
      </c>
      <c r="AH58" s="53"/>
      <c r="AI58" s="52">
        <f t="shared" si="7"/>
        <v>801150</v>
      </c>
      <c r="AJ58" s="52">
        <f t="shared" si="8"/>
        <v>57827.203200000004</v>
      </c>
    </row>
    <row r="59" spans="1:36" s="4" customFormat="1" x14ac:dyDescent="0.3">
      <c r="A59" s="56">
        <f t="shared" si="9"/>
        <v>49</v>
      </c>
      <c r="B59" s="48" t="str">
        <f>IF('I | Capex forecast'!B59="","",'I | Capex forecast'!B59)</f>
        <v>Main Switchboard Replacement (Condamine &amp; Gatton)</v>
      </c>
      <c r="C59" s="48" t="str">
        <f>IF('I | Capex forecast'!C59="","",'I | Capex forecast'!C59)</f>
        <v>Main Switchboard Replacement</v>
      </c>
      <c r="D59" s="48" t="str">
        <f>IF('I | Capex forecast'!D59="","",'I | Capex forecast'!D59)</f>
        <v/>
      </c>
      <c r="E59" s="48" t="str">
        <f>IF('I | Capex forecast'!E59="","",'I | Capex forecast'!E59)</f>
        <v>SIB capex</v>
      </c>
      <c r="F59" s="48" t="str">
        <f>IF('I | Capex forecast'!F59="","",'I | Capex forecast'!F59)</f>
        <v>Replacement</v>
      </c>
      <c r="G59" s="48" t="str">
        <f>IF('I | Capex forecast'!G59="","",'I | Capex forecast'!G59)</f>
        <v>As incurred</v>
      </c>
      <c r="H59" s="48" t="str">
        <f>IF('I | Capex forecast'!H59="","",'I | Capex forecast'!H59)</f>
        <v>FY 26</v>
      </c>
      <c r="I59" s="48" t="str">
        <f>IF('I | Capex forecast'!I59="","",'I | Capex forecast'!I59)</f>
        <v>End-year</v>
      </c>
      <c r="J59" s="50"/>
      <c r="K59" s="52">
        <f>IFERROR(IF($H59="nominal",VLOOKUP($A59,'I | Capex forecast'!$A$11:$AA$160,K$8,0),VLOOKUP($A59,'I | Capex forecast'!$A$11:$AA$160,K$8,0)*INDEX('I | Inflation'!$G$41:$I$43,MATCH($H59,'I | Inflation'!$F$41:$F$43,0),MATCH(K$10,'I | Inflation'!$G$40:$I$40,0))),0)</f>
        <v>650000</v>
      </c>
      <c r="L59" s="52">
        <f>IFERROR(IF($H59="nominal",VLOOKUP($A59,'I | Capex forecast'!$A$11:$AA$160,L$8,0),VLOOKUP($A59,'I | Capex forecast'!$A$11:$AA$160,L$8,0)*INDEX('I | Inflation'!$G$41:$I$43,MATCH($H59,'I | Inflation'!$F$41:$F$43,0),MATCH(L$10,'I | Inflation'!$G$40:$I$40,0))),0)</f>
        <v>278571.72720000002</v>
      </c>
      <c r="M59" s="53"/>
      <c r="N59" s="52">
        <f>K59*VLOOKUP($A59,'I | Capex forecast'!$A$11:$AA$160,21,0)*(HLOOKUP(N$10,'I | Inflation'!$D$57:$J$59,3,0)-1)</f>
        <v>0</v>
      </c>
      <c r="O59" s="52">
        <f>L59*VLOOKUP($A59,'I | Capex forecast'!$A$11:$AA$160,21,0)*(HLOOKUP(O$10,'I | Inflation'!$D$57:$J$59,3,0)-1)</f>
        <v>0</v>
      </c>
      <c r="P59" s="53"/>
      <c r="Q59" s="52"/>
      <c r="R59" s="52"/>
      <c r="S59" s="53"/>
      <c r="T59" s="52"/>
      <c r="U59" s="52"/>
      <c r="V59" s="53"/>
      <c r="W59" s="52"/>
      <c r="X59" s="52"/>
      <c r="Y59" s="53"/>
      <c r="Z59" s="52">
        <f>K59*VLOOKUP($A59,'I | Capex forecast'!$A$11:$AA$160,27,0)</f>
        <v>58500</v>
      </c>
      <c r="AA59" s="52">
        <f>L59*VLOOKUP($A59,'I | Capex forecast'!$A$11:$AA$160,27,0)</f>
        <v>25071.455448000001</v>
      </c>
      <c r="AB59" s="53"/>
      <c r="AC59" s="52">
        <f t="shared" si="5"/>
        <v>708500</v>
      </c>
      <c r="AD59" s="52">
        <f t="shared" si="6"/>
        <v>303643.18264800002</v>
      </c>
      <c r="AE59" s="53"/>
      <c r="AF59" s="52">
        <f>IF(VLOOKUP($A59,'I | Capex forecast'!$A$11:$AA$160,10,0)="Yes",AC59,0)</f>
        <v>0</v>
      </c>
      <c r="AG59" s="52">
        <f>IF(VLOOKUP($A59,'I | Capex forecast'!$A$11:$AA$160,10,0)="Yes",AD59,0)</f>
        <v>0</v>
      </c>
      <c r="AH59" s="53"/>
      <c r="AI59" s="52">
        <f t="shared" si="7"/>
        <v>708500</v>
      </c>
      <c r="AJ59" s="52">
        <f t="shared" si="8"/>
        <v>303643.18264800002</v>
      </c>
    </row>
    <row r="60" spans="1:36" s="4" customFormat="1" x14ac:dyDescent="0.3">
      <c r="A60" s="56">
        <f t="shared" si="9"/>
        <v>50</v>
      </c>
      <c r="B60" s="48" t="str">
        <f>IF('I | Capex forecast'!B60="","",'I | Capex forecast'!B60)</f>
        <v>Net Zero - Valve Upgrades - RBP</v>
      </c>
      <c r="C60" s="48" t="str">
        <f>IF('I | Capex forecast'!C60="","",'I | Capex forecast'!C60)</f>
        <v>Environment</v>
      </c>
      <c r="D60" s="48" t="str">
        <f>IF('I | Capex forecast'!D60="","",'I | Capex forecast'!D60)</f>
        <v/>
      </c>
      <c r="E60" s="48" t="str">
        <f>IF('I | Capex forecast'!E60="","",'I | Capex forecast'!E60)</f>
        <v>Pipelines</v>
      </c>
      <c r="F60" s="48" t="str">
        <f>IF('I | Capex forecast'!F60="","",'I | Capex forecast'!F60)</f>
        <v>Replacement</v>
      </c>
      <c r="G60" s="48" t="str">
        <f>IF('I | Capex forecast'!G60="","",'I | Capex forecast'!G60)</f>
        <v>As incurred</v>
      </c>
      <c r="H60" s="48" t="str">
        <f>IF('I | Capex forecast'!H60="","",'I | Capex forecast'!H60)</f>
        <v>FY 26</v>
      </c>
      <c r="I60" s="48" t="str">
        <f>IF('I | Capex forecast'!I60="","",'I | Capex forecast'!I60)</f>
        <v>End-year</v>
      </c>
      <c r="J60" s="50"/>
      <c r="K60" s="52">
        <f>IFERROR(IF($H60="nominal",VLOOKUP($A60,'I | Capex forecast'!$A$11:$AA$160,K$8,0),VLOOKUP($A60,'I | Capex forecast'!$A$11:$AA$160,K$8,0)*INDEX('I | Inflation'!$G$41:$I$43,MATCH($H60,'I | Inflation'!$F$41:$F$43,0),MATCH(K$10,'I | Inflation'!$G$40:$I$40,0))),0)</f>
        <v>300000</v>
      </c>
      <c r="L60" s="52">
        <f>IFERROR(IF($H60="nominal",VLOOKUP($A60,'I | Capex forecast'!$A$11:$AA$160,L$8,0),VLOOKUP($A60,'I | Capex forecast'!$A$11:$AA$160,L$8,0)*INDEX('I | Inflation'!$G$41:$I$43,MATCH($H60,'I | Inflation'!$F$41:$F$43,0),MATCH(L$10,'I | Inflation'!$G$40:$I$40,0))),0)</f>
        <v>0</v>
      </c>
      <c r="M60" s="53"/>
      <c r="N60" s="52">
        <f>K60*VLOOKUP($A60,'I | Capex forecast'!$A$11:$AA$160,21,0)*(HLOOKUP(N$10,'I | Inflation'!$D$57:$J$59,3,0)-1)</f>
        <v>0</v>
      </c>
      <c r="O60" s="52">
        <f>L60*VLOOKUP($A60,'I | Capex forecast'!$A$11:$AA$160,21,0)*(HLOOKUP(O$10,'I | Inflation'!$D$57:$J$59,3,0)-1)</f>
        <v>0</v>
      </c>
      <c r="P60" s="53"/>
      <c r="Q60" s="52"/>
      <c r="R60" s="52"/>
      <c r="S60" s="53"/>
      <c r="T60" s="52"/>
      <c r="U60" s="52"/>
      <c r="V60" s="53"/>
      <c r="W60" s="52"/>
      <c r="X60" s="52"/>
      <c r="Y60" s="53"/>
      <c r="Z60" s="52">
        <f>K60*VLOOKUP($A60,'I | Capex forecast'!$A$11:$AA$160,27,0)</f>
        <v>27000</v>
      </c>
      <c r="AA60" s="52">
        <f>L60*VLOOKUP($A60,'I | Capex forecast'!$A$11:$AA$160,27,0)</f>
        <v>0</v>
      </c>
      <c r="AB60" s="53"/>
      <c r="AC60" s="52">
        <f t="shared" si="5"/>
        <v>327000</v>
      </c>
      <c r="AD60" s="52">
        <f t="shared" si="6"/>
        <v>0</v>
      </c>
      <c r="AE60" s="53"/>
      <c r="AF60" s="52">
        <f>IF(VLOOKUP($A60,'I | Capex forecast'!$A$11:$AA$160,10,0)="Yes",AC60,0)</f>
        <v>0</v>
      </c>
      <c r="AG60" s="52">
        <f>IF(VLOOKUP($A60,'I | Capex forecast'!$A$11:$AA$160,10,0)="Yes",AD60,0)</f>
        <v>0</v>
      </c>
      <c r="AH60" s="53"/>
      <c r="AI60" s="52">
        <f t="shared" si="7"/>
        <v>327000</v>
      </c>
      <c r="AJ60" s="52">
        <f t="shared" si="8"/>
        <v>0</v>
      </c>
    </row>
    <row r="61" spans="1:36" s="4" customFormat="1" x14ac:dyDescent="0.3">
      <c r="A61" s="56">
        <f t="shared" si="9"/>
        <v>51</v>
      </c>
      <c r="B61" s="48" t="str">
        <f>IF('I | Capex forecast'!B61="","",'I | Capex forecast'!B61)</f>
        <v>CP - Upgrade AC Connection (Claus Rd)</v>
      </c>
      <c r="C61" s="48" t="str">
        <f>IF('I | Capex forecast'!C61="","",'I | Capex forecast'!C61)</f>
        <v>Pipeline Integrity</v>
      </c>
      <c r="D61" s="48" t="str">
        <f>IF('I | Capex forecast'!D61="","",'I | Capex forecast'!D61)</f>
        <v/>
      </c>
      <c r="E61" s="48" t="str">
        <f>IF('I | Capex forecast'!E61="","",'I | Capex forecast'!E61)</f>
        <v>Pipelines</v>
      </c>
      <c r="F61" s="48" t="str">
        <f>IF('I | Capex forecast'!F61="","",'I | Capex forecast'!F61)</f>
        <v>Replacement</v>
      </c>
      <c r="G61" s="48" t="str">
        <f>IF('I | Capex forecast'!G61="","",'I | Capex forecast'!G61)</f>
        <v>As incurred</v>
      </c>
      <c r="H61" s="48" t="str">
        <f>IF('I | Capex forecast'!H61="","",'I | Capex forecast'!H61)</f>
        <v>FY 26</v>
      </c>
      <c r="I61" s="48" t="str">
        <f>IF('I | Capex forecast'!I61="","",'I | Capex forecast'!I61)</f>
        <v>End-year</v>
      </c>
      <c r="J61" s="50"/>
      <c r="K61" s="52">
        <f>IFERROR(IF($H61="nominal",VLOOKUP($A61,'I | Capex forecast'!$A$11:$AA$160,K$8,0),VLOOKUP($A61,'I | Capex forecast'!$A$11:$AA$160,K$8,0)*INDEX('I | Inflation'!$G$41:$I$43,MATCH($H61,'I | Inflation'!$F$41:$F$43,0),MATCH(K$10,'I | Inflation'!$G$40:$I$40,0))),0)</f>
        <v>200000</v>
      </c>
      <c r="L61" s="52">
        <f>IFERROR(IF($H61="nominal",VLOOKUP($A61,'I | Capex forecast'!$A$11:$AA$160,L$8,0),VLOOKUP($A61,'I | Capex forecast'!$A$11:$AA$160,L$8,0)*INDEX('I | Inflation'!$G$41:$I$43,MATCH($H61,'I | Inflation'!$F$41:$F$43,0),MATCH(L$10,'I | Inflation'!$G$40:$I$40,0))),0)</f>
        <v>22098.752</v>
      </c>
      <c r="M61" s="53"/>
      <c r="N61" s="52">
        <f>K61*VLOOKUP($A61,'I | Capex forecast'!$A$11:$AA$160,21,0)*(HLOOKUP(N$10,'I | Inflation'!$D$57:$J$59,3,0)-1)</f>
        <v>0</v>
      </c>
      <c r="O61" s="52">
        <f>L61*VLOOKUP($A61,'I | Capex forecast'!$A$11:$AA$160,21,0)*(HLOOKUP(O$10,'I | Inflation'!$D$57:$J$59,3,0)-1)</f>
        <v>0</v>
      </c>
      <c r="P61" s="53"/>
      <c r="Q61" s="52"/>
      <c r="R61" s="52"/>
      <c r="S61" s="53"/>
      <c r="T61" s="52"/>
      <c r="U61" s="52"/>
      <c r="V61" s="53"/>
      <c r="W61" s="52"/>
      <c r="X61" s="52"/>
      <c r="Y61" s="53"/>
      <c r="Z61" s="52">
        <f>K61*VLOOKUP($A61,'I | Capex forecast'!$A$11:$AA$160,27,0)</f>
        <v>18000</v>
      </c>
      <c r="AA61" s="52">
        <f>L61*VLOOKUP($A61,'I | Capex forecast'!$A$11:$AA$160,27,0)</f>
        <v>1988.88768</v>
      </c>
      <c r="AB61" s="53"/>
      <c r="AC61" s="52">
        <f t="shared" si="5"/>
        <v>218000</v>
      </c>
      <c r="AD61" s="52">
        <f t="shared" si="6"/>
        <v>24087.63968</v>
      </c>
      <c r="AE61" s="53"/>
      <c r="AF61" s="52">
        <f>IF(VLOOKUP($A61,'I | Capex forecast'!$A$11:$AA$160,10,0)="Yes",AC61,0)</f>
        <v>0</v>
      </c>
      <c r="AG61" s="52">
        <f>IF(VLOOKUP($A61,'I | Capex forecast'!$A$11:$AA$160,10,0)="Yes",AD61,0)</f>
        <v>0</v>
      </c>
      <c r="AH61" s="53"/>
      <c r="AI61" s="52">
        <f t="shared" si="7"/>
        <v>218000</v>
      </c>
      <c r="AJ61" s="52">
        <f t="shared" si="8"/>
        <v>24087.63968</v>
      </c>
    </row>
    <row r="62" spans="1:36" s="4" customFormat="1" x14ac:dyDescent="0.3">
      <c r="A62" s="56">
        <f t="shared" si="9"/>
        <v>52</v>
      </c>
      <c r="B62" s="48" t="str">
        <f>IF('I | Capex forecast'!B62="","",'I | Capex forecast'!B62)</f>
        <v>CP - DN400 AC Mitigation</v>
      </c>
      <c r="C62" s="48" t="str">
        <f>IF('I | Capex forecast'!C62="","",'I | Capex forecast'!C62)</f>
        <v>Pipeline Integrity</v>
      </c>
      <c r="D62" s="48" t="str">
        <f>IF('I | Capex forecast'!D62="","",'I | Capex forecast'!D62)</f>
        <v/>
      </c>
      <c r="E62" s="48" t="str">
        <f>IF('I | Capex forecast'!E62="","",'I | Capex forecast'!E62)</f>
        <v>Pipelines</v>
      </c>
      <c r="F62" s="48" t="str">
        <f>IF('I | Capex forecast'!F62="","",'I | Capex forecast'!F62)</f>
        <v>Replacement</v>
      </c>
      <c r="G62" s="48" t="str">
        <f>IF('I | Capex forecast'!G62="","",'I | Capex forecast'!G62)</f>
        <v>As incurred</v>
      </c>
      <c r="H62" s="48" t="str">
        <f>IF('I | Capex forecast'!H62="","",'I | Capex forecast'!H62)</f>
        <v>FY 26</v>
      </c>
      <c r="I62" s="48" t="str">
        <f>IF('I | Capex forecast'!I62="","",'I | Capex forecast'!I62)</f>
        <v>End-year</v>
      </c>
      <c r="J62" s="50"/>
      <c r="K62" s="52">
        <f>IFERROR(IF($H62="nominal",VLOOKUP($A62,'I | Capex forecast'!$A$11:$AA$160,K$8,0),VLOOKUP($A62,'I | Capex forecast'!$A$11:$AA$160,K$8,0)*INDEX('I | Inflation'!$G$41:$I$43,MATCH($H62,'I | Inflation'!$F$41:$F$43,0),MATCH(K$10,'I | Inflation'!$G$40:$I$40,0))),0)</f>
        <v>200000</v>
      </c>
      <c r="L62" s="52">
        <f>IFERROR(IF($H62="nominal",VLOOKUP($A62,'I | Capex forecast'!$A$11:$AA$160,L$8,0),VLOOKUP($A62,'I | Capex forecast'!$A$11:$AA$160,L$8,0)*INDEX('I | Inflation'!$G$41:$I$43,MATCH($H62,'I | Inflation'!$F$41:$F$43,0),MATCH(L$10,'I | Inflation'!$G$40:$I$40,0))),0)</f>
        <v>117012.58400000002</v>
      </c>
      <c r="M62" s="53"/>
      <c r="N62" s="52">
        <f>K62*VLOOKUP($A62,'I | Capex forecast'!$A$11:$AA$160,21,0)*(HLOOKUP(N$10,'I | Inflation'!$D$57:$J$59,3,0)-1)</f>
        <v>0</v>
      </c>
      <c r="O62" s="52">
        <f>L62*VLOOKUP($A62,'I | Capex forecast'!$A$11:$AA$160,21,0)*(HLOOKUP(O$10,'I | Inflation'!$D$57:$J$59,3,0)-1)</f>
        <v>0</v>
      </c>
      <c r="P62" s="53"/>
      <c r="Q62" s="52"/>
      <c r="R62" s="52"/>
      <c r="S62" s="53"/>
      <c r="T62" s="52"/>
      <c r="U62" s="52"/>
      <c r="V62" s="53"/>
      <c r="W62" s="52"/>
      <c r="X62" s="52"/>
      <c r="Y62" s="53"/>
      <c r="Z62" s="52">
        <f>K62*VLOOKUP($A62,'I | Capex forecast'!$A$11:$AA$160,27,0)</f>
        <v>18000</v>
      </c>
      <c r="AA62" s="52">
        <f>L62*VLOOKUP($A62,'I | Capex forecast'!$A$11:$AA$160,27,0)</f>
        <v>10531.132560000002</v>
      </c>
      <c r="AB62" s="53"/>
      <c r="AC62" s="52">
        <f t="shared" si="5"/>
        <v>218000</v>
      </c>
      <c r="AD62" s="52">
        <f t="shared" si="6"/>
        <v>127543.71656000002</v>
      </c>
      <c r="AE62" s="53"/>
      <c r="AF62" s="52">
        <f>IF(VLOOKUP($A62,'I | Capex forecast'!$A$11:$AA$160,10,0)="Yes",AC62,0)</f>
        <v>0</v>
      </c>
      <c r="AG62" s="52">
        <f>IF(VLOOKUP($A62,'I | Capex forecast'!$A$11:$AA$160,10,0)="Yes",AD62,0)</f>
        <v>0</v>
      </c>
      <c r="AH62" s="53"/>
      <c r="AI62" s="52">
        <f t="shared" si="7"/>
        <v>218000</v>
      </c>
      <c r="AJ62" s="52">
        <f t="shared" si="8"/>
        <v>127543.71656000002</v>
      </c>
    </row>
    <row r="63" spans="1:36" s="4" customFormat="1" x14ac:dyDescent="0.3">
      <c r="A63" s="56">
        <f t="shared" si="9"/>
        <v>53</v>
      </c>
      <c r="B63" s="48" t="str">
        <f>IF('I | Capex forecast'!B63="","",'I | Capex forecast'!B63)</f>
        <v>DN250 Safety Critical Dig-Ups (Brassall - Bellbird)</v>
      </c>
      <c r="C63" s="48" t="str">
        <f>IF('I | Capex forecast'!C63="","",'I | Capex forecast'!C63)</f>
        <v>DN250 Supply Security Project</v>
      </c>
      <c r="D63" s="48" t="str">
        <f>IF('I | Capex forecast'!D63="","",'I | Capex forecast'!D63)</f>
        <v/>
      </c>
      <c r="E63" s="48" t="str">
        <f>IF('I | Capex forecast'!E63="","",'I | Capex forecast'!E63)</f>
        <v>Pipelines</v>
      </c>
      <c r="F63" s="48" t="str">
        <f>IF('I | Capex forecast'!F63="","",'I | Capex forecast'!F63)</f>
        <v>Replacement</v>
      </c>
      <c r="G63" s="48" t="str">
        <f>IF('I | Capex forecast'!G63="","",'I | Capex forecast'!G63)</f>
        <v>As incurred</v>
      </c>
      <c r="H63" s="48" t="str">
        <f>IF('I | Capex forecast'!H63="","",'I | Capex forecast'!H63)</f>
        <v>FY 26</v>
      </c>
      <c r="I63" s="48" t="str">
        <f>IF('I | Capex forecast'!I63="","",'I | Capex forecast'!I63)</f>
        <v>End-year</v>
      </c>
      <c r="J63" s="50"/>
      <c r="K63" s="52">
        <f>IFERROR(IF($H63="nominal",VLOOKUP($A63,'I | Capex forecast'!$A$11:$AA$160,K$8,0),VLOOKUP($A63,'I | Capex forecast'!$A$11:$AA$160,K$8,0)*INDEX('I | Inflation'!$G$41:$I$43,MATCH($H63,'I | Inflation'!$F$41:$F$43,0),MATCH(K$10,'I | Inflation'!$G$40:$I$40,0))),0)</f>
        <v>50000</v>
      </c>
      <c r="L63" s="52">
        <f>IFERROR(IF($H63="nominal",VLOOKUP($A63,'I | Capex forecast'!$A$11:$AA$160,L$8,0),VLOOKUP($A63,'I | Capex forecast'!$A$11:$AA$160,L$8,0)*INDEX('I | Inflation'!$G$41:$I$43,MATCH($H63,'I | Inflation'!$F$41:$F$43,0),MATCH(L$10,'I | Inflation'!$G$40:$I$40,0))),0)</f>
        <v>785892.64</v>
      </c>
      <c r="M63" s="53"/>
      <c r="N63" s="52">
        <f>K63*VLOOKUP($A63,'I | Capex forecast'!$A$11:$AA$160,21,0)*(HLOOKUP(N$10,'I | Inflation'!$D$57:$J$59,3,0)-1)</f>
        <v>0</v>
      </c>
      <c r="O63" s="52">
        <f>L63*VLOOKUP($A63,'I | Capex forecast'!$A$11:$AA$160,21,0)*(HLOOKUP(O$10,'I | Inflation'!$D$57:$J$59,3,0)-1)</f>
        <v>0</v>
      </c>
      <c r="P63" s="53"/>
      <c r="Q63" s="52"/>
      <c r="R63" s="52"/>
      <c r="S63" s="53"/>
      <c r="T63" s="52"/>
      <c r="U63" s="52"/>
      <c r="V63" s="53"/>
      <c r="W63" s="52"/>
      <c r="X63" s="52"/>
      <c r="Y63" s="53"/>
      <c r="Z63" s="52">
        <f>K63*VLOOKUP($A63,'I | Capex forecast'!$A$11:$AA$160,27,0)</f>
        <v>4500</v>
      </c>
      <c r="AA63" s="52">
        <f>L63*VLOOKUP($A63,'I | Capex forecast'!$A$11:$AA$160,27,0)</f>
        <v>70730.337599999999</v>
      </c>
      <c r="AB63" s="53"/>
      <c r="AC63" s="52">
        <f t="shared" si="5"/>
        <v>54500</v>
      </c>
      <c r="AD63" s="52">
        <f t="shared" si="6"/>
        <v>856622.97759999998</v>
      </c>
      <c r="AE63" s="53"/>
      <c r="AF63" s="52">
        <f>IF(VLOOKUP($A63,'I | Capex forecast'!$A$11:$AA$160,10,0)="Yes",AC63,0)</f>
        <v>0</v>
      </c>
      <c r="AG63" s="52">
        <f>IF(VLOOKUP($A63,'I | Capex forecast'!$A$11:$AA$160,10,0)="Yes",AD63,0)</f>
        <v>0</v>
      </c>
      <c r="AH63" s="53"/>
      <c r="AI63" s="52">
        <f t="shared" si="7"/>
        <v>54500</v>
      </c>
      <c r="AJ63" s="52">
        <f t="shared" si="8"/>
        <v>856622.97759999998</v>
      </c>
    </row>
    <row r="64" spans="1:36" s="4" customFormat="1" x14ac:dyDescent="0.3">
      <c r="A64" s="56">
        <f t="shared" si="9"/>
        <v>54</v>
      </c>
      <c r="B64" s="48" t="str">
        <f>IF('I | Capex forecast'!B64="","",'I | Capex forecast'!B64)</f>
        <v>Ellengrove Reliability - Valve Replacements and Reliability</v>
      </c>
      <c r="C64" s="48" t="str">
        <f>IF('I | Capex forecast'!C64="","",'I | Capex forecast'!C64)</f>
        <v>DN250 Supply Security Project</v>
      </c>
      <c r="D64" s="48" t="str">
        <f>IF('I | Capex forecast'!D64="","",'I | Capex forecast'!D64)</f>
        <v/>
      </c>
      <c r="E64" s="48" t="str">
        <f>IF('I | Capex forecast'!E64="","",'I | Capex forecast'!E64)</f>
        <v>Pipelines</v>
      </c>
      <c r="F64" s="48" t="str">
        <f>IF('I | Capex forecast'!F64="","",'I | Capex forecast'!F64)</f>
        <v>Replacement</v>
      </c>
      <c r="G64" s="48" t="str">
        <f>IF('I | Capex forecast'!G64="","",'I | Capex forecast'!G64)</f>
        <v>As incurred</v>
      </c>
      <c r="H64" s="48" t="str">
        <f>IF('I | Capex forecast'!H64="","",'I | Capex forecast'!H64)</f>
        <v>FY 26</v>
      </c>
      <c r="I64" s="48" t="str">
        <f>IF('I | Capex forecast'!I64="","",'I | Capex forecast'!I64)</f>
        <v>End-year</v>
      </c>
      <c r="J64" s="50"/>
      <c r="K64" s="52">
        <f>IFERROR(IF($H64="nominal",VLOOKUP($A64,'I | Capex forecast'!$A$11:$AA$160,K$8,0),VLOOKUP($A64,'I | Capex forecast'!$A$11:$AA$160,K$8,0)*INDEX('I | Inflation'!$G$41:$I$43,MATCH($H64,'I | Inflation'!$F$41:$F$43,0),MATCH(K$10,'I | Inflation'!$G$40:$I$40,0))),0)</f>
        <v>0</v>
      </c>
      <c r="L64" s="52">
        <f>IFERROR(IF($H64="nominal",VLOOKUP($A64,'I | Capex forecast'!$A$11:$AA$160,L$8,0),VLOOKUP($A64,'I | Capex forecast'!$A$11:$AA$160,L$8,0)*INDEX('I | Inflation'!$G$41:$I$43,MATCH($H64,'I | Inflation'!$F$41:$F$43,0),MATCH(L$10,'I | Inflation'!$G$40:$I$40,0))),0)</f>
        <v>1195633.9720000001</v>
      </c>
      <c r="M64" s="53"/>
      <c r="N64" s="52">
        <f>K64*VLOOKUP($A64,'I | Capex forecast'!$A$11:$AA$160,21,0)*(HLOOKUP(N$10,'I | Inflation'!$D$57:$J$59,3,0)-1)</f>
        <v>0</v>
      </c>
      <c r="O64" s="52">
        <f>L64*VLOOKUP($A64,'I | Capex forecast'!$A$11:$AA$160,21,0)*(HLOOKUP(O$10,'I | Inflation'!$D$57:$J$59,3,0)-1)</f>
        <v>0</v>
      </c>
      <c r="P64" s="53"/>
      <c r="Q64" s="52"/>
      <c r="R64" s="52"/>
      <c r="S64" s="53"/>
      <c r="T64" s="52"/>
      <c r="U64" s="52"/>
      <c r="V64" s="53"/>
      <c r="W64" s="52"/>
      <c r="X64" s="52"/>
      <c r="Y64" s="53"/>
      <c r="Z64" s="52">
        <f>K64*VLOOKUP($A64,'I | Capex forecast'!$A$11:$AA$160,27,0)</f>
        <v>0</v>
      </c>
      <c r="AA64" s="52">
        <f>L64*VLOOKUP($A64,'I | Capex forecast'!$A$11:$AA$160,27,0)</f>
        <v>107607.05748</v>
      </c>
      <c r="AB64" s="53"/>
      <c r="AC64" s="52">
        <f t="shared" si="5"/>
        <v>0</v>
      </c>
      <c r="AD64" s="52">
        <f t="shared" si="6"/>
        <v>1303241.02948</v>
      </c>
      <c r="AE64" s="53"/>
      <c r="AF64" s="52">
        <f>IF(VLOOKUP($A64,'I | Capex forecast'!$A$11:$AA$160,10,0)="Yes",AC64,0)</f>
        <v>0</v>
      </c>
      <c r="AG64" s="52">
        <f>IF(VLOOKUP($A64,'I | Capex forecast'!$A$11:$AA$160,10,0)="Yes",AD64,0)</f>
        <v>0</v>
      </c>
      <c r="AH64" s="53"/>
      <c r="AI64" s="52">
        <f t="shared" si="7"/>
        <v>0</v>
      </c>
      <c r="AJ64" s="52">
        <f t="shared" si="8"/>
        <v>1303241.02948</v>
      </c>
    </row>
    <row r="65" spans="1:36" s="4" customFormat="1" x14ac:dyDescent="0.3">
      <c r="A65" s="56">
        <f t="shared" si="9"/>
        <v>55</v>
      </c>
      <c r="B65" s="48" t="str">
        <f>IF('I | Capex forecast'!B65="","",'I | Capex forecast'!B65)</f>
        <v>DN300 Pig Receiver Safety Upgrades (SEA Compound)</v>
      </c>
      <c r="C65" s="48" t="str">
        <f>IF('I | Capex forecast'!C65="","",'I | Capex forecast'!C65)</f>
        <v>PIG Trap</v>
      </c>
      <c r="D65" s="48" t="str">
        <f>IF('I | Capex forecast'!D65="","",'I | Capex forecast'!D65)</f>
        <v/>
      </c>
      <c r="E65" s="48" t="str">
        <f>IF('I | Capex forecast'!E65="","",'I | Capex forecast'!E65)</f>
        <v>Pipelines</v>
      </c>
      <c r="F65" s="48" t="str">
        <f>IF('I | Capex forecast'!F65="","",'I | Capex forecast'!F65)</f>
        <v>Replacement</v>
      </c>
      <c r="G65" s="48" t="str">
        <f>IF('I | Capex forecast'!G65="","",'I | Capex forecast'!G65)</f>
        <v>As incurred</v>
      </c>
      <c r="H65" s="48" t="str">
        <f>IF('I | Capex forecast'!H65="","",'I | Capex forecast'!H65)</f>
        <v>FY 26</v>
      </c>
      <c r="I65" s="48" t="str">
        <f>IF('I | Capex forecast'!I65="","",'I | Capex forecast'!I65)</f>
        <v>End-year</v>
      </c>
      <c r="J65" s="50"/>
      <c r="K65" s="52">
        <f>IFERROR(IF($H65="nominal",VLOOKUP($A65,'I | Capex forecast'!$A$11:$AA$160,K$8,0),VLOOKUP($A65,'I | Capex forecast'!$A$11:$AA$160,K$8,0)*INDEX('I | Inflation'!$G$41:$I$43,MATCH($H65,'I | Inflation'!$F$41:$F$43,0),MATCH(K$10,'I | Inflation'!$G$40:$I$40,0))),0)</f>
        <v>0</v>
      </c>
      <c r="L65" s="52">
        <f>IFERROR(IF($H65="nominal",VLOOKUP($A65,'I | Capex forecast'!$A$11:$AA$160,L$8,0),VLOOKUP($A65,'I | Capex forecast'!$A$11:$AA$160,L$8,0)*INDEX('I | Inflation'!$G$41:$I$43,MATCH($H65,'I | Inflation'!$F$41:$F$43,0),MATCH(L$10,'I | Inflation'!$G$40:$I$40,0))),0)</f>
        <v>665600</v>
      </c>
      <c r="M65" s="53"/>
      <c r="N65" s="52">
        <f>K65*VLOOKUP($A65,'I | Capex forecast'!$A$11:$AA$160,21,0)*(HLOOKUP(N$10,'I | Inflation'!$D$57:$J$59,3,0)-1)</f>
        <v>0</v>
      </c>
      <c r="O65" s="52">
        <f>L65*VLOOKUP($A65,'I | Capex forecast'!$A$11:$AA$160,21,0)*(HLOOKUP(O$10,'I | Inflation'!$D$57:$J$59,3,0)-1)</f>
        <v>0</v>
      </c>
      <c r="P65" s="53"/>
      <c r="Q65" s="52"/>
      <c r="R65" s="52"/>
      <c r="S65" s="53"/>
      <c r="T65" s="52"/>
      <c r="U65" s="52"/>
      <c r="V65" s="53"/>
      <c r="W65" s="52"/>
      <c r="X65" s="52"/>
      <c r="Y65" s="53"/>
      <c r="Z65" s="52">
        <f>K65*VLOOKUP($A65,'I | Capex forecast'!$A$11:$AA$160,27,0)</f>
        <v>0</v>
      </c>
      <c r="AA65" s="52">
        <f>L65*VLOOKUP($A65,'I | Capex forecast'!$A$11:$AA$160,27,0)</f>
        <v>59904</v>
      </c>
      <c r="AB65" s="53"/>
      <c r="AC65" s="52">
        <f t="shared" si="5"/>
        <v>0</v>
      </c>
      <c r="AD65" s="52">
        <f t="shared" si="6"/>
        <v>725504</v>
      </c>
      <c r="AE65" s="53"/>
      <c r="AF65" s="52">
        <f>IF(VLOOKUP($A65,'I | Capex forecast'!$A$11:$AA$160,10,0)="Yes",AC65,0)</f>
        <v>0</v>
      </c>
      <c r="AG65" s="52">
        <f>IF(VLOOKUP($A65,'I | Capex forecast'!$A$11:$AA$160,10,0)="Yes",AD65,0)</f>
        <v>0</v>
      </c>
      <c r="AH65" s="53"/>
      <c r="AI65" s="52">
        <f t="shared" si="7"/>
        <v>0</v>
      </c>
      <c r="AJ65" s="52">
        <f t="shared" si="8"/>
        <v>725504</v>
      </c>
    </row>
    <row r="66" spans="1:36" s="4" customFormat="1" x14ac:dyDescent="0.3">
      <c r="A66" s="56">
        <f t="shared" si="9"/>
        <v>56</v>
      </c>
      <c r="B66" s="48" t="str">
        <f>IF('I | Capex forecast'!B66="","",'I | Capex forecast'!B66)</f>
        <v>DN300 Metro ILI - MFL Current Period</v>
      </c>
      <c r="C66" s="48" t="str">
        <f>IF('I | Capex forecast'!C66="","",'I | Capex forecast'!C66)</f>
        <v>Pipeline Integrity</v>
      </c>
      <c r="D66" s="48" t="str">
        <f>IF('I | Capex forecast'!D66="","",'I | Capex forecast'!D66)</f>
        <v/>
      </c>
      <c r="E66" s="48" t="str">
        <f>IF('I | Capex forecast'!E66="","",'I | Capex forecast'!E66)</f>
        <v>Pipelines</v>
      </c>
      <c r="F66" s="48" t="str">
        <f>IF('I | Capex forecast'!F66="","",'I | Capex forecast'!F66)</f>
        <v>Replacement</v>
      </c>
      <c r="G66" s="48" t="str">
        <f>IF('I | Capex forecast'!G66="","",'I | Capex forecast'!G66)</f>
        <v>As incurred</v>
      </c>
      <c r="H66" s="48" t="str">
        <f>IF('I | Capex forecast'!H66="","",'I | Capex forecast'!H66)</f>
        <v>FY 26</v>
      </c>
      <c r="I66" s="48" t="str">
        <f>IF('I | Capex forecast'!I66="","",'I | Capex forecast'!I66)</f>
        <v>End-year</v>
      </c>
      <c r="J66" s="50"/>
      <c r="K66" s="52">
        <f>IFERROR(IF($H66="nominal",VLOOKUP($A66,'I | Capex forecast'!$A$11:$AA$160,K$8,0),VLOOKUP($A66,'I | Capex forecast'!$A$11:$AA$160,K$8,0)*INDEX('I | Inflation'!$G$41:$I$43,MATCH($H66,'I | Inflation'!$F$41:$F$43,0),MATCH(K$10,'I | Inflation'!$G$40:$I$40,0))),0)</f>
        <v>0</v>
      </c>
      <c r="L66" s="52">
        <f>IFERROR(IF($H66="nominal",VLOOKUP($A66,'I | Capex forecast'!$A$11:$AA$160,L$8,0),VLOOKUP($A66,'I | Capex forecast'!$A$11:$AA$160,L$8,0)*INDEX('I | Inflation'!$G$41:$I$43,MATCH($H66,'I | Inflation'!$F$41:$F$43,0),MATCH(L$10,'I | Inflation'!$G$40:$I$40,0))),0)</f>
        <v>1560000</v>
      </c>
      <c r="M66" s="53"/>
      <c r="N66" s="52">
        <f>K66*VLOOKUP($A66,'I | Capex forecast'!$A$11:$AA$160,21,0)*(HLOOKUP(N$10,'I | Inflation'!$D$57:$J$59,3,0)-1)</f>
        <v>0</v>
      </c>
      <c r="O66" s="52">
        <f>L66*VLOOKUP($A66,'I | Capex forecast'!$A$11:$AA$160,21,0)*(HLOOKUP(O$10,'I | Inflation'!$D$57:$J$59,3,0)-1)</f>
        <v>0</v>
      </c>
      <c r="P66" s="53"/>
      <c r="Q66" s="52"/>
      <c r="R66" s="52"/>
      <c r="S66" s="53"/>
      <c r="T66" s="52"/>
      <c r="U66" s="52"/>
      <c r="V66" s="53"/>
      <c r="W66" s="52"/>
      <c r="X66" s="52"/>
      <c r="Y66" s="53"/>
      <c r="Z66" s="52">
        <f>K66*VLOOKUP($A66,'I | Capex forecast'!$A$11:$AA$160,27,0)</f>
        <v>0</v>
      </c>
      <c r="AA66" s="52">
        <f>L66*VLOOKUP($A66,'I | Capex forecast'!$A$11:$AA$160,27,0)</f>
        <v>140400</v>
      </c>
      <c r="AB66" s="53"/>
      <c r="AC66" s="52">
        <f t="shared" si="5"/>
        <v>0</v>
      </c>
      <c r="AD66" s="52">
        <f t="shared" si="6"/>
        <v>1700400</v>
      </c>
      <c r="AE66" s="53"/>
      <c r="AF66" s="52">
        <f>IF(VLOOKUP($A66,'I | Capex forecast'!$A$11:$AA$160,10,0)="Yes",AC66,0)</f>
        <v>0</v>
      </c>
      <c r="AG66" s="52">
        <f>IF(VLOOKUP($A66,'I | Capex forecast'!$A$11:$AA$160,10,0)="Yes",AD66,0)</f>
        <v>0</v>
      </c>
      <c r="AH66" s="53"/>
      <c r="AI66" s="52">
        <f t="shared" si="7"/>
        <v>0</v>
      </c>
      <c r="AJ66" s="52">
        <f t="shared" si="8"/>
        <v>1700400</v>
      </c>
    </row>
    <row r="67" spans="1:36" s="4" customFormat="1" x14ac:dyDescent="0.3">
      <c r="A67" s="56">
        <f t="shared" si="9"/>
        <v>57</v>
      </c>
      <c r="B67" s="48" t="str">
        <f>IF('I | Capex forecast'!B67="","",'I | Capex forecast'!B67)</f>
        <v>DN200 Lytton Lateral - ILI - MFL (FY27)</v>
      </c>
      <c r="C67" s="48" t="str">
        <f>IF('I | Capex forecast'!C67="","",'I | Capex forecast'!C67)</f>
        <v>Pipeline Integrity</v>
      </c>
      <c r="D67" s="48" t="str">
        <f>IF('I | Capex forecast'!D67="","",'I | Capex forecast'!D67)</f>
        <v/>
      </c>
      <c r="E67" s="48" t="str">
        <f>IF('I | Capex forecast'!E67="","",'I | Capex forecast'!E67)</f>
        <v>Pipelines</v>
      </c>
      <c r="F67" s="48" t="str">
        <f>IF('I | Capex forecast'!F67="","",'I | Capex forecast'!F67)</f>
        <v>Replacement</v>
      </c>
      <c r="G67" s="48" t="str">
        <f>IF('I | Capex forecast'!G67="","",'I | Capex forecast'!G67)</f>
        <v>As incurred</v>
      </c>
      <c r="H67" s="48" t="str">
        <f>IF('I | Capex forecast'!H67="","",'I | Capex forecast'!H67)</f>
        <v>FY 26</v>
      </c>
      <c r="I67" s="48" t="str">
        <f>IF('I | Capex forecast'!I67="","",'I | Capex forecast'!I67)</f>
        <v>End-year</v>
      </c>
      <c r="J67" s="50"/>
      <c r="K67" s="52">
        <f>IFERROR(IF($H67="nominal",VLOOKUP($A67,'I | Capex forecast'!$A$11:$AA$160,K$8,0),VLOOKUP($A67,'I | Capex forecast'!$A$11:$AA$160,K$8,0)*INDEX('I | Inflation'!$G$41:$I$43,MATCH($H67,'I | Inflation'!$F$41:$F$43,0),MATCH(K$10,'I | Inflation'!$G$40:$I$40,0))),0)</f>
        <v>0</v>
      </c>
      <c r="L67" s="52">
        <f>IFERROR(IF($H67="nominal",VLOOKUP($A67,'I | Capex forecast'!$A$11:$AA$160,L$8,0),VLOOKUP($A67,'I | Capex forecast'!$A$11:$AA$160,L$8,0)*INDEX('I | Inflation'!$G$41:$I$43,MATCH($H67,'I | Inflation'!$F$41:$F$43,0),MATCH(L$10,'I | Inflation'!$G$40:$I$40,0))),0)</f>
        <v>218400</v>
      </c>
      <c r="M67" s="53"/>
      <c r="N67" s="52">
        <f>K67*VLOOKUP($A67,'I | Capex forecast'!$A$11:$AA$160,21,0)*(HLOOKUP(N$10,'I | Inflation'!$D$57:$J$59,3,0)-1)</f>
        <v>0</v>
      </c>
      <c r="O67" s="52">
        <f>L67*VLOOKUP($A67,'I | Capex forecast'!$A$11:$AA$160,21,0)*(HLOOKUP(O$10,'I | Inflation'!$D$57:$J$59,3,0)-1)</f>
        <v>0</v>
      </c>
      <c r="P67" s="53"/>
      <c r="Q67" s="52"/>
      <c r="R67" s="52"/>
      <c r="S67" s="53"/>
      <c r="T67" s="52"/>
      <c r="U67" s="52"/>
      <c r="V67" s="53"/>
      <c r="W67" s="52"/>
      <c r="X67" s="52"/>
      <c r="Y67" s="53"/>
      <c r="Z67" s="52">
        <f>K67*VLOOKUP($A67,'I | Capex forecast'!$A$11:$AA$160,27,0)</f>
        <v>0</v>
      </c>
      <c r="AA67" s="52">
        <f>L67*VLOOKUP($A67,'I | Capex forecast'!$A$11:$AA$160,27,0)</f>
        <v>19656</v>
      </c>
      <c r="AB67" s="53"/>
      <c r="AC67" s="52">
        <f t="shared" si="5"/>
        <v>0</v>
      </c>
      <c r="AD67" s="52">
        <f t="shared" si="6"/>
        <v>238056</v>
      </c>
      <c r="AE67" s="53"/>
      <c r="AF67" s="52">
        <f>IF(VLOOKUP($A67,'I | Capex forecast'!$A$11:$AA$160,10,0)="Yes",AC67,0)</f>
        <v>0</v>
      </c>
      <c r="AG67" s="52">
        <f>IF(VLOOKUP($A67,'I | Capex forecast'!$A$11:$AA$160,10,0)="Yes",AD67,0)</f>
        <v>0</v>
      </c>
      <c r="AH67" s="53"/>
      <c r="AI67" s="52">
        <f t="shared" si="7"/>
        <v>0</v>
      </c>
      <c r="AJ67" s="52">
        <f t="shared" si="8"/>
        <v>238056</v>
      </c>
    </row>
    <row r="68" spans="1:36" s="4" customFormat="1" x14ac:dyDescent="0.3">
      <c r="A68" s="56">
        <v>58</v>
      </c>
      <c r="B68" s="48" t="str">
        <f>IF('I | Capex forecast'!B68="","",'I | Capex forecast'!B68)</f>
        <v>Major Capitalisable Maintenance FY27</v>
      </c>
      <c r="C68" s="48" t="str">
        <f>IF('I | Capex forecast'!C68="","",'I | Capex forecast'!C68)</f>
        <v>Minor Projects</v>
      </c>
      <c r="D68" s="48" t="str">
        <f>IF('I | Capex forecast'!D68="","",'I | Capex forecast'!D68)</f>
        <v/>
      </c>
      <c r="E68" s="48" t="str">
        <f>IF('I | Capex forecast'!E68="","",'I | Capex forecast'!E68)</f>
        <v>SIB capex</v>
      </c>
      <c r="F68" s="48" t="str">
        <f>IF('I | Capex forecast'!F68="","",'I | Capex forecast'!F68)</f>
        <v>Replacement</v>
      </c>
      <c r="G68" s="48" t="str">
        <f>IF('I | Capex forecast'!G68="","",'I | Capex forecast'!G68)</f>
        <v>As incurred</v>
      </c>
      <c r="H68" s="48" t="str">
        <f>IF('I | Capex forecast'!H68="","",'I | Capex forecast'!H68)</f>
        <v>FY 26</v>
      </c>
      <c r="I68" s="48" t="str">
        <f>IF('I | Capex forecast'!I68="","",'I | Capex forecast'!I68)</f>
        <v>End-year</v>
      </c>
      <c r="J68" s="50"/>
      <c r="K68" s="52">
        <f>IFERROR(IF($H68="nominal",VLOOKUP($A68,'I | Capex forecast'!$A$11:$AA$160,K$8,0),VLOOKUP($A68,'I | Capex forecast'!$A$11:$AA$160,K$8,0)*INDEX('I | Inflation'!$G$41:$I$43,MATCH($H68,'I | Inflation'!$F$41:$F$43,0),MATCH(K$10,'I | Inflation'!$G$40:$I$40,0))),0)</f>
        <v>324226.21748695325</v>
      </c>
      <c r="L68" s="52">
        <f>IFERROR(IF($H68="nominal",VLOOKUP($A68,'I | Capex forecast'!$A$11:$AA$160,L$8,0),VLOOKUP($A68,'I | Capex forecast'!$A$11:$AA$160,L$8,0)*INDEX('I | Inflation'!$G$41:$I$43,MATCH($H68,'I | Inflation'!$F$41:$F$43,0),MATCH(L$10,'I | Inflation'!$G$40:$I$40,0))),0)</f>
        <v>337195.2661864314</v>
      </c>
      <c r="M68" s="53"/>
      <c r="N68" s="52">
        <f>K68*VLOOKUP($A68,'I | Capex forecast'!$A$11:$AA$160,21,0)*(HLOOKUP(N$10,'I | Inflation'!$D$57:$J$59,3,0)-1)</f>
        <v>0</v>
      </c>
      <c r="O68" s="52">
        <f>L68*VLOOKUP($A68,'I | Capex forecast'!$A$11:$AA$160,21,0)*(HLOOKUP(O$10,'I | Inflation'!$D$57:$J$59,3,0)-1)</f>
        <v>0</v>
      </c>
      <c r="P68" s="53"/>
      <c r="Q68" s="52"/>
      <c r="R68" s="52"/>
      <c r="S68" s="53"/>
      <c r="T68" s="52"/>
      <c r="U68" s="52"/>
      <c r="V68" s="53"/>
      <c r="W68" s="52"/>
      <c r="X68" s="52"/>
      <c r="Y68" s="53"/>
      <c r="Z68" s="52">
        <f>K68*VLOOKUP($A68,'I | Capex forecast'!$A$11:$AA$160,27,0)</f>
        <v>29180.35957382579</v>
      </c>
      <c r="AA68" s="52">
        <f>L68*VLOOKUP($A68,'I | Capex forecast'!$A$11:$AA$160,27,0)</f>
        <v>30347.573956778826</v>
      </c>
      <c r="AB68" s="53"/>
      <c r="AC68" s="52">
        <f t="shared" si="5"/>
        <v>353406.57706077903</v>
      </c>
      <c r="AD68" s="52">
        <f t="shared" si="6"/>
        <v>367542.84014321025</v>
      </c>
      <c r="AE68" s="53"/>
      <c r="AF68" s="52">
        <f>IF(VLOOKUP($A68,'I | Capex forecast'!$A$11:$AA$160,10,0)="Yes",AC68,0)</f>
        <v>0</v>
      </c>
      <c r="AG68" s="52">
        <f>IF(VLOOKUP($A68,'I | Capex forecast'!$A$11:$AA$160,10,0)="Yes",AD68,0)</f>
        <v>0</v>
      </c>
      <c r="AH68" s="53"/>
      <c r="AI68" s="52">
        <f t="shared" si="7"/>
        <v>353406.57706077903</v>
      </c>
      <c r="AJ68" s="52">
        <f t="shared" si="8"/>
        <v>367542.84014321025</v>
      </c>
    </row>
    <row r="69" spans="1:36" s="4" customFormat="1" x14ac:dyDescent="0.3">
      <c r="A69" s="56">
        <v>59</v>
      </c>
      <c r="B69" s="48" t="str">
        <f>IF('I | Capex forecast'!B69="","",'I | Capex forecast'!B69)</f>
        <v>Ellengrove - add BPCS loop</v>
      </c>
      <c r="C69" s="48" t="str">
        <f>IF('I | Capex forecast'!C69="","",'I | Capex forecast'!C69)</f>
        <v>Ellengrove Safety</v>
      </c>
      <c r="D69" s="48" t="str">
        <f>IF('I | Capex forecast'!D69="","",'I | Capex forecast'!D69)</f>
        <v/>
      </c>
      <c r="E69" s="48" t="str">
        <f>IF('I | Capex forecast'!E69="","",'I | Capex forecast'!E69)</f>
        <v>Regulators and meters</v>
      </c>
      <c r="F69" s="48" t="str">
        <f>IF('I | Capex forecast'!F69="","",'I | Capex forecast'!F69)</f>
        <v>Replacement</v>
      </c>
      <c r="G69" s="48" t="str">
        <f>IF('I | Capex forecast'!G69="","",'I | Capex forecast'!G69)</f>
        <v>As incurred</v>
      </c>
      <c r="H69" s="48" t="str">
        <f>IF('I | Capex forecast'!H69="","",'I | Capex forecast'!H69)</f>
        <v>FY 26</v>
      </c>
      <c r="I69" s="48" t="str">
        <f>IF('I | Capex forecast'!I69="","",'I | Capex forecast'!I69)</f>
        <v>End-year</v>
      </c>
      <c r="J69" s="50"/>
      <c r="K69" s="52">
        <f>IFERROR(IF($H69="nominal",VLOOKUP($A69,'I | Capex forecast'!$A$11:$AA$160,K$8,0),VLOOKUP($A69,'I | Capex forecast'!$A$11:$AA$160,K$8,0)*INDEX('I | Inflation'!$G$41:$I$43,MATCH($H69,'I | Inflation'!$F$41:$F$43,0),MATCH(K$10,'I | Inflation'!$G$40:$I$40,0))),0)</f>
        <v>547600</v>
      </c>
      <c r="L69" s="52">
        <f>IFERROR(IF($H69="nominal",VLOOKUP($A69,'I | Capex forecast'!$A$11:$AA$160,L$8,0),VLOOKUP($A69,'I | Capex forecast'!$A$11:$AA$160,L$8,0)*INDEX('I | Inflation'!$G$41:$I$43,MATCH($H69,'I | Inflation'!$F$41:$F$43,0),MATCH(L$10,'I | Inflation'!$G$40:$I$40,0))),0)</f>
        <v>0</v>
      </c>
      <c r="M69" s="53"/>
      <c r="N69" s="52">
        <f>K69*VLOOKUP($A69,'I | Capex forecast'!$A$11:$AA$160,21,0)*(HLOOKUP(N$10,'I | Inflation'!$D$57:$J$59,3,0)-1)</f>
        <v>0</v>
      </c>
      <c r="O69" s="52">
        <f>L69*VLOOKUP($A69,'I | Capex forecast'!$A$11:$AA$160,21,0)*(HLOOKUP(O$10,'I | Inflation'!$D$57:$J$59,3,0)-1)</f>
        <v>0</v>
      </c>
      <c r="P69" s="53"/>
      <c r="Q69" s="52"/>
      <c r="R69" s="52"/>
      <c r="S69" s="53"/>
      <c r="T69" s="52"/>
      <c r="U69" s="52"/>
      <c r="V69" s="53"/>
      <c r="W69" s="52"/>
      <c r="X69" s="52"/>
      <c r="Y69" s="53"/>
      <c r="Z69" s="52">
        <f>K69*VLOOKUP($A69,'I | Capex forecast'!$A$11:$AA$160,27,0)</f>
        <v>49284</v>
      </c>
      <c r="AA69" s="52">
        <f>L69*VLOOKUP($A69,'I | Capex forecast'!$A$11:$AA$160,27,0)</f>
        <v>0</v>
      </c>
      <c r="AB69" s="53"/>
      <c r="AC69" s="52">
        <f t="shared" si="5"/>
        <v>596884</v>
      </c>
      <c r="AD69" s="52">
        <f t="shared" si="6"/>
        <v>0</v>
      </c>
      <c r="AE69" s="53"/>
      <c r="AF69" s="52">
        <f>IF(VLOOKUP($A69,'I | Capex forecast'!$A$11:$AA$160,10,0)="Yes",AC69,0)</f>
        <v>0</v>
      </c>
      <c r="AG69" s="52">
        <f>IF(VLOOKUP($A69,'I | Capex forecast'!$A$11:$AA$160,10,0)="Yes",AD69,0)</f>
        <v>0</v>
      </c>
      <c r="AH69" s="53"/>
      <c r="AI69" s="52">
        <f t="shared" si="7"/>
        <v>596884</v>
      </c>
      <c r="AJ69" s="52">
        <f t="shared" si="8"/>
        <v>0</v>
      </c>
    </row>
    <row r="70" spans="1:36" s="4" customFormat="1" x14ac:dyDescent="0.3">
      <c r="A70" s="56">
        <v>60</v>
      </c>
      <c r="B70" s="48" t="str">
        <f>IF('I | Capex forecast'!B70="","",'I | Capex forecast'!B70)</f>
        <v>Mech - DN250 Supply Security Project Phase 2</v>
      </c>
      <c r="C70" s="48" t="str">
        <f>IF('I | Capex forecast'!C70="","",'I | Capex forecast'!C70)</f>
        <v>DN250 Supply Security Project</v>
      </c>
      <c r="D70" s="48" t="str">
        <f>IF('I | Capex forecast'!D70="","",'I | Capex forecast'!D70)</f>
        <v/>
      </c>
      <c r="E70" s="48" t="str">
        <f>IF('I | Capex forecast'!E70="","",'I | Capex forecast'!E70)</f>
        <v>Pipelines</v>
      </c>
      <c r="F70" s="48" t="str">
        <f>IF('I | Capex forecast'!F70="","",'I | Capex forecast'!F70)</f>
        <v>Replacement</v>
      </c>
      <c r="G70" s="48" t="str">
        <f>IF('I | Capex forecast'!G70="","",'I | Capex forecast'!G70)</f>
        <v>As incurred</v>
      </c>
      <c r="H70" s="48" t="str">
        <f>IF('I | Capex forecast'!H70="","",'I | Capex forecast'!H70)</f>
        <v>FY 26</v>
      </c>
      <c r="I70" s="48" t="str">
        <f>IF('I | Capex forecast'!I70="","",'I | Capex forecast'!I70)</f>
        <v>End-year</v>
      </c>
      <c r="J70" s="50"/>
      <c r="K70" s="52">
        <f>IFERROR(IF($H70="nominal",VLOOKUP($A70,'I | Capex forecast'!$A$11:$AA$160,K$8,0),VLOOKUP($A70,'I | Capex forecast'!$A$11:$AA$160,K$8,0)*INDEX('I | Inflation'!$G$41:$I$43,MATCH($H70,'I | Inflation'!$F$41:$F$43,0),MATCH(K$10,'I | Inflation'!$G$40:$I$40,0))),0)</f>
        <v>493</v>
      </c>
      <c r="L70" s="52">
        <f>IFERROR(IF($H70="nominal",VLOOKUP($A70,'I | Capex forecast'!$A$11:$AA$160,L$8,0),VLOOKUP($A70,'I | Capex forecast'!$A$11:$AA$160,L$8,0)*INDEX('I | Inflation'!$G$41:$I$43,MATCH($H70,'I | Inflation'!$F$41:$F$43,0),MATCH(L$10,'I | Inflation'!$G$40:$I$40,0))),0)</f>
        <v>0</v>
      </c>
      <c r="M70" s="53"/>
      <c r="N70" s="52">
        <f>K70*VLOOKUP($A70,'I | Capex forecast'!$A$11:$AA$160,21,0)*(HLOOKUP(N$10,'I | Inflation'!$D$57:$J$59,3,0)-1)</f>
        <v>0</v>
      </c>
      <c r="O70" s="52">
        <f>L70*VLOOKUP($A70,'I | Capex forecast'!$A$11:$AA$160,21,0)*(HLOOKUP(O$10,'I | Inflation'!$D$57:$J$59,3,0)-1)</f>
        <v>0</v>
      </c>
      <c r="P70" s="53"/>
      <c r="Q70" s="52"/>
      <c r="R70" s="52"/>
      <c r="S70" s="53"/>
      <c r="T70" s="52"/>
      <c r="U70" s="52"/>
      <c r="V70" s="53"/>
      <c r="W70" s="52"/>
      <c r="X70" s="52"/>
      <c r="Y70" s="53"/>
      <c r="Z70" s="52">
        <f>K70*VLOOKUP($A70,'I | Capex forecast'!$A$11:$AA$160,27,0)</f>
        <v>44.37</v>
      </c>
      <c r="AA70" s="52">
        <f>L70*VLOOKUP($A70,'I | Capex forecast'!$A$11:$AA$160,27,0)</f>
        <v>0</v>
      </c>
      <c r="AB70" s="53"/>
      <c r="AC70" s="52">
        <f t="shared" si="5"/>
        <v>537.37</v>
      </c>
      <c r="AD70" s="52">
        <f t="shared" si="6"/>
        <v>0</v>
      </c>
      <c r="AE70" s="53"/>
      <c r="AF70" s="52">
        <f>IF(VLOOKUP($A70,'I | Capex forecast'!$A$11:$AA$160,10,0)="Yes",AC70,0)</f>
        <v>0</v>
      </c>
      <c r="AG70" s="52">
        <f>IF(VLOOKUP($A70,'I | Capex forecast'!$A$11:$AA$160,10,0)="Yes",AD70,0)</f>
        <v>0</v>
      </c>
      <c r="AH70" s="53"/>
      <c r="AI70" s="52">
        <f t="shared" si="7"/>
        <v>537.37</v>
      </c>
      <c r="AJ70" s="52">
        <f t="shared" si="8"/>
        <v>0</v>
      </c>
    </row>
    <row r="71" spans="1:36" s="4" customFormat="1" x14ac:dyDescent="0.3">
      <c r="A71" s="56">
        <v>61</v>
      </c>
      <c r="B71" s="48" t="str">
        <f>IF('I | Capex forecast'!B71="","",'I | Capex forecast'!B71)</f>
        <v>CP Upgrade DN300 (Eight Mile Plains)</v>
      </c>
      <c r="C71" s="48" t="str">
        <f>IF('I | Capex forecast'!C71="","",'I | Capex forecast'!C71)</f>
        <v>Pipeline Integrity</v>
      </c>
      <c r="D71" s="48" t="str">
        <f>IF('I | Capex forecast'!D71="","",'I | Capex forecast'!D71)</f>
        <v/>
      </c>
      <c r="E71" s="48" t="str">
        <f>IF('I | Capex forecast'!E71="","",'I | Capex forecast'!E71)</f>
        <v>Pipelines</v>
      </c>
      <c r="F71" s="48" t="str">
        <f>IF('I | Capex forecast'!F71="","",'I | Capex forecast'!F71)</f>
        <v>Replacement</v>
      </c>
      <c r="G71" s="48" t="str">
        <f>IF('I | Capex forecast'!G71="","",'I | Capex forecast'!G71)</f>
        <v>As incurred</v>
      </c>
      <c r="H71" s="48" t="str">
        <f>IF('I | Capex forecast'!H71="","",'I | Capex forecast'!H71)</f>
        <v>FY 26</v>
      </c>
      <c r="I71" s="48" t="str">
        <f>IF('I | Capex forecast'!I71="","",'I | Capex forecast'!I71)</f>
        <v>End-year</v>
      </c>
      <c r="J71" s="50"/>
      <c r="K71" s="52">
        <f>IFERROR(IF($H71="nominal",VLOOKUP($A71,'I | Capex forecast'!$A$11:$AA$160,K$8,0),VLOOKUP($A71,'I | Capex forecast'!$A$11:$AA$160,K$8,0)*INDEX('I | Inflation'!$G$41:$I$43,MATCH($H71,'I | Inflation'!$F$41:$F$43,0),MATCH(K$10,'I | Inflation'!$G$40:$I$40,0))),0)</f>
        <v>100000</v>
      </c>
      <c r="L71" s="52">
        <f>IFERROR(IF($H71="nominal",VLOOKUP($A71,'I | Capex forecast'!$A$11:$AA$160,L$8,0),VLOOKUP($A71,'I | Capex forecast'!$A$11:$AA$160,L$8,0)*INDEX('I | Inflation'!$G$41:$I$43,MATCH($H71,'I | Inflation'!$F$41:$F$43,0),MATCH(L$10,'I | Inflation'!$G$40:$I$40,0))),0)</f>
        <v>0</v>
      </c>
      <c r="M71" s="53"/>
      <c r="N71" s="52">
        <f>K71*VLOOKUP($A71,'I | Capex forecast'!$A$11:$AA$160,21,0)*(HLOOKUP(N$10,'I | Inflation'!$D$57:$J$59,3,0)-1)</f>
        <v>0</v>
      </c>
      <c r="O71" s="52">
        <f>L71*VLOOKUP($A71,'I | Capex forecast'!$A$11:$AA$160,21,0)*(HLOOKUP(O$10,'I | Inflation'!$D$57:$J$59,3,0)-1)</f>
        <v>0</v>
      </c>
      <c r="P71" s="53"/>
      <c r="Q71" s="52"/>
      <c r="R71" s="52"/>
      <c r="S71" s="53"/>
      <c r="T71" s="52"/>
      <c r="U71" s="52"/>
      <c r="V71" s="53"/>
      <c r="W71" s="52"/>
      <c r="X71" s="52"/>
      <c r="Y71" s="53"/>
      <c r="Z71" s="52">
        <f>K71*VLOOKUP($A71,'I | Capex forecast'!$A$11:$AA$160,27,0)</f>
        <v>9000</v>
      </c>
      <c r="AA71" s="52">
        <f>L71*VLOOKUP($A71,'I | Capex forecast'!$A$11:$AA$160,27,0)</f>
        <v>0</v>
      </c>
      <c r="AB71" s="53"/>
      <c r="AC71" s="52">
        <f t="shared" si="5"/>
        <v>109000</v>
      </c>
      <c r="AD71" s="52">
        <f t="shared" si="6"/>
        <v>0</v>
      </c>
      <c r="AE71" s="53"/>
      <c r="AF71" s="52">
        <f>IF(VLOOKUP($A71,'I | Capex forecast'!$A$11:$AA$160,10,0)="Yes",AC71,0)</f>
        <v>0</v>
      </c>
      <c r="AG71" s="52">
        <f>IF(VLOOKUP($A71,'I | Capex forecast'!$A$11:$AA$160,10,0)="Yes",AD71,0)</f>
        <v>0</v>
      </c>
      <c r="AH71" s="53"/>
      <c r="AI71" s="52">
        <f t="shared" si="7"/>
        <v>109000</v>
      </c>
      <c r="AJ71" s="52">
        <f t="shared" si="8"/>
        <v>0</v>
      </c>
    </row>
    <row r="72" spans="1:36" s="4" customFormat="1" x14ac:dyDescent="0.3">
      <c r="A72" s="56">
        <v>62</v>
      </c>
      <c r="B72" s="48"/>
      <c r="C72" s="48"/>
      <c r="D72" s="48"/>
      <c r="E72" s="48"/>
      <c r="F72" s="48"/>
      <c r="G72" s="48"/>
      <c r="H72" s="48"/>
      <c r="I72" s="48"/>
      <c r="J72" s="50"/>
      <c r="K72" s="52">
        <f>IFERROR(IF($H72="nominal",VLOOKUP($A72,'I | Capex forecast'!$A$11:$AA$160,K$8,0),VLOOKUP($A72,'I | Capex forecast'!$A$11:$AA$160,K$8,0)*INDEX('I | Inflation'!$G$41:$I$43,MATCH($H72,'I | Inflation'!$F$41:$F$43,0),MATCH(K$10,'I | Inflation'!$G$40:$I$40,0))),0)</f>
        <v>0</v>
      </c>
      <c r="L72" s="52">
        <f>IFERROR(IF($H72="nominal",VLOOKUP($A72,'I | Capex forecast'!$A$11:$AA$160,L$8,0),VLOOKUP($A72,'I | Capex forecast'!$A$11:$AA$160,L$8,0)*INDEX('I | Inflation'!$G$41:$I$42,MATCH($H72,'I | Inflation'!$F$41:$F$42,0),MATCH(L$10,'I | Inflation'!$G$40:$I$40,0))),0)</f>
        <v>0</v>
      </c>
      <c r="M72" s="53"/>
      <c r="N72" s="52">
        <f>K72*VLOOKUP($A72,'I | Capex forecast'!$A$11:$AA$160,21,0)*(HLOOKUP(N$10,'I | Inflation'!$D$57:$J$59,3,0)-1)</f>
        <v>0</v>
      </c>
      <c r="O72" s="52">
        <f>L72*VLOOKUP($A72,'I | Capex forecast'!$A$11:$AA$160,21,0)*(HLOOKUP(O$10,'I | Inflation'!$D$57:$J$59,3,0)-1)</f>
        <v>0</v>
      </c>
      <c r="P72" s="53"/>
      <c r="Q72" s="52"/>
      <c r="R72" s="52"/>
      <c r="S72" s="53"/>
      <c r="T72" s="52"/>
      <c r="U72" s="52"/>
      <c r="V72" s="53"/>
      <c r="W72" s="52"/>
      <c r="X72" s="52"/>
      <c r="Y72" s="53"/>
      <c r="Z72" s="52">
        <f>K72*VLOOKUP($A72,'I | Capex forecast'!$A$11:$AA$160,27,0)</f>
        <v>0</v>
      </c>
      <c r="AA72" s="52">
        <f>L72*VLOOKUP($A72,'I | Capex forecast'!$A$11:$AA$160,27,0)</f>
        <v>0</v>
      </c>
      <c r="AB72" s="53"/>
      <c r="AC72" s="52">
        <f t="shared" si="5"/>
        <v>0</v>
      </c>
      <c r="AD72" s="52">
        <f t="shared" si="6"/>
        <v>0</v>
      </c>
      <c r="AE72" s="53"/>
      <c r="AF72" s="52">
        <f>IF(VLOOKUP($A72,'I | Capex forecast'!$A$11:$AA$160,10,0)="Yes",AC72,0)</f>
        <v>0</v>
      </c>
      <c r="AG72" s="52">
        <f>IF(VLOOKUP($A72,'I | Capex forecast'!$A$11:$AA$160,10,0)="Yes",AD72,0)</f>
        <v>0</v>
      </c>
      <c r="AH72" s="53"/>
      <c r="AI72" s="52">
        <f t="shared" si="7"/>
        <v>0</v>
      </c>
      <c r="AJ72" s="52">
        <f t="shared" si="8"/>
        <v>0</v>
      </c>
    </row>
    <row r="73" spans="1:36" s="4" customFormat="1" x14ac:dyDescent="0.3">
      <c r="A73" s="56">
        <v>63</v>
      </c>
      <c r="B73" s="48"/>
      <c r="C73" s="48"/>
      <c r="D73" s="48"/>
      <c r="E73" s="48"/>
      <c r="F73" s="48"/>
      <c r="G73" s="48"/>
      <c r="H73" s="48"/>
      <c r="I73" s="48"/>
      <c r="J73" s="50"/>
      <c r="K73" s="52">
        <f>IFERROR(IF($H73="nominal",VLOOKUP($A73,'I | Capex forecast'!$A$11:$AA$160,K$8,0),VLOOKUP($A73,'I | Capex forecast'!$A$11:$AA$160,K$8,0)*INDEX('I | Inflation'!$G$41:$I$43,MATCH($H73,'I | Inflation'!$F$41:$F$43,0),MATCH(K$10,'I | Inflation'!$G$40:$I$40,0))),0)</f>
        <v>0</v>
      </c>
      <c r="L73" s="52">
        <f>IFERROR(IF($H73="nominal",VLOOKUP($A73,'I | Capex forecast'!$A$11:$AA$160,L$8,0),VLOOKUP($A73,'I | Capex forecast'!$A$11:$AA$160,L$8,0)*INDEX('I | Inflation'!$G$41:$I$42,MATCH($H73,'I | Inflation'!$F$41:$F$42,0),MATCH(L$10,'I | Inflation'!$G$40:$I$40,0))),0)</f>
        <v>0</v>
      </c>
      <c r="M73" s="53"/>
      <c r="N73" s="52">
        <f>K73*VLOOKUP($A73,'I | Capex forecast'!$A$11:$AA$160,21,0)*(HLOOKUP(N$10,'I | Inflation'!$D$57:$J$59,3,0)-1)</f>
        <v>0</v>
      </c>
      <c r="O73" s="52">
        <f>L73*VLOOKUP($A73,'I | Capex forecast'!$A$11:$AA$160,21,0)*(HLOOKUP(O$10,'I | Inflation'!$D$57:$J$59,3,0)-1)</f>
        <v>0</v>
      </c>
      <c r="P73" s="53"/>
      <c r="Q73" s="52"/>
      <c r="R73" s="52"/>
      <c r="S73" s="53"/>
      <c r="T73" s="52"/>
      <c r="U73" s="52"/>
      <c r="V73" s="53"/>
      <c r="W73" s="52"/>
      <c r="X73" s="52"/>
      <c r="Y73" s="53"/>
      <c r="Z73" s="52">
        <f>K73*VLOOKUP($A73,'I | Capex forecast'!$A$11:$AA$160,27,0)</f>
        <v>0</v>
      </c>
      <c r="AA73" s="52">
        <f>L73*VLOOKUP($A73,'I | Capex forecast'!$A$11:$AA$160,27,0)</f>
        <v>0</v>
      </c>
      <c r="AB73" s="53"/>
      <c r="AC73" s="52">
        <f t="shared" si="5"/>
        <v>0</v>
      </c>
      <c r="AD73" s="52">
        <f t="shared" si="6"/>
        <v>0</v>
      </c>
      <c r="AE73" s="53"/>
      <c r="AF73" s="52">
        <f>IF(VLOOKUP($A73,'I | Capex forecast'!$A$11:$AA$160,10,0)="Yes",AC73,0)</f>
        <v>0</v>
      </c>
      <c r="AG73" s="52">
        <f>IF(VLOOKUP($A73,'I | Capex forecast'!$A$11:$AA$160,10,0)="Yes",AD73,0)</f>
        <v>0</v>
      </c>
      <c r="AH73" s="53"/>
      <c r="AI73" s="52">
        <f t="shared" si="7"/>
        <v>0</v>
      </c>
      <c r="AJ73" s="52">
        <f t="shared" si="8"/>
        <v>0</v>
      </c>
    </row>
    <row r="74" spans="1:36" s="4" customFormat="1" x14ac:dyDescent="0.3">
      <c r="A74" s="56">
        <v>64</v>
      </c>
      <c r="B74" s="48" t="str">
        <f>IF('I | Capex forecast'!B75="","",'I | Capex forecast'!B75)</f>
        <v/>
      </c>
      <c r="C74" s="48" t="str">
        <f>IF('I | Capex forecast'!C75="","",'I | Capex forecast'!C75)</f>
        <v/>
      </c>
      <c r="D74" s="48" t="str">
        <f>IF('I | Capex forecast'!D77="","",'I | Capex forecast'!D77)</f>
        <v/>
      </c>
      <c r="E74" s="48" t="str">
        <f>IF('I | Capex forecast'!E75="","",'I | Capex forecast'!E75)</f>
        <v/>
      </c>
      <c r="F74" s="48" t="str">
        <f>IF('I | Capex forecast'!F75="","",'I | Capex forecast'!F75)</f>
        <v/>
      </c>
      <c r="G74" s="48" t="str">
        <f>IF('I | Capex forecast'!G75="","",'I | Capex forecast'!G75)</f>
        <v/>
      </c>
      <c r="H74" s="48" t="str">
        <f>IF('I | Capex forecast'!H75="","",'I | Capex forecast'!H75)</f>
        <v/>
      </c>
      <c r="I74" s="48" t="str">
        <f>IF('I | Capex forecast'!I75="","",'I | Capex forecast'!I75)</f>
        <v/>
      </c>
      <c r="J74" s="50"/>
      <c r="K74" s="52">
        <f>IFERROR(IF($H74="nominal",VLOOKUP($A74,'I | Capex forecast'!$A$11:$AA$160,K$8,0),VLOOKUP($A74,'I | Capex forecast'!$A$11:$AA$160,K$8,0)*INDEX('I | Inflation'!$G$41:$I$43,MATCH($H74,'I | Inflation'!$F$41:$F$43,0),MATCH(K$10,'I | Inflation'!$G$40:$I$40,0))),0)</f>
        <v>0</v>
      </c>
      <c r="L74" s="52">
        <f>IFERROR(IF($H74="nominal",VLOOKUP($A74,'I | Capex forecast'!$A$11:$AA$160,L$8,0),VLOOKUP($A74,'I | Capex forecast'!$A$11:$AA$160,L$8,0)*INDEX('I | Inflation'!$G$41:$I$42,MATCH($H74,'I | Inflation'!$F$41:$F$42,0),MATCH(L$10,'I | Inflation'!$G$40:$I$40,0))),0)</f>
        <v>0</v>
      </c>
      <c r="M74" s="53"/>
      <c r="N74" s="52">
        <f>K74*VLOOKUP($A74,'I | Capex forecast'!$A$11:$AA$160,21,0)*(HLOOKUP(N$10,'I | Inflation'!$D$57:$J$59,3,0)-1)</f>
        <v>0</v>
      </c>
      <c r="O74" s="52">
        <f>L74*VLOOKUP($A74,'I | Capex forecast'!$A$11:$AA$160,21,0)*(HLOOKUP(O$10,'I | Inflation'!$D$57:$J$59,3,0)-1)</f>
        <v>0</v>
      </c>
      <c r="P74" s="53"/>
      <c r="Q74" s="52"/>
      <c r="R74" s="52"/>
      <c r="S74" s="53"/>
      <c r="T74" s="52"/>
      <c r="U74" s="52"/>
      <c r="V74" s="53"/>
      <c r="W74" s="52"/>
      <c r="X74" s="52"/>
      <c r="Y74" s="53"/>
      <c r="Z74" s="52">
        <f>K74*VLOOKUP($A74,'I | Capex forecast'!$A$11:$AA$160,27,0)</f>
        <v>0</v>
      </c>
      <c r="AA74" s="52">
        <f>L74*VLOOKUP($A74,'I | Capex forecast'!$A$11:$AA$160,27,0)</f>
        <v>0</v>
      </c>
      <c r="AB74" s="53"/>
      <c r="AC74" s="52">
        <f t="shared" si="5"/>
        <v>0</v>
      </c>
      <c r="AD74" s="52">
        <f t="shared" si="6"/>
        <v>0</v>
      </c>
      <c r="AE74" s="53"/>
      <c r="AF74" s="52">
        <f>IF(VLOOKUP($A74,'I | Capex forecast'!$A$11:$AA$160,10,0)="Yes",AC74,0)</f>
        <v>0</v>
      </c>
      <c r="AG74" s="52">
        <f>IF(VLOOKUP($A74,'I | Capex forecast'!$A$11:$AA$160,10,0)="Yes",AD74,0)</f>
        <v>0</v>
      </c>
      <c r="AH74" s="53"/>
      <c r="AI74" s="52">
        <f t="shared" si="7"/>
        <v>0</v>
      </c>
      <c r="AJ74" s="52">
        <f t="shared" si="8"/>
        <v>0</v>
      </c>
    </row>
    <row r="75" spans="1:36" s="4" customFormat="1" x14ac:dyDescent="0.3">
      <c r="A75" s="56">
        <v>65</v>
      </c>
      <c r="B75" s="48" t="str">
        <f>IF('I | Capex forecast'!B76="","",'I | Capex forecast'!B76)</f>
        <v/>
      </c>
      <c r="C75" s="48" t="str">
        <f>IF('I | Capex forecast'!C76="","",'I | Capex forecast'!C76)</f>
        <v/>
      </c>
      <c r="D75" s="48" t="str">
        <f>IF('I | Capex forecast'!D78="","",'I | Capex forecast'!D78)</f>
        <v/>
      </c>
      <c r="E75" s="48" t="str">
        <f>IF('I | Capex forecast'!E76="","",'I | Capex forecast'!E76)</f>
        <v/>
      </c>
      <c r="F75" s="48" t="str">
        <f>IF('I | Capex forecast'!F76="","",'I | Capex forecast'!F76)</f>
        <v/>
      </c>
      <c r="G75" s="48" t="str">
        <f>IF('I | Capex forecast'!G76="","",'I | Capex forecast'!G76)</f>
        <v/>
      </c>
      <c r="H75" s="48" t="str">
        <f>IF('I | Capex forecast'!H76="","",'I | Capex forecast'!H76)</f>
        <v/>
      </c>
      <c r="I75" s="48" t="str">
        <f>IF('I | Capex forecast'!I76="","",'I | Capex forecast'!I76)</f>
        <v/>
      </c>
      <c r="J75" s="50"/>
      <c r="K75" s="52">
        <f>IFERROR(IF($H75="nominal",VLOOKUP($A75,'I | Capex forecast'!$A$11:$AA$160,K$8,0),VLOOKUP($A75,'I | Capex forecast'!$A$11:$AA$160,K$8,0)*INDEX('I | Inflation'!$G$41:$I$43,MATCH($H75,'I | Inflation'!$F$41:$F$43,0),MATCH(K$10,'I | Inflation'!$G$40:$I$40,0))),0)</f>
        <v>0</v>
      </c>
      <c r="L75" s="52">
        <f>IFERROR(IF($H75="nominal",VLOOKUP($A75,'I | Capex forecast'!$A$11:$AA$160,L$8,0),VLOOKUP($A75,'I | Capex forecast'!$A$11:$AA$160,L$8,0)*INDEX('I | Inflation'!$G$41:$I$42,MATCH($H75,'I | Inflation'!$F$41:$F$42,0),MATCH(L$10,'I | Inflation'!$G$40:$I$40,0))),0)</f>
        <v>0</v>
      </c>
      <c r="M75" s="53"/>
      <c r="N75" s="52">
        <f>K75*VLOOKUP($A75,'I | Capex forecast'!$A$11:$AA$160,21,0)*(HLOOKUP(N$10,'I | Inflation'!$D$57:$J$59,3,0)-1)</f>
        <v>0</v>
      </c>
      <c r="O75" s="52">
        <f>L75*VLOOKUP($A75,'I | Capex forecast'!$A$11:$AA$160,21,0)*(HLOOKUP(O$10,'I | Inflation'!$D$57:$J$59,3,0)-1)</f>
        <v>0</v>
      </c>
      <c r="P75" s="53"/>
      <c r="Q75" s="52"/>
      <c r="R75" s="52"/>
      <c r="S75" s="53"/>
      <c r="T75" s="52"/>
      <c r="U75" s="52"/>
      <c r="V75" s="53"/>
      <c r="W75" s="52"/>
      <c r="X75" s="52"/>
      <c r="Y75" s="53"/>
      <c r="Z75" s="52">
        <f>K75*VLOOKUP($A75,'I | Capex forecast'!$A$11:$AA$160,27,0)</f>
        <v>0</v>
      </c>
      <c r="AA75" s="52">
        <f>L75*VLOOKUP($A75,'I | Capex forecast'!$A$11:$AA$160,27,0)</f>
        <v>0</v>
      </c>
      <c r="AB75" s="53"/>
      <c r="AC75" s="52">
        <f t="shared" ref="AC75:AC106" si="10">K75+N75+Q75+T75+W75+Z75</f>
        <v>0</v>
      </c>
      <c r="AD75" s="52">
        <f t="shared" ref="AD75:AD106" si="11">L75+O75+R75+U75+X75+AA75</f>
        <v>0</v>
      </c>
      <c r="AE75" s="53"/>
      <c r="AF75" s="52">
        <f>IF(VLOOKUP($A75,'I | Capex forecast'!$A$11:$AA$160,10,0)="Yes",AC75,0)</f>
        <v>0</v>
      </c>
      <c r="AG75" s="52">
        <f>IF(VLOOKUP($A75,'I | Capex forecast'!$A$11:$AA$160,10,0)="Yes",AD75,0)</f>
        <v>0</v>
      </c>
      <c r="AH75" s="53"/>
      <c r="AI75" s="52">
        <f t="shared" ref="AI75:AI106" si="12">IF($G75="As incurred",AC75,IF($G75=AI$10,$AC75+$AD75,0))</f>
        <v>0</v>
      </c>
      <c r="AJ75" s="52">
        <f t="shared" ref="AJ75:AJ106" si="13">IF($G75="As incurred",AD75,IF($G75=AJ$10,$AC75+$AD75,0))</f>
        <v>0</v>
      </c>
    </row>
    <row r="76" spans="1:36" s="4" customFormat="1" x14ac:dyDescent="0.3">
      <c r="A76" s="56">
        <v>66</v>
      </c>
      <c r="B76" s="48" t="str">
        <f>IF('I | Capex forecast'!B77="","",'I | Capex forecast'!B77)</f>
        <v/>
      </c>
      <c r="C76" s="48" t="str">
        <f>IF('I | Capex forecast'!C77="","",'I | Capex forecast'!C77)</f>
        <v/>
      </c>
      <c r="D76" s="48" t="str">
        <f>IF('I | Capex forecast'!D79="","",'I | Capex forecast'!D79)</f>
        <v/>
      </c>
      <c r="E76" s="48" t="str">
        <f>IF('I | Capex forecast'!E77="","",'I | Capex forecast'!E77)</f>
        <v/>
      </c>
      <c r="F76" s="48" t="str">
        <f>IF('I | Capex forecast'!F77="","",'I | Capex forecast'!F77)</f>
        <v/>
      </c>
      <c r="G76" s="48" t="str">
        <f>IF('I | Capex forecast'!G77="","",'I | Capex forecast'!G77)</f>
        <v/>
      </c>
      <c r="H76" s="48" t="str">
        <f>IF('I | Capex forecast'!H77="","",'I | Capex forecast'!H77)</f>
        <v/>
      </c>
      <c r="I76" s="48" t="str">
        <f>IF('I | Capex forecast'!I77="","",'I | Capex forecast'!I77)</f>
        <v/>
      </c>
      <c r="J76" s="50"/>
      <c r="K76" s="52">
        <f>IFERROR(IF($H76="nominal",VLOOKUP($A76,'I | Capex forecast'!$A$11:$AA$160,K$8,0),VLOOKUP($A76,'I | Capex forecast'!$A$11:$AA$160,K$8,0)*INDEX('I | Inflation'!$G$41:$I$43,MATCH($H76,'I | Inflation'!$F$41:$F$43,0),MATCH(K$10,'I | Inflation'!$G$40:$I$40,0))),0)</f>
        <v>0</v>
      </c>
      <c r="L76" s="52">
        <f>IFERROR(IF($H76="nominal",VLOOKUP($A76,'I | Capex forecast'!$A$11:$AA$160,L$8,0),VLOOKUP($A76,'I | Capex forecast'!$A$11:$AA$160,L$8,0)*INDEX('I | Inflation'!$G$41:$I$42,MATCH($H76,'I | Inflation'!$F$41:$F$42,0),MATCH(L$10,'I | Inflation'!$G$40:$I$40,0))),0)</f>
        <v>0</v>
      </c>
      <c r="M76" s="53"/>
      <c r="N76" s="52">
        <f>K76*VLOOKUP($A76,'I | Capex forecast'!$A$11:$AA$160,21,0)*(HLOOKUP(N$10,'I | Inflation'!$D$57:$J$59,3,0)-1)</f>
        <v>0</v>
      </c>
      <c r="O76" s="52">
        <f>L76*VLOOKUP($A76,'I | Capex forecast'!$A$11:$AA$160,21,0)*(HLOOKUP(O$10,'I | Inflation'!$D$57:$J$59,3,0)-1)</f>
        <v>0</v>
      </c>
      <c r="P76" s="53"/>
      <c r="Q76" s="52"/>
      <c r="R76" s="52"/>
      <c r="S76" s="53"/>
      <c r="T76" s="52"/>
      <c r="U76" s="52"/>
      <c r="V76" s="53"/>
      <c r="W76" s="52"/>
      <c r="X76" s="52"/>
      <c r="Y76" s="53"/>
      <c r="Z76" s="52">
        <f>K76*VLOOKUP($A76,'I | Capex forecast'!$A$11:$AA$160,27,0)</f>
        <v>0</v>
      </c>
      <c r="AA76" s="52">
        <f>L76*VLOOKUP($A76,'I | Capex forecast'!$A$11:$AA$160,27,0)</f>
        <v>0</v>
      </c>
      <c r="AB76" s="53"/>
      <c r="AC76" s="52">
        <f t="shared" si="10"/>
        <v>0</v>
      </c>
      <c r="AD76" s="52">
        <f t="shared" si="11"/>
        <v>0</v>
      </c>
      <c r="AE76" s="53"/>
      <c r="AF76" s="52">
        <f>IF(VLOOKUP($A76,'I | Capex forecast'!$A$11:$AA$160,10,0)="Yes",AC76,0)</f>
        <v>0</v>
      </c>
      <c r="AG76" s="52">
        <f>IF(VLOOKUP($A76,'I | Capex forecast'!$A$11:$AA$160,10,0)="Yes",AD76,0)</f>
        <v>0</v>
      </c>
      <c r="AH76" s="53"/>
      <c r="AI76" s="52">
        <f t="shared" si="12"/>
        <v>0</v>
      </c>
      <c r="AJ76" s="52">
        <f t="shared" si="13"/>
        <v>0</v>
      </c>
    </row>
    <row r="77" spans="1:36" s="4" customFormat="1" x14ac:dyDescent="0.3">
      <c r="A77" s="56">
        <v>67</v>
      </c>
      <c r="B77" s="48" t="str">
        <f>IF('I | Capex forecast'!B78="","",'I | Capex forecast'!B78)</f>
        <v/>
      </c>
      <c r="C77" s="48" t="str">
        <f>IF('I | Capex forecast'!C78="","",'I | Capex forecast'!C78)</f>
        <v/>
      </c>
      <c r="D77" s="48" t="str">
        <f>IF('I | Capex forecast'!D80="","",'I | Capex forecast'!D80)</f>
        <v/>
      </c>
      <c r="E77" s="48" t="str">
        <f>IF('I | Capex forecast'!E78="","",'I | Capex forecast'!E78)</f>
        <v/>
      </c>
      <c r="F77" s="48" t="str">
        <f>IF('I | Capex forecast'!F78="","",'I | Capex forecast'!F78)</f>
        <v/>
      </c>
      <c r="G77" s="48" t="str">
        <f>IF('I | Capex forecast'!G78="","",'I | Capex forecast'!G78)</f>
        <v/>
      </c>
      <c r="H77" s="48" t="str">
        <f>IF('I | Capex forecast'!H78="","",'I | Capex forecast'!H78)</f>
        <v/>
      </c>
      <c r="I77" s="48" t="str">
        <f>IF('I | Capex forecast'!I78="","",'I | Capex forecast'!I78)</f>
        <v/>
      </c>
      <c r="J77" s="50"/>
      <c r="K77" s="52">
        <f>IFERROR(IF($H77="nominal",VLOOKUP($A77,'I | Capex forecast'!$A$11:$AA$160,K$8,0),VLOOKUP($A77,'I | Capex forecast'!$A$11:$AA$160,K$8,0)*INDEX('I | Inflation'!$G$41:$I$43,MATCH($H77,'I | Inflation'!$F$41:$F$43,0),MATCH(K$10,'I | Inflation'!$G$40:$I$40,0))),0)</f>
        <v>0</v>
      </c>
      <c r="L77" s="52">
        <f>IFERROR(IF($H77="nominal",VLOOKUP($A77,'I | Capex forecast'!$A$11:$AA$160,L$8,0),VLOOKUP($A77,'I | Capex forecast'!$A$11:$AA$160,L$8,0)*INDEX('I | Inflation'!$G$41:$I$42,MATCH($H77,'I | Inflation'!$F$41:$F$42,0),MATCH(L$10,'I | Inflation'!$G$40:$I$40,0))),0)</f>
        <v>0</v>
      </c>
      <c r="M77" s="53"/>
      <c r="N77" s="52">
        <f>K77*VLOOKUP($A77,'I | Capex forecast'!$A$11:$AA$160,21,0)*(HLOOKUP(N$10,'I | Inflation'!$D$57:$J$59,3,0)-1)</f>
        <v>0</v>
      </c>
      <c r="O77" s="52">
        <f>L77*VLOOKUP($A77,'I | Capex forecast'!$A$11:$AA$160,21,0)*(HLOOKUP(O$10,'I | Inflation'!$D$57:$J$59,3,0)-1)</f>
        <v>0</v>
      </c>
      <c r="P77" s="53"/>
      <c r="Q77" s="52"/>
      <c r="R77" s="52"/>
      <c r="S77" s="53"/>
      <c r="T77" s="52"/>
      <c r="U77" s="52"/>
      <c r="V77" s="53"/>
      <c r="W77" s="52"/>
      <c r="X77" s="52"/>
      <c r="Y77" s="53"/>
      <c r="Z77" s="52">
        <f>K77*VLOOKUP($A77,'I | Capex forecast'!$A$11:$AA$160,27,0)</f>
        <v>0</v>
      </c>
      <c r="AA77" s="52">
        <f>L77*VLOOKUP($A77,'I | Capex forecast'!$A$11:$AA$160,27,0)</f>
        <v>0</v>
      </c>
      <c r="AB77" s="53"/>
      <c r="AC77" s="52">
        <f t="shared" si="10"/>
        <v>0</v>
      </c>
      <c r="AD77" s="52">
        <f t="shared" si="11"/>
        <v>0</v>
      </c>
      <c r="AE77" s="53"/>
      <c r="AF77" s="52">
        <f>IF(VLOOKUP($A77,'I | Capex forecast'!$A$11:$AA$160,10,0)="Yes",AC77,0)</f>
        <v>0</v>
      </c>
      <c r="AG77" s="52">
        <f>IF(VLOOKUP($A77,'I | Capex forecast'!$A$11:$AA$160,10,0)="Yes",AD77,0)</f>
        <v>0</v>
      </c>
      <c r="AH77" s="53"/>
      <c r="AI77" s="52">
        <f t="shared" si="12"/>
        <v>0</v>
      </c>
      <c r="AJ77" s="52">
        <f t="shared" si="13"/>
        <v>0</v>
      </c>
    </row>
    <row r="78" spans="1:36" s="4" customFormat="1" x14ac:dyDescent="0.3">
      <c r="A78" s="56">
        <v>68</v>
      </c>
      <c r="B78" s="48" t="str">
        <f>IF('I | Capex forecast'!B79="","",'I | Capex forecast'!B79)</f>
        <v/>
      </c>
      <c r="C78" s="48" t="str">
        <f>IF('I | Capex forecast'!C79="","",'I | Capex forecast'!C79)</f>
        <v/>
      </c>
      <c r="D78" s="48" t="str">
        <f>IF('I | Capex forecast'!D81="","",'I | Capex forecast'!D81)</f>
        <v/>
      </c>
      <c r="E78" s="48" t="str">
        <f>IF('I | Capex forecast'!E79="","",'I | Capex forecast'!E79)</f>
        <v/>
      </c>
      <c r="F78" s="48" t="str">
        <f>IF('I | Capex forecast'!F79="","",'I | Capex forecast'!F79)</f>
        <v/>
      </c>
      <c r="G78" s="48" t="str">
        <f>IF('I | Capex forecast'!G79="","",'I | Capex forecast'!G79)</f>
        <v/>
      </c>
      <c r="H78" s="48" t="str">
        <f>IF('I | Capex forecast'!H79="","",'I | Capex forecast'!H79)</f>
        <v/>
      </c>
      <c r="I78" s="48" t="str">
        <f>IF('I | Capex forecast'!I79="","",'I | Capex forecast'!I79)</f>
        <v/>
      </c>
      <c r="J78" s="50"/>
      <c r="K78" s="52">
        <f>IFERROR(IF($H78="nominal",VLOOKUP($A78,'I | Capex forecast'!$A$11:$AA$160,K$8,0),VLOOKUP($A78,'I | Capex forecast'!$A$11:$AA$160,K$8,0)*INDEX('I | Inflation'!$G$41:$I$43,MATCH($H78,'I | Inflation'!$F$41:$F$43,0),MATCH(K$10,'I | Inflation'!$G$40:$I$40,0))),0)</f>
        <v>0</v>
      </c>
      <c r="L78" s="52">
        <f>IFERROR(IF($H78="nominal",VLOOKUP($A78,'I | Capex forecast'!$A$11:$AA$160,L$8,0),VLOOKUP($A78,'I | Capex forecast'!$A$11:$AA$160,L$8,0)*INDEX('I | Inflation'!$G$41:$I$42,MATCH($H78,'I | Inflation'!$F$41:$F$42,0),MATCH(L$10,'I | Inflation'!$G$40:$I$40,0))),0)</f>
        <v>0</v>
      </c>
      <c r="M78" s="53"/>
      <c r="N78" s="52">
        <f>K78*VLOOKUP($A78,'I | Capex forecast'!$A$11:$AA$160,21,0)*(HLOOKUP(N$10,'I | Inflation'!$D$57:$J$59,3,0)-1)</f>
        <v>0</v>
      </c>
      <c r="O78" s="52">
        <f>L78*VLOOKUP($A78,'I | Capex forecast'!$A$11:$AA$160,21,0)*(HLOOKUP(O$10,'I | Inflation'!$D$57:$J$59,3,0)-1)</f>
        <v>0</v>
      </c>
      <c r="P78" s="53"/>
      <c r="Q78" s="52"/>
      <c r="R78" s="52"/>
      <c r="S78" s="53"/>
      <c r="T78" s="52"/>
      <c r="U78" s="52"/>
      <c r="V78" s="53"/>
      <c r="W78" s="52"/>
      <c r="X78" s="52"/>
      <c r="Y78" s="53"/>
      <c r="Z78" s="52">
        <f>K78*VLOOKUP($A78,'I | Capex forecast'!$A$11:$AA$160,27,0)</f>
        <v>0</v>
      </c>
      <c r="AA78" s="52">
        <f>L78*VLOOKUP($A78,'I | Capex forecast'!$A$11:$AA$160,27,0)</f>
        <v>0</v>
      </c>
      <c r="AB78" s="53"/>
      <c r="AC78" s="52">
        <f t="shared" si="10"/>
        <v>0</v>
      </c>
      <c r="AD78" s="52">
        <f t="shared" si="11"/>
        <v>0</v>
      </c>
      <c r="AE78" s="53"/>
      <c r="AF78" s="52">
        <f>IF(VLOOKUP($A78,'I | Capex forecast'!$A$11:$AA$160,10,0)="Yes",AC78,0)</f>
        <v>0</v>
      </c>
      <c r="AG78" s="52">
        <f>IF(VLOOKUP($A78,'I | Capex forecast'!$A$11:$AA$160,10,0)="Yes",AD78,0)</f>
        <v>0</v>
      </c>
      <c r="AH78" s="53"/>
      <c r="AI78" s="52">
        <f t="shared" si="12"/>
        <v>0</v>
      </c>
      <c r="AJ78" s="52">
        <f t="shared" si="13"/>
        <v>0</v>
      </c>
    </row>
    <row r="79" spans="1:36" s="4" customFormat="1" x14ac:dyDescent="0.3">
      <c r="A79" s="56">
        <v>69</v>
      </c>
      <c r="B79" s="48" t="str">
        <f>IF('I | Capex forecast'!B80="","",'I | Capex forecast'!B80)</f>
        <v/>
      </c>
      <c r="C79" s="48" t="str">
        <f>IF('I | Capex forecast'!C80="","",'I | Capex forecast'!C80)</f>
        <v/>
      </c>
      <c r="D79" s="48" t="str">
        <f>IF('I | Capex forecast'!D82="","",'I | Capex forecast'!D82)</f>
        <v/>
      </c>
      <c r="E79" s="48" t="str">
        <f>IF('I | Capex forecast'!E80="","",'I | Capex forecast'!E80)</f>
        <v/>
      </c>
      <c r="F79" s="48" t="str">
        <f>IF('I | Capex forecast'!F80="","",'I | Capex forecast'!F80)</f>
        <v/>
      </c>
      <c r="G79" s="48" t="str">
        <f>IF('I | Capex forecast'!G80="","",'I | Capex forecast'!G80)</f>
        <v/>
      </c>
      <c r="H79" s="48" t="str">
        <f>IF('I | Capex forecast'!H80="","",'I | Capex forecast'!H80)</f>
        <v/>
      </c>
      <c r="I79" s="48" t="str">
        <f>IF('I | Capex forecast'!I80="","",'I | Capex forecast'!I80)</f>
        <v/>
      </c>
      <c r="J79" s="50"/>
      <c r="K79" s="52">
        <f>IFERROR(IF($H79="nominal",VLOOKUP($A79,'I | Capex forecast'!$A$11:$AA$160,K$8,0),VLOOKUP($A79,'I | Capex forecast'!$A$11:$AA$160,K$8,0)*INDEX('I | Inflation'!$G$41:$I$43,MATCH($H79,'I | Inflation'!$F$41:$F$43,0),MATCH(K$10,'I | Inflation'!$G$40:$I$40,0))),0)</f>
        <v>0</v>
      </c>
      <c r="L79" s="52">
        <f>IFERROR(IF($H79="nominal",VLOOKUP($A79,'I | Capex forecast'!$A$11:$AA$160,L$8,0),VLOOKUP($A79,'I | Capex forecast'!$A$11:$AA$160,L$8,0)*INDEX('I | Inflation'!$G$41:$I$42,MATCH($H79,'I | Inflation'!$F$41:$F$42,0),MATCH(L$10,'I | Inflation'!$G$40:$I$40,0))),0)</f>
        <v>0</v>
      </c>
      <c r="M79" s="53"/>
      <c r="N79" s="52">
        <f>K79*VLOOKUP($A79,'I | Capex forecast'!$A$11:$AA$160,21,0)*(HLOOKUP(N$10,'I | Inflation'!$D$57:$J$59,3,0)-1)</f>
        <v>0</v>
      </c>
      <c r="O79" s="52">
        <f>L79*VLOOKUP($A79,'I | Capex forecast'!$A$11:$AA$160,21,0)*(HLOOKUP(O$10,'I | Inflation'!$D$57:$J$59,3,0)-1)</f>
        <v>0</v>
      </c>
      <c r="P79" s="53"/>
      <c r="Q79" s="52"/>
      <c r="R79" s="52"/>
      <c r="S79" s="53"/>
      <c r="T79" s="52"/>
      <c r="U79" s="52"/>
      <c r="V79" s="53"/>
      <c r="W79" s="52"/>
      <c r="X79" s="52"/>
      <c r="Y79" s="53"/>
      <c r="Z79" s="52">
        <f>K79*VLOOKUP($A79,'I | Capex forecast'!$A$11:$AA$160,27,0)</f>
        <v>0</v>
      </c>
      <c r="AA79" s="52">
        <f>L79*VLOOKUP($A79,'I | Capex forecast'!$A$11:$AA$160,27,0)</f>
        <v>0</v>
      </c>
      <c r="AB79" s="53"/>
      <c r="AC79" s="52">
        <f t="shared" si="10"/>
        <v>0</v>
      </c>
      <c r="AD79" s="52">
        <f t="shared" si="11"/>
        <v>0</v>
      </c>
      <c r="AE79" s="53"/>
      <c r="AF79" s="52">
        <f>IF(VLOOKUP($A79,'I | Capex forecast'!$A$11:$AA$160,10,0)="Yes",AC79,0)</f>
        <v>0</v>
      </c>
      <c r="AG79" s="52">
        <f>IF(VLOOKUP($A79,'I | Capex forecast'!$A$11:$AA$160,10,0)="Yes",AD79,0)</f>
        <v>0</v>
      </c>
      <c r="AH79" s="53"/>
      <c r="AI79" s="52">
        <f t="shared" si="12"/>
        <v>0</v>
      </c>
      <c r="AJ79" s="52">
        <f t="shared" si="13"/>
        <v>0</v>
      </c>
    </row>
    <row r="80" spans="1:36" s="4" customFormat="1" x14ac:dyDescent="0.3">
      <c r="A80" s="56">
        <v>70</v>
      </c>
      <c r="B80" s="48" t="str">
        <f>IF('I | Capex forecast'!B81="","",'I | Capex forecast'!B81)</f>
        <v/>
      </c>
      <c r="C80" s="48" t="str">
        <f>IF('I | Capex forecast'!C81="","",'I | Capex forecast'!C81)</f>
        <v/>
      </c>
      <c r="D80" s="48" t="str">
        <f>IF('I | Capex forecast'!D83="","",'I | Capex forecast'!D83)</f>
        <v/>
      </c>
      <c r="E80" s="48" t="str">
        <f>IF('I | Capex forecast'!E81="","",'I | Capex forecast'!E81)</f>
        <v/>
      </c>
      <c r="F80" s="48" t="str">
        <f>IF('I | Capex forecast'!F81="","",'I | Capex forecast'!F81)</f>
        <v/>
      </c>
      <c r="G80" s="48" t="str">
        <f>IF('I | Capex forecast'!G81="","",'I | Capex forecast'!G81)</f>
        <v/>
      </c>
      <c r="H80" s="48" t="str">
        <f>IF('I | Capex forecast'!H81="","",'I | Capex forecast'!H81)</f>
        <v/>
      </c>
      <c r="I80" s="48" t="str">
        <f>IF('I | Capex forecast'!I81="","",'I | Capex forecast'!I81)</f>
        <v/>
      </c>
      <c r="J80" s="50"/>
      <c r="K80" s="52">
        <f>IFERROR(IF($H80="nominal",VLOOKUP($A80,'I | Capex forecast'!$A$11:$AA$160,K$8,0),VLOOKUP($A80,'I | Capex forecast'!$A$11:$AA$160,K$8,0)*INDEX('I | Inflation'!$G$41:$I$43,MATCH($H80,'I | Inflation'!$F$41:$F$43,0),MATCH(K$10,'I | Inflation'!$G$40:$I$40,0))),0)</f>
        <v>0</v>
      </c>
      <c r="L80" s="52">
        <f>IFERROR(IF($H80="nominal",VLOOKUP($A80,'I | Capex forecast'!$A$11:$AA$160,L$8,0),VLOOKUP($A80,'I | Capex forecast'!$A$11:$AA$160,L$8,0)*INDEX('I | Inflation'!$G$41:$I$42,MATCH($H80,'I | Inflation'!$F$41:$F$42,0),MATCH(L$10,'I | Inflation'!$G$40:$I$40,0))),0)</f>
        <v>0</v>
      </c>
      <c r="M80" s="53"/>
      <c r="N80" s="52">
        <f>K80*VLOOKUP($A80,'I | Capex forecast'!$A$11:$AA$160,21,0)*(HLOOKUP(N$10,'I | Inflation'!$D$57:$J$59,3,0)-1)</f>
        <v>0</v>
      </c>
      <c r="O80" s="52">
        <f>L80*VLOOKUP($A80,'I | Capex forecast'!$A$11:$AA$160,21,0)*(HLOOKUP(O$10,'I | Inflation'!$D$57:$J$59,3,0)-1)</f>
        <v>0</v>
      </c>
      <c r="P80" s="53"/>
      <c r="Q80" s="52"/>
      <c r="R80" s="52"/>
      <c r="S80" s="53"/>
      <c r="T80" s="52"/>
      <c r="U80" s="52"/>
      <c r="V80" s="53"/>
      <c r="W80" s="52"/>
      <c r="X80" s="52"/>
      <c r="Y80" s="53"/>
      <c r="Z80" s="52">
        <f>K80*VLOOKUP($A80,'I | Capex forecast'!$A$11:$AA$160,27,0)</f>
        <v>0</v>
      </c>
      <c r="AA80" s="52">
        <f>L80*VLOOKUP($A80,'I | Capex forecast'!$A$11:$AA$160,27,0)</f>
        <v>0</v>
      </c>
      <c r="AB80" s="53"/>
      <c r="AC80" s="52">
        <f t="shared" si="10"/>
        <v>0</v>
      </c>
      <c r="AD80" s="52">
        <f t="shared" si="11"/>
        <v>0</v>
      </c>
      <c r="AE80" s="53"/>
      <c r="AF80" s="52">
        <f>IF(VLOOKUP($A80,'I | Capex forecast'!$A$11:$AA$160,10,0)="Yes",AC80,0)</f>
        <v>0</v>
      </c>
      <c r="AG80" s="52">
        <f>IF(VLOOKUP($A80,'I | Capex forecast'!$A$11:$AA$160,10,0)="Yes",AD80,0)</f>
        <v>0</v>
      </c>
      <c r="AH80" s="53"/>
      <c r="AI80" s="52">
        <f t="shared" si="12"/>
        <v>0</v>
      </c>
      <c r="AJ80" s="52">
        <f t="shared" si="13"/>
        <v>0</v>
      </c>
    </row>
    <row r="81" spans="1:36" s="4" customFormat="1" x14ac:dyDescent="0.3">
      <c r="A81" s="56">
        <v>71</v>
      </c>
      <c r="B81" s="48" t="str">
        <f>IF('I | Capex forecast'!B82="","",'I | Capex forecast'!B82)</f>
        <v/>
      </c>
      <c r="C81" s="48" t="str">
        <f>IF('I | Capex forecast'!C82="","",'I | Capex forecast'!C82)</f>
        <v/>
      </c>
      <c r="D81" s="48" t="str">
        <f>IF('I | Capex forecast'!D84="","",'I | Capex forecast'!D84)</f>
        <v/>
      </c>
      <c r="E81" s="48" t="str">
        <f>IF('I | Capex forecast'!E82="","",'I | Capex forecast'!E82)</f>
        <v/>
      </c>
      <c r="F81" s="48" t="str">
        <f>IF('I | Capex forecast'!F82="","",'I | Capex forecast'!F82)</f>
        <v/>
      </c>
      <c r="G81" s="48" t="str">
        <f>IF('I | Capex forecast'!G82="","",'I | Capex forecast'!G82)</f>
        <v/>
      </c>
      <c r="H81" s="48" t="str">
        <f>IF('I | Capex forecast'!H82="","",'I | Capex forecast'!H82)</f>
        <v/>
      </c>
      <c r="I81" s="48" t="str">
        <f>IF('I | Capex forecast'!I82="","",'I | Capex forecast'!I82)</f>
        <v/>
      </c>
      <c r="J81" s="50"/>
      <c r="K81" s="52">
        <f>IFERROR(IF($H81="nominal",VLOOKUP($A81,'I | Capex forecast'!$A$11:$AA$160,K$8,0),VLOOKUP($A81,'I | Capex forecast'!$A$11:$AA$160,K$8,0)*INDEX('I | Inflation'!$G$41:$I$43,MATCH($H81,'I | Inflation'!$F$41:$F$43,0),MATCH(K$10,'I | Inflation'!$G$40:$I$40,0))),0)</f>
        <v>0</v>
      </c>
      <c r="L81" s="52">
        <f>IFERROR(IF($H81="nominal",VLOOKUP($A81,'I | Capex forecast'!$A$11:$AA$160,L$8,0),VLOOKUP($A81,'I | Capex forecast'!$A$11:$AA$160,L$8,0)*INDEX('I | Inflation'!$G$41:$I$42,MATCH($H81,'I | Inflation'!$F$41:$F$42,0),MATCH(L$10,'I | Inflation'!$G$40:$I$40,0))),0)</f>
        <v>0</v>
      </c>
      <c r="M81" s="53"/>
      <c r="N81" s="52">
        <f>K81*VLOOKUP($A81,'I | Capex forecast'!$A$11:$AA$160,21,0)*(HLOOKUP(N$10,'I | Inflation'!$D$57:$J$59,3,0)-1)</f>
        <v>0</v>
      </c>
      <c r="O81" s="52">
        <f>L81*VLOOKUP($A81,'I | Capex forecast'!$A$11:$AA$160,21,0)*(HLOOKUP(O$10,'I | Inflation'!$D$57:$J$59,3,0)-1)</f>
        <v>0</v>
      </c>
      <c r="P81" s="53"/>
      <c r="Q81" s="52"/>
      <c r="R81" s="52"/>
      <c r="S81" s="53"/>
      <c r="T81" s="52"/>
      <c r="U81" s="52"/>
      <c r="V81" s="53"/>
      <c r="W81" s="52"/>
      <c r="X81" s="52"/>
      <c r="Y81" s="53"/>
      <c r="Z81" s="52">
        <f>K81*VLOOKUP($A81,'I | Capex forecast'!$A$11:$AA$160,27,0)</f>
        <v>0</v>
      </c>
      <c r="AA81" s="52">
        <f>L81*VLOOKUP($A81,'I | Capex forecast'!$A$11:$AA$160,27,0)</f>
        <v>0</v>
      </c>
      <c r="AB81" s="53"/>
      <c r="AC81" s="52">
        <f t="shared" si="10"/>
        <v>0</v>
      </c>
      <c r="AD81" s="52">
        <f t="shared" si="11"/>
        <v>0</v>
      </c>
      <c r="AE81" s="53"/>
      <c r="AF81" s="52">
        <f>IF(VLOOKUP($A81,'I | Capex forecast'!$A$11:$AA$160,10,0)="Yes",AC81,0)</f>
        <v>0</v>
      </c>
      <c r="AG81" s="52">
        <f>IF(VLOOKUP($A81,'I | Capex forecast'!$A$11:$AA$160,10,0)="Yes",AD81,0)</f>
        <v>0</v>
      </c>
      <c r="AH81" s="53"/>
      <c r="AI81" s="52">
        <f t="shared" si="12"/>
        <v>0</v>
      </c>
      <c r="AJ81" s="52">
        <f t="shared" si="13"/>
        <v>0</v>
      </c>
    </row>
    <row r="82" spans="1:36" s="4" customFormat="1" x14ac:dyDescent="0.3">
      <c r="A82" s="56">
        <v>72</v>
      </c>
      <c r="B82" s="48" t="str">
        <f>IF('I | Capex forecast'!B83="","",'I | Capex forecast'!B83)</f>
        <v/>
      </c>
      <c r="C82" s="48" t="str">
        <f>IF('I | Capex forecast'!C83="","",'I | Capex forecast'!C83)</f>
        <v/>
      </c>
      <c r="D82" s="48" t="str">
        <f>IF('I | Capex forecast'!D85="","",'I | Capex forecast'!D85)</f>
        <v/>
      </c>
      <c r="E82" s="48" t="str">
        <f>IF('I | Capex forecast'!E83="","",'I | Capex forecast'!E83)</f>
        <v/>
      </c>
      <c r="F82" s="48" t="str">
        <f>IF('I | Capex forecast'!F83="","",'I | Capex forecast'!F83)</f>
        <v/>
      </c>
      <c r="G82" s="48" t="str">
        <f>IF('I | Capex forecast'!G83="","",'I | Capex forecast'!G83)</f>
        <v/>
      </c>
      <c r="H82" s="48" t="str">
        <f>IF('I | Capex forecast'!H83="","",'I | Capex forecast'!H83)</f>
        <v/>
      </c>
      <c r="I82" s="48" t="str">
        <f>IF('I | Capex forecast'!I83="","",'I | Capex forecast'!I83)</f>
        <v/>
      </c>
      <c r="J82" s="50"/>
      <c r="K82" s="52">
        <f>IFERROR(IF($H82="nominal",VLOOKUP($A82,'I | Capex forecast'!$A$11:$AA$160,K$8,0),VLOOKUP($A82,'I | Capex forecast'!$A$11:$AA$160,K$8,0)*INDEX('I | Inflation'!$G$41:$I$43,MATCH($H82,'I | Inflation'!$F$41:$F$43,0),MATCH(K$10,'I | Inflation'!$G$40:$I$40,0))),0)</f>
        <v>0</v>
      </c>
      <c r="L82" s="52">
        <f>IFERROR(IF($H82="nominal",VLOOKUP($A82,'I | Capex forecast'!$A$11:$AA$160,L$8,0),VLOOKUP($A82,'I | Capex forecast'!$A$11:$AA$160,L$8,0)*INDEX('I | Inflation'!$G$41:$I$42,MATCH($H82,'I | Inflation'!$F$41:$F$42,0),MATCH(L$10,'I | Inflation'!$G$40:$I$40,0))),0)</f>
        <v>0</v>
      </c>
      <c r="M82" s="53"/>
      <c r="N82" s="52">
        <f>K82*VLOOKUP($A82,'I | Capex forecast'!$A$11:$AA$160,21,0)*(HLOOKUP(N$10,'I | Inflation'!$D$57:$J$59,3,0)-1)</f>
        <v>0</v>
      </c>
      <c r="O82" s="52">
        <f>L82*VLOOKUP($A82,'I | Capex forecast'!$A$11:$AA$160,21,0)*(HLOOKUP(O$10,'I | Inflation'!$D$57:$J$59,3,0)-1)</f>
        <v>0</v>
      </c>
      <c r="P82" s="53"/>
      <c r="Q82" s="52"/>
      <c r="R82" s="52"/>
      <c r="S82" s="53"/>
      <c r="T82" s="52"/>
      <c r="U82" s="52"/>
      <c r="V82" s="53"/>
      <c r="W82" s="52"/>
      <c r="X82" s="52"/>
      <c r="Y82" s="53"/>
      <c r="Z82" s="52">
        <f>K82*VLOOKUP($A82,'I | Capex forecast'!$A$11:$AA$160,27,0)</f>
        <v>0</v>
      </c>
      <c r="AA82" s="52">
        <f>L82*VLOOKUP($A82,'I | Capex forecast'!$A$11:$AA$160,27,0)</f>
        <v>0</v>
      </c>
      <c r="AB82" s="53"/>
      <c r="AC82" s="52">
        <f t="shared" si="10"/>
        <v>0</v>
      </c>
      <c r="AD82" s="52">
        <f t="shared" si="11"/>
        <v>0</v>
      </c>
      <c r="AE82" s="53"/>
      <c r="AF82" s="52">
        <f>IF(VLOOKUP($A82,'I | Capex forecast'!$A$11:$AA$160,10,0)="Yes",AC82,0)</f>
        <v>0</v>
      </c>
      <c r="AG82" s="52">
        <f>IF(VLOOKUP($A82,'I | Capex forecast'!$A$11:$AA$160,10,0)="Yes",AD82,0)</f>
        <v>0</v>
      </c>
      <c r="AH82" s="53"/>
      <c r="AI82" s="52">
        <f t="shared" si="12"/>
        <v>0</v>
      </c>
      <c r="AJ82" s="52">
        <f t="shared" si="13"/>
        <v>0</v>
      </c>
    </row>
    <row r="83" spans="1:36" s="4" customFormat="1" x14ac:dyDescent="0.3">
      <c r="A83" s="56">
        <v>73</v>
      </c>
      <c r="B83" s="48" t="str">
        <f>IF('I | Capex forecast'!B84="","",'I | Capex forecast'!B84)</f>
        <v/>
      </c>
      <c r="C83" s="48" t="str">
        <f>IF('I | Capex forecast'!C84="","",'I | Capex forecast'!C84)</f>
        <v/>
      </c>
      <c r="D83" s="48" t="str">
        <f>IF('I | Capex forecast'!D86="","",'I | Capex forecast'!D86)</f>
        <v/>
      </c>
      <c r="E83" s="48" t="str">
        <f>IF('I | Capex forecast'!E84="","",'I | Capex forecast'!E84)</f>
        <v/>
      </c>
      <c r="F83" s="48" t="str">
        <f>IF('I | Capex forecast'!F84="","",'I | Capex forecast'!F84)</f>
        <v/>
      </c>
      <c r="G83" s="48" t="str">
        <f>IF('I | Capex forecast'!G84="","",'I | Capex forecast'!G84)</f>
        <v/>
      </c>
      <c r="H83" s="48" t="str">
        <f>IF('I | Capex forecast'!H84="","",'I | Capex forecast'!H84)</f>
        <v/>
      </c>
      <c r="I83" s="48" t="str">
        <f>IF('I | Capex forecast'!I84="","",'I | Capex forecast'!I84)</f>
        <v/>
      </c>
      <c r="J83" s="50"/>
      <c r="K83" s="52">
        <f>IFERROR(IF($H83="nominal",VLOOKUP($A83,'I | Capex forecast'!$A$11:$AA$160,K$8,0),VLOOKUP($A83,'I | Capex forecast'!$A$11:$AA$160,K$8,0)*INDEX('I | Inflation'!$G$41:$I$43,MATCH($H83,'I | Inflation'!$F$41:$F$43,0),MATCH(K$10,'I | Inflation'!$G$40:$I$40,0))),0)</f>
        <v>0</v>
      </c>
      <c r="L83" s="52">
        <f>IFERROR(IF($H83="nominal",VLOOKUP($A83,'I | Capex forecast'!$A$11:$AA$160,L$8,0),VLOOKUP($A83,'I | Capex forecast'!$A$11:$AA$160,L$8,0)*INDEX('I | Inflation'!$G$41:$I$42,MATCH($H83,'I | Inflation'!$F$41:$F$42,0),MATCH(L$10,'I | Inflation'!$G$40:$I$40,0))),0)</f>
        <v>0</v>
      </c>
      <c r="M83" s="53"/>
      <c r="N83" s="52">
        <f>K83*VLOOKUP($A83,'I | Capex forecast'!$A$11:$AA$160,21,0)*(HLOOKUP(N$10,'I | Inflation'!$D$57:$J$59,3,0)-1)</f>
        <v>0</v>
      </c>
      <c r="O83" s="52">
        <f>L83*VLOOKUP($A83,'I | Capex forecast'!$A$11:$AA$160,21,0)*(HLOOKUP(O$10,'I | Inflation'!$D$57:$J$59,3,0)-1)</f>
        <v>0</v>
      </c>
      <c r="P83" s="53"/>
      <c r="Q83" s="52"/>
      <c r="R83" s="52"/>
      <c r="S83" s="53"/>
      <c r="T83" s="52"/>
      <c r="U83" s="52"/>
      <c r="V83" s="53"/>
      <c r="W83" s="52"/>
      <c r="X83" s="52"/>
      <c r="Y83" s="53"/>
      <c r="Z83" s="52">
        <f>K83*VLOOKUP($A83,'I | Capex forecast'!$A$11:$AA$160,27,0)</f>
        <v>0</v>
      </c>
      <c r="AA83" s="52">
        <f>L83*VLOOKUP($A83,'I | Capex forecast'!$A$11:$AA$160,27,0)</f>
        <v>0</v>
      </c>
      <c r="AB83" s="53"/>
      <c r="AC83" s="52">
        <f t="shared" si="10"/>
        <v>0</v>
      </c>
      <c r="AD83" s="52">
        <f t="shared" si="11"/>
        <v>0</v>
      </c>
      <c r="AE83" s="53"/>
      <c r="AF83" s="52">
        <f>IF(VLOOKUP($A83,'I | Capex forecast'!$A$11:$AA$160,10,0)="Yes",AC83,0)</f>
        <v>0</v>
      </c>
      <c r="AG83" s="52">
        <f>IF(VLOOKUP($A83,'I | Capex forecast'!$A$11:$AA$160,10,0)="Yes",AD83,0)</f>
        <v>0</v>
      </c>
      <c r="AH83" s="53"/>
      <c r="AI83" s="52">
        <f t="shared" si="12"/>
        <v>0</v>
      </c>
      <c r="AJ83" s="52">
        <f t="shared" si="13"/>
        <v>0</v>
      </c>
    </row>
    <row r="84" spans="1:36" s="4" customFormat="1" x14ac:dyDescent="0.3">
      <c r="A84" s="56">
        <v>74</v>
      </c>
      <c r="B84" s="48" t="str">
        <f>IF('I | Capex forecast'!B85="","",'I | Capex forecast'!B85)</f>
        <v/>
      </c>
      <c r="C84" s="48" t="str">
        <f>IF('I | Capex forecast'!C85="","",'I | Capex forecast'!C85)</f>
        <v/>
      </c>
      <c r="D84" s="48" t="str">
        <f>IF('I | Capex forecast'!D87="","",'I | Capex forecast'!D87)</f>
        <v/>
      </c>
      <c r="E84" s="48" t="str">
        <f>IF('I | Capex forecast'!E85="","",'I | Capex forecast'!E85)</f>
        <v/>
      </c>
      <c r="F84" s="48" t="str">
        <f>IF('I | Capex forecast'!F85="","",'I | Capex forecast'!F85)</f>
        <v/>
      </c>
      <c r="G84" s="48" t="str">
        <f>IF('I | Capex forecast'!G85="","",'I | Capex forecast'!G85)</f>
        <v/>
      </c>
      <c r="H84" s="48" t="str">
        <f>IF('I | Capex forecast'!H85="","",'I | Capex forecast'!H85)</f>
        <v/>
      </c>
      <c r="I84" s="48" t="str">
        <f>IF('I | Capex forecast'!I85="","",'I | Capex forecast'!I85)</f>
        <v/>
      </c>
      <c r="J84" s="50"/>
      <c r="K84" s="52">
        <f>IFERROR(IF($H84="nominal",VLOOKUP($A84,'I | Capex forecast'!$A$11:$AA$160,K$8,0),VLOOKUP($A84,'I | Capex forecast'!$A$11:$AA$160,K$8,0)*INDEX('I | Inflation'!$G$41:$I$43,MATCH($H84,'I | Inflation'!$F$41:$F$43,0),MATCH(K$10,'I | Inflation'!$G$40:$I$40,0))),0)</f>
        <v>0</v>
      </c>
      <c r="L84" s="52">
        <f>IFERROR(IF($H84="nominal",VLOOKUP($A84,'I | Capex forecast'!$A$11:$AA$160,L$8,0),VLOOKUP($A84,'I | Capex forecast'!$A$11:$AA$160,L$8,0)*INDEX('I | Inflation'!$G$41:$I$42,MATCH($H84,'I | Inflation'!$F$41:$F$42,0),MATCH(L$10,'I | Inflation'!$G$40:$I$40,0))),0)</f>
        <v>0</v>
      </c>
      <c r="M84" s="53"/>
      <c r="N84" s="52">
        <f>K84*VLOOKUP($A84,'I | Capex forecast'!$A$11:$AA$160,21,0)*(HLOOKUP(N$10,'I | Inflation'!$D$57:$J$59,3,0)-1)</f>
        <v>0</v>
      </c>
      <c r="O84" s="52">
        <f>L84*VLOOKUP($A84,'I | Capex forecast'!$A$11:$AA$160,21,0)*(HLOOKUP(O$10,'I | Inflation'!$D$57:$J$59,3,0)-1)</f>
        <v>0</v>
      </c>
      <c r="P84" s="53"/>
      <c r="Q84" s="52"/>
      <c r="R84" s="52"/>
      <c r="S84" s="53"/>
      <c r="T84" s="52"/>
      <c r="U84" s="52"/>
      <c r="V84" s="53"/>
      <c r="W84" s="52"/>
      <c r="X84" s="52"/>
      <c r="Y84" s="53"/>
      <c r="Z84" s="52">
        <f>K84*VLOOKUP($A84,'I | Capex forecast'!$A$11:$AA$160,27,0)</f>
        <v>0</v>
      </c>
      <c r="AA84" s="52">
        <f>L84*VLOOKUP($A84,'I | Capex forecast'!$A$11:$AA$160,27,0)</f>
        <v>0</v>
      </c>
      <c r="AB84" s="53"/>
      <c r="AC84" s="52">
        <f t="shared" si="10"/>
        <v>0</v>
      </c>
      <c r="AD84" s="52">
        <f t="shared" si="11"/>
        <v>0</v>
      </c>
      <c r="AE84" s="53"/>
      <c r="AF84" s="52">
        <f>IF(VLOOKUP($A84,'I | Capex forecast'!$A$11:$AA$160,10,0)="Yes",AC84,0)</f>
        <v>0</v>
      </c>
      <c r="AG84" s="52">
        <f>IF(VLOOKUP($A84,'I | Capex forecast'!$A$11:$AA$160,10,0)="Yes",AD84,0)</f>
        <v>0</v>
      </c>
      <c r="AH84" s="53"/>
      <c r="AI84" s="52">
        <f t="shared" si="12"/>
        <v>0</v>
      </c>
      <c r="AJ84" s="52">
        <f t="shared" si="13"/>
        <v>0</v>
      </c>
    </row>
    <row r="85" spans="1:36" s="4" customFormat="1" x14ac:dyDescent="0.3">
      <c r="A85" s="56">
        <v>75</v>
      </c>
      <c r="B85" s="48" t="str">
        <f>IF('I | Capex forecast'!B86="","",'I | Capex forecast'!B86)</f>
        <v/>
      </c>
      <c r="C85" s="48" t="str">
        <f>IF('I | Capex forecast'!C86="","",'I | Capex forecast'!C86)</f>
        <v/>
      </c>
      <c r="D85" s="48" t="str">
        <f>IF('I | Capex forecast'!D88="","",'I | Capex forecast'!D88)</f>
        <v/>
      </c>
      <c r="E85" s="48" t="str">
        <f>IF('I | Capex forecast'!E86="","",'I | Capex forecast'!E86)</f>
        <v/>
      </c>
      <c r="F85" s="48" t="str">
        <f>IF('I | Capex forecast'!F86="","",'I | Capex forecast'!F86)</f>
        <v/>
      </c>
      <c r="G85" s="48" t="str">
        <f>IF('I | Capex forecast'!G86="","",'I | Capex forecast'!G86)</f>
        <v/>
      </c>
      <c r="H85" s="48" t="str">
        <f>IF('I | Capex forecast'!H86="","",'I | Capex forecast'!H86)</f>
        <v/>
      </c>
      <c r="I85" s="48" t="str">
        <f>IF('I | Capex forecast'!I86="","",'I | Capex forecast'!I86)</f>
        <v/>
      </c>
      <c r="J85" s="50"/>
      <c r="K85" s="52">
        <f>IFERROR(IF($H85="nominal",VLOOKUP($A85,'I | Capex forecast'!$A$11:$AA$160,K$8,0),VLOOKUP($A85,'I | Capex forecast'!$A$11:$AA$160,K$8,0)*INDEX('I | Inflation'!$G$41:$I$43,MATCH($H85,'I | Inflation'!$F$41:$F$43,0),MATCH(K$10,'I | Inflation'!$G$40:$I$40,0))),0)</f>
        <v>0</v>
      </c>
      <c r="L85" s="52">
        <f>IFERROR(IF($H85="nominal",VLOOKUP($A85,'I | Capex forecast'!$A$11:$AA$160,L$8,0),VLOOKUP($A85,'I | Capex forecast'!$A$11:$AA$160,L$8,0)*INDEX('I | Inflation'!$G$41:$I$42,MATCH($H85,'I | Inflation'!$F$41:$F$42,0),MATCH(L$10,'I | Inflation'!$G$40:$I$40,0))),0)</f>
        <v>0</v>
      </c>
      <c r="M85" s="53"/>
      <c r="N85" s="52">
        <f>K85*VLOOKUP($A85,'I | Capex forecast'!$A$11:$AA$160,21,0)*(HLOOKUP(N$10,'I | Inflation'!$D$57:$J$59,3,0)-1)</f>
        <v>0</v>
      </c>
      <c r="O85" s="52">
        <f>L85*VLOOKUP($A85,'I | Capex forecast'!$A$11:$AA$160,21,0)*(HLOOKUP(O$10,'I | Inflation'!$D$57:$J$59,3,0)-1)</f>
        <v>0</v>
      </c>
      <c r="P85" s="53"/>
      <c r="Q85" s="52"/>
      <c r="R85" s="52"/>
      <c r="S85" s="53"/>
      <c r="T85" s="52"/>
      <c r="U85" s="52"/>
      <c r="V85" s="53"/>
      <c r="W85" s="52"/>
      <c r="X85" s="52"/>
      <c r="Y85" s="53"/>
      <c r="Z85" s="52">
        <f>K85*VLOOKUP($A85,'I | Capex forecast'!$A$11:$AA$160,27,0)</f>
        <v>0</v>
      </c>
      <c r="AA85" s="52">
        <f>L85*VLOOKUP($A85,'I | Capex forecast'!$A$11:$AA$160,27,0)</f>
        <v>0</v>
      </c>
      <c r="AB85" s="53"/>
      <c r="AC85" s="52">
        <f t="shared" si="10"/>
        <v>0</v>
      </c>
      <c r="AD85" s="52">
        <f t="shared" si="11"/>
        <v>0</v>
      </c>
      <c r="AE85" s="53"/>
      <c r="AF85" s="52">
        <f>IF(VLOOKUP($A85,'I | Capex forecast'!$A$11:$AA$160,10,0)="Yes",AC85,0)</f>
        <v>0</v>
      </c>
      <c r="AG85" s="52">
        <f>IF(VLOOKUP($A85,'I | Capex forecast'!$A$11:$AA$160,10,0)="Yes",AD85,0)</f>
        <v>0</v>
      </c>
      <c r="AH85" s="53"/>
      <c r="AI85" s="52">
        <f t="shared" si="12"/>
        <v>0</v>
      </c>
      <c r="AJ85" s="52">
        <f t="shared" si="13"/>
        <v>0</v>
      </c>
    </row>
    <row r="86" spans="1:36" s="4" customFormat="1" x14ac:dyDescent="0.3">
      <c r="A86" s="56">
        <v>76</v>
      </c>
      <c r="B86" s="48" t="str">
        <f>IF('I | Capex forecast'!B87="","",'I | Capex forecast'!B87)</f>
        <v/>
      </c>
      <c r="C86" s="48" t="str">
        <f>IF('I | Capex forecast'!C87="","",'I | Capex forecast'!C87)</f>
        <v/>
      </c>
      <c r="D86" s="48" t="str">
        <f>IF('I | Capex forecast'!D89="","",'I | Capex forecast'!D89)</f>
        <v/>
      </c>
      <c r="E86" s="48" t="str">
        <f>IF('I | Capex forecast'!E87="","",'I | Capex forecast'!E87)</f>
        <v/>
      </c>
      <c r="F86" s="48" t="str">
        <f>IF('I | Capex forecast'!F87="","",'I | Capex forecast'!F87)</f>
        <v/>
      </c>
      <c r="G86" s="48" t="str">
        <f>IF('I | Capex forecast'!G87="","",'I | Capex forecast'!G87)</f>
        <v/>
      </c>
      <c r="H86" s="48" t="str">
        <f>IF('I | Capex forecast'!H87="","",'I | Capex forecast'!H87)</f>
        <v/>
      </c>
      <c r="I86" s="48" t="str">
        <f>IF('I | Capex forecast'!I87="","",'I | Capex forecast'!I87)</f>
        <v/>
      </c>
      <c r="J86" s="50"/>
      <c r="K86" s="52">
        <f>IFERROR(IF($H86="nominal",VLOOKUP($A86,'I | Capex forecast'!$A$11:$AA$160,K$8,0),VLOOKUP($A86,'I | Capex forecast'!$A$11:$AA$160,K$8,0)*INDEX('I | Inflation'!$G$41:$I$43,MATCH($H86,'I | Inflation'!$F$41:$F$43,0),MATCH(K$10,'I | Inflation'!$G$40:$I$40,0))),0)</f>
        <v>0</v>
      </c>
      <c r="L86" s="52">
        <f>IFERROR(IF($H86="nominal",VLOOKUP($A86,'I | Capex forecast'!$A$11:$AA$160,L$8,0),VLOOKUP($A86,'I | Capex forecast'!$A$11:$AA$160,L$8,0)*INDEX('I | Inflation'!$G$41:$I$42,MATCH($H86,'I | Inflation'!$F$41:$F$42,0),MATCH(L$10,'I | Inflation'!$G$40:$I$40,0))),0)</f>
        <v>0</v>
      </c>
      <c r="M86" s="53"/>
      <c r="N86" s="52">
        <f>K86*VLOOKUP($A86,'I | Capex forecast'!$A$11:$AA$160,21,0)*(HLOOKUP(N$10,'I | Inflation'!$D$57:$J$59,3,0)-1)</f>
        <v>0</v>
      </c>
      <c r="O86" s="52">
        <f>L86*VLOOKUP($A86,'I | Capex forecast'!$A$11:$AA$160,21,0)*(HLOOKUP(O$10,'I | Inflation'!$D$57:$J$59,3,0)-1)</f>
        <v>0</v>
      </c>
      <c r="P86" s="53"/>
      <c r="Q86" s="52"/>
      <c r="R86" s="52"/>
      <c r="S86" s="53"/>
      <c r="T86" s="52"/>
      <c r="U86" s="52"/>
      <c r="V86" s="53"/>
      <c r="W86" s="52"/>
      <c r="X86" s="52"/>
      <c r="Y86" s="53"/>
      <c r="Z86" s="52">
        <f>K86*VLOOKUP($A86,'I | Capex forecast'!$A$11:$AA$160,27,0)</f>
        <v>0</v>
      </c>
      <c r="AA86" s="52">
        <f>L86*VLOOKUP($A86,'I | Capex forecast'!$A$11:$AA$160,27,0)</f>
        <v>0</v>
      </c>
      <c r="AB86" s="53"/>
      <c r="AC86" s="52">
        <f t="shared" si="10"/>
        <v>0</v>
      </c>
      <c r="AD86" s="52">
        <f t="shared" si="11"/>
        <v>0</v>
      </c>
      <c r="AE86" s="53"/>
      <c r="AF86" s="52">
        <f>IF(VLOOKUP($A86,'I | Capex forecast'!$A$11:$AA$160,10,0)="Yes",AC86,0)</f>
        <v>0</v>
      </c>
      <c r="AG86" s="52">
        <f>IF(VLOOKUP($A86,'I | Capex forecast'!$A$11:$AA$160,10,0)="Yes",AD86,0)</f>
        <v>0</v>
      </c>
      <c r="AH86" s="53"/>
      <c r="AI86" s="52">
        <f t="shared" si="12"/>
        <v>0</v>
      </c>
      <c r="AJ86" s="52">
        <f t="shared" si="13"/>
        <v>0</v>
      </c>
    </row>
    <row r="87" spans="1:36" s="4" customFormat="1" x14ac:dyDescent="0.3">
      <c r="A87" s="56">
        <v>77</v>
      </c>
      <c r="B87" s="48" t="str">
        <f>IF('I | Capex forecast'!B88="","",'I | Capex forecast'!B88)</f>
        <v/>
      </c>
      <c r="C87" s="48" t="str">
        <f>IF('I | Capex forecast'!C88="","",'I | Capex forecast'!C88)</f>
        <v/>
      </c>
      <c r="D87" s="48" t="str">
        <f>IF('I | Capex forecast'!D90="","",'I | Capex forecast'!D90)</f>
        <v/>
      </c>
      <c r="E87" s="48" t="str">
        <f>IF('I | Capex forecast'!E88="","",'I | Capex forecast'!E88)</f>
        <v/>
      </c>
      <c r="F87" s="48" t="str">
        <f>IF('I | Capex forecast'!F88="","",'I | Capex forecast'!F88)</f>
        <v/>
      </c>
      <c r="G87" s="48" t="str">
        <f>IF('I | Capex forecast'!G88="","",'I | Capex forecast'!G88)</f>
        <v/>
      </c>
      <c r="H87" s="48" t="str">
        <f>IF('I | Capex forecast'!H88="","",'I | Capex forecast'!H88)</f>
        <v/>
      </c>
      <c r="I87" s="48" t="str">
        <f>IF('I | Capex forecast'!I88="","",'I | Capex forecast'!I88)</f>
        <v/>
      </c>
      <c r="J87" s="50"/>
      <c r="K87" s="52">
        <f>IFERROR(IF($H87="nominal",VLOOKUP($A87,'I | Capex forecast'!$A$11:$AA$160,K$8,0),VLOOKUP($A87,'I | Capex forecast'!$A$11:$AA$160,K$8,0)*INDEX('I | Inflation'!$G$41:$I$43,MATCH($H87,'I | Inflation'!$F$41:$F$43,0),MATCH(K$10,'I | Inflation'!$G$40:$I$40,0))),0)</f>
        <v>0</v>
      </c>
      <c r="L87" s="52">
        <f>IFERROR(IF($H87="nominal",VLOOKUP($A87,'I | Capex forecast'!$A$11:$AA$160,L$8,0),VLOOKUP($A87,'I | Capex forecast'!$A$11:$AA$160,L$8,0)*INDEX('I | Inflation'!$G$41:$I$42,MATCH($H87,'I | Inflation'!$F$41:$F$42,0),MATCH(L$10,'I | Inflation'!$G$40:$I$40,0))),0)</f>
        <v>0</v>
      </c>
      <c r="M87" s="53"/>
      <c r="N87" s="52">
        <f>K87*VLOOKUP($A87,'I | Capex forecast'!$A$11:$AA$160,21,0)*(HLOOKUP(N$10,'I | Inflation'!$D$57:$J$59,3,0)-1)</f>
        <v>0</v>
      </c>
      <c r="O87" s="52">
        <f>L87*VLOOKUP($A87,'I | Capex forecast'!$A$11:$AA$160,21,0)*(HLOOKUP(O$10,'I | Inflation'!$D$57:$J$59,3,0)-1)</f>
        <v>0</v>
      </c>
      <c r="P87" s="53"/>
      <c r="Q87" s="52"/>
      <c r="R87" s="52"/>
      <c r="S87" s="53"/>
      <c r="T87" s="52"/>
      <c r="U87" s="52"/>
      <c r="V87" s="53"/>
      <c r="W87" s="52"/>
      <c r="X87" s="52"/>
      <c r="Y87" s="53"/>
      <c r="Z87" s="52">
        <f>K87*VLOOKUP($A87,'I | Capex forecast'!$A$11:$AA$160,27,0)</f>
        <v>0</v>
      </c>
      <c r="AA87" s="52">
        <f>L87*VLOOKUP($A87,'I | Capex forecast'!$A$11:$AA$160,27,0)</f>
        <v>0</v>
      </c>
      <c r="AB87" s="53"/>
      <c r="AC87" s="52">
        <f t="shared" si="10"/>
        <v>0</v>
      </c>
      <c r="AD87" s="52">
        <f t="shared" si="11"/>
        <v>0</v>
      </c>
      <c r="AE87" s="53"/>
      <c r="AF87" s="52">
        <f>IF(VLOOKUP($A87,'I | Capex forecast'!$A$11:$AA$160,10,0)="Yes",AC87,0)</f>
        <v>0</v>
      </c>
      <c r="AG87" s="52">
        <f>IF(VLOOKUP($A87,'I | Capex forecast'!$A$11:$AA$160,10,0)="Yes",AD87,0)</f>
        <v>0</v>
      </c>
      <c r="AH87" s="53"/>
      <c r="AI87" s="52">
        <f t="shared" si="12"/>
        <v>0</v>
      </c>
      <c r="AJ87" s="52">
        <f t="shared" si="13"/>
        <v>0</v>
      </c>
    </row>
    <row r="88" spans="1:36" s="4" customFormat="1" x14ac:dyDescent="0.3">
      <c r="A88" s="56">
        <v>78</v>
      </c>
      <c r="B88" s="48" t="str">
        <f>IF('I | Capex forecast'!B89="","",'I | Capex forecast'!B89)</f>
        <v/>
      </c>
      <c r="C88" s="48" t="str">
        <f>IF('I | Capex forecast'!C89="","",'I | Capex forecast'!C89)</f>
        <v/>
      </c>
      <c r="D88" s="48" t="str">
        <f>IF('I | Capex forecast'!D91="","",'I | Capex forecast'!D91)</f>
        <v/>
      </c>
      <c r="E88" s="48" t="str">
        <f>IF('I | Capex forecast'!E89="","",'I | Capex forecast'!E89)</f>
        <v/>
      </c>
      <c r="F88" s="48" t="str">
        <f>IF('I | Capex forecast'!F89="","",'I | Capex forecast'!F89)</f>
        <v/>
      </c>
      <c r="G88" s="48" t="str">
        <f>IF('I | Capex forecast'!G89="","",'I | Capex forecast'!G89)</f>
        <v/>
      </c>
      <c r="H88" s="48" t="str">
        <f>IF('I | Capex forecast'!H89="","",'I | Capex forecast'!H89)</f>
        <v/>
      </c>
      <c r="I88" s="48" t="str">
        <f>IF('I | Capex forecast'!I89="","",'I | Capex forecast'!I89)</f>
        <v/>
      </c>
      <c r="J88" s="50"/>
      <c r="K88" s="52">
        <f>IFERROR(IF($H88="nominal",VLOOKUP($A88,'I | Capex forecast'!$A$11:$AA$160,K$8,0),VLOOKUP($A88,'I | Capex forecast'!$A$11:$AA$160,K$8,0)*INDEX('I | Inflation'!$G$41:$I$42,MATCH($H88,'I | Inflation'!$F$41:$F$42,0),MATCH(K$10,'I | Inflation'!$G$40:$I$40,0))),0)</f>
        <v>0</v>
      </c>
      <c r="L88" s="52">
        <f>IFERROR(IF($H88="nominal",VLOOKUP($A88,'I | Capex forecast'!$A$11:$AA$160,L$8,0),VLOOKUP($A88,'I | Capex forecast'!$A$11:$AA$160,L$8,0)*INDEX('I | Inflation'!$G$41:$I$42,MATCH($H88,'I | Inflation'!$F$41:$F$42,0),MATCH(L$10,'I | Inflation'!$G$40:$I$40,0))),0)</f>
        <v>0</v>
      </c>
      <c r="M88" s="53"/>
      <c r="N88" s="52">
        <f>K88*VLOOKUP($A88,'I | Capex forecast'!$A$11:$AA$160,21,0)*(HLOOKUP(N$10,'I | Inflation'!$D$57:$J$59,3,0)-1)</f>
        <v>0</v>
      </c>
      <c r="O88" s="52">
        <f>L88*VLOOKUP($A88,'I | Capex forecast'!$A$11:$AA$160,21,0)*(HLOOKUP(O$10,'I | Inflation'!$D$57:$J$59,3,0)-1)</f>
        <v>0</v>
      </c>
      <c r="P88" s="53"/>
      <c r="Q88" s="52"/>
      <c r="R88" s="52"/>
      <c r="S88" s="53"/>
      <c r="T88" s="52"/>
      <c r="U88" s="52"/>
      <c r="V88" s="53"/>
      <c r="W88" s="52"/>
      <c r="X88" s="52"/>
      <c r="Y88" s="53"/>
      <c r="Z88" s="52">
        <f>K88*VLOOKUP($A88,'I | Capex forecast'!$A$11:$AA$160,27,0)</f>
        <v>0</v>
      </c>
      <c r="AA88" s="52">
        <f>L88*VLOOKUP($A88,'I | Capex forecast'!$A$11:$AA$160,27,0)</f>
        <v>0</v>
      </c>
      <c r="AB88" s="53"/>
      <c r="AC88" s="52">
        <f t="shared" si="10"/>
        <v>0</v>
      </c>
      <c r="AD88" s="52">
        <f t="shared" si="11"/>
        <v>0</v>
      </c>
      <c r="AE88" s="53"/>
      <c r="AF88" s="52">
        <f>IF(VLOOKUP($A88,'I | Capex forecast'!$A$11:$AA$160,10,0)="Yes",AC88,0)</f>
        <v>0</v>
      </c>
      <c r="AG88" s="52">
        <f>IF(VLOOKUP($A88,'I | Capex forecast'!$A$11:$AA$160,10,0)="Yes",AD88,0)</f>
        <v>0</v>
      </c>
      <c r="AH88" s="53"/>
      <c r="AI88" s="52">
        <f t="shared" si="12"/>
        <v>0</v>
      </c>
      <c r="AJ88" s="52">
        <f t="shared" si="13"/>
        <v>0</v>
      </c>
    </row>
    <row r="89" spans="1:36" s="4" customFormat="1" x14ac:dyDescent="0.3">
      <c r="A89" s="56">
        <v>79</v>
      </c>
      <c r="B89" s="48" t="str">
        <f>IF('I | Capex forecast'!B90="","",'I | Capex forecast'!B90)</f>
        <v/>
      </c>
      <c r="C89" s="48" t="str">
        <f>IF('I | Capex forecast'!C90="","",'I | Capex forecast'!C90)</f>
        <v/>
      </c>
      <c r="D89" s="48" t="str">
        <f>IF('I | Capex forecast'!D92="","",'I | Capex forecast'!D92)</f>
        <v/>
      </c>
      <c r="E89" s="48" t="str">
        <f>IF('I | Capex forecast'!E90="","",'I | Capex forecast'!E90)</f>
        <v/>
      </c>
      <c r="F89" s="48" t="str">
        <f>IF('I | Capex forecast'!F90="","",'I | Capex forecast'!F90)</f>
        <v/>
      </c>
      <c r="G89" s="48" t="str">
        <f>IF('I | Capex forecast'!G90="","",'I | Capex forecast'!G90)</f>
        <v/>
      </c>
      <c r="H89" s="48" t="str">
        <f>IF('I | Capex forecast'!H90="","",'I | Capex forecast'!H90)</f>
        <v/>
      </c>
      <c r="I89" s="48" t="str">
        <f>IF('I | Capex forecast'!I90="","",'I | Capex forecast'!I90)</f>
        <v/>
      </c>
      <c r="J89" s="50"/>
      <c r="K89" s="52">
        <f>IFERROR(IF($H89="nominal",VLOOKUP($A89,'I | Capex forecast'!$A$11:$AA$160,K$8,0),VLOOKUP($A89,'I | Capex forecast'!$A$11:$AA$160,K$8,0)*INDEX('I | Inflation'!$G$41:$I$42,MATCH($H89,'I | Inflation'!$F$41:$F$42,0),MATCH(K$10,'I | Inflation'!$G$40:$I$40,0))),0)</f>
        <v>0</v>
      </c>
      <c r="L89" s="52">
        <f>IFERROR(IF($H89="nominal",VLOOKUP($A89,'I | Capex forecast'!$A$11:$AA$160,L$8,0),VLOOKUP($A89,'I | Capex forecast'!$A$11:$AA$160,L$8,0)*INDEX('I | Inflation'!$G$41:$I$42,MATCH($H89,'I | Inflation'!$F$41:$F$42,0),MATCH(L$10,'I | Inflation'!$G$40:$I$40,0))),0)</f>
        <v>0</v>
      </c>
      <c r="M89" s="53"/>
      <c r="N89" s="52">
        <f>K89*VLOOKUP($A89,'I | Capex forecast'!$A$11:$AA$160,21,0)*(HLOOKUP(N$10,'I | Inflation'!$D$57:$J$59,3,0)-1)</f>
        <v>0</v>
      </c>
      <c r="O89" s="52">
        <f>L89*VLOOKUP($A89,'I | Capex forecast'!$A$11:$AA$160,21,0)*(HLOOKUP(O$10,'I | Inflation'!$D$57:$J$59,3,0)-1)</f>
        <v>0</v>
      </c>
      <c r="P89" s="53"/>
      <c r="Q89" s="52"/>
      <c r="R89" s="52"/>
      <c r="S89" s="53"/>
      <c r="T89" s="52"/>
      <c r="U89" s="52"/>
      <c r="V89" s="53"/>
      <c r="W89" s="52"/>
      <c r="X89" s="52"/>
      <c r="Y89" s="53"/>
      <c r="Z89" s="52">
        <f>K89*VLOOKUP($A89,'I | Capex forecast'!$A$11:$AA$160,27,0)</f>
        <v>0</v>
      </c>
      <c r="AA89" s="52">
        <f>L89*VLOOKUP($A89,'I | Capex forecast'!$A$11:$AA$160,27,0)</f>
        <v>0</v>
      </c>
      <c r="AB89" s="53"/>
      <c r="AC89" s="52">
        <f t="shared" si="10"/>
        <v>0</v>
      </c>
      <c r="AD89" s="52">
        <f t="shared" si="11"/>
        <v>0</v>
      </c>
      <c r="AE89" s="53"/>
      <c r="AF89" s="52">
        <f>IF(VLOOKUP($A89,'I | Capex forecast'!$A$11:$AA$160,10,0)="Yes",AC89,0)</f>
        <v>0</v>
      </c>
      <c r="AG89" s="52">
        <f>IF(VLOOKUP($A89,'I | Capex forecast'!$A$11:$AA$160,10,0)="Yes",AD89,0)</f>
        <v>0</v>
      </c>
      <c r="AH89" s="53"/>
      <c r="AI89" s="52">
        <f t="shared" si="12"/>
        <v>0</v>
      </c>
      <c r="AJ89" s="52">
        <f t="shared" si="13"/>
        <v>0</v>
      </c>
    </row>
    <row r="90" spans="1:36" s="4" customFormat="1" x14ac:dyDescent="0.3">
      <c r="A90" s="56">
        <v>80</v>
      </c>
      <c r="B90" s="48" t="str">
        <f>IF('I | Capex forecast'!B91="","",'I | Capex forecast'!B91)</f>
        <v/>
      </c>
      <c r="C90" s="48" t="str">
        <f>IF('I | Capex forecast'!C91="","",'I | Capex forecast'!C91)</f>
        <v/>
      </c>
      <c r="D90" s="48" t="str">
        <f>IF('I | Capex forecast'!D93="","",'I | Capex forecast'!D93)</f>
        <v/>
      </c>
      <c r="E90" s="48" t="str">
        <f>IF('I | Capex forecast'!E91="","",'I | Capex forecast'!E91)</f>
        <v/>
      </c>
      <c r="F90" s="48" t="str">
        <f>IF('I | Capex forecast'!F91="","",'I | Capex forecast'!F91)</f>
        <v/>
      </c>
      <c r="G90" s="48" t="str">
        <f>IF('I | Capex forecast'!G91="","",'I | Capex forecast'!G91)</f>
        <v/>
      </c>
      <c r="H90" s="48" t="str">
        <f>IF('I | Capex forecast'!H91="","",'I | Capex forecast'!H91)</f>
        <v/>
      </c>
      <c r="I90" s="48" t="str">
        <f>IF('I | Capex forecast'!I91="","",'I | Capex forecast'!I91)</f>
        <v/>
      </c>
      <c r="J90" s="50"/>
      <c r="K90" s="52">
        <f>IFERROR(IF($H90="nominal",VLOOKUP($A90,'I | Capex forecast'!$A$11:$AA$160,K$8,0),VLOOKUP($A90,'I | Capex forecast'!$A$11:$AA$160,K$8,0)*INDEX('I | Inflation'!$G$41:$I$42,MATCH($H90,'I | Inflation'!$F$41:$F$42,0),MATCH(K$10,'I | Inflation'!$G$40:$I$40,0))),0)</f>
        <v>0</v>
      </c>
      <c r="L90" s="52">
        <f>IFERROR(IF($H90="nominal",VLOOKUP($A90,'I | Capex forecast'!$A$11:$AA$160,L$8,0),VLOOKUP($A90,'I | Capex forecast'!$A$11:$AA$160,L$8,0)*INDEX('I | Inflation'!$G$41:$I$42,MATCH($H90,'I | Inflation'!$F$41:$F$42,0),MATCH(L$10,'I | Inflation'!$G$40:$I$40,0))),0)</f>
        <v>0</v>
      </c>
      <c r="M90" s="53"/>
      <c r="N90" s="52">
        <f>K90*VLOOKUP($A90,'I | Capex forecast'!$A$11:$AA$160,21,0)*(HLOOKUP(N$10,'I | Inflation'!$D$57:$J$59,3,0)-1)</f>
        <v>0</v>
      </c>
      <c r="O90" s="52">
        <f>L90*VLOOKUP($A90,'I | Capex forecast'!$A$11:$AA$160,21,0)*(HLOOKUP(O$10,'I | Inflation'!$D$57:$J$59,3,0)-1)</f>
        <v>0</v>
      </c>
      <c r="P90" s="53"/>
      <c r="Q90" s="52"/>
      <c r="R90" s="52"/>
      <c r="S90" s="53"/>
      <c r="T90" s="52"/>
      <c r="U90" s="52"/>
      <c r="V90" s="53"/>
      <c r="W90" s="52"/>
      <c r="X90" s="52"/>
      <c r="Y90" s="53"/>
      <c r="Z90" s="52">
        <f>K90*VLOOKUP($A90,'I | Capex forecast'!$A$11:$AA$160,27,0)</f>
        <v>0</v>
      </c>
      <c r="AA90" s="52">
        <f>L90*VLOOKUP($A90,'I | Capex forecast'!$A$11:$AA$160,27,0)</f>
        <v>0</v>
      </c>
      <c r="AB90" s="53"/>
      <c r="AC90" s="52">
        <f t="shared" si="10"/>
        <v>0</v>
      </c>
      <c r="AD90" s="52">
        <f t="shared" si="11"/>
        <v>0</v>
      </c>
      <c r="AE90" s="53"/>
      <c r="AF90" s="52">
        <f>IF(VLOOKUP($A90,'I | Capex forecast'!$A$11:$AA$160,10,0)="Yes",AC90,0)</f>
        <v>0</v>
      </c>
      <c r="AG90" s="52">
        <f>IF(VLOOKUP($A90,'I | Capex forecast'!$A$11:$AA$160,10,0)="Yes",AD90,0)</f>
        <v>0</v>
      </c>
      <c r="AH90" s="53"/>
      <c r="AI90" s="52">
        <f t="shared" si="12"/>
        <v>0</v>
      </c>
      <c r="AJ90" s="52">
        <f t="shared" si="13"/>
        <v>0</v>
      </c>
    </row>
    <row r="91" spans="1:36" s="4" customFormat="1" x14ac:dyDescent="0.3">
      <c r="A91" s="56">
        <v>81</v>
      </c>
      <c r="B91" s="48" t="str">
        <f>IF('I | Capex forecast'!B92="","",'I | Capex forecast'!B92)</f>
        <v/>
      </c>
      <c r="C91" s="48" t="str">
        <f>IF('I | Capex forecast'!C92="","",'I | Capex forecast'!C92)</f>
        <v/>
      </c>
      <c r="D91" s="48" t="str">
        <f>IF('I | Capex forecast'!D94="","",'I | Capex forecast'!D94)</f>
        <v/>
      </c>
      <c r="E91" s="48" t="str">
        <f>IF('I | Capex forecast'!E92="","",'I | Capex forecast'!E92)</f>
        <v/>
      </c>
      <c r="F91" s="48" t="str">
        <f>IF('I | Capex forecast'!F92="","",'I | Capex forecast'!F92)</f>
        <v/>
      </c>
      <c r="G91" s="48" t="str">
        <f>IF('I | Capex forecast'!G92="","",'I | Capex forecast'!G92)</f>
        <v/>
      </c>
      <c r="H91" s="48" t="str">
        <f>IF('I | Capex forecast'!H92="","",'I | Capex forecast'!H92)</f>
        <v/>
      </c>
      <c r="I91" s="48" t="str">
        <f>IF('I | Capex forecast'!I92="","",'I | Capex forecast'!I92)</f>
        <v/>
      </c>
      <c r="J91" s="50"/>
      <c r="K91" s="52">
        <f>IFERROR(IF($H91="nominal",VLOOKUP($A91,'I | Capex forecast'!$A$11:$AA$160,K$8,0),VLOOKUP($A91,'I | Capex forecast'!$A$11:$AA$160,K$8,0)*INDEX('I | Inflation'!$G$41:$I$42,MATCH($H91,'I | Inflation'!$F$41:$F$42,0),MATCH(K$10,'I | Inflation'!$G$40:$I$40,0))),0)</f>
        <v>0</v>
      </c>
      <c r="L91" s="52">
        <f>IFERROR(IF($H91="nominal",VLOOKUP($A91,'I | Capex forecast'!$A$11:$AA$160,L$8,0),VLOOKUP($A91,'I | Capex forecast'!$A$11:$AA$160,L$8,0)*INDEX('I | Inflation'!$G$41:$I$42,MATCH($H91,'I | Inflation'!$F$41:$F$42,0),MATCH(L$10,'I | Inflation'!$G$40:$I$40,0))),0)</f>
        <v>0</v>
      </c>
      <c r="M91" s="53"/>
      <c r="N91" s="52">
        <f>K91*VLOOKUP($A91,'I | Capex forecast'!$A$11:$AA$160,21,0)*(HLOOKUP(N$10,'I | Inflation'!$D$57:$J$59,3,0)-1)</f>
        <v>0</v>
      </c>
      <c r="O91" s="52">
        <f>L91*VLOOKUP($A91,'I | Capex forecast'!$A$11:$AA$160,21,0)*(HLOOKUP(O$10,'I | Inflation'!$D$57:$J$59,3,0)-1)</f>
        <v>0</v>
      </c>
      <c r="P91" s="53"/>
      <c r="Q91" s="52"/>
      <c r="R91" s="52"/>
      <c r="S91" s="53"/>
      <c r="T91" s="52"/>
      <c r="U91" s="52"/>
      <c r="V91" s="53"/>
      <c r="W91" s="52"/>
      <c r="X91" s="52"/>
      <c r="Y91" s="53"/>
      <c r="Z91" s="52">
        <f>K91*VLOOKUP($A91,'I | Capex forecast'!$A$11:$AA$160,27,0)</f>
        <v>0</v>
      </c>
      <c r="AA91" s="52">
        <f>L91*VLOOKUP($A91,'I | Capex forecast'!$A$11:$AA$160,27,0)</f>
        <v>0</v>
      </c>
      <c r="AB91" s="53"/>
      <c r="AC91" s="52">
        <f t="shared" si="10"/>
        <v>0</v>
      </c>
      <c r="AD91" s="52">
        <f t="shared" si="11"/>
        <v>0</v>
      </c>
      <c r="AE91" s="53"/>
      <c r="AF91" s="52">
        <f>IF(VLOOKUP($A91,'I | Capex forecast'!$A$11:$AA$160,10,0)="Yes",AC91,0)</f>
        <v>0</v>
      </c>
      <c r="AG91" s="52">
        <f>IF(VLOOKUP($A91,'I | Capex forecast'!$A$11:$AA$160,10,0)="Yes",AD91,0)</f>
        <v>0</v>
      </c>
      <c r="AH91" s="53"/>
      <c r="AI91" s="52">
        <f t="shared" si="12"/>
        <v>0</v>
      </c>
      <c r="AJ91" s="52">
        <f t="shared" si="13"/>
        <v>0</v>
      </c>
    </row>
    <row r="92" spans="1:36" s="4" customFormat="1" x14ac:dyDescent="0.3">
      <c r="A92" s="56">
        <v>82</v>
      </c>
      <c r="B92" s="48" t="str">
        <f>IF('I | Capex forecast'!B93="","",'I | Capex forecast'!B93)</f>
        <v/>
      </c>
      <c r="C92" s="48" t="str">
        <f>IF('I | Capex forecast'!C93="","",'I | Capex forecast'!C93)</f>
        <v/>
      </c>
      <c r="D92" s="48" t="str">
        <f>IF('I | Capex forecast'!D95="","",'I | Capex forecast'!D95)</f>
        <v/>
      </c>
      <c r="E92" s="48" t="str">
        <f>IF('I | Capex forecast'!E93="","",'I | Capex forecast'!E93)</f>
        <v/>
      </c>
      <c r="F92" s="48" t="str">
        <f>IF('I | Capex forecast'!F93="","",'I | Capex forecast'!F93)</f>
        <v/>
      </c>
      <c r="G92" s="48" t="str">
        <f>IF('I | Capex forecast'!G93="","",'I | Capex forecast'!G93)</f>
        <v/>
      </c>
      <c r="H92" s="48" t="str">
        <f>IF('I | Capex forecast'!H93="","",'I | Capex forecast'!H93)</f>
        <v/>
      </c>
      <c r="I92" s="48" t="str">
        <f>IF('I | Capex forecast'!I93="","",'I | Capex forecast'!I93)</f>
        <v/>
      </c>
      <c r="J92" s="50"/>
      <c r="K92" s="52">
        <f>IFERROR(IF($H92="nominal",VLOOKUP($A92,'I | Capex forecast'!$A$11:$AA$160,K$8,0),VLOOKUP($A92,'I | Capex forecast'!$A$11:$AA$160,K$8,0)*INDEX('I | Inflation'!$G$41:$I$42,MATCH($H92,'I | Inflation'!$F$41:$F$42,0),MATCH(K$10,'I | Inflation'!$G$40:$I$40,0))),0)</f>
        <v>0</v>
      </c>
      <c r="L92" s="52">
        <f>IFERROR(IF($H92="nominal",VLOOKUP($A92,'I | Capex forecast'!$A$11:$AA$160,L$8,0),VLOOKUP($A92,'I | Capex forecast'!$A$11:$AA$160,L$8,0)*INDEX('I | Inflation'!$G$41:$I$42,MATCH($H92,'I | Inflation'!$F$41:$F$42,0),MATCH(L$10,'I | Inflation'!$G$40:$I$40,0))),0)</f>
        <v>0</v>
      </c>
      <c r="M92" s="53"/>
      <c r="N92" s="52">
        <f>K92*VLOOKUP($A92,'I | Capex forecast'!$A$11:$AA$160,21,0)*(HLOOKUP(N$10,'I | Inflation'!$D$57:$J$59,3,0)-1)</f>
        <v>0</v>
      </c>
      <c r="O92" s="52">
        <f>L92*VLOOKUP($A92,'I | Capex forecast'!$A$11:$AA$160,21,0)*(HLOOKUP(O$10,'I | Inflation'!$D$57:$J$59,3,0)-1)</f>
        <v>0</v>
      </c>
      <c r="P92" s="53"/>
      <c r="Q92" s="52"/>
      <c r="R92" s="52"/>
      <c r="S92" s="53"/>
      <c r="T92" s="52"/>
      <c r="U92" s="52"/>
      <c r="V92" s="53"/>
      <c r="W92" s="52"/>
      <c r="X92" s="52"/>
      <c r="Y92" s="53"/>
      <c r="Z92" s="52">
        <f>K92*VLOOKUP($A92,'I | Capex forecast'!$A$11:$AA$160,27,0)</f>
        <v>0</v>
      </c>
      <c r="AA92" s="52">
        <f>L92*VLOOKUP($A92,'I | Capex forecast'!$A$11:$AA$160,27,0)</f>
        <v>0</v>
      </c>
      <c r="AB92" s="53"/>
      <c r="AC92" s="52">
        <f t="shared" si="10"/>
        <v>0</v>
      </c>
      <c r="AD92" s="52">
        <f t="shared" si="11"/>
        <v>0</v>
      </c>
      <c r="AE92" s="53"/>
      <c r="AF92" s="52">
        <f>IF(VLOOKUP($A92,'I | Capex forecast'!$A$11:$AA$160,10,0)="Yes",AC92,0)</f>
        <v>0</v>
      </c>
      <c r="AG92" s="52">
        <f>IF(VLOOKUP($A92,'I | Capex forecast'!$A$11:$AA$160,10,0)="Yes",AD92,0)</f>
        <v>0</v>
      </c>
      <c r="AH92" s="53"/>
      <c r="AI92" s="52">
        <f t="shared" si="12"/>
        <v>0</v>
      </c>
      <c r="AJ92" s="52">
        <f t="shared" si="13"/>
        <v>0</v>
      </c>
    </row>
    <row r="93" spans="1:36" s="4" customFormat="1" x14ac:dyDescent="0.3">
      <c r="A93" s="56">
        <v>83</v>
      </c>
      <c r="B93" s="48" t="str">
        <f>IF('I | Capex forecast'!B94="","",'I | Capex forecast'!B94)</f>
        <v/>
      </c>
      <c r="C93" s="48" t="str">
        <f>IF('I | Capex forecast'!C94="","",'I | Capex forecast'!C94)</f>
        <v/>
      </c>
      <c r="D93" s="48" t="str">
        <f>IF('I | Capex forecast'!D96="","",'I | Capex forecast'!D96)</f>
        <v/>
      </c>
      <c r="E93" s="48" t="str">
        <f>IF('I | Capex forecast'!E94="","",'I | Capex forecast'!E94)</f>
        <v/>
      </c>
      <c r="F93" s="48" t="str">
        <f>IF('I | Capex forecast'!F94="","",'I | Capex forecast'!F94)</f>
        <v/>
      </c>
      <c r="G93" s="48" t="str">
        <f>IF('I | Capex forecast'!G94="","",'I | Capex forecast'!G94)</f>
        <v/>
      </c>
      <c r="H93" s="48" t="str">
        <f>IF('I | Capex forecast'!H94="","",'I | Capex forecast'!H94)</f>
        <v/>
      </c>
      <c r="I93" s="48" t="str">
        <f>IF('I | Capex forecast'!I94="","",'I | Capex forecast'!I94)</f>
        <v/>
      </c>
      <c r="J93" s="50"/>
      <c r="K93" s="52">
        <f>IFERROR(IF($H93="nominal",VLOOKUP($A93,'I | Capex forecast'!$A$11:$AA$160,K$8,0),VLOOKUP($A93,'I | Capex forecast'!$A$11:$AA$160,K$8,0)*INDEX('I | Inflation'!$G$41:$I$42,MATCH($H93,'I | Inflation'!$F$41:$F$42,0),MATCH(K$10,'I | Inflation'!$G$40:$I$40,0))),0)</f>
        <v>0</v>
      </c>
      <c r="L93" s="52">
        <f>IFERROR(IF($H93="nominal",VLOOKUP($A93,'I | Capex forecast'!$A$11:$AA$160,L$8,0),VLOOKUP($A93,'I | Capex forecast'!$A$11:$AA$160,L$8,0)*INDEX('I | Inflation'!$G$41:$I$42,MATCH($H93,'I | Inflation'!$F$41:$F$42,0),MATCH(L$10,'I | Inflation'!$G$40:$I$40,0))),0)</f>
        <v>0</v>
      </c>
      <c r="M93" s="53"/>
      <c r="N93" s="52">
        <f>K93*VLOOKUP($A93,'I | Capex forecast'!$A$11:$AA$160,21,0)*(HLOOKUP(N$10,'I | Inflation'!$D$57:$J$59,3,0)-1)</f>
        <v>0</v>
      </c>
      <c r="O93" s="52">
        <f>L93*VLOOKUP($A93,'I | Capex forecast'!$A$11:$AA$160,21,0)*(HLOOKUP(O$10,'I | Inflation'!$D$57:$J$59,3,0)-1)</f>
        <v>0</v>
      </c>
      <c r="P93" s="53"/>
      <c r="Q93" s="52"/>
      <c r="R93" s="52"/>
      <c r="S93" s="53"/>
      <c r="T93" s="52"/>
      <c r="U93" s="52"/>
      <c r="V93" s="53"/>
      <c r="W93" s="52"/>
      <c r="X93" s="52"/>
      <c r="Y93" s="53"/>
      <c r="Z93" s="52">
        <f>K93*VLOOKUP($A93,'I | Capex forecast'!$A$11:$AA$160,27,0)</f>
        <v>0</v>
      </c>
      <c r="AA93" s="52">
        <f>L93*VLOOKUP($A93,'I | Capex forecast'!$A$11:$AA$160,27,0)</f>
        <v>0</v>
      </c>
      <c r="AB93" s="53"/>
      <c r="AC93" s="52">
        <f t="shared" si="10"/>
        <v>0</v>
      </c>
      <c r="AD93" s="52">
        <f t="shared" si="11"/>
        <v>0</v>
      </c>
      <c r="AE93" s="53"/>
      <c r="AF93" s="52">
        <f>IF(VLOOKUP($A93,'I | Capex forecast'!$A$11:$AA$160,10,0)="Yes",AC93,0)</f>
        <v>0</v>
      </c>
      <c r="AG93" s="52">
        <f>IF(VLOOKUP($A93,'I | Capex forecast'!$A$11:$AA$160,10,0)="Yes",AD93,0)</f>
        <v>0</v>
      </c>
      <c r="AH93" s="53"/>
      <c r="AI93" s="52">
        <f t="shared" si="12"/>
        <v>0</v>
      </c>
      <c r="AJ93" s="52">
        <f t="shared" si="13"/>
        <v>0</v>
      </c>
    </row>
    <row r="94" spans="1:36" s="4" customFormat="1" x14ac:dyDescent="0.3">
      <c r="A94" s="56">
        <v>84</v>
      </c>
      <c r="B94" s="48" t="str">
        <f>IF('I | Capex forecast'!B95="","",'I | Capex forecast'!B95)</f>
        <v/>
      </c>
      <c r="C94" s="48" t="str">
        <f>IF('I | Capex forecast'!C95="","",'I | Capex forecast'!C95)</f>
        <v/>
      </c>
      <c r="D94" s="48" t="str">
        <f>IF('I | Capex forecast'!D97="","",'I | Capex forecast'!D97)</f>
        <v/>
      </c>
      <c r="E94" s="48" t="str">
        <f>IF('I | Capex forecast'!E95="","",'I | Capex forecast'!E95)</f>
        <v/>
      </c>
      <c r="F94" s="48" t="str">
        <f>IF('I | Capex forecast'!F95="","",'I | Capex forecast'!F95)</f>
        <v/>
      </c>
      <c r="G94" s="48" t="str">
        <f>IF('I | Capex forecast'!G95="","",'I | Capex forecast'!G95)</f>
        <v/>
      </c>
      <c r="H94" s="48" t="str">
        <f>IF('I | Capex forecast'!H95="","",'I | Capex forecast'!H95)</f>
        <v/>
      </c>
      <c r="I94" s="48" t="str">
        <f>IF('I | Capex forecast'!I95="","",'I | Capex forecast'!I95)</f>
        <v/>
      </c>
      <c r="J94" s="50"/>
      <c r="K94" s="52">
        <f>IFERROR(IF($H94="nominal",VLOOKUP($A94,'I | Capex forecast'!$A$11:$AA$160,K$8,0),VLOOKUP($A94,'I | Capex forecast'!$A$11:$AA$160,K$8,0)*INDEX('I | Inflation'!$G$41:$I$42,MATCH($H94,'I | Inflation'!$F$41:$F$42,0),MATCH(K$10,'I | Inflation'!$G$40:$I$40,0))),0)</f>
        <v>0</v>
      </c>
      <c r="L94" s="52">
        <f>IFERROR(IF($H94="nominal",VLOOKUP($A94,'I | Capex forecast'!$A$11:$AA$160,L$8,0),VLOOKUP($A94,'I | Capex forecast'!$A$11:$AA$160,L$8,0)*INDEX('I | Inflation'!$G$41:$I$42,MATCH($H94,'I | Inflation'!$F$41:$F$42,0),MATCH(L$10,'I | Inflation'!$G$40:$I$40,0))),0)</f>
        <v>0</v>
      </c>
      <c r="M94" s="53"/>
      <c r="N94" s="52">
        <f>K94*VLOOKUP($A94,'I | Capex forecast'!$A$11:$AA$160,21,0)*(HLOOKUP(N$10,'I | Inflation'!$D$57:$J$59,3,0)-1)</f>
        <v>0</v>
      </c>
      <c r="O94" s="52">
        <f>L94*VLOOKUP($A94,'I | Capex forecast'!$A$11:$AA$160,21,0)*(HLOOKUP(O$10,'I | Inflation'!$D$57:$J$59,3,0)-1)</f>
        <v>0</v>
      </c>
      <c r="P94" s="53"/>
      <c r="Q94" s="52"/>
      <c r="R94" s="52"/>
      <c r="S94" s="53"/>
      <c r="T94" s="52"/>
      <c r="U94" s="52"/>
      <c r="V94" s="53"/>
      <c r="W94" s="52"/>
      <c r="X94" s="52"/>
      <c r="Y94" s="53"/>
      <c r="Z94" s="52">
        <f>K94*VLOOKUP($A94,'I | Capex forecast'!$A$11:$AA$160,27,0)</f>
        <v>0</v>
      </c>
      <c r="AA94" s="52">
        <f>L94*VLOOKUP($A94,'I | Capex forecast'!$A$11:$AA$160,27,0)</f>
        <v>0</v>
      </c>
      <c r="AB94" s="53"/>
      <c r="AC94" s="52">
        <f t="shared" si="10"/>
        <v>0</v>
      </c>
      <c r="AD94" s="52">
        <f t="shared" si="11"/>
        <v>0</v>
      </c>
      <c r="AE94" s="53"/>
      <c r="AF94" s="52">
        <f>IF(VLOOKUP($A94,'I | Capex forecast'!$A$11:$AA$160,10,0)="Yes",AC94,0)</f>
        <v>0</v>
      </c>
      <c r="AG94" s="52">
        <f>IF(VLOOKUP($A94,'I | Capex forecast'!$A$11:$AA$160,10,0)="Yes",AD94,0)</f>
        <v>0</v>
      </c>
      <c r="AH94" s="53"/>
      <c r="AI94" s="52">
        <f t="shared" si="12"/>
        <v>0</v>
      </c>
      <c r="AJ94" s="52">
        <f t="shared" si="13"/>
        <v>0</v>
      </c>
    </row>
    <row r="95" spans="1:36" s="4" customFormat="1" x14ac:dyDescent="0.3">
      <c r="A95" s="56">
        <v>85</v>
      </c>
      <c r="B95" s="48" t="str">
        <f>IF('I | Capex forecast'!B96="","",'I | Capex forecast'!B96)</f>
        <v/>
      </c>
      <c r="C95" s="48" t="str">
        <f>IF('I | Capex forecast'!C96="","",'I | Capex forecast'!C96)</f>
        <v/>
      </c>
      <c r="D95" s="48" t="str">
        <f>IF('I | Capex forecast'!D98="","",'I | Capex forecast'!D98)</f>
        <v/>
      </c>
      <c r="E95" s="48" t="str">
        <f>IF('I | Capex forecast'!E96="","",'I | Capex forecast'!E96)</f>
        <v/>
      </c>
      <c r="F95" s="48" t="str">
        <f>IF('I | Capex forecast'!F96="","",'I | Capex forecast'!F96)</f>
        <v/>
      </c>
      <c r="G95" s="48" t="str">
        <f>IF('I | Capex forecast'!G96="","",'I | Capex forecast'!G96)</f>
        <v/>
      </c>
      <c r="H95" s="48" t="str">
        <f>IF('I | Capex forecast'!H96="","",'I | Capex forecast'!H96)</f>
        <v/>
      </c>
      <c r="I95" s="48" t="str">
        <f>IF('I | Capex forecast'!I96="","",'I | Capex forecast'!I96)</f>
        <v/>
      </c>
      <c r="J95" s="50"/>
      <c r="K95" s="52">
        <f>IFERROR(IF($H95="nominal",VLOOKUP($A95,'I | Capex forecast'!$A$11:$AA$160,K$8,0),VLOOKUP($A95,'I | Capex forecast'!$A$11:$AA$160,K$8,0)*INDEX('I | Inflation'!$G$41:$I$42,MATCH($H95,'I | Inflation'!$F$41:$F$42,0),MATCH(K$10,'I | Inflation'!$G$40:$I$40,0))),0)</f>
        <v>0</v>
      </c>
      <c r="L95" s="52">
        <f>IFERROR(IF($H95="nominal",VLOOKUP($A95,'I | Capex forecast'!$A$11:$AA$160,L$8,0),VLOOKUP($A95,'I | Capex forecast'!$A$11:$AA$160,L$8,0)*INDEX('I | Inflation'!$G$41:$I$42,MATCH($H95,'I | Inflation'!$F$41:$F$42,0),MATCH(L$10,'I | Inflation'!$G$40:$I$40,0))),0)</f>
        <v>0</v>
      </c>
      <c r="M95" s="53"/>
      <c r="N95" s="52">
        <f>K95*VLOOKUP($A95,'I | Capex forecast'!$A$11:$AA$160,21,0)*(HLOOKUP(N$10,'I | Inflation'!$D$57:$J$59,3,0)-1)</f>
        <v>0</v>
      </c>
      <c r="O95" s="52">
        <f>L95*VLOOKUP($A95,'I | Capex forecast'!$A$11:$AA$160,21,0)*(HLOOKUP(O$10,'I | Inflation'!$D$57:$J$59,3,0)-1)</f>
        <v>0</v>
      </c>
      <c r="P95" s="53"/>
      <c r="Q95" s="52"/>
      <c r="R95" s="52"/>
      <c r="S95" s="53"/>
      <c r="T95" s="52"/>
      <c r="U95" s="52"/>
      <c r="V95" s="53"/>
      <c r="W95" s="52"/>
      <c r="X95" s="52"/>
      <c r="Y95" s="53"/>
      <c r="Z95" s="52">
        <f>K95*VLOOKUP($A95,'I | Capex forecast'!$A$11:$AA$160,27,0)</f>
        <v>0</v>
      </c>
      <c r="AA95" s="52">
        <f>L95*VLOOKUP($A95,'I | Capex forecast'!$A$11:$AA$160,27,0)</f>
        <v>0</v>
      </c>
      <c r="AB95" s="53"/>
      <c r="AC95" s="52">
        <f t="shared" si="10"/>
        <v>0</v>
      </c>
      <c r="AD95" s="52">
        <f t="shared" si="11"/>
        <v>0</v>
      </c>
      <c r="AE95" s="53"/>
      <c r="AF95" s="52">
        <f>IF(VLOOKUP($A95,'I | Capex forecast'!$A$11:$AA$160,10,0)="Yes",AC95,0)</f>
        <v>0</v>
      </c>
      <c r="AG95" s="52">
        <f>IF(VLOOKUP($A95,'I | Capex forecast'!$A$11:$AA$160,10,0)="Yes",AD95,0)</f>
        <v>0</v>
      </c>
      <c r="AH95" s="53"/>
      <c r="AI95" s="52">
        <f t="shared" si="12"/>
        <v>0</v>
      </c>
      <c r="AJ95" s="52">
        <f t="shared" si="13"/>
        <v>0</v>
      </c>
    </row>
    <row r="96" spans="1:36" s="4" customFormat="1" x14ac:dyDescent="0.3">
      <c r="A96" s="56">
        <v>86</v>
      </c>
      <c r="B96" s="48" t="str">
        <f>IF('I | Capex forecast'!B97="","",'I | Capex forecast'!B97)</f>
        <v/>
      </c>
      <c r="C96" s="48" t="str">
        <f>IF('I | Capex forecast'!C97="","",'I | Capex forecast'!C97)</f>
        <v/>
      </c>
      <c r="D96" s="48" t="str">
        <f>IF('I | Capex forecast'!D99="","",'I | Capex forecast'!D99)</f>
        <v/>
      </c>
      <c r="E96" s="48" t="str">
        <f>IF('I | Capex forecast'!E97="","",'I | Capex forecast'!E97)</f>
        <v/>
      </c>
      <c r="F96" s="48" t="str">
        <f>IF('I | Capex forecast'!F97="","",'I | Capex forecast'!F97)</f>
        <v/>
      </c>
      <c r="G96" s="48" t="str">
        <f>IF('I | Capex forecast'!G97="","",'I | Capex forecast'!G97)</f>
        <v/>
      </c>
      <c r="H96" s="48" t="str">
        <f>IF('I | Capex forecast'!H97="","",'I | Capex forecast'!H97)</f>
        <v/>
      </c>
      <c r="I96" s="48" t="str">
        <f>IF('I | Capex forecast'!I97="","",'I | Capex forecast'!I97)</f>
        <v/>
      </c>
      <c r="J96" s="50"/>
      <c r="K96" s="52">
        <f>IFERROR(IF($H96="nominal",VLOOKUP($A96,'I | Capex forecast'!$A$11:$AA$160,K$8,0),VLOOKUP($A96,'I | Capex forecast'!$A$11:$AA$160,K$8,0)*INDEX('I | Inflation'!$G$41:$I$42,MATCH($H96,'I | Inflation'!$F$41:$F$42,0),MATCH(K$10,'I | Inflation'!$G$40:$I$40,0))),0)</f>
        <v>0</v>
      </c>
      <c r="L96" s="52">
        <f>IFERROR(IF($H96="nominal",VLOOKUP($A96,'I | Capex forecast'!$A$11:$AA$160,L$8,0),VLOOKUP($A96,'I | Capex forecast'!$A$11:$AA$160,L$8,0)*INDEX('I | Inflation'!$G$41:$I$42,MATCH($H96,'I | Inflation'!$F$41:$F$42,0),MATCH(L$10,'I | Inflation'!$G$40:$I$40,0))),0)</f>
        <v>0</v>
      </c>
      <c r="M96" s="53"/>
      <c r="N96" s="52">
        <f>K96*VLOOKUP($A96,'I | Capex forecast'!$A$11:$AA$160,21,0)*(HLOOKUP(N$10,'I | Inflation'!$D$57:$J$59,3,0)-1)</f>
        <v>0</v>
      </c>
      <c r="O96" s="52">
        <f>L96*VLOOKUP($A96,'I | Capex forecast'!$A$11:$AA$160,21,0)*(HLOOKUP(O$10,'I | Inflation'!$D$57:$J$59,3,0)-1)</f>
        <v>0</v>
      </c>
      <c r="P96" s="53"/>
      <c r="Q96" s="52"/>
      <c r="R96" s="52"/>
      <c r="S96" s="53"/>
      <c r="T96" s="52"/>
      <c r="U96" s="52"/>
      <c r="V96" s="53"/>
      <c r="W96" s="52"/>
      <c r="X96" s="52"/>
      <c r="Y96" s="53"/>
      <c r="Z96" s="52">
        <f>K96*VLOOKUP($A96,'I | Capex forecast'!$A$11:$AA$160,27,0)</f>
        <v>0</v>
      </c>
      <c r="AA96" s="52">
        <f>L96*VLOOKUP($A96,'I | Capex forecast'!$A$11:$AA$160,27,0)</f>
        <v>0</v>
      </c>
      <c r="AB96" s="53"/>
      <c r="AC96" s="52">
        <f t="shared" si="10"/>
        <v>0</v>
      </c>
      <c r="AD96" s="52">
        <f t="shared" si="11"/>
        <v>0</v>
      </c>
      <c r="AE96" s="53"/>
      <c r="AF96" s="52">
        <f>IF(VLOOKUP($A96,'I | Capex forecast'!$A$11:$AA$160,10,0)="Yes",AC96,0)</f>
        <v>0</v>
      </c>
      <c r="AG96" s="52">
        <f>IF(VLOOKUP($A96,'I | Capex forecast'!$A$11:$AA$160,10,0)="Yes",AD96,0)</f>
        <v>0</v>
      </c>
      <c r="AH96" s="53"/>
      <c r="AI96" s="52">
        <f t="shared" si="12"/>
        <v>0</v>
      </c>
      <c r="AJ96" s="52">
        <f t="shared" si="13"/>
        <v>0</v>
      </c>
    </row>
    <row r="97" spans="1:36" s="4" customFormat="1" x14ac:dyDescent="0.3">
      <c r="A97" s="56">
        <v>87</v>
      </c>
      <c r="B97" s="48" t="str">
        <f>IF('I | Capex forecast'!B98="","",'I | Capex forecast'!B98)</f>
        <v/>
      </c>
      <c r="C97" s="48" t="str">
        <f>IF('I | Capex forecast'!C98="","",'I | Capex forecast'!C98)</f>
        <v/>
      </c>
      <c r="D97" s="48" t="str">
        <f>IF('I | Capex forecast'!D100="","",'I | Capex forecast'!D100)</f>
        <v/>
      </c>
      <c r="E97" s="48" t="str">
        <f>IF('I | Capex forecast'!E98="","",'I | Capex forecast'!E98)</f>
        <v/>
      </c>
      <c r="F97" s="48" t="str">
        <f>IF('I | Capex forecast'!F98="","",'I | Capex forecast'!F98)</f>
        <v/>
      </c>
      <c r="G97" s="48" t="str">
        <f>IF('I | Capex forecast'!G98="","",'I | Capex forecast'!G98)</f>
        <v/>
      </c>
      <c r="H97" s="48" t="str">
        <f>IF('I | Capex forecast'!H98="","",'I | Capex forecast'!H98)</f>
        <v/>
      </c>
      <c r="I97" s="48" t="str">
        <f>IF('I | Capex forecast'!I98="","",'I | Capex forecast'!I98)</f>
        <v/>
      </c>
      <c r="J97" s="50"/>
      <c r="K97" s="52">
        <f>IFERROR(IF($H97="nominal",VLOOKUP($A97,'I | Capex forecast'!$A$11:$AA$160,K$8,0),VLOOKUP($A97,'I | Capex forecast'!$A$11:$AA$160,K$8,0)*INDEX('I | Inflation'!$G$41:$I$42,MATCH($H97,'I | Inflation'!$F$41:$F$42,0),MATCH(K$10,'I | Inflation'!$G$40:$I$40,0))),0)</f>
        <v>0</v>
      </c>
      <c r="L97" s="52">
        <f>IFERROR(IF($H97="nominal",VLOOKUP($A97,'I | Capex forecast'!$A$11:$AA$160,L$8,0),VLOOKUP($A97,'I | Capex forecast'!$A$11:$AA$160,L$8,0)*INDEX('I | Inflation'!$G$41:$I$42,MATCH($H97,'I | Inflation'!$F$41:$F$42,0),MATCH(L$10,'I | Inflation'!$G$40:$I$40,0))),0)</f>
        <v>0</v>
      </c>
      <c r="M97" s="53"/>
      <c r="N97" s="52">
        <f>K97*VLOOKUP($A97,'I | Capex forecast'!$A$11:$AA$160,21,0)*(HLOOKUP(N$10,'I | Inflation'!$D$57:$J$59,3,0)-1)</f>
        <v>0</v>
      </c>
      <c r="O97" s="52">
        <f>L97*VLOOKUP($A97,'I | Capex forecast'!$A$11:$AA$160,21,0)*(HLOOKUP(O$10,'I | Inflation'!$D$57:$J$59,3,0)-1)</f>
        <v>0</v>
      </c>
      <c r="P97" s="53"/>
      <c r="Q97" s="52"/>
      <c r="R97" s="52"/>
      <c r="S97" s="53"/>
      <c r="T97" s="52"/>
      <c r="U97" s="52"/>
      <c r="V97" s="53"/>
      <c r="W97" s="52"/>
      <c r="X97" s="52"/>
      <c r="Y97" s="53"/>
      <c r="Z97" s="52">
        <f>K97*VLOOKUP($A97,'I | Capex forecast'!$A$11:$AA$160,27,0)</f>
        <v>0</v>
      </c>
      <c r="AA97" s="52">
        <f>L97*VLOOKUP($A97,'I | Capex forecast'!$A$11:$AA$160,27,0)</f>
        <v>0</v>
      </c>
      <c r="AB97" s="53"/>
      <c r="AC97" s="52">
        <f t="shared" si="10"/>
        <v>0</v>
      </c>
      <c r="AD97" s="52">
        <f t="shared" si="11"/>
        <v>0</v>
      </c>
      <c r="AE97" s="53"/>
      <c r="AF97" s="52">
        <f>IF(VLOOKUP($A97,'I | Capex forecast'!$A$11:$AA$160,10,0)="Yes",AC97,0)</f>
        <v>0</v>
      </c>
      <c r="AG97" s="52">
        <f>IF(VLOOKUP($A97,'I | Capex forecast'!$A$11:$AA$160,10,0)="Yes",AD97,0)</f>
        <v>0</v>
      </c>
      <c r="AH97" s="53"/>
      <c r="AI97" s="52">
        <f t="shared" si="12"/>
        <v>0</v>
      </c>
      <c r="AJ97" s="52">
        <f t="shared" si="13"/>
        <v>0</v>
      </c>
    </row>
    <row r="98" spans="1:36" s="4" customFormat="1" x14ac:dyDescent="0.3">
      <c r="A98" s="56">
        <v>88</v>
      </c>
      <c r="B98" s="48" t="str">
        <f>IF('I | Capex forecast'!B99="","",'I | Capex forecast'!B99)</f>
        <v/>
      </c>
      <c r="C98" s="48" t="str">
        <f>IF('I | Capex forecast'!C99="","",'I | Capex forecast'!C99)</f>
        <v/>
      </c>
      <c r="D98" s="48" t="str">
        <f>IF('I | Capex forecast'!D101="","",'I | Capex forecast'!D101)</f>
        <v/>
      </c>
      <c r="E98" s="48" t="str">
        <f>IF('I | Capex forecast'!E99="","",'I | Capex forecast'!E99)</f>
        <v/>
      </c>
      <c r="F98" s="48" t="str">
        <f>IF('I | Capex forecast'!F99="","",'I | Capex forecast'!F99)</f>
        <v/>
      </c>
      <c r="G98" s="48" t="str">
        <f>IF('I | Capex forecast'!G99="","",'I | Capex forecast'!G99)</f>
        <v/>
      </c>
      <c r="H98" s="48" t="str">
        <f>IF('I | Capex forecast'!H99="","",'I | Capex forecast'!H99)</f>
        <v/>
      </c>
      <c r="I98" s="48" t="str">
        <f>IF('I | Capex forecast'!I99="","",'I | Capex forecast'!I99)</f>
        <v/>
      </c>
      <c r="J98" s="50"/>
      <c r="K98" s="52">
        <f>IFERROR(IF($H98="nominal",VLOOKUP($A98,'I | Capex forecast'!$A$11:$AA$160,K$8,0),VLOOKUP($A98,'I | Capex forecast'!$A$11:$AA$160,K$8,0)*INDEX('I | Inflation'!$G$41:$I$42,MATCH($H98,'I | Inflation'!$F$41:$F$42,0),MATCH(K$10,'I | Inflation'!$G$40:$I$40,0))),0)</f>
        <v>0</v>
      </c>
      <c r="L98" s="52">
        <f>IFERROR(IF($H98="nominal",VLOOKUP($A98,'I | Capex forecast'!$A$11:$AA$160,L$8,0),VLOOKUP($A98,'I | Capex forecast'!$A$11:$AA$160,L$8,0)*INDEX('I | Inflation'!$G$41:$I$42,MATCH($H98,'I | Inflation'!$F$41:$F$42,0),MATCH(L$10,'I | Inflation'!$G$40:$I$40,0))),0)</f>
        <v>0</v>
      </c>
      <c r="M98" s="53"/>
      <c r="N98" s="52">
        <f>K98*VLOOKUP($A98,'I | Capex forecast'!$A$11:$AA$160,21,0)*(HLOOKUP(N$10,'I | Inflation'!$D$57:$J$59,3,0)-1)</f>
        <v>0</v>
      </c>
      <c r="O98" s="52">
        <f>L98*VLOOKUP($A98,'I | Capex forecast'!$A$11:$AA$160,21,0)*(HLOOKUP(O$10,'I | Inflation'!$D$57:$J$59,3,0)-1)</f>
        <v>0</v>
      </c>
      <c r="P98" s="53"/>
      <c r="Q98" s="52"/>
      <c r="R98" s="52"/>
      <c r="S98" s="53"/>
      <c r="T98" s="52"/>
      <c r="U98" s="52"/>
      <c r="V98" s="53"/>
      <c r="W98" s="52"/>
      <c r="X98" s="52"/>
      <c r="Y98" s="53"/>
      <c r="Z98" s="52">
        <f>K98*VLOOKUP($A98,'I | Capex forecast'!$A$11:$AA$160,27,0)</f>
        <v>0</v>
      </c>
      <c r="AA98" s="52">
        <f>L98*VLOOKUP($A98,'I | Capex forecast'!$A$11:$AA$160,27,0)</f>
        <v>0</v>
      </c>
      <c r="AB98" s="53"/>
      <c r="AC98" s="52">
        <f t="shared" si="10"/>
        <v>0</v>
      </c>
      <c r="AD98" s="52">
        <f t="shared" si="11"/>
        <v>0</v>
      </c>
      <c r="AE98" s="53"/>
      <c r="AF98" s="52">
        <f>IF(VLOOKUP($A98,'I | Capex forecast'!$A$11:$AA$160,10,0)="Yes",AC98,0)</f>
        <v>0</v>
      </c>
      <c r="AG98" s="52">
        <f>IF(VLOOKUP($A98,'I | Capex forecast'!$A$11:$AA$160,10,0)="Yes",AD98,0)</f>
        <v>0</v>
      </c>
      <c r="AH98" s="53"/>
      <c r="AI98" s="52">
        <f t="shared" si="12"/>
        <v>0</v>
      </c>
      <c r="AJ98" s="52">
        <f t="shared" si="13"/>
        <v>0</v>
      </c>
    </row>
    <row r="99" spans="1:36" s="4" customFormat="1" x14ac:dyDescent="0.3">
      <c r="A99" s="56">
        <v>89</v>
      </c>
      <c r="B99" s="48" t="str">
        <f>IF('I | Capex forecast'!B100="","",'I | Capex forecast'!B100)</f>
        <v/>
      </c>
      <c r="C99" s="48" t="str">
        <f>IF('I | Capex forecast'!C100="","",'I | Capex forecast'!C100)</f>
        <v/>
      </c>
      <c r="D99" s="48" t="str">
        <f>IF('I | Capex forecast'!D102="","",'I | Capex forecast'!D102)</f>
        <v/>
      </c>
      <c r="E99" s="48" t="str">
        <f>IF('I | Capex forecast'!E100="","",'I | Capex forecast'!E100)</f>
        <v/>
      </c>
      <c r="F99" s="48" t="str">
        <f>IF('I | Capex forecast'!F100="","",'I | Capex forecast'!F100)</f>
        <v/>
      </c>
      <c r="G99" s="48" t="str">
        <f>IF('I | Capex forecast'!G100="","",'I | Capex forecast'!G100)</f>
        <v/>
      </c>
      <c r="H99" s="48" t="str">
        <f>IF('I | Capex forecast'!H100="","",'I | Capex forecast'!H100)</f>
        <v/>
      </c>
      <c r="I99" s="48" t="str">
        <f>IF('I | Capex forecast'!I100="","",'I | Capex forecast'!I100)</f>
        <v/>
      </c>
      <c r="J99" s="50"/>
      <c r="K99" s="52">
        <f>IFERROR(IF($H99="nominal",VLOOKUP($A99,'I | Capex forecast'!$A$11:$AA$160,K$8,0),VLOOKUP($A99,'I | Capex forecast'!$A$11:$AA$160,K$8,0)*INDEX('I | Inflation'!$G$41:$I$42,MATCH($H99,'I | Inflation'!$F$41:$F$42,0),MATCH(K$10,'I | Inflation'!$G$40:$I$40,0))),0)</f>
        <v>0</v>
      </c>
      <c r="L99" s="52">
        <f>IFERROR(IF($H99="nominal",VLOOKUP($A99,'I | Capex forecast'!$A$11:$AA$160,L$8,0),VLOOKUP($A99,'I | Capex forecast'!$A$11:$AA$160,L$8,0)*INDEX('I | Inflation'!$G$41:$I$42,MATCH($H99,'I | Inflation'!$F$41:$F$42,0),MATCH(L$10,'I | Inflation'!$G$40:$I$40,0))),0)</f>
        <v>0</v>
      </c>
      <c r="M99" s="53"/>
      <c r="N99" s="52">
        <f>K99*VLOOKUP($A99,'I | Capex forecast'!$A$11:$AA$160,21,0)*(HLOOKUP(N$10,'I | Inflation'!$D$57:$J$59,3,0)-1)</f>
        <v>0</v>
      </c>
      <c r="O99" s="52">
        <f>L99*VLOOKUP($A99,'I | Capex forecast'!$A$11:$AA$160,21,0)*(HLOOKUP(O$10,'I | Inflation'!$D$57:$J$59,3,0)-1)</f>
        <v>0</v>
      </c>
      <c r="P99" s="53"/>
      <c r="Q99" s="52"/>
      <c r="R99" s="52"/>
      <c r="S99" s="53"/>
      <c r="T99" s="52"/>
      <c r="U99" s="52"/>
      <c r="V99" s="53"/>
      <c r="W99" s="52"/>
      <c r="X99" s="52"/>
      <c r="Y99" s="53"/>
      <c r="Z99" s="52">
        <f>K99*VLOOKUP($A99,'I | Capex forecast'!$A$11:$AA$160,27,0)</f>
        <v>0</v>
      </c>
      <c r="AA99" s="52">
        <f>L99*VLOOKUP($A99,'I | Capex forecast'!$A$11:$AA$160,27,0)</f>
        <v>0</v>
      </c>
      <c r="AB99" s="53"/>
      <c r="AC99" s="52">
        <f t="shared" si="10"/>
        <v>0</v>
      </c>
      <c r="AD99" s="52">
        <f t="shared" si="11"/>
        <v>0</v>
      </c>
      <c r="AE99" s="53"/>
      <c r="AF99" s="52">
        <f>IF(VLOOKUP($A99,'I | Capex forecast'!$A$11:$AA$160,10,0)="Yes",AC99,0)</f>
        <v>0</v>
      </c>
      <c r="AG99" s="52">
        <f>IF(VLOOKUP($A99,'I | Capex forecast'!$A$11:$AA$160,10,0)="Yes",AD99,0)</f>
        <v>0</v>
      </c>
      <c r="AH99" s="53"/>
      <c r="AI99" s="52">
        <f t="shared" si="12"/>
        <v>0</v>
      </c>
      <c r="AJ99" s="52">
        <f t="shared" si="13"/>
        <v>0</v>
      </c>
    </row>
    <row r="100" spans="1:36" s="4" customFormat="1" x14ac:dyDescent="0.3">
      <c r="A100" s="56">
        <v>90</v>
      </c>
      <c r="B100" s="48" t="str">
        <f>IF('I | Capex forecast'!B101="","",'I | Capex forecast'!B101)</f>
        <v/>
      </c>
      <c r="C100" s="48" t="str">
        <f>IF('I | Capex forecast'!C101="","",'I | Capex forecast'!C101)</f>
        <v/>
      </c>
      <c r="D100" s="48" t="str">
        <f>IF('I | Capex forecast'!D103="","",'I | Capex forecast'!D103)</f>
        <v/>
      </c>
      <c r="E100" s="48" t="str">
        <f>IF('I | Capex forecast'!E101="","",'I | Capex forecast'!E101)</f>
        <v/>
      </c>
      <c r="F100" s="48" t="str">
        <f>IF('I | Capex forecast'!F101="","",'I | Capex forecast'!F101)</f>
        <v/>
      </c>
      <c r="G100" s="48" t="str">
        <f>IF('I | Capex forecast'!G101="","",'I | Capex forecast'!G101)</f>
        <v/>
      </c>
      <c r="H100" s="48" t="str">
        <f>IF('I | Capex forecast'!H101="","",'I | Capex forecast'!H101)</f>
        <v/>
      </c>
      <c r="I100" s="48" t="str">
        <f>IF('I | Capex forecast'!I101="","",'I | Capex forecast'!I101)</f>
        <v/>
      </c>
      <c r="J100" s="50"/>
      <c r="K100" s="52">
        <f>IFERROR(IF($H100="nominal",VLOOKUP($A100,'I | Capex forecast'!$A$11:$AA$160,K$8,0),VLOOKUP($A100,'I | Capex forecast'!$A$11:$AA$160,K$8,0)*INDEX('I | Inflation'!$G$41:$I$42,MATCH($H100,'I | Inflation'!$F$41:$F$42,0),MATCH(K$10,'I | Inflation'!$G$40:$I$40,0))),0)</f>
        <v>0</v>
      </c>
      <c r="L100" s="52">
        <f>IFERROR(IF($H100="nominal",VLOOKUP($A100,'I | Capex forecast'!$A$11:$AA$160,L$8,0),VLOOKUP($A100,'I | Capex forecast'!$A$11:$AA$160,L$8,0)*INDEX('I | Inflation'!$G$41:$I$42,MATCH($H100,'I | Inflation'!$F$41:$F$42,0),MATCH(L$10,'I | Inflation'!$G$40:$I$40,0))),0)</f>
        <v>0</v>
      </c>
      <c r="M100" s="53"/>
      <c r="N100" s="52">
        <f>K100*VLOOKUP($A100,'I | Capex forecast'!$A$11:$AA$160,21,0)*(HLOOKUP(N$10,'I | Inflation'!$D$57:$J$59,3,0)-1)</f>
        <v>0</v>
      </c>
      <c r="O100" s="52">
        <f>L100*VLOOKUP($A100,'I | Capex forecast'!$A$11:$AA$160,21,0)*(HLOOKUP(O$10,'I | Inflation'!$D$57:$J$59,3,0)-1)</f>
        <v>0</v>
      </c>
      <c r="P100" s="53"/>
      <c r="Q100" s="52"/>
      <c r="R100" s="52"/>
      <c r="S100" s="53"/>
      <c r="T100" s="52"/>
      <c r="U100" s="52"/>
      <c r="V100" s="53"/>
      <c r="W100" s="52"/>
      <c r="X100" s="52"/>
      <c r="Y100" s="53"/>
      <c r="Z100" s="52">
        <f>K100*VLOOKUP($A100,'I | Capex forecast'!$A$11:$AA$160,27,0)</f>
        <v>0</v>
      </c>
      <c r="AA100" s="52">
        <f>L100*VLOOKUP($A100,'I | Capex forecast'!$A$11:$AA$160,27,0)</f>
        <v>0</v>
      </c>
      <c r="AB100" s="53"/>
      <c r="AC100" s="52">
        <f t="shared" si="10"/>
        <v>0</v>
      </c>
      <c r="AD100" s="52">
        <f t="shared" si="11"/>
        <v>0</v>
      </c>
      <c r="AE100" s="53"/>
      <c r="AF100" s="52">
        <f>IF(VLOOKUP($A100,'I | Capex forecast'!$A$11:$AA$160,10,0)="Yes",AC100,0)</f>
        <v>0</v>
      </c>
      <c r="AG100" s="52">
        <f>IF(VLOOKUP($A100,'I | Capex forecast'!$A$11:$AA$160,10,0)="Yes",AD100,0)</f>
        <v>0</v>
      </c>
      <c r="AH100" s="53"/>
      <c r="AI100" s="52">
        <f t="shared" si="12"/>
        <v>0</v>
      </c>
      <c r="AJ100" s="52">
        <f t="shared" si="13"/>
        <v>0</v>
      </c>
    </row>
    <row r="101" spans="1:36" s="4" customFormat="1" x14ac:dyDescent="0.3">
      <c r="A101" s="56">
        <v>91</v>
      </c>
      <c r="B101" s="48" t="str">
        <f>IF('I | Capex forecast'!B102="","",'I | Capex forecast'!B102)</f>
        <v/>
      </c>
      <c r="C101" s="48" t="str">
        <f>IF('I | Capex forecast'!C102="","",'I | Capex forecast'!C102)</f>
        <v/>
      </c>
      <c r="D101" s="48" t="str">
        <f>IF('I | Capex forecast'!D104="","",'I | Capex forecast'!D104)</f>
        <v/>
      </c>
      <c r="E101" s="48" t="str">
        <f>IF('I | Capex forecast'!E102="","",'I | Capex forecast'!E102)</f>
        <v/>
      </c>
      <c r="F101" s="48" t="str">
        <f>IF('I | Capex forecast'!F102="","",'I | Capex forecast'!F102)</f>
        <v/>
      </c>
      <c r="G101" s="48" t="str">
        <f>IF('I | Capex forecast'!G102="","",'I | Capex forecast'!G102)</f>
        <v/>
      </c>
      <c r="H101" s="48" t="str">
        <f>IF('I | Capex forecast'!H102="","",'I | Capex forecast'!H102)</f>
        <v/>
      </c>
      <c r="I101" s="48" t="str">
        <f>IF('I | Capex forecast'!I102="","",'I | Capex forecast'!I102)</f>
        <v/>
      </c>
      <c r="J101" s="50"/>
      <c r="K101" s="52">
        <f>IFERROR(IF($H101="nominal",VLOOKUP($A101,'I | Capex forecast'!$A$11:$AA$160,K$8,0),VLOOKUP($A101,'I | Capex forecast'!$A$11:$AA$160,K$8,0)*INDEX('I | Inflation'!$G$41:$I$42,MATCH($H101,'I | Inflation'!$F$41:$F$42,0),MATCH(K$10,'I | Inflation'!$G$40:$I$40,0))),0)</f>
        <v>0</v>
      </c>
      <c r="L101" s="52">
        <f>IFERROR(IF($H101="nominal",VLOOKUP($A101,'I | Capex forecast'!$A$11:$AA$160,L$8,0),VLOOKUP($A101,'I | Capex forecast'!$A$11:$AA$160,L$8,0)*INDEX('I | Inflation'!$G$41:$I$42,MATCH($H101,'I | Inflation'!$F$41:$F$42,0),MATCH(L$10,'I | Inflation'!$G$40:$I$40,0))),0)</f>
        <v>0</v>
      </c>
      <c r="M101" s="53"/>
      <c r="N101" s="52">
        <f>K101*VLOOKUP($A101,'I | Capex forecast'!$A$11:$AA$160,21,0)*(HLOOKUP(N$10,'I | Inflation'!$D$57:$J$59,3,0)-1)</f>
        <v>0</v>
      </c>
      <c r="O101" s="52">
        <f>L101*VLOOKUP($A101,'I | Capex forecast'!$A$11:$AA$160,21,0)*(HLOOKUP(O$10,'I | Inflation'!$D$57:$J$59,3,0)-1)</f>
        <v>0</v>
      </c>
      <c r="P101" s="53"/>
      <c r="Q101" s="52"/>
      <c r="R101" s="52"/>
      <c r="S101" s="53"/>
      <c r="T101" s="52"/>
      <c r="U101" s="52"/>
      <c r="V101" s="53"/>
      <c r="W101" s="52"/>
      <c r="X101" s="52"/>
      <c r="Y101" s="53"/>
      <c r="Z101" s="52">
        <f>K101*VLOOKUP($A101,'I | Capex forecast'!$A$11:$AA$160,27,0)</f>
        <v>0</v>
      </c>
      <c r="AA101" s="52">
        <f>L101*VLOOKUP($A101,'I | Capex forecast'!$A$11:$AA$160,27,0)</f>
        <v>0</v>
      </c>
      <c r="AB101" s="53"/>
      <c r="AC101" s="52">
        <f t="shared" si="10"/>
        <v>0</v>
      </c>
      <c r="AD101" s="52">
        <f t="shared" si="11"/>
        <v>0</v>
      </c>
      <c r="AE101" s="53"/>
      <c r="AF101" s="52">
        <f>IF(VLOOKUP($A101,'I | Capex forecast'!$A$11:$AA$160,10,0)="Yes",AC101,0)</f>
        <v>0</v>
      </c>
      <c r="AG101" s="52">
        <f>IF(VLOOKUP($A101,'I | Capex forecast'!$A$11:$AA$160,10,0)="Yes",AD101,0)</f>
        <v>0</v>
      </c>
      <c r="AH101" s="53"/>
      <c r="AI101" s="52">
        <f t="shared" si="12"/>
        <v>0</v>
      </c>
      <c r="AJ101" s="52">
        <f t="shared" si="13"/>
        <v>0</v>
      </c>
    </row>
    <row r="102" spans="1:36" s="4" customFormat="1" x14ac:dyDescent="0.3">
      <c r="A102" s="56">
        <v>92</v>
      </c>
      <c r="B102" s="48" t="str">
        <f>IF('I | Capex forecast'!B103="","",'I | Capex forecast'!B103)</f>
        <v/>
      </c>
      <c r="C102" s="48" t="str">
        <f>IF('I | Capex forecast'!C103="","",'I | Capex forecast'!C103)</f>
        <v/>
      </c>
      <c r="D102" s="48" t="str">
        <f>IF('I | Capex forecast'!D105="","",'I | Capex forecast'!D105)</f>
        <v/>
      </c>
      <c r="E102" s="48" t="str">
        <f>IF('I | Capex forecast'!E103="","",'I | Capex forecast'!E103)</f>
        <v/>
      </c>
      <c r="F102" s="48" t="str">
        <f>IF('I | Capex forecast'!F103="","",'I | Capex forecast'!F103)</f>
        <v/>
      </c>
      <c r="G102" s="48" t="str">
        <f>IF('I | Capex forecast'!G103="","",'I | Capex forecast'!G103)</f>
        <v/>
      </c>
      <c r="H102" s="48" t="str">
        <f>IF('I | Capex forecast'!H103="","",'I | Capex forecast'!H103)</f>
        <v/>
      </c>
      <c r="I102" s="48" t="str">
        <f>IF('I | Capex forecast'!I103="","",'I | Capex forecast'!I103)</f>
        <v/>
      </c>
      <c r="J102" s="50"/>
      <c r="K102" s="52">
        <f>IFERROR(IF($H102="nominal",VLOOKUP($A102,'I | Capex forecast'!$A$11:$AA$160,K$8,0),VLOOKUP($A102,'I | Capex forecast'!$A$11:$AA$160,K$8,0)*INDEX('I | Inflation'!$G$41:$I$42,MATCH($H102,'I | Inflation'!$F$41:$F$42,0),MATCH(K$10,'I | Inflation'!$G$40:$I$40,0))),0)</f>
        <v>0</v>
      </c>
      <c r="L102" s="52">
        <f>IFERROR(IF($H102="nominal",VLOOKUP($A102,'I | Capex forecast'!$A$11:$AA$160,L$8,0),VLOOKUP($A102,'I | Capex forecast'!$A$11:$AA$160,L$8,0)*INDEX('I | Inflation'!$G$41:$I$42,MATCH($H102,'I | Inflation'!$F$41:$F$42,0),MATCH(L$10,'I | Inflation'!$G$40:$I$40,0))),0)</f>
        <v>0</v>
      </c>
      <c r="M102" s="53"/>
      <c r="N102" s="52">
        <f>K102*VLOOKUP($A102,'I | Capex forecast'!$A$11:$AA$160,21,0)*(HLOOKUP(N$10,'I | Inflation'!$D$57:$J$59,3,0)-1)</f>
        <v>0</v>
      </c>
      <c r="O102" s="52">
        <f>L102*VLOOKUP($A102,'I | Capex forecast'!$A$11:$AA$160,21,0)*(HLOOKUP(O$10,'I | Inflation'!$D$57:$J$59,3,0)-1)</f>
        <v>0</v>
      </c>
      <c r="P102" s="53"/>
      <c r="Q102" s="52"/>
      <c r="R102" s="52"/>
      <c r="S102" s="53"/>
      <c r="T102" s="52"/>
      <c r="U102" s="52"/>
      <c r="V102" s="53"/>
      <c r="W102" s="52"/>
      <c r="X102" s="52"/>
      <c r="Y102" s="53"/>
      <c r="Z102" s="52">
        <f>K102*VLOOKUP($A102,'I | Capex forecast'!$A$11:$AA$160,27,0)</f>
        <v>0</v>
      </c>
      <c r="AA102" s="52">
        <f>L102*VLOOKUP($A102,'I | Capex forecast'!$A$11:$AA$160,27,0)</f>
        <v>0</v>
      </c>
      <c r="AB102" s="53"/>
      <c r="AC102" s="52">
        <f t="shared" si="10"/>
        <v>0</v>
      </c>
      <c r="AD102" s="52">
        <f t="shared" si="11"/>
        <v>0</v>
      </c>
      <c r="AE102" s="53"/>
      <c r="AF102" s="52">
        <f>IF(VLOOKUP($A102,'I | Capex forecast'!$A$11:$AA$160,10,0)="Yes",AC102,0)</f>
        <v>0</v>
      </c>
      <c r="AG102" s="52">
        <f>IF(VLOOKUP($A102,'I | Capex forecast'!$A$11:$AA$160,10,0)="Yes",AD102,0)</f>
        <v>0</v>
      </c>
      <c r="AH102" s="53"/>
      <c r="AI102" s="52">
        <f t="shared" si="12"/>
        <v>0</v>
      </c>
      <c r="AJ102" s="52">
        <f t="shared" si="13"/>
        <v>0</v>
      </c>
    </row>
    <row r="103" spans="1:36" s="4" customFormat="1" x14ac:dyDescent="0.3">
      <c r="A103" s="56">
        <v>93</v>
      </c>
      <c r="B103" s="48" t="str">
        <f>IF('I | Capex forecast'!B104="","",'I | Capex forecast'!B104)</f>
        <v/>
      </c>
      <c r="C103" s="48" t="str">
        <f>IF('I | Capex forecast'!C104="","",'I | Capex forecast'!C104)</f>
        <v/>
      </c>
      <c r="D103" s="48" t="str">
        <f>IF('I | Capex forecast'!D106="","",'I | Capex forecast'!D106)</f>
        <v/>
      </c>
      <c r="E103" s="48" t="str">
        <f>IF('I | Capex forecast'!E104="","",'I | Capex forecast'!E104)</f>
        <v/>
      </c>
      <c r="F103" s="48" t="str">
        <f>IF('I | Capex forecast'!F104="","",'I | Capex forecast'!F104)</f>
        <v/>
      </c>
      <c r="G103" s="48" t="str">
        <f>IF('I | Capex forecast'!G104="","",'I | Capex forecast'!G104)</f>
        <v/>
      </c>
      <c r="H103" s="48" t="str">
        <f>IF('I | Capex forecast'!H104="","",'I | Capex forecast'!H104)</f>
        <v/>
      </c>
      <c r="I103" s="48" t="str">
        <f>IF('I | Capex forecast'!I104="","",'I | Capex forecast'!I104)</f>
        <v/>
      </c>
      <c r="J103" s="50"/>
      <c r="K103" s="52">
        <f>IFERROR(IF($H103="nominal",VLOOKUP($A103,'I | Capex forecast'!$A$11:$AA$160,K$8,0),VLOOKUP($A103,'I | Capex forecast'!$A$11:$AA$160,K$8,0)*INDEX('I | Inflation'!$G$41:$I$42,MATCH($H103,'I | Inflation'!$F$41:$F$42,0),MATCH(K$10,'I | Inflation'!$G$40:$I$40,0))),0)</f>
        <v>0</v>
      </c>
      <c r="L103" s="52">
        <f>IFERROR(IF($H103="nominal",VLOOKUP($A103,'I | Capex forecast'!$A$11:$AA$160,L$8,0),VLOOKUP($A103,'I | Capex forecast'!$A$11:$AA$160,L$8,0)*INDEX('I | Inflation'!$G$41:$I$42,MATCH($H103,'I | Inflation'!$F$41:$F$42,0),MATCH(L$10,'I | Inflation'!$G$40:$I$40,0))),0)</f>
        <v>0</v>
      </c>
      <c r="M103" s="53"/>
      <c r="N103" s="52">
        <f>K103*VLOOKUP($A103,'I | Capex forecast'!$A$11:$AA$160,21,0)*(HLOOKUP(N$10,'I | Inflation'!$D$57:$J$59,3,0)-1)</f>
        <v>0</v>
      </c>
      <c r="O103" s="52">
        <f>L103*VLOOKUP($A103,'I | Capex forecast'!$A$11:$AA$160,21,0)*(HLOOKUP(O$10,'I | Inflation'!$D$57:$J$59,3,0)-1)</f>
        <v>0</v>
      </c>
      <c r="P103" s="53"/>
      <c r="Q103" s="52"/>
      <c r="R103" s="52"/>
      <c r="S103" s="53"/>
      <c r="T103" s="52"/>
      <c r="U103" s="52"/>
      <c r="V103" s="53"/>
      <c r="W103" s="52"/>
      <c r="X103" s="52"/>
      <c r="Y103" s="53"/>
      <c r="Z103" s="52">
        <f>K103*VLOOKUP($A103,'I | Capex forecast'!$A$11:$AA$160,27,0)</f>
        <v>0</v>
      </c>
      <c r="AA103" s="52">
        <f>L103*VLOOKUP($A103,'I | Capex forecast'!$A$11:$AA$160,27,0)</f>
        <v>0</v>
      </c>
      <c r="AB103" s="53"/>
      <c r="AC103" s="52">
        <f t="shared" si="10"/>
        <v>0</v>
      </c>
      <c r="AD103" s="52">
        <f t="shared" si="11"/>
        <v>0</v>
      </c>
      <c r="AE103" s="53"/>
      <c r="AF103" s="52">
        <f>IF(VLOOKUP($A103,'I | Capex forecast'!$A$11:$AA$160,10,0)="Yes",AC103,0)</f>
        <v>0</v>
      </c>
      <c r="AG103" s="52">
        <f>IF(VLOOKUP($A103,'I | Capex forecast'!$A$11:$AA$160,10,0)="Yes",AD103,0)</f>
        <v>0</v>
      </c>
      <c r="AH103" s="53"/>
      <c r="AI103" s="52">
        <f t="shared" si="12"/>
        <v>0</v>
      </c>
      <c r="AJ103" s="52">
        <f t="shared" si="13"/>
        <v>0</v>
      </c>
    </row>
    <row r="104" spans="1:36" s="4" customFormat="1" x14ac:dyDescent="0.3">
      <c r="A104" s="56">
        <v>94</v>
      </c>
      <c r="B104" s="48" t="str">
        <f>IF('I | Capex forecast'!B105="","",'I | Capex forecast'!B105)</f>
        <v/>
      </c>
      <c r="C104" s="48" t="str">
        <f>IF('I | Capex forecast'!C105="","",'I | Capex forecast'!C105)</f>
        <v/>
      </c>
      <c r="D104" s="48" t="str">
        <f>IF('I | Capex forecast'!D107="","",'I | Capex forecast'!D107)</f>
        <v/>
      </c>
      <c r="E104" s="48" t="str">
        <f>IF('I | Capex forecast'!E105="","",'I | Capex forecast'!E105)</f>
        <v/>
      </c>
      <c r="F104" s="48" t="str">
        <f>IF('I | Capex forecast'!F105="","",'I | Capex forecast'!F105)</f>
        <v/>
      </c>
      <c r="G104" s="48" t="str">
        <f>IF('I | Capex forecast'!G105="","",'I | Capex forecast'!G105)</f>
        <v/>
      </c>
      <c r="H104" s="48" t="str">
        <f>IF('I | Capex forecast'!H105="","",'I | Capex forecast'!H105)</f>
        <v/>
      </c>
      <c r="I104" s="48" t="str">
        <f>IF('I | Capex forecast'!I105="","",'I | Capex forecast'!I105)</f>
        <v/>
      </c>
      <c r="J104" s="50"/>
      <c r="K104" s="52">
        <f>IFERROR(IF($H104="nominal",VLOOKUP($A104,'I | Capex forecast'!$A$11:$AA$160,K$8,0),VLOOKUP($A104,'I | Capex forecast'!$A$11:$AA$160,K$8,0)*INDEX('I | Inflation'!$G$41:$I$42,MATCH($H104,'I | Inflation'!$F$41:$F$42,0),MATCH(K$10,'I | Inflation'!$G$40:$I$40,0))),0)</f>
        <v>0</v>
      </c>
      <c r="L104" s="52">
        <f>IFERROR(IF($H104="nominal",VLOOKUP($A104,'I | Capex forecast'!$A$11:$AA$160,L$8,0),VLOOKUP($A104,'I | Capex forecast'!$A$11:$AA$160,L$8,0)*INDEX('I | Inflation'!$G$41:$I$42,MATCH($H104,'I | Inflation'!$F$41:$F$42,0),MATCH(L$10,'I | Inflation'!$G$40:$I$40,0))),0)</f>
        <v>0</v>
      </c>
      <c r="M104" s="53"/>
      <c r="N104" s="52">
        <f>K104*VLOOKUP($A104,'I | Capex forecast'!$A$11:$AA$160,21,0)*(HLOOKUP(N$10,'I | Inflation'!$D$57:$J$59,3,0)-1)</f>
        <v>0</v>
      </c>
      <c r="O104" s="52">
        <f>L104*VLOOKUP($A104,'I | Capex forecast'!$A$11:$AA$160,21,0)*(HLOOKUP(O$10,'I | Inflation'!$D$57:$J$59,3,0)-1)</f>
        <v>0</v>
      </c>
      <c r="P104" s="53"/>
      <c r="Q104" s="52"/>
      <c r="R104" s="52"/>
      <c r="S104" s="53"/>
      <c r="T104" s="52"/>
      <c r="U104" s="52"/>
      <c r="V104" s="53"/>
      <c r="W104" s="52"/>
      <c r="X104" s="52"/>
      <c r="Y104" s="53"/>
      <c r="Z104" s="52">
        <f>K104*VLOOKUP($A104,'I | Capex forecast'!$A$11:$AA$160,27,0)</f>
        <v>0</v>
      </c>
      <c r="AA104" s="52">
        <f>L104*VLOOKUP($A104,'I | Capex forecast'!$A$11:$AA$160,27,0)</f>
        <v>0</v>
      </c>
      <c r="AB104" s="53"/>
      <c r="AC104" s="52">
        <f t="shared" si="10"/>
        <v>0</v>
      </c>
      <c r="AD104" s="52">
        <f t="shared" si="11"/>
        <v>0</v>
      </c>
      <c r="AE104" s="53"/>
      <c r="AF104" s="52">
        <f>IF(VLOOKUP($A104,'I | Capex forecast'!$A$11:$AA$160,10,0)="Yes",AC104,0)</f>
        <v>0</v>
      </c>
      <c r="AG104" s="52">
        <f>IF(VLOOKUP($A104,'I | Capex forecast'!$A$11:$AA$160,10,0)="Yes",AD104,0)</f>
        <v>0</v>
      </c>
      <c r="AH104" s="53"/>
      <c r="AI104" s="52">
        <f t="shared" si="12"/>
        <v>0</v>
      </c>
      <c r="AJ104" s="52">
        <f t="shared" si="13"/>
        <v>0</v>
      </c>
    </row>
    <row r="105" spans="1:36" s="4" customFormat="1" x14ac:dyDescent="0.3">
      <c r="A105" s="56">
        <v>95</v>
      </c>
      <c r="B105" s="48" t="str">
        <f>IF('I | Capex forecast'!B106="","",'I | Capex forecast'!B106)</f>
        <v/>
      </c>
      <c r="C105" s="48" t="str">
        <f>IF('I | Capex forecast'!C106="","",'I | Capex forecast'!C106)</f>
        <v/>
      </c>
      <c r="D105" s="48" t="str">
        <f>IF('I | Capex forecast'!D108="","",'I | Capex forecast'!D108)</f>
        <v/>
      </c>
      <c r="E105" s="48" t="str">
        <f>IF('I | Capex forecast'!E106="","",'I | Capex forecast'!E106)</f>
        <v/>
      </c>
      <c r="F105" s="48" t="str">
        <f>IF('I | Capex forecast'!F106="","",'I | Capex forecast'!F106)</f>
        <v/>
      </c>
      <c r="G105" s="48" t="str">
        <f>IF('I | Capex forecast'!G106="","",'I | Capex forecast'!G106)</f>
        <v/>
      </c>
      <c r="H105" s="48" t="str">
        <f>IF('I | Capex forecast'!H106="","",'I | Capex forecast'!H106)</f>
        <v/>
      </c>
      <c r="I105" s="48" t="str">
        <f>IF('I | Capex forecast'!I106="","",'I | Capex forecast'!I106)</f>
        <v/>
      </c>
      <c r="J105" s="50"/>
      <c r="K105" s="52">
        <f>IFERROR(IF($H105="nominal",VLOOKUP($A105,'I | Capex forecast'!$A$11:$AA$160,K$8,0),VLOOKUP($A105,'I | Capex forecast'!$A$11:$AA$160,K$8,0)*INDEX('I | Inflation'!$G$41:$I$42,MATCH($H105,'I | Inflation'!$F$41:$F$42,0),MATCH(K$10,'I | Inflation'!$G$40:$I$40,0))),0)</f>
        <v>0</v>
      </c>
      <c r="L105" s="52">
        <f>IFERROR(IF($H105="nominal",VLOOKUP($A105,'I | Capex forecast'!$A$11:$AA$160,L$8,0),VLOOKUP($A105,'I | Capex forecast'!$A$11:$AA$160,L$8,0)*INDEX('I | Inflation'!$G$41:$I$42,MATCH($H105,'I | Inflation'!$F$41:$F$42,0),MATCH(L$10,'I | Inflation'!$G$40:$I$40,0))),0)</f>
        <v>0</v>
      </c>
      <c r="M105" s="53"/>
      <c r="N105" s="52">
        <f>K105*VLOOKUP($A105,'I | Capex forecast'!$A$11:$AA$160,21,0)*(HLOOKUP(N$10,'I | Inflation'!$D$57:$J$59,3,0)-1)</f>
        <v>0</v>
      </c>
      <c r="O105" s="52">
        <f>L105*VLOOKUP($A105,'I | Capex forecast'!$A$11:$AA$160,21,0)*(HLOOKUP(O$10,'I | Inflation'!$D$57:$J$59,3,0)-1)</f>
        <v>0</v>
      </c>
      <c r="P105" s="53"/>
      <c r="Q105" s="52"/>
      <c r="R105" s="52"/>
      <c r="S105" s="53"/>
      <c r="T105" s="52"/>
      <c r="U105" s="52"/>
      <c r="V105" s="53"/>
      <c r="W105" s="52"/>
      <c r="X105" s="52"/>
      <c r="Y105" s="53"/>
      <c r="Z105" s="52">
        <f>K105*VLOOKUP($A105,'I | Capex forecast'!$A$11:$AA$160,27,0)</f>
        <v>0</v>
      </c>
      <c r="AA105" s="52">
        <f>L105*VLOOKUP($A105,'I | Capex forecast'!$A$11:$AA$160,27,0)</f>
        <v>0</v>
      </c>
      <c r="AB105" s="53"/>
      <c r="AC105" s="52">
        <f t="shared" si="10"/>
        <v>0</v>
      </c>
      <c r="AD105" s="52">
        <f t="shared" si="11"/>
        <v>0</v>
      </c>
      <c r="AE105" s="53"/>
      <c r="AF105" s="52">
        <f>IF(VLOOKUP($A105,'I | Capex forecast'!$A$11:$AA$160,10,0)="Yes",AC105,0)</f>
        <v>0</v>
      </c>
      <c r="AG105" s="52">
        <f>IF(VLOOKUP($A105,'I | Capex forecast'!$A$11:$AA$160,10,0)="Yes",AD105,0)</f>
        <v>0</v>
      </c>
      <c r="AH105" s="53"/>
      <c r="AI105" s="52">
        <f t="shared" si="12"/>
        <v>0</v>
      </c>
      <c r="AJ105" s="52">
        <f t="shared" si="13"/>
        <v>0</v>
      </c>
    </row>
    <row r="106" spans="1:36" s="4" customFormat="1" x14ac:dyDescent="0.3">
      <c r="A106" s="56">
        <v>96</v>
      </c>
      <c r="B106" s="48" t="str">
        <f>IF('I | Capex forecast'!B107="","",'I | Capex forecast'!B107)</f>
        <v/>
      </c>
      <c r="C106" s="48" t="str">
        <f>IF('I | Capex forecast'!C107="","",'I | Capex forecast'!C107)</f>
        <v/>
      </c>
      <c r="D106" s="48" t="str">
        <f>IF('I | Capex forecast'!D109="","",'I | Capex forecast'!D109)</f>
        <v/>
      </c>
      <c r="E106" s="48" t="str">
        <f>IF('I | Capex forecast'!E107="","",'I | Capex forecast'!E107)</f>
        <v/>
      </c>
      <c r="F106" s="48" t="str">
        <f>IF('I | Capex forecast'!F107="","",'I | Capex forecast'!F107)</f>
        <v/>
      </c>
      <c r="G106" s="48" t="str">
        <f>IF('I | Capex forecast'!G107="","",'I | Capex forecast'!G107)</f>
        <v/>
      </c>
      <c r="H106" s="48" t="str">
        <f>IF('I | Capex forecast'!H107="","",'I | Capex forecast'!H107)</f>
        <v/>
      </c>
      <c r="I106" s="48" t="str">
        <f>IF('I | Capex forecast'!I107="","",'I | Capex forecast'!I107)</f>
        <v/>
      </c>
      <c r="J106" s="50"/>
      <c r="K106" s="52">
        <f>IFERROR(IF($H106="nominal",VLOOKUP($A106,'I | Capex forecast'!$A$11:$AA$160,K$8,0),VLOOKUP($A106,'I | Capex forecast'!$A$11:$AA$160,K$8,0)*INDEX('I | Inflation'!$G$41:$I$42,MATCH($H106,'I | Inflation'!$F$41:$F$42,0),MATCH(K$10,'I | Inflation'!$G$40:$I$40,0))),0)</f>
        <v>0</v>
      </c>
      <c r="L106" s="52">
        <f>IFERROR(IF($H106="nominal",VLOOKUP($A106,'I | Capex forecast'!$A$11:$AA$160,L$8,0),VLOOKUP($A106,'I | Capex forecast'!$A$11:$AA$160,L$8,0)*INDEX('I | Inflation'!$G$41:$I$42,MATCH($H106,'I | Inflation'!$F$41:$F$42,0),MATCH(L$10,'I | Inflation'!$G$40:$I$40,0))),0)</f>
        <v>0</v>
      </c>
      <c r="M106" s="53"/>
      <c r="N106" s="52">
        <f>K106*VLOOKUP($A106,'I | Capex forecast'!$A$11:$AA$160,21,0)*(HLOOKUP(N$10,'I | Inflation'!$D$57:$J$59,3,0)-1)</f>
        <v>0</v>
      </c>
      <c r="O106" s="52">
        <f>L106*VLOOKUP($A106,'I | Capex forecast'!$A$11:$AA$160,21,0)*(HLOOKUP(O$10,'I | Inflation'!$D$57:$J$59,3,0)-1)</f>
        <v>0</v>
      </c>
      <c r="P106" s="53"/>
      <c r="Q106" s="52"/>
      <c r="R106" s="52"/>
      <c r="S106" s="53"/>
      <c r="T106" s="52"/>
      <c r="U106" s="52"/>
      <c r="V106" s="53"/>
      <c r="W106" s="52"/>
      <c r="X106" s="52"/>
      <c r="Y106" s="53"/>
      <c r="Z106" s="52">
        <f>K106*VLOOKUP($A106,'I | Capex forecast'!$A$11:$AA$160,27,0)</f>
        <v>0</v>
      </c>
      <c r="AA106" s="52">
        <f>L106*VLOOKUP($A106,'I | Capex forecast'!$A$11:$AA$160,27,0)</f>
        <v>0</v>
      </c>
      <c r="AB106" s="53"/>
      <c r="AC106" s="52">
        <f t="shared" si="10"/>
        <v>0</v>
      </c>
      <c r="AD106" s="52">
        <f t="shared" si="11"/>
        <v>0</v>
      </c>
      <c r="AE106" s="53"/>
      <c r="AF106" s="52">
        <f>IF(VLOOKUP($A106,'I | Capex forecast'!$A$11:$AA$160,10,0)="Yes",AC106,0)</f>
        <v>0</v>
      </c>
      <c r="AG106" s="52">
        <f>IF(VLOOKUP($A106,'I | Capex forecast'!$A$11:$AA$160,10,0)="Yes",AD106,0)</f>
        <v>0</v>
      </c>
      <c r="AH106" s="53"/>
      <c r="AI106" s="52">
        <f t="shared" si="12"/>
        <v>0</v>
      </c>
      <c r="AJ106" s="52">
        <f t="shared" si="13"/>
        <v>0</v>
      </c>
    </row>
    <row r="107" spans="1:36" s="4" customFormat="1" x14ac:dyDescent="0.3">
      <c r="A107" s="56">
        <v>97</v>
      </c>
      <c r="B107" s="48" t="str">
        <f>IF('I | Capex forecast'!B108="","",'I | Capex forecast'!B108)</f>
        <v/>
      </c>
      <c r="C107" s="48" t="str">
        <f>IF('I | Capex forecast'!C108="","",'I | Capex forecast'!C108)</f>
        <v/>
      </c>
      <c r="D107" s="48" t="str">
        <f>IF('I | Capex forecast'!D110="","",'I | Capex forecast'!D110)</f>
        <v/>
      </c>
      <c r="E107" s="48" t="str">
        <f>IF('I | Capex forecast'!E108="","",'I | Capex forecast'!E108)</f>
        <v/>
      </c>
      <c r="F107" s="48" t="str">
        <f>IF('I | Capex forecast'!F108="","",'I | Capex forecast'!F108)</f>
        <v/>
      </c>
      <c r="G107" s="48" t="str">
        <f>IF('I | Capex forecast'!G108="","",'I | Capex forecast'!G108)</f>
        <v/>
      </c>
      <c r="H107" s="48" t="str">
        <f>IF('I | Capex forecast'!H108="","",'I | Capex forecast'!H108)</f>
        <v/>
      </c>
      <c r="I107" s="48" t="str">
        <f>IF('I | Capex forecast'!I108="","",'I | Capex forecast'!I108)</f>
        <v/>
      </c>
      <c r="J107" s="50"/>
      <c r="K107" s="52">
        <f>IFERROR(IF($H107="nominal",VLOOKUP($A107,'I | Capex forecast'!$A$11:$AA$160,K$8,0),VLOOKUP($A107,'I | Capex forecast'!$A$11:$AA$160,K$8,0)*INDEX('I | Inflation'!$G$41:$I$42,MATCH($H107,'I | Inflation'!$F$41:$F$42,0),MATCH(K$10,'I | Inflation'!$G$40:$I$40,0))),0)</f>
        <v>0</v>
      </c>
      <c r="L107" s="52">
        <f>IFERROR(IF($H107="nominal",VLOOKUP($A107,'I | Capex forecast'!$A$11:$AA$160,L$8,0),VLOOKUP($A107,'I | Capex forecast'!$A$11:$AA$160,L$8,0)*INDEX('I | Inflation'!$G$41:$I$42,MATCH($H107,'I | Inflation'!$F$41:$F$42,0),MATCH(L$10,'I | Inflation'!$G$40:$I$40,0))),0)</f>
        <v>0</v>
      </c>
      <c r="M107" s="53"/>
      <c r="N107" s="52">
        <f>K107*VLOOKUP($A107,'I | Capex forecast'!$A$11:$AA$160,21,0)*(HLOOKUP(N$10,'I | Inflation'!$D$57:$J$59,3,0)-1)</f>
        <v>0</v>
      </c>
      <c r="O107" s="52">
        <f>L107*VLOOKUP($A107,'I | Capex forecast'!$A$11:$AA$160,21,0)*(HLOOKUP(O$10,'I | Inflation'!$D$57:$J$59,3,0)-1)</f>
        <v>0</v>
      </c>
      <c r="P107" s="53"/>
      <c r="Q107" s="52"/>
      <c r="R107" s="52"/>
      <c r="S107" s="53"/>
      <c r="T107" s="52"/>
      <c r="U107" s="52"/>
      <c r="V107" s="53"/>
      <c r="W107" s="52"/>
      <c r="X107" s="52"/>
      <c r="Y107" s="53"/>
      <c r="Z107" s="52">
        <f>K107*VLOOKUP($A107,'I | Capex forecast'!$A$11:$AA$160,27,0)</f>
        <v>0</v>
      </c>
      <c r="AA107" s="52">
        <f>L107*VLOOKUP($A107,'I | Capex forecast'!$A$11:$AA$160,27,0)</f>
        <v>0</v>
      </c>
      <c r="AB107" s="53"/>
      <c r="AC107" s="52">
        <f t="shared" ref="AC107:AC138" si="14">K107+N107+Q107+T107+W107+Z107</f>
        <v>0</v>
      </c>
      <c r="AD107" s="52">
        <f t="shared" ref="AD107:AD138" si="15">L107+O107+R107+U107+X107+AA107</f>
        <v>0</v>
      </c>
      <c r="AE107" s="53"/>
      <c r="AF107" s="52">
        <f>IF(VLOOKUP($A107,'I | Capex forecast'!$A$11:$AA$160,10,0)="Yes",AC107,0)</f>
        <v>0</v>
      </c>
      <c r="AG107" s="52">
        <f>IF(VLOOKUP($A107,'I | Capex forecast'!$A$11:$AA$160,10,0)="Yes",AD107,0)</f>
        <v>0</v>
      </c>
      <c r="AH107" s="53"/>
      <c r="AI107" s="52">
        <f t="shared" ref="AI107:AI138" si="16">IF($G107="As incurred",AC107,IF($G107=AI$10,$AC107+$AD107,0))</f>
        <v>0</v>
      </c>
      <c r="AJ107" s="52">
        <f t="shared" ref="AJ107:AJ138" si="17">IF($G107="As incurred",AD107,IF($G107=AJ$10,$AC107+$AD107,0))</f>
        <v>0</v>
      </c>
    </row>
    <row r="108" spans="1:36" s="4" customFormat="1" x14ac:dyDescent="0.3">
      <c r="A108" s="56">
        <v>98</v>
      </c>
      <c r="B108" s="48" t="str">
        <f>IF('I | Capex forecast'!B109="","",'I | Capex forecast'!B109)</f>
        <v/>
      </c>
      <c r="C108" s="48" t="str">
        <f>IF('I | Capex forecast'!C109="","",'I | Capex forecast'!C109)</f>
        <v/>
      </c>
      <c r="D108" s="48" t="str">
        <f>IF('I | Capex forecast'!D111="","",'I | Capex forecast'!D111)</f>
        <v/>
      </c>
      <c r="E108" s="48" t="str">
        <f>IF('I | Capex forecast'!E109="","",'I | Capex forecast'!E109)</f>
        <v/>
      </c>
      <c r="F108" s="48" t="str">
        <f>IF('I | Capex forecast'!F109="","",'I | Capex forecast'!F109)</f>
        <v/>
      </c>
      <c r="G108" s="48" t="str">
        <f>IF('I | Capex forecast'!G109="","",'I | Capex forecast'!G109)</f>
        <v/>
      </c>
      <c r="H108" s="48" t="str">
        <f>IF('I | Capex forecast'!H109="","",'I | Capex forecast'!H109)</f>
        <v/>
      </c>
      <c r="I108" s="48" t="str">
        <f>IF('I | Capex forecast'!I109="","",'I | Capex forecast'!I109)</f>
        <v/>
      </c>
      <c r="J108" s="50"/>
      <c r="K108" s="52">
        <f>IFERROR(IF($H108="nominal",VLOOKUP($A108,'I | Capex forecast'!$A$11:$AA$160,K$8,0),VLOOKUP($A108,'I | Capex forecast'!$A$11:$AA$160,K$8,0)*INDEX('I | Inflation'!$G$41:$I$42,MATCH($H108,'I | Inflation'!$F$41:$F$42,0),MATCH(K$10,'I | Inflation'!$G$40:$I$40,0))),0)</f>
        <v>0</v>
      </c>
      <c r="L108" s="52">
        <f>IFERROR(IF($H108="nominal",VLOOKUP($A108,'I | Capex forecast'!$A$11:$AA$160,L$8,0),VLOOKUP($A108,'I | Capex forecast'!$A$11:$AA$160,L$8,0)*INDEX('I | Inflation'!$G$41:$I$42,MATCH($H108,'I | Inflation'!$F$41:$F$42,0),MATCH(L$10,'I | Inflation'!$G$40:$I$40,0))),0)</f>
        <v>0</v>
      </c>
      <c r="M108" s="53"/>
      <c r="N108" s="52">
        <f>K108*VLOOKUP($A108,'I | Capex forecast'!$A$11:$AA$160,21,0)*(HLOOKUP(N$10,'I | Inflation'!$D$57:$J$59,3,0)-1)</f>
        <v>0</v>
      </c>
      <c r="O108" s="52">
        <f>L108*VLOOKUP($A108,'I | Capex forecast'!$A$11:$AA$160,21,0)*(HLOOKUP(O$10,'I | Inflation'!$D$57:$J$59,3,0)-1)</f>
        <v>0</v>
      </c>
      <c r="P108" s="53"/>
      <c r="Q108" s="52"/>
      <c r="R108" s="52"/>
      <c r="S108" s="53"/>
      <c r="T108" s="52"/>
      <c r="U108" s="52"/>
      <c r="V108" s="53"/>
      <c r="W108" s="52"/>
      <c r="X108" s="52"/>
      <c r="Y108" s="53"/>
      <c r="Z108" s="52">
        <f>K108*VLOOKUP($A108,'I | Capex forecast'!$A$11:$AA$160,27,0)</f>
        <v>0</v>
      </c>
      <c r="AA108" s="52">
        <f>L108*VLOOKUP($A108,'I | Capex forecast'!$A$11:$AA$160,27,0)</f>
        <v>0</v>
      </c>
      <c r="AB108" s="53"/>
      <c r="AC108" s="52">
        <f t="shared" si="14"/>
        <v>0</v>
      </c>
      <c r="AD108" s="52">
        <f t="shared" si="15"/>
        <v>0</v>
      </c>
      <c r="AE108" s="53"/>
      <c r="AF108" s="52">
        <f>IF(VLOOKUP($A108,'I | Capex forecast'!$A$11:$AA$160,10,0)="Yes",AC108,0)</f>
        <v>0</v>
      </c>
      <c r="AG108" s="52">
        <f>IF(VLOOKUP($A108,'I | Capex forecast'!$A$11:$AA$160,10,0)="Yes",AD108,0)</f>
        <v>0</v>
      </c>
      <c r="AH108" s="53"/>
      <c r="AI108" s="52">
        <f t="shared" si="16"/>
        <v>0</v>
      </c>
      <c r="AJ108" s="52">
        <f t="shared" si="17"/>
        <v>0</v>
      </c>
    </row>
    <row r="109" spans="1:36" s="4" customFormat="1" x14ac:dyDescent="0.3">
      <c r="A109" s="56">
        <v>99</v>
      </c>
      <c r="B109" s="48" t="str">
        <f>IF('I | Capex forecast'!B110="","",'I | Capex forecast'!B110)</f>
        <v/>
      </c>
      <c r="C109" s="48" t="str">
        <f>IF('I | Capex forecast'!C110="","",'I | Capex forecast'!C110)</f>
        <v/>
      </c>
      <c r="D109" s="48" t="str">
        <f>IF('I | Capex forecast'!D112="","",'I | Capex forecast'!D112)</f>
        <v/>
      </c>
      <c r="E109" s="48" t="str">
        <f>IF('I | Capex forecast'!E110="","",'I | Capex forecast'!E110)</f>
        <v/>
      </c>
      <c r="F109" s="48" t="str">
        <f>IF('I | Capex forecast'!F110="","",'I | Capex forecast'!F110)</f>
        <v/>
      </c>
      <c r="G109" s="48" t="str">
        <f>IF('I | Capex forecast'!G110="","",'I | Capex forecast'!G110)</f>
        <v/>
      </c>
      <c r="H109" s="48" t="str">
        <f>IF('I | Capex forecast'!H110="","",'I | Capex forecast'!H110)</f>
        <v/>
      </c>
      <c r="I109" s="48" t="str">
        <f>IF('I | Capex forecast'!I110="","",'I | Capex forecast'!I110)</f>
        <v/>
      </c>
      <c r="J109" s="50"/>
      <c r="K109" s="52">
        <f>IFERROR(IF($H109="nominal",VLOOKUP($A109,'I | Capex forecast'!$A$11:$AA$160,K$8,0),VLOOKUP($A109,'I | Capex forecast'!$A$11:$AA$160,K$8,0)*INDEX('I | Inflation'!$G$41:$I$42,MATCH($H109,'I | Inflation'!$F$41:$F$42,0),MATCH(K$10,'I | Inflation'!$G$40:$I$40,0))),0)</f>
        <v>0</v>
      </c>
      <c r="L109" s="52">
        <f>IFERROR(IF($H109="nominal",VLOOKUP($A109,'I | Capex forecast'!$A$11:$AA$160,L$8,0),VLOOKUP($A109,'I | Capex forecast'!$A$11:$AA$160,L$8,0)*INDEX('I | Inflation'!$G$41:$I$42,MATCH($H109,'I | Inflation'!$F$41:$F$42,0),MATCH(L$10,'I | Inflation'!$G$40:$I$40,0))),0)</f>
        <v>0</v>
      </c>
      <c r="M109" s="53"/>
      <c r="N109" s="52">
        <f>K109*VLOOKUP($A109,'I | Capex forecast'!$A$11:$AA$160,21,0)*(HLOOKUP(N$10,'I | Inflation'!$D$57:$J$59,3,0)-1)</f>
        <v>0</v>
      </c>
      <c r="O109" s="52">
        <f>L109*VLOOKUP($A109,'I | Capex forecast'!$A$11:$AA$160,21,0)*(HLOOKUP(O$10,'I | Inflation'!$D$57:$J$59,3,0)-1)</f>
        <v>0</v>
      </c>
      <c r="P109" s="53"/>
      <c r="Q109" s="52"/>
      <c r="R109" s="52"/>
      <c r="S109" s="53"/>
      <c r="T109" s="52"/>
      <c r="U109" s="52"/>
      <c r="V109" s="53"/>
      <c r="W109" s="52"/>
      <c r="X109" s="52"/>
      <c r="Y109" s="53"/>
      <c r="Z109" s="52">
        <f>K109*VLOOKUP($A109,'I | Capex forecast'!$A$11:$AA$160,27,0)</f>
        <v>0</v>
      </c>
      <c r="AA109" s="52">
        <f>L109*VLOOKUP($A109,'I | Capex forecast'!$A$11:$AA$160,27,0)</f>
        <v>0</v>
      </c>
      <c r="AB109" s="53"/>
      <c r="AC109" s="52">
        <f t="shared" si="14"/>
        <v>0</v>
      </c>
      <c r="AD109" s="52">
        <f t="shared" si="15"/>
        <v>0</v>
      </c>
      <c r="AE109" s="53"/>
      <c r="AF109" s="52">
        <f>IF(VLOOKUP($A109,'I | Capex forecast'!$A$11:$AA$160,10,0)="Yes",AC109,0)</f>
        <v>0</v>
      </c>
      <c r="AG109" s="52">
        <f>IF(VLOOKUP($A109,'I | Capex forecast'!$A$11:$AA$160,10,0)="Yes",AD109,0)</f>
        <v>0</v>
      </c>
      <c r="AH109" s="53"/>
      <c r="AI109" s="52">
        <f t="shared" si="16"/>
        <v>0</v>
      </c>
      <c r="AJ109" s="52">
        <f t="shared" si="17"/>
        <v>0</v>
      </c>
    </row>
    <row r="110" spans="1:36" s="4" customFormat="1" x14ac:dyDescent="0.3">
      <c r="A110" s="56">
        <v>100</v>
      </c>
      <c r="B110" s="48" t="str">
        <f>IF('I | Capex forecast'!B111="","",'I | Capex forecast'!B111)</f>
        <v/>
      </c>
      <c r="C110" s="48" t="str">
        <f>IF('I | Capex forecast'!C111="","",'I | Capex forecast'!C111)</f>
        <v/>
      </c>
      <c r="D110" s="48" t="str">
        <f>IF('I | Capex forecast'!D113="","",'I | Capex forecast'!D113)</f>
        <v/>
      </c>
      <c r="E110" s="48" t="str">
        <f>IF('I | Capex forecast'!E111="","",'I | Capex forecast'!E111)</f>
        <v/>
      </c>
      <c r="F110" s="48" t="str">
        <f>IF('I | Capex forecast'!F111="","",'I | Capex forecast'!F111)</f>
        <v/>
      </c>
      <c r="G110" s="48" t="str">
        <f>IF('I | Capex forecast'!G111="","",'I | Capex forecast'!G111)</f>
        <v/>
      </c>
      <c r="H110" s="48" t="str">
        <f>IF('I | Capex forecast'!H111="","",'I | Capex forecast'!H111)</f>
        <v/>
      </c>
      <c r="I110" s="48" t="str">
        <f>IF('I | Capex forecast'!I111="","",'I | Capex forecast'!I111)</f>
        <v/>
      </c>
      <c r="J110" s="50"/>
      <c r="K110" s="52">
        <f>IFERROR(IF($H110="nominal",VLOOKUP($A110,'I | Capex forecast'!$A$11:$AA$160,K$8,0),VLOOKUP($A110,'I | Capex forecast'!$A$11:$AA$160,K$8,0)*INDEX('I | Inflation'!$G$41:$I$42,MATCH($H110,'I | Inflation'!$F$41:$F$42,0),MATCH(K$10,'I | Inflation'!$G$40:$I$40,0))),0)</f>
        <v>0</v>
      </c>
      <c r="L110" s="52">
        <f>IFERROR(IF($H110="nominal",VLOOKUP($A110,'I | Capex forecast'!$A$11:$AA$160,L$8,0),VLOOKUP($A110,'I | Capex forecast'!$A$11:$AA$160,L$8,0)*INDEX('I | Inflation'!$G$41:$I$42,MATCH($H110,'I | Inflation'!$F$41:$F$42,0),MATCH(L$10,'I | Inflation'!$G$40:$I$40,0))),0)</f>
        <v>0</v>
      </c>
      <c r="M110" s="53"/>
      <c r="N110" s="52">
        <f>K110*VLOOKUP($A110,'I | Capex forecast'!$A$11:$AA$160,21,0)*(HLOOKUP(N$10,'I | Inflation'!$D$57:$J$59,3,0)-1)</f>
        <v>0</v>
      </c>
      <c r="O110" s="52">
        <f>L110*VLOOKUP($A110,'I | Capex forecast'!$A$11:$AA$160,21,0)*(HLOOKUP(O$10,'I | Inflation'!$D$57:$J$59,3,0)-1)</f>
        <v>0</v>
      </c>
      <c r="P110" s="53"/>
      <c r="Q110" s="52"/>
      <c r="R110" s="52"/>
      <c r="S110" s="53"/>
      <c r="T110" s="52"/>
      <c r="U110" s="52"/>
      <c r="V110" s="53"/>
      <c r="W110" s="52"/>
      <c r="X110" s="52"/>
      <c r="Y110" s="53"/>
      <c r="Z110" s="52">
        <f>K110*VLOOKUP($A110,'I | Capex forecast'!$A$11:$AA$160,27,0)</f>
        <v>0</v>
      </c>
      <c r="AA110" s="52">
        <f>L110*VLOOKUP($A110,'I | Capex forecast'!$A$11:$AA$160,27,0)</f>
        <v>0</v>
      </c>
      <c r="AB110" s="53"/>
      <c r="AC110" s="52">
        <f t="shared" si="14"/>
        <v>0</v>
      </c>
      <c r="AD110" s="52">
        <f t="shared" si="15"/>
        <v>0</v>
      </c>
      <c r="AE110" s="53"/>
      <c r="AF110" s="52">
        <f>IF(VLOOKUP($A110,'I | Capex forecast'!$A$11:$AA$160,10,0)="Yes",AC110,0)</f>
        <v>0</v>
      </c>
      <c r="AG110" s="52">
        <f>IF(VLOOKUP($A110,'I | Capex forecast'!$A$11:$AA$160,10,0)="Yes",AD110,0)</f>
        <v>0</v>
      </c>
      <c r="AH110" s="53"/>
      <c r="AI110" s="52">
        <f t="shared" si="16"/>
        <v>0</v>
      </c>
      <c r="AJ110" s="52">
        <f t="shared" si="17"/>
        <v>0</v>
      </c>
    </row>
    <row r="111" spans="1:36" s="4" customFormat="1" x14ac:dyDescent="0.3">
      <c r="A111" s="56">
        <v>101</v>
      </c>
      <c r="B111" s="48" t="str">
        <f>IF('I | Capex forecast'!B112="","",'I | Capex forecast'!B112)</f>
        <v/>
      </c>
      <c r="C111" s="48" t="str">
        <f>IF('I | Capex forecast'!C112="","",'I | Capex forecast'!C112)</f>
        <v/>
      </c>
      <c r="D111" s="48" t="str">
        <f>IF('I | Capex forecast'!D114="","",'I | Capex forecast'!D114)</f>
        <v/>
      </c>
      <c r="E111" s="48" t="str">
        <f>IF('I | Capex forecast'!E112="","",'I | Capex forecast'!E112)</f>
        <v/>
      </c>
      <c r="F111" s="48" t="str">
        <f>IF('I | Capex forecast'!F112="","",'I | Capex forecast'!F112)</f>
        <v/>
      </c>
      <c r="G111" s="48" t="str">
        <f>IF('I | Capex forecast'!G112="","",'I | Capex forecast'!G112)</f>
        <v/>
      </c>
      <c r="H111" s="48" t="str">
        <f>IF('I | Capex forecast'!H112="","",'I | Capex forecast'!H112)</f>
        <v/>
      </c>
      <c r="I111" s="48" t="str">
        <f>IF('I | Capex forecast'!I112="","",'I | Capex forecast'!I112)</f>
        <v/>
      </c>
      <c r="J111" s="50"/>
      <c r="K111" s="52">
        <f>IFERROR(IF($H111="nominal",VLOOKUP($A111,'I | Capex forecast'!$A$11:$AA$160,K$8,0),VLOOKUP($A111,'I | Capex forecast'!$A$11:$AA$160,K$8,0)*INDEX('I | Inflation'!$G$41:$I$42,MATCH($H111,'I | Inflation'!$F$41:$F$42,0),MATCH(K$10,'I | Inflation'!$G$40:$I$40,0))),0)</f>
        <v>0</v>
      </c>
      <c r="L111" s="52">
        <f>IFERROR(IF($H111="nominal",VLOOKUP($A111,'I | Capex forecast'!$A$11:$AA$160,L$8,0),VLOOKUP($A111,'I | Capex forecast'!$A$11:$AA$160,L$8,0)*INDEX('I | Inflation'!$G$41:$I$42,MATCH($H111,'I | Inflation'!$F$41:$F$42,0),MATCH(L$10,'I | Inflation'!$G$40:$I$40,0))),0)</f>
        <v>0</v>
      </c>
      <c r="M111" s="53"/>
      <c r="N111" s="52">
        <f>K111*VLOOKUP($A111,'I | Capex forecast'!$A$11:$AA$160,21,0)*(HLOOKUP(N$10,'I | Inflation'!$D$57:$J$59,3,0)-1)</f>
        <v>0</v>
      </c>
      <c r="O111" s="52">
        <f>L111*VLOOKUP($A111,'I | Capex forecast'!$A$11:$AA$160,21,0)*(HLOOKUP(O$10,'I | Inflation'!$D$57:$J$59,3,0)-1)</f>
        <v>0</v>
      </c>
      <c r="P111" s="53"/>
      <c r="Q111" s="52"/>
      <c r="R111" s="52"/>
      <c r="S111" s="53"/>
      <c r="T111" s="52"/>
      <c r="U111" s="52"/>
      <c r="V111" s="53"/>
      <c r="W111" s="52"/>
      <c r="X111" s="52"/>
      <c r="Y111" s="53"/>
      <c r="Z111" s="52">
        <f>K111*VLOOKUP($A111,'I | Capex forecast'!$A$11:$AA$160,27,0)</f>
        <v>0</v>
      </c>
      <c r="AA111" s="52">
        <f>L111*VLOOKUP($A111,'I | Capex forecast'!$A$11:$AA$160,27,0)</f>
        <v>0</v>
      </c>
      <c r="AB111" s="53"/>
      <c r="AC111" s="52">
        <f t="shared" si="14"/>
        <v>0</v>
      </c>
      <c r="AD111" s="52">
        <f t="shared" si="15"/>
        <v>0</v>
      </c>
      <c r="AE111" s="53"/>
      <c r="AF111" s="52">
        <f>IF(VLOOKUP($A111,'I | Capex forecast'!$A$11:$AA$160,10,0)="Yes",AC111,0)</f>
        <v>0</v>
      </c>
      <c r="AG111" s="52">
        <f>IF(VLOOKUP($A111,'I | Capex forecast'!$A$11:$AA$160,10,0)="Yes",AD111,0)</f>
        <v>0</v>
      </c>
      <c r="AH111" s="53"/>
      <c r="AI111" s="52">
        <f t="shared" si="16"/>
        <v>0</v>
      </c>
      <c r="AJ111" s="52">
        <f t="shared" si="17"/>
        <v>0</v>
      </c>
    </row>
    <row r="112" spans="1:36" s="4" customFormat="1" x14ac:dyDescent="0.3">
      <c r="A112" s="56">
        <v>102</v>
      </c>
      <c r="B112" s="48" t="str">
        <f>IF('I | Capex forecast'!B113="","",'I | Capex forecast'!B113)</f>
        <v/>
      </c>
      <c r="C112" s="48" t="str">
        <f>IF('I | Capex forecast'!C113="","",'I | Capex forecast'!C113)</f>
        <v/>
      </c>
      <c r="D112" s="48" t="str">
        <f>IF('I | Capex forecast'!D115="","",'I | Capex forecast'!D115)</f>
        <v/>
      </c>
      <c r="E112" s="48" t="str">
        <f>IF('I | Capex forecast'!E113="","",'I | Capex forecast'!E113)</f>
        <v/>
      </c>
      <c r="F112" s="48" t="str">
        <f>IF('I | Capex forecast'!F113="","",'I | Capex forecast'!F113)</f>
        <v/>
      </c>
      <c r="G112" s="48" t="str">
        <f>IF('I | Capex forecast'!G113="","",'I | Capex forecast'!G113)</f>
        <v/>
      </c>
      <c r="H112" s="48" t="str">
        <f>IF('I | Capex forecast'!H113="","",'I | Capex forecast'!H113)</f>
        <v/>
      </c>
      <c r="I112" s="48" t="str">
        <f>IF('I | Capex forecast'!I113="","",'I | Capex forecast'!I113)</f>
        <v/>
      </c>
      <c r="J112" s="50"/>
      <c r="K112" s="52">
        <f>IFERROR(IF($H112="nominal",VLOOKUP($A112,'I | Capex forecast'!$A$11:$AA$160,K$8,0),VLOOKUP($A112,'I | Capex forecast'!$A$11:$AA$160,K$8,0)*INDEX('I | Inflation'!$G$41:$I$42,MATCH($H112,'I | Inflation'!$F$41:$F$42,0),MATCH(K$10,'I | Inflation'!$G$40:$I$40,0))),0)</f>
        <v>0</v>
      </c>
      <c r="L112" s="52">
        <f>IFERROR(IF($H112="nominal",VLOOKUP($A112,'I | Capex forecast'!$A$11:$AA$160,L$8,0),VLOOKUP($A112,'I | Capex forecast'!$A$11:$AA$160,L$8,0)*INDEX('I | Inflation'!$G$41:$I$42,MATCH($H112,'I | Inflation'!$F$41:$F$42,0),MATCH(L$10,'I | Inflation'!$G$40:$I$40,0))),0)</f>
        <v>0</v>
      </c>
      <c r="M112" s="53"/>
      <c r="N112" s="52">
        <f>K112*VLOOKUP($A112,'I | Capex forecast'!$A$11:$AA$160,21,0)*(HLOOKUP(N$10,'I | Inflation'!$D$57:$J$59,3,0)-1)</f>
        <v>0</v>
      </c>
      <c r="O112" s="52">
        <f>L112*VLOOKUP($A112,'I | Capex forecast'!$A$11:$AA$160,21,0)*(HLOOKUP(O$10,'I | Inflation'!$D$57:$J$59,3,0)-1)</f>
        <v>0</v>
      </c>
      <c r="P112" s="53"/>
      <c r="Q112" s="52"/>
      <c r="R112" s="52"/>
      <c r="S112" s="53"/>
      <c r="T112" s="52"/>
      <c r="U112" s="52"/>
      <c r="V112" s="53"/>
      <c r="W112" s="52"/>
      <c r="X112" s="52"/>
      <c r="Y112" s="53"/>
      <c r="Z112" s="52">
        <f>K112*VLOOKUP($A112,'I | Capex forecast'!$A$11:$AA$160,27,0)</f>
        <v>0</v>
      </c>
      <c r="AA112" s="52">
        <f>L112*VLOOKUP($A112,'I | Capex forecast'!$A$11:$AA$160,27,0)</f>
        <v>0</v>
      </c>
      <c r="AB112" s="53"/>
      <c r="AC112" s="52">
        <f t="shared" si="14"/>
        <v>0</v>
      </c>
      <c r="AD112" s="52">
        <f t="shared" si="15"/>
        <v>0</v>
      </c>
      <c r="AE112" s="53"/>
      <c r="AF112" s="52">
        <f>IF(VLOOKUP($A112,'I | Capex forecast'!$A$11:$AA$160,10,0)="Yes",AC112,0)</f>
        <v>0</v>
      </c>
      <c r="AG112" s="52">
        <f>IF(VLOOKUP($A112,'I | Capex forecast'!$A$11:$AA$160,10,0)="Yes",AD112,0)</f>
        <v>0</v>
      </c>
      <c r="AH112" s="53"/>
      <c r="AI112" s="52">
        <f t="shared" si="16"/>
        <v>0</v>
      </c>
      <c r="AJ112" s="52">
        <f t="shared" si="17"/>
        <v>0</v>
      </c>
    </row>
    <row r="113" spans="1:36" s="4" customFormat="1" x14ac:dyDescent="0.3">
      <c r="A113" s="56">
        <v>103</v>
      </c>
      <c r="B113" s="48" t="str">
        <f>IF('I | Capex forecast'!B114="","",'I | Capex forecast'!B114)</f>
        <v/>
      </c>
      <c r="C113" s="48" t="str">
        <f>IF('I | Capex forecast'!C114="","",'I | Capex forecast'!C114)</f>
        <v/>
      </c>
      <c r="D113" s="48" t="str">
        <f>IF('I | Capex forecast'!D116="","",'I | Capex forecast'!D116)</f>
        <v/>
      </c>
      <c r="E113" s="48" t="str">
        <f>IF('I | Capex forecast'!E114="","",'I | Capex forecast'!E114)</f>
        <v/>
      </c>
      <c r="F113" s="48" t="str">
        <f>IF('I | Capex forecast'!F114="","",'I | Capex forecast'!F114)</f>
        <v/>
      </c>
      <c r="G113" s="48" t="str">
        <f>IF('I | Capex forecast'!G114="","",'I | Capex forecast'!G114)</f>
        <v/>
      </c>
      <c r="H113" s="48" t="str">
        <f>IF('I | Capex forecast'!H114="","",'I | Capex forecast'!H114)</f>
        <v/>
      </c>
      <c r="I113" s="48" t="str">
        <f>IF('I | Capex forecast'!I114="","",'I | Capex forecast'!I114)</f>
        <v/>
      </c>
      <c r="J113" s="50"/>
      <c r="K113" s="52">
        <f>IFERROR(IF($H113="nominal",VLOOKUP($A113,'I | Capex forecast'!$A$11:$AA$160,K$8,0),VLOOKUP($A113,'I | Capex forecast'!$A$11:$AA$160,K$8,0)*INDEX('I | Inflation'!$G$41:$I$42,MATCH($H113,'I | Inflation'!$F$41:$F$42,0),MATCH(K$10,'I | Inflation'!$G$40:$I$40,0))),0)</f>
        <v>0</v>
      </c>
      <c r="L113" s="52">
        <f>IFERROR(IF($H113="nominal",VLOOKUP($A113,'I | Capex forecast'!$A$11:$AA$160,L$8,0),VLOOKUP($A113,'I | Capex forecast'!$A$11:$AA$160,L$8,0)*INDEX('I | Inflation'!$G$41:$I$42,MATCH($H113,'I | Inflation'!$F$41:$F$42,0),MATCH(L$10,'I | Inflation'!$G$40:$I$40,0))),0)</f>
        <v>0</v>
      </c>
      <c r="M113" s="53"/>
      <c r="N113" s="52">
        <f>K113*VLOOKUP($A113,'I | Capex forecast'!$A$11:$AA$160,21,0)*(HLOOKUP(N$10,'I | Inflation'!$D$57:$J$59,3,0)-1)</f>
        <v>0</v>
      </c>
      <c r="O113" s="52">
        <f>L113*VLOOKUP($A113,'I | Capex forecast'!$A$11:$AA$160,21,0)*(HLOOKUP(O$10,'I | Inflation'!$D$57:$J$59,3,0)-1)</f>
        <v>0</v>
      </c>
      <c r="P113" s="53"/>
      <c r="Q113" s="52"/>
      <c r="R113" s="52"/>
      <c r="S113" s="53"/>
      <c r="T113" s="52"/>
      <c r="U113" s="52"/>
      <c r="V113" s="53"/>
      <c r="W113" s="52"/>
      <c r="X113" s="52"/>
      <c r="Y113" s="53"/>
      <c r="Z113" s="52">
        <f>K113*VLOOKUP($A113,'I | Capex forecast'!$A$11:$AA$160,27,0)</f>
        <v>0</v>
      </c>
      <c r="AA113" s="52">
        <f>L113*VLOOKUP($A113,'I | Capex forecast'!$A$11:$AA$160,27,0)</f>
        <v>0</v>
      </c>
      <c r="AB113" s="53"/>
      <c r="AC113" s="52">
        <f t="shared" si="14"/>
        <v>0</v>
      </c>
      <c r="AD113" s="52">
        <f t="shared" si="15"/>
        <v>0</v>
      </c>
      <c r="AE113" s="53"/>
      <c r="AF113" s="52">
        <f>IF(VLOOKUP($A113,'I | Capex forecast'!$A$11:$AA$160,10,0)="Yes",AC113,0)</f>
        <v>0</v>
      </c>
      <c r="AG113" s="52">
        <f>IF(VLOOKUP($A113,'I | Capex forecast'!$A$11:$AA$160,10,0)="Yes",AD113,0)</f>
        <v>0</v>
      </c>
      <c r="AH113" s="53"/>
      <c r="AI113" s="52">
        <f t="shared" si="16"/>
        <v>0</v>
      </c>
      <c r="AJ113" s="52">
        <f t="shared" si="17"/>
        <v>0</v>
      </c>
    </row>
    <row r="114" spans="1:36" s="4" customFormat="1" x14ac:dyDescent="0.3">
      <c r="A114" s="56">
        <v>104</v>
      </c>
      <c r="B114" s="48" t="str">
        <f>IF('I | Capex forecast'!B115="","",'I | Capex forecast'!B115)</f>
        <v/>
      </c>
      <c r="C114" s="48" t="str">
        <f>IF('I | Capex forecast'!C115="","",'I | Capex forecast'!C115)</f>
        <v/>
      </c>
      <c r="D114" s="48" t="str">
        <f>IF('I | Capex forecast'!D117="","",'I | Capex forecast'!D117)</f>
        <v/>
      </c>
      <c r="E114" s="48" t="str">
        <f>IF('I | Capex forecast'!E115="","",'I | Capex forecast'!E115)</f>
        <v/>
      </c>
      <c r="F114" s="48" t="str">
        <f>IF('I | Capex forecast'!F115="","",'I | Capex forecast'!F115)</f>
        <v/>
      </c>
      <c r="G114" s="48" t="str">
        <f>IF('I | Capex forecast'!G115="","",'I | Capex forecast'!G115)</f>
        <v/>
      </c>
      <c r="H114" s="48" t="str">
        <f>IF('I | Capex forecast'!H115="","",'I | Capex forecast'!H115)</f>
        <v/>
      </c>
      <c r="I114" s="48" t="str">
        <f>IF('I | Capex forecast'!I115="","",'I | Capex forecast'!I115)</f>
        <v/>
      </c>
      <c r="J114" s="50"/>
      <c r="K114" s="52">
        <f>IFERROR(IF($H114="nominal",VLOOKUP($A114,'I | Capex forecast'!$A$11:$AA$160,K$8,0),VLOOKUP($A114,'I | Capex forecast'!$A$11:$AA$160,K$8,0)*INDEX('I | Inflation'!$G$41:$I$42,MATCH($H114,'I | Inflation'!$F$41:$F$42,0),MATCH(K$10,'I | Inflation'!$G$40:$I$40,0))),0)</f>
        <v>0</v>
      </c>
      <c r="L114" s="52">
        <f>IFERROR(IF($H114="nominal",VLOOKUP($A114,'I | Capex forecast'!$A$11:$AA$160,L$8,0),VLOOKUP($A114,'I | Capex forecast'!$A$11:$AA$160,L$8,0)*INDEX('I | Inflation'!$G$41:$I$42,MATCH($H114,'I | Inflation'!$F$41:$F$42,0),MATCH(L$10,'I | Inflation'!$G$40:$I$40,0))),0)</f>
        <v>0</v>
      </c>
      <c r="M114" s="53"/>
      <c r="N114" s="52">
        <f>K114*VLOOKUP($A114,'I | Capex forecast'!$A$11:$AA$160,21,0)*(HLOOKUP(N$10,'I | Inflation'!$D$57:$J$59,3,0)-1)</f>
        <v>0</v>
      </c>
      <c r="O114" s="52">
        <f>L114*VLOOKUP($A114,'I | Capex forecast'!$A$11:$AA$160,21,0)*(HLOOKUP(O$10,'I | Inflation'!$D$57:$J$59,3,0)-1)</f>
        <v>0</v>
      </c>
      <c r="P114" s="53"/>
      <c r="Q114" s="52"/>
      <c r="R114" s="52"/>
      <c r="S114" s="53"/>
      <c r="T114" s="52"/>
      <c r="U114" s="52"/>
      <c r="V114" s="53"/>
      <c r="W114" s="52"/>
      <c r="X114" s="52"/>
      <c r="Y114" s="53"/>
      <c r="Z114" s="52">
        <f>K114*VLOOKUP($A114,'I | Capex forecast'!$A$11:$AA$160,27,0)</f>
        <v>0</v>
      </c>
      <c r="AA114" s="52">
        <f>L114*VLOOKUP($A114,'I | Capex forecast'!$A$11:$AA$160,27,0)</f>
        <v>0</v>
      </c>
      <c r="AB114" s="53"/>
      <c r="AC114" s="52">
        <f t="shared" si="14"/>
        <v>0</v>
      </c>
      <c r="AD114" s="52">
        <f t="shared" si="15"/>
        <v>0</v>
      </c>
      <c r="AE114" s="53"/>
      <c r="AF114" s="52">
        <f>IF(VLOOKUP($A114,'I | Capex forecast'!$A$11:$AA$160,10,0)="Yes",AC114,0)</f>
        <v>0</v>
      </c>
      <c r="AG114" s="52">
        <f>IF(VLOOKUP($A114,'I | Capex forecast'!$A$11:$AA$160,10,0)="Yes",AD114,0)</f>
        <v>0</v>
      </c>
      <c r="AH114" s="53"/>
      <c r="AI114" s="52">
        <f t="shared" si="16"/>
        <v>0</v>
      </c>
      <c r="AJ114" s="52">
        <f t="shared" si="17"/>
        <v>0</v>
      </c>
    </row>
    <row r="115" spans="1:36" s="4" customFormat="1" x14ac:dyDescent="0.3">
      <c r="A115" s="56">
        <v>105</v>
      </c>
      <c r="B115" s="48" t="str">
        <f>IF('I | Capex forecast'!B116="","",'I | Capex forecast'!B116)</f>
        <v/>
      </c>
      <c r="C115" s="48" t="str">
        <f>IF('I | Capex forecast'!C116="","",'I | Capex forecast'!C116)</f>
        <v/>
      </c>
      <c r="D115" s="48" t="str">
        <f>IF('I | Capex forecast'!D118="","",'I | Capex forecast'!D118)</f>
        <v/>
      </c>
      <c r="E115" s="48" t="str">
        <f>IF('I | Capex forecast'!E116="","",'I | Capex forecast'!E116)</f>
        <v/>
      </c>
      <c r="F115" s="48" t="str">
        <f>IF('I | Capex forecast'!F116="","",'I | Capex forecast'!F116)</f>
        <v/>
      </c>
      <c r="G115" s="48" t="str">
        <f>IF('I | Capex forecast'!G116="","",'I | Capex forecast'!G116)</f>
        <v/>
      </c>
      <c r="H115" s="48" t="str">
        <f>IF('I | Capex forecast'!H116="","",'I | Capex forecast'!H116)</f>
        <v/>
      </c>
      <c r="I115" s="48" t="str">
        <f>IF('I | Capex forecast'!I116="","",'I | Capex forecast'!I116)</f>
        <v/>
      </c>
      <c r="J115" s="50"/>
      <c r="K115" s="52">
        <f>IFERROR(IF($H115="nominal",VLOOKUP($A115,'I | Capex forecast'!$A$11:$AA$160,K$8,0),VLOOKUP($A115,'I | Capex forecast'!$A$11:$AA$160,K$8,0)*INDEX('I | Inflation'!$G$41:$I$42,MATCH($H115,'I | Inflation'!$F$41:$F$42,0),MATCH(K$10,'I | Inflation'!$G$40:$I$40,0))),0)</f>
        <v>0</v>
      </c>
      <c r="L115" s="52">
        <f>IFERROR(IF($H115="nominal",VLOOKUP($A115,'I | Capex forecast'!$A$11:$AA$160,L$8,0),VLOOKUP($A115,'I | Capex forecast'!$A$11:$AA$160,L$8,0)*INDEX('I | Inflation'!$G$41:$I$42,MATCH($H115,'I | Inflation'!$F$41:$F$42,0),MATCH(L$10,'I | Inflation'!$G$40:$I$40,0))),0)</f>
        <v>0</v>
      </c>
      <c r="M115" s="53"/>
      <c r="N115" s="52">
        <f>K115*VLOOKUP($A115,'I | Capex forecast'!$A$11:$AA$160,21,0)*(HLOOKUP(N$10,'I | Inflation'!$D$57:$J$59,3,0)-1)</f>
        <v>0</v>
      </c>
      <c r="O115" s="52">
        <f>L115*VLOOKUP($A115,'I | Capex forecast'!$A$11:$AA$160,21,0)*(HLOOKUP(O$10,'I | Inflation'!$D$57:$J$59,3,0)-1)</f>
        <v>0</v>
      </c>
      <c r="P115" s="53"/>
      <c r="Q115" s="52"/>
      <c r="R115" s="52"/>
      <c r="S115" s="53"/>
      <c r="T115" s="52"/>
      <c r="U115" s="52"/>
      <c r="V115" s="53"/>
      <c r="W115" s="52"/>
      <c r="X115" s="52"/>
      <c r="Y115" s="53"/>
      <c r="Z115" s="52">
        <f>K115*VLOOKUP($A115,'I | Capex forecast'!$A$11:$AA$160,27,0)</f>
        <v>0</v>
      </c>
      <c r="AA115" s="52">
        <f>L115*VLOOKUP($A115,'I | Capex forecast'!$A$11:$AA$160,27,0)</f>
        <v>0</v>
      </c>
      <c r="AB115" s="53"/>
      <c r="AC115" s="52">
        <f t="shared" si="14"/>
        <v>0</v>
      </c>
      <c r="AD115" s="52">
        <f t="shared" si="15"/>
        <v>0</v>
      </c>
      <c r="AE115" s="53"/>
      <c r="AF115" s="52">
        <f>IF(VLOOKUP($A115,'I | Capex forecast'!$A$11:$AA$160,10,0)="Yes",AC115,0)</f>
        <v>0</v>
      </c>
      <c r="AG115" s="52">
        <f>IF(VLOOKUP($A115,'I | Capex forecast'!$A$11:$AA$160,10,0)="Yes",AD115,0)</f>
        <v>0</v>
      </c>
      <c r="AH115" s="53"/>
      <c r="AI115" s="52">
        <f t="shared" si="16"/>
        <v>0</v>
      </c>
      <c r="AJ115" s="52">
        <f t="shared" si="17"/>
        <v>0</v>
      </c>
    </row>
    <row r="116" spans="1:36" s="4" customFormat="1" x14ac:dyDescent="0.3">
      <c r="A116" s="56">
        <v>106</v>
      </c>
      <c r="B116" s="48" t="str">
        <f>IF('I | Capex forecast'!B117="","",'I | Capex forecast'!B117)</f>
        <v/>
      </c>
      <c r="C116" s="48" t="str">
        <f>IF('I | Capex forecast'!C117="","",'I | Capex forecast'!C117)</f>
        <v/>
      </c>
      <c r="D116" s="48" t="str">
        <f>IF('I | Capex forecast'!D119="","",'I | Capex forecast'!D119)</f>
        <v/>
      </c>
      <c r="E116" s="48" t="str">
        <f>IF('I | Capex forecast'!E117="","",'I | Capex forecast'!E117)</f>
        <v/>
      </c>
      <c r="F116" s="48" t="str">
        <f>IF('I | Capex forecast'!F117="","",'I | Capex forecast'!F117)</f>
        <v/>
      </c>
      <c r="G116" s="48" t="str">
        <f>IF('I | Capex forecast'!G117="","",'I | Capex forecast'!G117)</f>
        <v/>
      </c>
      <c r="H116" s="48" t="str">
        <f>IF('I | Capex forecast'!H117="","",'I | Capex forecast'!H117)</f>
        <v/>
      </c>
      <c r="I116" s="48" t="str">
        <f>IF('I | Capex forecast'!I117="","",'I | Capex forecast'!I117)</f>
        <v/>
      </c>
      <c r="J116" s="50"/>
      <c r="K116" s="52">
        <f>IFERROR(IF($H116="nominal",VLOOKUP($A116,'I | Capex forecast'!$A$11:$AA$160,K$8,0),VLOOKUP($A116,'I | Capex forecast'!$A$11:$AA$160,K$8,0)*INDEX('I | Inflation'!$G$41:$I$42,MATCH($H116,'I | Inflation'!$F$41:$F$42,0),MATCH(K$10,'I | Inflation'!$G$40:$I$40,0))),0)</f>
        <v>0</v>
      </c>
      <c r="L116" s="52">
        <f>IFERROR(IF($H116="nominal",VLOOKUP($A116,'I | Capex forecast'!$A$11:$AA$160,L$8,0),VLOOKUP($A116,'I | Capex forecast'!$A$11:$AA$160,L$8,0)*INDEX('I | Inflation'!$G$41:$I$42,MATCH($H116,'I | Inflation'!$F$41:$F$42,0),MATCH(L$10,'I | Inflation'!$G$40:$I$40,0))),0)</f>
        <v>0</v>
      </c>
      <c r="M116" s="53"/>
      <c r="N116" s="52">
        <f>K116*VLOOKUP($A116,'I | Capex forecast'!$A$11:$AA$160,21,0)*(HLOOKUP(N$10,'I | Inflation'!$D$57:$J$59,3,0)-1)</f>
        <v>0</v>
      </c>
      <c r="O116" s="52">
        <f>L116*VLOOKUP($A116,'I | Capex forecast'!$A$11:$AA$160,21,0)*(HLOOKUP(O$10,'I | Inflation'!$D$57:$J$59,3,0)-1)</f>
        <v>0</v>
      </c>
      <c r="P116" s="53"/>
      <c r="Q116" s="52"/>
      <c r="R116" s="52"/>
      <c r="S116" s="53"/>
      <c r="T116" s="52"/>
      <c r="U116" s="52"/>
      <c r="V116" s="53"/>
      <c r="W116" s="52"/>
      <c r="X116" s="52"/>
      <c r="Y116" s="53"/>
      <c r="Z116" s="52">
        <f>K116*VLOOKUP($A116,'I | Capex forecast'!$A$11:$AA$160,27,0)</f>
        <v>0</v>
      </c>
      <c r="AA116" s="52">
        <f>L116*VLOOKUP($A116,'I | Capex forecast'!$A$11:$AA$160,27,0)</f>
        <v>0</v>
      </c>
      <c r="AB116" s="53"/>
      <c r="AC116" s="52">
        <f t="shared" si="14"/>
        <v>0</v>
      </c>
      <c r="AD116" s="52">
        <f t="shared" si="15"/>
        <v>0</v>
      </c>
      <c r="AE116" s="53"/>
      <c r="AF116" s="52">
        <f>IF(VLOOKUP($A116,'I | Capex forecast'!$A$11:$AA$160,10,0)="Yes",AC116,0)</f>
        <v>0</v>
      </c>
      <c r="AG116" s="52">
        <f>IF(VLOOKUP($A116,'I | Capex forecast'!$A$11:$AA$160,10,0)="Yes",AD116,0)</f>
        <v>0</v>
      </c>
      <c r="AH116" s="53"/>
      <c r="AI116" s="52">
        <f t="shared" si="16"/>
        <v>0</v>
      </c>
      <c r="AJ116" s="52">
        <f t="shared" si="17"/>
        <v>0</v>
      </c>
    </row>
    <row r="117" spans="1:36" s="4" customFormat="1" x14ac:dyDescent="0.3">
      <c r="A117" s="56">
        <v>107</v>
      </c>
      <c r="B117" s="48" t="str">
        <f>IF('I | Capex forecast'!B118="","",'I | Capex forecast'!B118)</f>
        <v/>
      </c>
      <c r="C117" s="48" t="str">
        <f>IF('I | Capex forecast'!C118="","",'I | Capex forecast'!C118)</f>
        <v/>
      </c>
      <c r="D117" s="48" t="str">
        <f>IF('I | Capex forecast'!D120="","",'I | Capex forecast'!D120)</f>
        <v/>
      </c>
      <c r="E117" s="48" t="str">
        <f>IF('I | Capex forecast'!E118="","",'I | Capex forecast'!E118)</f>
        <v/>
      </c>
      <c r="F117" s="48" t="str">
        <f>IF('I | Capex forecast'!F118="","",'I | Capex forecast'!F118)</f>
        <v/>
      </c>
      <c r="G117" s="48" t="str">
        <f>IF('I | Capex forecast'!G118="","",'I | Capex forecast'!G118)</f>
        <v/>
      </c>
      <c r="H117" s="48" t="str">
        <f>IF('I | Capex forecast'!H118="","",'I | Capex forecast'!H118)</f>
        <v/>
      </c>
      <c r="I117" s="48" t="str">
        <f>IF('I | Capex forecast'!I118="","",'I | Capex forecast'!I118)</f>
        <v/>
      </c>
      <c r="J117" s="50"/>
      <c r="K117" s="52">
        <f>IFERROR(IF($H117="nominal",VLOOKUP($A117,'I | Capex forecast'!$A$11:$AA$160,K$8,0),VLOOKUP($A117,'I | Capex forecast'!$A$11:$AA$160,K$8,0)*INDEX('I | Inflation'!$G$41:$I$42,MATCH($H117,'I | Inflation'!$F$41:$F$42,0),MATCH(K$10,'I | Inflation'!$G$40:$I$40,0))),0)</f>
        <v>0</v>
      </c>
      <c r="L117" s="52">
        <f>IFERROR(IF($H117="nominal",VLOOKUP($A117,'I | Capex forecast'!$A$11:$AA$160,L$8,0),VLOOKUP($A117,'I | Capex forecast'!$A$11:$AA$160,L$8,0)*INDEX('I | Inflation'!$G$41:$I$42,MATCH($H117,'I | Inflation'!$F$41:$F$42,0),MATCH(L$10,'I | Inflation'!$G$40:$I$40,0))),0)</f>
        <v>0</v>
      </c>
      <c r="M117" s="53"/>
      <c r="N117" s="52">
        <f>K117*VLOOKUP($A117,'I | Capex forecast'!$A$11:$AA$160,21,0)*(HLOOKUP(N$10,'I | Inflation'!$D$57:$J$59,3,0)-1)</f>
        <v>0</v>
      </c>
      <c r="O117" s="52">
        <f>L117*VLOOKUP($A117,'I | Capex forecast'!$A$11:$AA$160,21,0)*(HLOOKUP(O$10,'I | Inflation'!$D$57:$J$59,3,0)-1)</f>
        <v>0</v>
      </c>
      <c r="P117" s="53"/>
      <c r="Q117" s="52"/>
      <c r="R117" s="52"/>
      <c r="S117" s="53"/>
      <c r="T117" s="52"/>
      <c r="U117" s="52"/>
      <c r="V117" s="53"/>
      <c r="W117" s="52"/>
      <c r="X117" s="52"/>
      <c r="Y117" s="53"/>
      <c r="Z117" s="52">
        <f>K117*VLOOKUP($A117,'I | Capex forecast'!$A$11:$AA$160,27,0)</f>
        <v>0</v>
      </c>
      <c r="AA117" s="52">
        <f>L117*VLOOKUP($A117,'I | Capex forecast'!$A$11:$AA$160,27,0)</f>
        <v>0</v>
      </c>
      <c r="AB117" s="53"/>
      <c r="AC117" s="52">
        <f t="shared" si="14"/>
        <v>0</v>
      </c>
      <c r="AD117" s="52">
        <f t="shared" si="15"/>
        <v>0</v>
      </c>
      <c r="AE117" s="53"/>
      <c r="AF117" s="52">
        <f>IF(VLOOKUP($A117,'I | Capex forecast'!$A$11:$AA$160,10,0)="Yes",AC117,0)</f>
        <v>0</v>
      </c>
      <c r="AG117" s="52">
        <f>IF(VLOOKUP($A117,'I | Capex forecast'!$A$11:$AA$160,10,0)="Yes",AD117,0)</f>
        <v>0</v>
      </c>
      <c r="AH117" s="53"/>
      <c r="AI117" s="52">
        <f t="shared" si="16"/>
        <v>0</v>
      </c>
      <c r="AJ117" s="52">
        <f t="shared" si="17"/>
        <v>0</v>
      </c>
    </row>
    <row r="118" spans="1:36" s="4" customFormat="1" x14ac:dyDescent="0.3">
      <c r="A118" s="56">
        <v>108</v>
      </c>
      <c r="B118" s="48" t="str">
        <f>IF('I | Capex forecast'!B119="","",'I | Capex forecast'!B119)</f>
        <v/>
      </c>
      <c r="C118" s="48" t="str">
        <f>IF('I | Capex forecast'!C119="","",'I | Capex forecast'!C119)</f>
        <v/>
      </c>
      <c r="D118" s="48" t="str">
        <f>IF('I | Capex forecast'!D121="","",'I | Capex forecast'!D121)</f>
        <v/>
      </c>
      <c r="E118" s="48" t="str">
        <f>IF('I | Capex forecast'!E119="","",'I | Capex forecast'!E119)</f>
        <v/>
      </c>
      <c r="F118" s="48" t="str">
        <f>IF('I | Capex forecast'!F119="","",'I | Capex forecast'!F119)</f>
        <v/>
      </c>
      <c r="G118" s="48" t="str">
        <f>IF('I | Capex forecast'!G119="","",'I | Capex forecast'!G119)</f>
        <v/>
      </c>
      <c r="H118" s="48" t="str">
        <f>IF('I | Capex forecast'!H119="","",'I | Capex forecast'!H119)</f>
        <v/>
      </c>
      <c r="I118" s="48" t="str">
        <f>IF('I | Capex forecast'!I119="","",'I | Capex forecast'!I119)</f>
        <v/>
      </c>
      <c r="J118" s="50"/>
      <c r="K118" s="52">
        <f>IFERROR(IF($H118="nominal",VLOOKUP($A118,'I | Capex forecast'!$A$11:$AA$160,K$8,0),VLOOKUP($A118,'I | Capex forecast'!$A$11:$AA$160,K$8,0)*INDEX('I | Inflation'!$G$41:$I$42,MATCH($H118,'I | Inflation'!$F$41:$F$42,0),MATCH(K$10,'I | Inflation'!$G$40:$I$40,0))),0)</f>
        <v>0</v>
      </c>
      <c r="L118" s="52">
        <f>IFERROR(IF($H118="nominal",VLOOKUP($A118,'I | Capex forecast'!$A$11:$AA$160,L$8,0),VLOOKUP($A118,'I | Capex forecast'!$A$11:$AA$160,L$8,0)*INDEX('I | Inflation'!$G$41:$I$42,MATCH($H118,'I | Inflation'!$F$41:$F$42,0),MATCH(L$10,'I | Inflation'!$G$40:$I$40,0))),0)</f>
        <v>0</v>
      </c>
      <c r="M118" s="53"/>
      <c r="N118" s="52">
        <f>K118*VLOOKUP($A118,'I | Capex forecast'!$A$11:$AA$160,21,0)*(HLOOKUP(N$10,'I | Inflation'!$D$57:$J$59,3,0)-1)</f>
        <v>0</v>
      </c>
      <c r="O118" s="52">
        <f>L118*VLOOKUP($A118,'I | Capex forecast'!$A$11:$AA$160,21,0)*(HLOOKUP(O$10,'I | Inflation'!$D$57:$J$59,3,0)-1)</f>
        <v>0</v>
      </c>
      <c r="P118" s="53"/>
      <c r="Q118" s="52"/>
      <c r="R118" s="52"/>
      <c r="S118" s="53"/>
      <c r="T118" s="52"/>
      <c r="U118" s="52"/>
      <c r="V118" s="53"/>
      <c r="W118" s="52"/>
      <c r="X118" s="52"/>
      <c r="Y118" s="53"/>
      <c r="Z118" s="52">
        <f>K118*VLOOKUP($A118,'I | Capex forecast'!$A$11:$AA$160,27,0)</f>
        <v>0</v>
      </c>
      <c r="AA118" s="52">
        <f>L118*VLOOKUP($A118,'I | Capex forecast'!$A$11:$AA$160,27,0)</f>
        <v>0</v>
      </c>
      <c r="AB118" s="53"/>
      <c r="AC118" s="52">
        <f t="shared" si="14"/>
        <v>0</v>
      </c>
      <c r="AD118" s="52">
        <f t="shared" si="15"/>
        <v>0</v>
      </c>
      <c r="AE118" s="53"/>
      <c r="AF118" s="52">
        <f>IF(VLOOKUP($A118,'I | Capex forecast'!$A$11:$AA$160,10,0)="Yes",AC118,0)</f>
        <v>0</v>
      </c>
      <c r="AG118" s="52">
        <f>IF(VLOOKUP($A118,'I | Capex forecast'!$A$11:$AA$160,10,0)="Yes",AD118,0)</f>
        <v>0</v>
      </c>
      <c r="AH118" s="53"/>
      <c r="AI118" s="52">
        <f t="shared" si="16"/>
        <v>0</v>
      </c>
      <c r="AJ118" s="52">
        <f t="shared" si="17"/>
        <v>0</v>
      </c>
    </row>
    <row r="119" spans="1:36" s="4" customFormat="1" x14ac:dyDescent="0.3">
      <c r="A119" s="56">
        <v>109</v>
      </c>
      <c r="B119" s="48" t="str">
        <f>IF('I | Capex forecast'!B120="","",'I | Capex forecast'!B120)</f>
        <v/>
      </c>
      <c r="C119" s="48" t="str">
        <f>IF('I | Capex forecast'!C120="","",'I | Capex forecast'!C120)</f>
        <v/>
      </c>
      <c r="D119" s="48" t="str">
        <f>IF('I | Capex forecast'!D122="","",'I | Capex forecast'!D122)</f>
        <v/>
      </c>
      <c r="E119" s="48" t="str">
        <f>IF('I | Capex forecast'!E120="","",'I | Capex forecast'!E120)</f>
        <v/>
      </c>
      <c r="F119" s="48" t="str">
        <f>IF('I | Capex forecast'!F120="","",'I | Capex forecast'!F120)</f>
        <v/>
      </c>
      <c r="G119" s="48" t="str">
        <f>IF('I | Capex forecast'!G120="","",'I | Capex forecast'!G120)</f>
        <v/>
      </c>
      <c r="H119" s="48" t="str">
        <f>IF('I | Capex forecast'!H120="","",'I | Capex forecast'!H120)</f>
        <v/>
      </c>
      <c r="I119" s="48" t="str">
        <f>IF('I | Capex forecast'!I120="","",'I | Capex forecast'!I120)</f>
        <v/>
      </c>
      <c r="J119" s="50"/>
      <c r="K119" s="52">
        <f>IFERROR(IF($H119="nominal",VLOOKUP($A119,'I | Capex forecast'!$A$11:$AA$160,K$8,0),VLOOKUP($A119,'I | Capex forecast'!$A$11:$AA$160,K$8,0)*INDEX('I | Inflation'!$G$41:$I$42,MATCH($H119,'I | Inflation'!$F$41:$F$42,0),MATCH(K$10,'I | Inflation'!$G$40:$I$40,0))),0)</f>
        <v>0</v>
      </c>
      <c r="L119" s="52">
        <f>IFERROR(IF($H119="nominal",VLOOKUP($A119,'I | Capex forecast'!$A$11:$AA$160,L$8,0),VLOOKUP($A119,'I | Capex forecast'!$A$11:$AA$160,L$8,0)*INDEX('I | Inflation'!$G$41:$I$42,MATCH($H119,'I | Inflation'!$F$41:$F$42,0),MATCH(L$10,'I | Inflation'!$G$40:$I$40,0))),0)</f>
        <v>0</v>
      </c>
      <c r="M119" s="53"/>
      <c r="N119" s="52">
        <f>K119*VLOOKUP($A119,'I | Capex forecast'!$A$11:$AA$160,21,0)*(HLOOKUP(N$10,'I | Inflation'!$D$57:$J$59,3,0)-1)</f>
        <v>0</v>
      </c>
      <c r="O119" s="52">
        <f>L119*VLOOKUP($A119,'I | Capex forecast'!$A$11:$AA$160,21,0)*(HLOOKUP(O$10,'I | Inflation'!$D$57:$J$59,3,0)-1)</f>
        <v>0</v>
      </c>
      <c r="P119" s="53"/>
      <c r="Q119" s="52"/>
      <c r="R119" s="52"/>
      <c r="S119" s="53"/>
      <c r="T119" s="52"/>
      <c r="U119" s="52"/>
      <c r="V119" s="53"/>
      <c r="W119" s="52"/>
      <c r="X119" s="52"/>
      <c r="Y119" s="53"/>
      <c r="Z119" s="52">
        <f>K119*VLOOKUP($A119,'I | Capex forecast'!$A$11:$AA$160,27,0)</f>
        <v>0</v>
      </c>
      <c r="AA119" s="52">
        <f>L119*VLOOKUP($A119,'I | Capex forecast'!$A$11:$AA$160,27,0)</f>
        <v>0</v>
      </c>
      <c r="AB119" s="53"/>
      <c r="AC119" s="52">
        <f t="shared" si="14"/>
        <v>0</v>
      </c>
      <c r="AD119" s="52">
        <f t="shared" si="15"/>
        <v>0</v>
      </c>
      <c r="AE119" s="53"/>
      <c r="AF119" s="52">
        <f>IF(VLOOKUP($A119,'I | Capex forecast'!$A$11:$AA$160,10,0)="Yes",AC119,0)</f>
        <v>0</v>
      </c>
      <c r="AG119" s="52">
        <f>IF(VLOOKUP($A119,'I | Capex forecast'!$A$11:$AA$160,10,0)="Yes",AD119,0)</f>
        <v>0</v>
      </c>
      <c r="AH119" s="53"/>
      <c r="AI119" s="52">
        <f t="shared" si="16"/>
        <v>0</v>
      </c>
      <c r="AJ119" s="52">
        <f t="shared" si="17"/>
        <v>0</v>
      </c>
    </row>
    <row r="120" spans="1:36" s="4" customFormat="1" x14ac:dyDescent="0.3">
      <c r="A120" s="56">
        <v>110</v>
      </c>
      <c r="B120" s="48" t="str">
        <f>IF('I | Capex forecast'!B121="","",'I | Capex forecast'!B121)</f>
        <v/>
      </c>
      <c r="C120" s="48" t="str">
        <f>IF('I | Capex forecast'!C121="","",'I | Capex forecast'!C121)</f>
        <v/>
      </c>
      <c r="D120" s="48" t="str">
        <f>IF('I | Capex forecast'!D123="","",'I | Capex forecast'!D123)</f>
        <v/>
      </c>
      <c r="E120" s="48" t="str">
        <f>IF('I | Capex forecast'!E121="","",'I | Capex forecast'!E121)</f>
        <v/>
      </c>
      <c r="F120" s="48" t="str">
        <f>IF('I | Capex forecast'!F121="","",'I | Capex forecast'!F121)</f>
        <v/>
      </c>
      <c r="G120" s="48" t="str">
        <f>IF('I | Capex forecast'!G121="","",'I | Capex forecast'!G121)</f>
        <v/>
      </c>
      <c r="H120" s="48" t="str">
        <f>IF('I | Capex forecast'!H121="","",'I | Capex forecast'!H121)</f>
        <v/>
      </c>
      <c r="I120" s="48" t="str">
        <f>IF('I | Capex forecast'!I121="","",'I | Capex forecast'!I121)</f>
        <v/>
      </c>
      <c r="J120" s="50"/>
      <c r="K120" s="52">
        <f>IFERROR(IF($H120="nominal",VLOOKUP($A120,'I | Capex forecast'!$A$11:$AA$160,K$8,0),VLOOKUP($A120,'I | Capex forecast'!$A$11:$AA$160,K$8,0)*INDEX('I | Inflation'!$G$41:$I$42,MATCH($H120,'I | Inflation'!$F$41:$F$42,0),MATCH(K$10,'I | Inflation'!$G$40:$I$40,0))),0)</f>
        <v>0</v>
      </c>
      <c r="L120" s="52">
        <f>IFERROR(IF($H120="nominal",VLOOKUP($A120,'I | Capex forecast'!$A$11:$AA$160,L$8,0),VLOOKUP($A120,'I | Capex forecast'!$A$11:$AA$160,L$8,0)*INDEX('I | Inflation'!$G$41:$I$42,MATCH($H120,'I | Inflation'!$F$41:$F$42,0),MATCH(L$10,'I | Inflation'!$G$40:$I$40,0))),0)</f>
        <v>0</v>
      </c>
      <c r="M120" s="53"/>
      <c r="N120" s="52">
        <f>K120*VLOOKUP($A120,'I | Capex forecast'!$A$11:$AA$160,21,0)*(HLOOKUP(N$10,'I | Inflation'!$D$57:$J$59,3,0)-1)</f>
        <v>0</v>
      </c>
      <c r="O120" s="52">
        <f>L120*VLOOKUP($A120,'I | Capex forecast'!$A$11:$AA$160,21,0)*(HLOOKUP(O$10,'I | Inflation'!$D$57:$J$59,3,0)-1)</f>
        <v>0</v>
      </c>
      <c r="P120" s="53"/>
      <c r="Q120" s="52"/>
      <c r="R120" s="52"/>
      <c r="S120" s="53"/>
      <c r="T120" s="52"/>
      <c r="U120" s="52"/>
      <c r="V120" s="53"/>
      <c r="W120" s="52"/>
      <c r="X120" s="52"/>
      <c r="Y120" s="53"/>
      <c r="Z120" s="52">
        <f>K120*VLOOKUP($A120,'I | Capex forecast'!$A$11:$AA$160,27,0)</f>
        <v>0</v>
      </c>
      <c r="AA120" s="52">
        <f>L120*VLOOKUP($A120,'I | Capex forecast'!$A$11:$AA$160,27,0)</f>
        <v>0</v>
      </c>
      <c r="AB120" s="53"/>
      <c r="AC120" s="52">
        <f t="shared" si="14"/>
        <v>0</v>
      </c>
      <c r="AD120" s="52">
        <f t="shared" si="15"/>
        <v>0</v>
      </c>
      <c r="AE120" s="53"/>
      <c r="AF120" s="52">
        <f>IF(VLOOKUP($A120,'I | Capex forecast'!$A$11:$AA$160,10,0)="Yes",AC120,0)</f>
        <v>0</v>
      </c>
      <c r="AG120" s="52">
        <f>IF(VLOOKUP($A120,'I | Capex forecast'!$A$11:$AA$160,10,0)="Yes",AD120,0)</f>
        <v>0</v>
      </c>
      <c r="AH120" s="53"/>
      <c r="AI120" s="52">
        <f t="shared" si="16"/>
        <v>0</v>
      </c>
      <c r="AJ120" s="52">
        <f t="shared" si="17"/>
        <v>0</v>
      </c>
    </row>
    <row r="121" spans="1:36" s="4" customFormat="1" x14ac:dyDescent="0.3">
      <c r="A121" s="56">
        <v>111</v>
      </c>
      <c r="B121" s="48" t="str">
        <f>IF('I | Capex forecast'!B122="","",'I | Capex forecast'!B122)</f>
        <v/>
      </c>
      <c r="C121" s="48" t="str">
        <f>IF('I | Capex forecast'!C122="","",'I | Capex forecast'!C122)</f>
        <v/>
      </c>
      <c r="D121" s="48" t="str">
        <f>IF('I | Capex forecast'!D124="","",'I | Capex forecast'!D124)</f>
        <v/>
      </c>
      <c r="E121" s="48" t="str">
        <f>IF('I | Capex forecast'!E122="","",'I | Capex forecast'!E122)</f>
        <v/>
      </c>
      <c r="F121" s="48" t="str">
        <f>IF('I | Capex forecast'!F122="","",'I | Capex forecast'!F122)</f>
        <v/>
      </c>
      <c r="G121" s="48" t="str">
        <f>IF('I | Capex forecast'!G122="","",'I | Capex forecast'!G122)</f>
        <v/>
      </c>
      <c r="H121" s="48" t="str">
        <f>IF('I | Capex forecast'!H122="","",'I | Capex forecast'!H122)</f>
        <v/>
      </c>
      <c r="I121" s="48" t="str">
        <f>IF('I | Capex forecast'!I122="","",'I | Capex forecast'!I122)</f>
        <v/>
      </c>
      <c r="J121" s="50"/>
      <c r="K121" s="52">
        <f>IFERROR(IF($H121="nominal",VLOOKUP($A121,'I | Capex forecast'!$A$11:$AA$160,K$8,0),VLOOKUP($A121,'I | Capex forecast'!$A$11:$AA$160,K$8,0)*INDEX('I | Inflation'!$G$41:$I$42,MATCH($H121,'I | Inflation'!$F$41:$F$42,0),MATCH(K$10,'I | Inflation'!$G$40:$I$40,0))),0)</f>
        <v>0</v>
      </c>
      <c r="L121" s="52">
        <f>IFERROR(IF($H121="nominal",VLOOKUP($A121,'I | Capex forecast'!$A$11:$AA$160,L$8,0),VLOOKUP($A121,'I | Capex forecast'!$A$11:$AA$160,L$8,0)*INDEX('I | Inflation'!$G$41:$I$42,MATCH($H121,'I | Inflation'!$F$41:$F$42,0),MATCH(L$10,'I | Inflation'!$G$40:$I$40,0))),0)</f>
        <v>0</v>
      </c>
      <c r="M121" s="53"/>
      <c r="N121" s="52">
        <f>K121*VLOOKUP($A121,'I | Capex forecast'!$A$11:$AA$160,21,0)*(HLOOKUP(N$10,'I | Inflation'!$D$57:$J$59,3,0)-1)</f>
        <v>0</v>
      </c>
      <c r="O121" s="52">
        <f>L121*VLOOKUP($A121,'I | Capex forecast'!$A$11:$AA$160,21,0)*(HLOOKUP(O$10,'I | Inflation'!$D$57:$J$59,3,0)-1)</f>
        <v>0</v>
      </c>
      <c r="P121" s="53"/>
      <c r="Q121" s="52"/>
      <c r="R121" s="52"/>
      <c r="S121" s="53"/>
      <c r="T121" s="52"/>
      <c r="U121" s="52"/>
      <c r="V121" s="53"/>
      <c r="W121" s="52"/>
      <c r="X121" s="52"/>
      <c r="Y121" s="53"/>
      <c r="Z121" s="52">
        <f>K121*VLOOKUP($A121,'I | Capex forecast'!$A$11:$AA$160,27,0)</f>
        <v>0</v>
      </c>
      <c r="AA121" s="52">
        <f>L121*VLOOKUP($A121,'I | Capex forecast'!$A$11:$AA$160,27,0)</f>
        <v>0</v>
      </c>
      <c r="AB121" s="53"/>
      <c r="AC121" s="52">
        <f t="shared" si="14"/>
        <v>0</v>
      </c>
      <c r="AD121" s="52">
        <f t="shared" si="15"/>
        <v>0</v>
      </c>
      <c r="AE121" s="53"/>
      <c r="AF121" s="52">
        <f>IF(VLOOKUP($A121,'I | Capex forecast'!$A$11:$AA$160,10,0)="Yes",AC121,0)</f>
        <v>0</v>
      </c>
      <c r="AG121" s="52">
        <f>IF(VLOOKUP($A121,'I | Capex forecast'!$A$11:$AA$160,10,0)="Yes",AD121,0)</f>
        <v>0</v>
      </c>
      <c r="AH121" s="53"/>
      <c r="AI121" s="52">
        <f t="shared" si="16"/>
        <v>0</v>
      </c>
      <c r="AJ121" s="52">
        <f t="shared" si="17"/>
        <v>0</v>
      </c>
    </row>
    <row r="122" spans="1:36" s="4" customFormat="1" x14ac:dyDescent="0.3">
      <c r="A122" s="56">
        <v>112</v>
      </c>
      <c r="B122" s="48" t="str">
        <f>IF('I | Capex forecast'!B123="","",'I | Capex forecast'!B123)</f>
        <v/>
      </c>
      <c r="C122" s="48" t="str">
        <f>IF('I | Capex forecast'!C123="","",'I | Capex forecast'!C123)</f>
        <v/>
      </c>
      <c r="D122" s="48" t="str">
        <f>IF('I | Capex forecast'!D125="","",'I | Capex forecast'!D125)</f>
        <v/>
      </c>
      <c r="E122" s="48" t="str">
        <f>IF('I | Capex forecast'!E123="","",'I | Capex forecast'!E123)</f>
        <v/>
      </c>
      <c r="F122" s="48" t="str">
        <f>IF('I | Capex forecast'!F123="","",'I | Capex forecast'!F123)</f>
        <v/>
      </c>
      <c r="G122" s="48" t="str">
        <f>IF('I | Capex forecast'!G123="","",'I | Capex forecast'!G123)</f>
        <v/>
      </c>
      <c r="H122" s="48" t="str">
        <f>IF('I | Capex forecast'!H123="","",'I | Capex forecast'!H123)</f>
        <v/>
      </c>
      <c r="I122" s="48" t="str">
        <f>IF('I | Capex forecast'!I123="","",'I | Capex forecast'!I123)</f>
        <v/>
      </c>
      <c r="J122" s="50"/>
      <c r="K122" s="52">
        <f>IFERROR(IF($H122="nominal",VLOOKUP($A122,'I | Capex forecast'!$A$11:$AA$160,K$8,0),VLOOKUP($A122,'I | Capex forecast'!$A$11:$AA$160,K$8,0)*INDEX('I | Inflation'!$G$41:$I$42,MATCH($H122,'I | Inflation'!$F$41:$F$42,0),MATCH(K$10,'I | Inflation'!$G$40:$I$40,0))),0)</f>
        <v>0</v>
      </c>
      <c r="L122" s="52">
        <f>IFERROR(IF($H122="nominal",VLOOKUP($A122,'I | Capex forecast'!$A$11:$AA$160,L$8,0),VLOOKUP($A122,'I | Capex forecast'!$A$11:$AA$160,L$8,0)*INDEX('I | Inflation'!$G$41:$I$42,MATCH($H122,'I | Inflation'!$F$41:$F$42,0),MATCH(L$10,'I | Inflation'!$G$40:$I$40,0))),0)</f>
        <v>0</v>
      </c>
      <c r="M122" s="53"/>
      <c r="N122" s="52">
        <f>K122*VLOOKUP($A122,'I | Capex forecast'!$A$11:$AA$160,21,0)*(HLOOKUP(N$10,'I | Inflation'!$D$57:$J$59,3,0)-1)</f>
        <v>0</v>
      </c>
      <c r="O122" s="52">
        <f>L122*VLOOKUP($A122,'I | Capex forecast'!$A$11:$AA$160,21,0)*(HLOOKUP(O$10,'I | Inflation'!$D$57:$J$59,3,0)-1)</f>
        <v>0</v>
      </c>
      <c r="P122" s="53"/>
      <c r="Q122" s="52"/>
      <c r="R122" s="52"/>
      <c r="S122" s="53"/>
      <c r="T122" s="52"/>
      <c r="U122" s="52"/>
      <c r="V122" s="53"/>
      <c r="W122" s="52"/>
      <c r="X122" s="52"/>
      <c r="Y122" s="53"/>
      <c r="Z122" s="52">
        <f>K122*VLOOKUP($A122,'I | Capex forecast'!$A$11:$AA$160,27,0)</f>
        <v>0</v>
      </c>
      <c r="AA122" s="52">
        <f>L122*VLOOKUP($A122,'I | Capex forecast'!$A$11:$AA$160,27,0)</f>
        <v>0</v>
      </c>
      <c r="AB122" s="53"/>
      <c r="AC122" s="52">
        <f t="shared" si="14"/>
        <v>0</v>
      </c>
      <c r="AD122" s="52">
        <f t="shared" si="15"/>
        <v>0</v>
      </c>
      <c r="AE122" s="53"/>
      <c r="AF122" s="52">
        <f>IF(VLOOKUP($A122,'I | Capex forecast'!$A$11:$AA$160,10,0)="Yes",AC122,0)</f>
        <v>0</v>
      </c>
      <c r="AG122" s="52">
        <f>IF(VLOOKUP($A122,'I | Capex forecast'!$A$11:$AA$160,10,0)="Yes",AD122,0)</f>
        <v>0</v>
      </c>
      <c r="AH122" s="53"/>
      <c r="AI122" s="52">
        <f t="shared" si="16"/>
        <v>0</v>
      </c>
      <c r="AJ122" s="52">
        <f t="shared" si="17"/>
        <v>0</v>
      </c>
    </row>
    <row r="123" spans="1:36" s="4" customFormat="1" x14ac:dyDescent="0.3">
      <c r="A123" s="56">
        <v>113</v>
      </c>
      <c r="B123" s="48" t="str">
        <f>IF('I | Capex forecast'!B124="","",'I | Capex forecast'!B124)</f>
        <v/>
      </c>
      <c r="C123" s="48" t="str">
        <f>IF('I | Capex forecast'!C124="","",'I | Capex forecast'!C124)</f>
        <v/>
      </c>
      <c r="D123" s="48" t="str">
        <f>IF('I | Capex forecast'!D126="","",'I | Capex forecast'!D126)</f>
        <v/>
      </c>
      <c r="E123" s="48" t="str">
        <f>IF('I | Capex forecast'!E124="","",'I | Capex forecast'!E124)</f>
        <v/>
      </c>
      <c r="F123" s="48" t="str">
        <f>IF('I | Capex forecast'!F124="","",'I | Capex forecast'!F124)</f>
        <v/>
      </c>
      <c r="G123" s="48" t="str">
        <f>IF('I | Capex forecast'!G124="","",'I | Capex forecast'!G124)</f>
        <v/>
      </c>
      <c r="H123" s="48" t="str">
        <f>IF('I | Capex forecast'!H124="","",'I | Capex forecast'!H124)</f>
        <v/>
      </c>
      <c r="I123" s="48" t="str">
        <f>IF('I | Capex forecast'!I124="","",'I | Capex forecast'!I124)</f>
        <v/>
      </c>
      <c r="J123" s="50"/>
      <c r="K123" s="52">
        <f>IFERROR(IF($H123="nominal",VLOOKUP($A123,'I | Capex forecast'!$A$11:$AA$160,K$8,0),VLOOKUP($A123,'I | Capex forecast'!$A$11:$AA$160,K$8,0)*INDEX('I | Inflation'!$G$41:$I$42,MATCH($H123,'I | Inflation'!$F$41:$F$42,0),MATCH(K$10,'I | Inflation'!$G$40:$I$40,0))),0)</f>
        <v>0</v>
      </c>
      <c r="L123" s="52">
        <f>IFERROR(IF($H123="nominal",VLOOKUP($A123,'I | Capex forecast'!$A$11:$AA$160,L$8,0),VLOOKUP($A123,'I | Capex forecast'!$A$11:$AA$160,L$8,0)*INDEX('I | Inflation'!$G$41:$I$42,MATCH($H123,'I | Inflation'!$F$41:$F$42,0),MATCH(L$10,'I | Inflation'!$G$40:$I$40,0))),0)</f>
        <v>0</v>
      </c>
      <c r="M123" s="53"/>
      <c r="N123" s="52">
        <f>K123*VLOOKUP($A123,'I | Capex forecast'!$A$11:$AA$160,21,0)*(HLOOKUP(N$10,'I | Inflation'!$D$57:$J$59,3,0)-1)</f>
        <v>0</v>
      </c>
      <c r="O123" s="52">
        <f>L123*VLOOKUP($A123,'I | Capex forecast'!$A$11:$AA$160,21,0)*(HLOOKUP(O$10,'I | Inflation'!$D$57:$J$59,3,0)-1)</f>
        <v>0</v>
      </c>
      <c r="P123" s="53"/>
      <c r="Q123" s="52"/>
      <c r="R123" s="52"/>
      <c r="S123" s="53"/>
      <c r="T123" s="52"/>
      <c r="U123" s="52"/>
      <c r="V123" s="53"/>
      <c r="W123" s="52"/>
      <c r="X123" s="52"/>
      <c r="Y123" s="53"/>
      <c r="Z123" s="52">
        <f>K123*VLOOKUP($A123,'I | Capex forecast'!$A$11:$AA$160,27,0)</f>
        <v>0</v>
      </c>
      <c r="AA123" s="52">
        <f>L123*VLOOKUP($A123,'I | Capex forecast'!$A$11:$AA$160,27,0)</f>
        <v>0</v>
      </c>
      <c r="AB123" s="53"/>
      <c r="AC123" s="52">
        <f t="shared" si="14"/>
        <v>0</v>
      </c>
      <c r="AD123" s="52">
        <f t="shared" si="15"/>
        <v>0</v>
      </c>
      <c r="AE123" s="53"/>
      <c r="AF123" s="52">
        <f>IF(VLOOKUP($A123,'I | Capex forecast'!$A$11:$AA$160,10,0)="Yes",AC123,0)</f>
        <v>0</v>
      </c>
      <c r="AG123" s="52">
        <f>IF(VLOOKUP($A123,'I | Capex forecast'!$A$11:$AA$160,10,0)="Yes",AD123,0)</f>
        <v>0</v>
      </c>
      <c r="AH123" s="53"/>
      <c r="AI123" s="52">
        <f t="shared" si="16"/>
        <v>0</v>
      </c>
      <c r="AJ123" s="52">
        <f t="shared" si="17"/>
        <v>0</v>
      </c>
    </row>
    <row r="124" spans="1:36" s="4" customFormat="1" x14ac:dyDescent="0.3">
      <c r="A124" s="56">
        <v>114</v>
      </c>
      <c r="B124" s="48" t="str">
        <f>IF('I | Capex forecast'!B125="","",'I | Capex forecast'!B125)</f>
        <v/>
      </c>
      <c r="C124" s="48" t="str">
        <f>IF('I | Capex forecast'!C125="","",'I | Capex forecast'!C125)</f>
        <v/>
      </c>
      <c r="D124" s="48" t="str">
        <f>IF('I | Capex forecast'!D127="","",'I | Capex forecast'!D127)</f>
        <v/>
      </c>
      <c r="E124" s="48" t="str">
        <f>IF('I | Capex forecast'!E125="","",'I | Capex forecast'!E125)</f>
        <v/>
      </c>
      <c r="F124" s="48" t="str">
        <f>IF('I | Capex forecast'!F125="","",'I | Capex forecast'!F125)</f>
        <v/>
      </c>
      <c r="G124" s="48" t="str">
        <f>IF('I | Capex forecast'!G125="","",'I | Capex forecast'!G125)</f>
        <v/>
      </c>
      <c r="H124" s="48" t="str">
        <f>IF('I | Capex forecast'!H125="","",'I | Capex forecast'!H125)</f>
        <v/>
      </c>
      <c r="I124" s="48" t="str">
        <f>IF('I | Capex forecast'!I125="","",'I | Capex forecast'!I125)</f>
        <v/>
      </c>
      <c r="J124" s="50"/>
      <c r="K124" s="52">
        <f>IFERROR(IF($H124="nominal",VLOOKUP($A124,'I | Capex forecast'!$A$11:$AA$160,K$8,0),VLOOKUP($A124,'I | Capex forecast'!$A$11:$AA$160,K$8,0)*INDEX('I | Inflation'!$G$41:$I$42,MATCH($H124,'I | Inflation'!$F$41:$F$42,0),MATCH(K$10,'I | Inflation'!$G$40:$I$40,0))),0)</f>
        <v>0</v>
      </c>
      <c r="L124" s="52">
        <f>IFERROR(IF($H124="nominal",VLOOKUP($A124,'I | Capex forecast'!$A$11:$AA$160,L$8,0),VLOOKUP($A124,'I | Capex forecast'!$A$11:$AA$160,L$8,0)*INDEX('I | Inflation'!$G$41:$I$42,MATCH($H124,'I | Inflation'!$F$41:$F$42,0),MATCH(L$10,'I | Inflation'!$G$40:$I$40,0))),0)</f>
        <v>0</v>
      </c>
      <c r="M124" s="53"/>
      <c r="N124" s="52">
        <f>K124*VLOOKUP($A124,'I | Capex forecast'!$A$11:$AA$160,21,0)*(HLOOKUP(N$10,'I | Inflation'!$D$57:$J$59,3,0)-1)</f>
        <v>0</v>
      </c>
      <c r="O124" s="52">
        <f>L124*VLOOKUP($A124,'I | Capex forecast'!$A$11:$AA$160,21,0)*(HLOOKUP(O$10,'I | Inflation'!$D$57:$J$59,3,0)-1)</f>
        <v>0</v>
      </c>
      <c r="P124" s="53"/>
      <c r="Q124" s="52"/>
      <c r="R124" s="52"/>
      <c r="S124" s="53"/>
      <c r="T124" s="52"/>
      <c r="U124" s="52"/>
      <c r="V124" s="53"/>
      <c r="W124" s="52"/>
      <c r="X124" s="52"/>
      <c r="Y124" s="53"/>
      <c r="Z124" s="52">
        <f>K124*VLOOKUP($A124,'I | Capex forecast'!$A$11:$AA$160,27,0)</f>
        <v>0</v>
      </c>
      <c r="AA124" s="52">
        <f>L124*VLOOKUP($A124,'I | Capex forecast'!$A$11:$AA$160,27,0)</f>
        <v>0</v>
      </c>
      <c r="AB124" s="53"/>
      <c r="AC124" s="52">
        <f t="shared" si="14"/>
        <v>0</v>
      </c>
      <c r="AD124" s="52">
        <f t="shared" si="15"/>
        <v>0</v>
      </c>
      <c r="AE124" s="53"/>
      <c r="AF124" s="52">
        <f>IF(VLOOKUP($A124,'I | Capex forecast'!$A$11:$AA$160,10,0)="Yes",AC124,0)</f>
        <v>0</v>
      </c>
      <c r="AG124" s="52">
        <f>IF(VLOOKUP($A124,'I | Capex forecast'!$A$11:$AA$160,10,0)="Yes",AD124,0)</f>
        <v>0</v>
      </c>
      <c r="AH124" s="53"/>
      <c r="AI124" s="52">
        <f t="shared" si="16"/>
        <v>0</v>
      </c>
      <c r="AJ124" s="52">
        <f t="shared" si="17"/>
        <v>0</v>
      </c>
    </row>
    <row r="125" spans="1:36" x14ac:dyDescent="0.3">
      <c r="A125" s="56">
        <v>115</v>
      </c>
      <c r="B125" s="48" t="str">
        <f>IF('I | Capex forecast'!B126="","",'I | Capex forecast'!B126)</f>
        <v/>
      </c>
      <c r="C125" s="48" t="str">
        <f>IF('I | Capex forecast'!C126="","",'I | Capex forecast'!C126)</f>
        <v/>
      </c>
      <c r="D125" s="48" t="str">
        <f>IF('I | Capex forecast'!D128="","",'I | Capex forecast'!D128)</f>
        <v/>
      </c>
      <c r="E125" s="48" t="str">
        <f>IF('I | Capex forecast'!E126="","",'I | Capex forecast'!E126)</f>
        <v/>
      </c>
      <c r="F125" s="48" t="str">
        <f>IF('I | Capex forecast'!F126="","",'I | Capex forecast'!F126)</f>
        <v/>
      </c>
      <c r="G125" s="48" t="str">
        <f>IF('I | Capex forecast'!G126="","",'I | Capex forecast'!G126)</f>
        <v/>
      </c>
      <c r="H125" s="48" t="str">
        <f>IF('I | Capex forecast'!H126="","",'I | Capex forecast'!H126)</f>
        <v/>
      </c>
      <c r="I125" s="48" t="str">
        <f>IF('I | Capex forecast'!I126="","",'I | Capex forecast'!I126)</f>
        <v/>
      </c>
      <c r="J125" s="50"/>
      <c r="K125" s="52">
        <f>IFERROR(IF($H125="nominal",VLOOKUP($A125,'I | Capex forecast'!$A$11:$AA$160,K$8,0),VLOOKUP($A125,'I | Capex forecast'!$A$11:$AA$160,K$8,0)*INDEX('I | Inflation'!$G$41:$I$42,MATCH($H125,'I | Inflation'!$F$41:$F$42,0),MATCH(K$10,'I | Inflation'!$G$40:$I$40,0))),0)</f>
        <v>0</v>
      </c>
      <c r="L125" s="52">
        <f>IFERROR(IF($H125="nominal",VLOOKUP($A125,'I | Capex forecast'!$A$11:$AA$160,L$8,0),VLOOKUP($A125,'I | Capex forecast'!$A$11:$AA$160,L$8,0)*INDEX('I | Inflation'!$G$41:$I$42,MATCH($H125,'I | Inflation'!$F$41:$F$42,0),MATCH(L$10,'I | Inflation'!$G$40:$I$40,0))),0)</f>
        <v>0</v>
      </c>
      <c r="M125" s="53"/>
      <c r="N125" s="52">
        <f>K125*VLOOKUP($A125,'I | Capex forecast'!$A$11:$AA$160,21,0)*(HLOOKUP(N$10,'I | Inflation'!$D$57:$J$59,3,0)-1)</f>
        <v>0</v>
      </c>
      <c r="O125" s="52">
        <f>L125*VLOOKUP($A125,'I | Capex forecast'!$A$11:$AA$160,21,0)*(HLOOKUP(O$10,'I | Inflation'!$D$57:$J$59,3,0)-1)</f>
        <v>0</v>
      </c>
      <c r="P125" s="53"/>
      <c r="Q125" s="52"/>
      <c r="R125" s="52"/>
      <c r="S125" s="53"/>
      <c r="T125" s="52"/>
      <c r="U125" s="52"/>
      <c r="V125" s="53"/>
      <c r="W125" s="52"/>
      <c r="X125" s="52"/>
      <c r="Y125" s="53"/>
      <c r="Z125" s="52">
        <f>K125*VLOOKUP($A125,'I | Capex forecast'!$A$11:$AA$160,27,0)</f>
        <v>0</v>
      </c>
      <c r="AA125" s="52">
        <f>L125*VLOOKUP($A125,'I | Capex forecast'!$A$11:$AA$160,27,0)</f>
        <v>0</v>
      </c>
      <c r="AB125" s="53"/>
      <c r="AC125" s="52">
        <f t="shared" si="14"/>
        <v>0</v>
      </c>
      <c r="AD125" s="52">
        <f t="shared" si="15"/>
        <v>0</v>
      </c>
      <c r="AE125" s="53"/>
      <c r="AF125" s="52">
        <f>IF(VLOOKUP($A125,'I | Capex forecast'!$A$11:$AA$160,10,0)="Yes",AC125,0)</f>
        <v>0</v>
      </c>
      <c r="AG125" s="52">
        <f>IF(VLOOKUP($A125,'I | Capex forecast'!$A$11:$AA$160,10,0)="Yes",AD125,0)</f>
        <v>0</v>
      </c>
      <c r="AH125" s="53"/>
      <c r="AI125" s="52">
        <f t="shared" si="16"/>
        <v>0</v>
      </c>
      <c r="AJ125" s="52">
        <f t="shared" si="17"/>
        <v>0</v>
      </c>
    </row>
    <row r="126" spans="1:36" x14ac:dyDescent="0.3">
      <c r="A126" s="56">
        <v>116</v>
      </c>
      <c r="B126" s="48" t="str">
        <f>IF('I | Capex forecast'!B127="","",'I | Capex forecast'!B127)</f>
        <v/>
      </c>
      <c r="C126" s="48" t="str">
        <f>IF('I | Capex forecast'!C127="","",'I | Capex forecast'!C127)</f>
        <v/>
      </c>
      <c r="D126" s="48" t="str">
        <f>IF('I | Capex forecast'!D129="","",'I | Capex forecast'!D129)</f>
        <v/>
      </c>
      <c r="E126" s="48" t="str">
        <f>IF('I | Capex forecast'!E127="","",'I | Capex forecast'!E127)</f>
        <v/>
      </c>
      <c r="F126" s="48" t="str">
        <f>IF('I | Capex forecast'!F127="","",'I | Capex forecast'!F127)</f>
        <v/>
      </c>
      <c r="G126" s="48" t="str">
        <f>IF('I | Capex forecast'!G127="","",'I | Capex forecast'!G127)</f>
        <v/>
      </c>
      <c r="H126" s="48" t="str">
        <f>IF('I | Capex forecast'!H127="","",'I | Capex forecast'!H127)</f>
        <v/>
      </c>
      <c r="I126" s="48" t="str">
        <f>IF('I | Capex forecast'!I127="","",'I | Capex forecast'!I127)</f>
        <v/>
      </c>
      <c r="J126" s="50"/>
      <c r="K126" s="52">
        <f>IFERROR(IF($H126="nominal",VLOOKUP($A126,'I | Capex forecast'!$A$11:$AA$160,K$8,0),VLOOKUP($A126,'I | Capex forecast'!$A$11:$AA$160,K$8,0)*INDEX('I | Inflation'!$G$41:$I$42,MATCH($H126,'I | Inflation'!$F$41:$F$42,0),MATCH(K$10,'I | Inflation'!$G$40:$I$40,0))),0)</f>
        <v>0</v>
      </c>
      <c r="L126" s="52">
        <f>IFERROR(IF($H126="nominal",VLOOKUP($A126,'I | Capex forecast'!$A$11:$AA$160,L$8,0),VLOOKUP($A126,'I | Capex forecast'!$A$11:$AA$160,L$8,0)*INDEX('I | Inflation'!$G$41:$I$42,MATCH($H126,'I | Inflation'!$F$41:$F$42,0),MATCH(L$10,'I | Inflation'!$G$40:$I$40,0))),0)</f>
        <v>0</v>
      </c>
      <c r="M126" s="53"/>
      <c r="N126" s="52">
        <f>K126*VLOOKUP($A126,'I | Capex forecast'!$A$11:$AA$160,21,0)*(HLOOKUP(N$10,'I | Inflation'!$D$57:$J$59,3,0)-1)</f>
        <v>0</v>
      </c>
      <c r="O126" s="52">
        <f>L126*VLOOKUP($A126,'I | Capex forecast'!$A$11:$AA$160,21,0)*(HLOOKUP(O$10,'I | Inflation'!$D$57:$J$59,3,0)-1)</f>
        <v>0</v>
      </c>
      <c r="P126" s="53"/>
      <c r="Q126" s="52"/>
      <c r="R126" s="52"/>
      <c r="S126" s="53"/>
      <c r="T126" s="52"/>
      <c r="U126" s="52"/>
      <c r="V126" s="53"/>
      <c r="W126" s="52"/>
      <c r="X126" s="52"/>
      <c r="Y126" s="53"/>
      <c r="Z126" s="52">
        <f>K126*VLOOKUP($A126,'I | Capex forecast'!$A$11:$AA$160,27,0)</f>
        <v>0</v>
      </c>
      <c r="AA126" s="52">
        <f>L126*VLOOKUP($A126,'I | Capex forecast'!$A$11:$AA$160,27,0)</f>
        <v>0</v>
      </c>
      <c r="AB126" s="53"/>
      <c r="AC126" s="52">
        <f t="shared" si="14"/>
        <v>0</v>
      </c>
      <c r="AD126" s="52">
        <f t="shared" si="15"/>
        <v>0</v>
      </c>
      <c r="AE126" s="53"/>
      <c r="AF126" s="52">
        <f>IF(VLOOKUP($A126,'I | Capex forecast'!$A$11:$AA$160,10,0)="Yes",AC126,0)</f>
        <v>0</v>
      </c>
      <c r="AG126" s="52">
        <f>IF(VLOOKUP($A126,'I | Capex forecast'!$A$11:$AA$160,10,0)="Yes",AD126,0)</f>
        <v>0</v>
      </c>
      <c r="AH126" s="53"/>
      <c r="AI126" s="52">
        <f t="shared" si="16"/>
        <v>0</v>
      </c>
      <c r="AJ126" s="52">
        <f t="shared" si="17"/>
        <v>0</v>
      </c>
    </row>
    <row r="127" spans="1:36" x14ac:dyDescent="0.3">
      <c r="A127" s="56">
        <v>117</v>
      </c>
      <c r="B127" s="48" t="str">
        <f>IF('I | Capex forecast'!B128="","",'I | Capex forecast'!B128)</f>
        <v/>
      </c>
      <c r="C127" s="48" t="str">
        <f>IF('I | Capex forecast'!C128="","",'I | Capex forecast'!C128)</f>
        <v/>
      </c>
      <c r="D127" s="48" t="str">
        <f>IF('I | Capex forecast'!D130="","",'I | Capex forecast'!D130)</f>
        <v/>
      </c>
      <c r="E127" s="48" t="str">
        <f>IF('I | Capex forecast'!E128="","",'I | Capex forecast'!E128)</f>
        <v/>
      </c>
      <c r="F127" s="48" t="str">
        <f>IF('I | Capex forecast'!F128="","",'I | Capex forecast'!F128)</f>
        <v/>
      </c>
      <c r="G127" s="48" t="str">
        <f>IF('I | Capex forecast'!G128="","",'I | Capex forecast'!G128)</f>
        <v/>
      </c>
      <c r="H127" s="48" t="str">
        <f>IF('I | Capex forecast'!H128="","",'I | Capex forecast'!H128)</f>
        <v/>
      </c>
      <c r="I127" s="48" t="str">
        <f>IF('I | Capex forecast'!I128="","",'I | Capex forecast'!I128)</f>
        <v/>
      </c>
      <c r="J127" s="50"/>
      <c r="K127" s="52">
        <f>IFERROR(IF($H127="nominal",VLOOKUP($A127,'I | Capex forecast'!$A$11:$AA$160,K$8,0),VLOOKUP($A127,'I | Capex forecast'!$A$11:$AA$160,K$8,0)*INDEX('I | Inflation'!$G$41:$I$42,MATCH($H127,'I | Inflation'!$F$41:$F$42,0),MATCH(K$10,'I | Inflation'!$G$40:$I$40,0))),0)</f>
        <v>0</v>
      </c>
      <c r="L127" s="52">
        <f>IFERROR(IF($H127="nominal",VLOOKUP($A127,'I | Capex forecast'!$A$11:$AA$160,L$8,0),VLOOKUP($A127,'I | Capex forecast'!$A$11:$AA$160,L$8,0)*INDEX('I | Inflation'!$G$41:$I$42,MATCH($H127,'I | Inflation'!$F$41:$F$42,0),MATCH(L$10,'I | Inflation'!$G$40:$I$40,0))),0)</f>
        <v>0</v>
      </c>
      <c r="M127" s="53"/>
      <c r="N127" s="52">
        <f>K127*VLOOKUP($A127,'I | Capex forecast'!$A$11:$AA$160,21,0)*(HLOOKUP(N$10,'I | Inflation'!$D$57:$J$59,3,0)-1)</f>
        <v>0</v>
      </c>
      <c r="O127" s="52">
        <f>L127*VLOOKUP($A127,'I | Capex forecast'!$A$11:$AA$160,21,0)*(HLOOKUP(O$10,'I | Inflation'!$D$57:$J$59,3,0)-1)</f>
        <v>0</v>
      </c>
      <c r="P127" s="53"/>
      <c r="Q127" s="52"/>
      <c r="R127" s="52"/>
      <c r="S127" s="53"/>
      <c r="T127" s="52"/>
      <c r="U127" s="52"/>
      <c r="V127" s="53"/>
      <c r="W127" s="52"/>
      <c r="X127" s="52"/>
      <c r="Y127" s="53"/>
      <c r="Z127" s="52">
        <f>K127*VLOOKUP($A127,'I | Capex forecast'!$A$11:$AA$160,27,0)</f>
        <v>0</v>
      </c>
      <c r="AA127" s="52">
        <f>L127*VLOOKUP($A127,'I | Capex forecast'!$A$11:$AA$160,27,0)</f>
        <v>0</v>
      </c>
      <c r="AB127" s="53"/>
      <c r="AC127" s="52">
        <f t="shared" si="14"/>
        <v>0</v>
      </c>
      <c r="AD127" s="52">
        <f t="shared" si="15"/>
        <v>0</v>
      </c>
      <c r="AE127" s="53"/>
      <c r="AF127" s="52">
        <f>IF(VLOOKUP($A127,'I | Capex forecast'!$A$11:$AA$160,10,0)="Yes",AC127,0)</f>
        <v>0</v>
      </c>
      <c r="AG127" s="52">
        <f>IF(VLOOKUP($A127,'I | Capex forecast'!$A$11:$AA$160,10,0)="Yes",AD127,0)</f>
        <v>0</v>
      </c>
      <c r="AH127" s="53"/>
      <c r="AI127" s="52">
        <f t="shared" si="16"/>
        <v>0</v>
      </c>
      <c r="AJ127" s="52">
        <f t="shared" si="17"/>
        <v>0</v>
      </c>
    </row>
    <row r="128" spans="1:36" x14ac:dyDescent="0.3">
      <c r="A128" s="56">
        <v>118</v>
      </c>
      <c r="B128" s="48" t="str">
        <f>IF('I | Capex forecast'!B129="","",'I | Capex forecast'!B129)</f>
        <v/>
      </c>
      <c r="C128" s="48" t="str">
        <f>IF('I | Capex forecast'!C129="","",'I | Capex forecast'!C129)</f>
        <v/>
      </c>
      <c r="D128" s="48" t="str">
        <f>IF('I | Capex forecast'!D131="","",'I | Capex forecast'!D131)</f>
        <v/>
      </c>
      <c r="E128" s="48" t="str">
        <f>IF('I | Capex forecast'!E129="","",'I | Capex forecast'!E129)</f>
        <v/>
      </c>
      <c r="F128" s="48" t="str">
        <f>IF('I | Capex forecast'!F129="","",'I | Capex forecast'!F129)</f>
        <v/>
      </c>
      <c r="G128" s="48" t="str">
        <f>IF('I | Capex forecast'!G129="","",'I | Capex forecast'!G129)</f>
        <v/>
      </c>
      <c r="H128" s="48" t="str">
        <f>IF('I | Capex forecast'!H129="","",'I | Capex forecast'!H129)</f>
        <v/>
      </c>
      <c r="I128" s="48" t="str">
        <f>IF('I | Capex forecast'!I129="","",'I | Capex forecast'!I129)</f>
        <v/>
      </c>
      <c r="J128" s="50"/>
      <c r="K128" s="52">
        <f>IFERROR(IF($H128="nominal",VLOOKUP($A128,'I | Capex forecast'!$A$11:$AA$160,K$8,0),VLOOKUP($A128,'I | Capex forecast'!$A$11:$AA$160,K$8,0)*INDEX('I | Inflation'!$G$41:$I$42,MATCH($H128,'I | Inflation'!$F$41:$F$42,0),MATCH(K$10,'I | Inflation'!$G$40:$I$40,0))),0)</f>
        <v>0</v>
      </c>
      <c r="L128" s="52">
        <f>IFERROR(IF($H128="nominal",VLOOKUP($A128,'I | Capex forecast'!$A$11:$AA$160,L$8,0),VLOOKUP($A128,'I | Capex forecast'!$A$11:$AA$160,L$8,0)*INDEX('I | Inflation'!$G$41:$I$42,MATCH($H128,'I | Inflation'!$F$41:$F$42,0),MATCH(L$10,'I | Inflation'!$G$40:$I$40,0))),0)</f>
        <v>0</v>
      </c>
      <c r="M128" s="53"/>
      <c r="N128" s="52">
        <f>K128*VLOOKUP($A128,'I | Capex forecast'!$A$11:$AA$160,21,0)*(HLOOKUP(N$10,'I | Inflation'!$D$57:$J$59,3,0)-1)</f>
        <v>0</v>
      </c>
      <c r="O128" s="52">
        <f>L128*VLOOKUP($A128,'I | Capex forecast'!$A$11:$AA$160,21,0)*(HLOOKUP(O$10,'I | Inflation'!$D$57:$J$59,3,0)-1)</f>
        <v>0</v>
      </c>
      <c r="P128" s="53"/>
      <c r="Q128" s="52"/>
      <c r="R128" s="52"/>
      <c r="S128" s="53"/>
      <c r="T128" s="52"/>
      <c r="U128" s="52"/>
      <c r="V128" s="53"/>
      <c r="W128" s="52"/>
      <c r="X128" s="52"/>
      <c r="Y128" s="53"/>
      <c r="Z128" s="52">
        <f>K128*VLOOKUP($A128,'I | Capex forecast'!$A$11:$AA$160,27,0)</f>
        <v>0</v>
      </c>
      <c r="AA128" s="52">
        <f>L128*VLOOKUP($A128,'I | Capex forecast'!$A$11:$AA$160,27,0)</f>
        <v>0</v>
      </c>
      <c r="AB128" s="53"/>
      <c r="AC128" s="52">
        <f t="shared" si="14"/>
        <v>0</v>
      </c>
      <c r="AD128" s="52">
        <f t="shared" si="15"/>
        <v>0</v>
      </c>
      <c r="AE128" s="53"/>
      <c r="AF128" s="52">
        <f>IF(VLOOKUP($A128,'I | Capex forecast'!$A$11:$AA$160,10,0)="Yes",AC128,0)</f>
        <v>0</v>
      </c>
      <c r="AG128" s="52">
        <f>IF(VLOOKUP($A128,'I | Capex forecast'!$A$11:$AA$160,10,0)="Yes",AD128,0)</f>
        <v>0</v>
      </c>
      <c r="AH128" s="53"/>
      <c r="AI128" s="52">
        <f t="shared" si="16"/>
        <v>0</v>
      </c>
      <c r="AJ128" s="52">
        <f t="shared" si="17"/>
        <v>0</v>
      </c>
    </row>
    <row r="129" spans="1:36" x14ac:dyDescent="0.3">
      <c r="A129" s="56">
        <v>119</v>
      </c>
      <c r="B129" s="48" t="str">
        <f>IF('I | Capex forecast'!B130="","",'I | Capex forecast'!B130)</f>
        <v/>
      </c>
      <c r="C129" s="48" t="str">
        <f>IF('I | Capex forecast'!C130="","",'I | Capex forecast'!C130)</f>
        <v/>
      </c>
      <c r="D129" s="48" t="str">
        <f>IF('I | Capex forecast'!D132="","",'I | Capex forecast'!D132)</f>
        <v/>
      </c>
      <c r="E129" s="48" t="str">
        <f>IF('I | Capex forecast'!E130="","",'I | Capex forecast'!E130)</f>
        <v/>
      </c>
      <c r="F129" s="48" t="str">
        <f>IF('I | Capex forecast'!F130="","",'I | Capex forecast'!F130)</f>
        <v/>
      </c>
      <c r="G129" s="48" t="str">
        <f>IF('I | Capex forecast'!G130="","",'I | Capex forecast'!G130)</f>
        <v/>
      </c>
      <c r="H129" s="48" t="str">
        <f>IF('I | Capex forecast'!H130="","",'I | Capex forecast'!H130)</f>
        <v/>
      </c>
      <c r="I129" s="48" t="str">
        <f>IF('I | Capex forecast'!I130="","",'I | Capex forecast'!I130)</f>
        <v/>
      </c>
      <c r="J129" s="50"/>
      <c r="K129" s="52">
        <f>IFERROR(IF($H129="nominal",VLOOKUP($A129,'I | Capex forecast'!$A$11:$AA$160,K$8,0),VLOOKUP($A129,'I | Capex forecast'!$A$11:$AA$160,K$8,0)*INDEX('I | Inflation'!$G$41:$I$42,MATCH($H129,'I | Inflation'!$F$41:$F$42,0),MATCH(K$10,'I | Inflation'!$G$40:$I$40,0))),0)</f>
        <v>0</v>
      </c>
      <c r="L129" s="52">
        <f>IFERROR(IF($H129="nominal",VLOOKUP($A129,'I | Capex forecast'!$A$11:$AA$160,L$8,0),VLOOKUP($A129,'I | Capex forecast'!$A$11:$AA$160,L$8,0)*INDEX('I | Inflation'!$G$41:$I$42,MATCH($H129,'I | Inflation'!$F$41:$F$42,0),MATCH(L$10,'I | Inflation'!$G$40:$I$40,0))),0)</f>
        <v>0</v>
      </c>
      <c r="M129" s="53"/>
      <c r="N129" s="52">
        <f>K129*VLOOKUP($A129,'I | Capex forecast'!$A$11:$AA$160,21,0)*(HLOOKUP(N$10,'I | Inflation'!$D$57:$J$59,3,0)-1)</f>
        <v>0</v>
      </c>
      <c r="O129" s="52">
        <f>L129*VLOOKUP($A129,'I | Capex forecast'!$A$11:$AA$160,21,0)*(HLOOKUP(O$10,'I | Inflation'!$D$57:$J$59,3,0)-1)</f>
        <v>0</v>
      </c>
      <c r="P129" s="53"/>
      <c r="Q129" s="52"/>
      <c r="R129" s="52"/>
      <c r="S129" s="53"/>
      <c r="T129" s="52"/>
      <c r="U129" s="52"/>
      <c r="V129" s="53"/>
      <c r="W129" s="52"/>
      <c r="X129" s="52"/>
      <c r="Y129" s="53"/>
      <c r="Z129" s="52">
        <f>K129*VLOOKUP($A129,'I | Capex forecast'!$A$11:$AA$160,27,0)</f>
        <v>0</v>
      </c>
      <c r="AA129" s="52">
        <f>L129*VLOOKUP($A129,'I | Capex forecast'!$A$11:$AA$160,27,0)</f>
        <v>0</v>
      </c>
      <c r="AB129" s="53"/>
      <c r="AC129" s="52">
        <f t="shared" si="14"/>
        <v>0</v>
      </c>
      <c r="AD129" s="52">
        <f t="shared" si="15"/>
        <v>0</v>
      </c>
      <c r="AE129" s="53"/>
      <c r="AF129" s="52">
        <f>IF(VLOOKUP($A129,'I | Capex forecast'!$A$11:$AA$160,10,0)="Yes",AC129,0)</f>
        <v>0</v>
      </c>
      <c r="AG129" s="52">
        <f>IF(VLOOKUP($A129,'I | Capex forecast'!$A$11:$AA$160,10,0)="Yes",AD129,0)</f>
        <v>0</v>
      </c>
      <c r="AH129" s="53"/>
      <c r="AI129" s="52">
        <f t="shared" si="16"/>
        <v>0</v>
      </c>
      <c r="AJ129" s="52">
        <f t="shared" si="17"/>
        <v>0</v>
      </c>
    </row>
    <row r="130" spans="1:36" s="4" customFormat="1" x14ac:dyDescent="0.3">
      <c r="A130" s="56">
        <v>120</v>
      </c>
      <c r="B130" s="48" t="str">
        <f>IF('I | Capex forecast'!B131="","",'I | Capex forecast'!B131)</f>
        <v/>
      </c>
      <c r="C130" s="48" t="str">
        <f>IF('I | Capex forecast'!C131="","",'I | Capex forecast'!C131)</f>
        <v/>
      </c>
      <c r="D130" s="48" t="str">
        <f>IF('I | Capex forecast'!D133="","",'I | Capex forecast'!D133)</f>
        <v/>
      </c>
      <c r="E130" s="48" t="str">
        <f>IF('I | Capex forecast'!E131="","",'I | Capex forecast'!E131)</f>
        <v/>
      </c>
      <c r="F130" s="48" t="str">
        <f>IF('I | Capex forecast'!F131="","",'I | Capex forecast'!F131)</f>
        <v/>
      </c>
      <c r="G130" s="48" t="str">
        <f>IF('I | Capex forecast'!G131="","",'I | Capex forecast'!G131)</f>
        <v/>
      </c>
      <c r="H130" s="48" t="str">
        <f>IF('I | Capex forecast'!H131="","",'I | Capex forecast'!H131)</f>
        <v/>
      </c>
      <c r="I130" s="48" t="str">
        <f>IF('I | Capex forecast'!I131="","",'I | Capex forecast'!I131)</f>
        <v/>
      </c>
      <c r="J130" s="50"/>
      <c r="K130" s="52">
        <f>IFERROR(IF($H130="nominal",VLOOKUP($A130,'I | Capex forecast'!$A$11:$AA$160,K$8,0),VLOOKUP($A130,'I | Capex forecast'!$A$11:$AA$160,K$8,0)*INDEX('I | Inflation'!$G$41:$I$42,MATCH($H130,'I | Inflation'!$F$41:$F$42,0),MATCH(K$10,'I | Inflation'!$G$40:$I$40,0))),0)</f>
        <v>0</v>
      </c>
      <c r="L130" s="52">
        <f>IFERROR(IF($H130="nominal",VLOOKUP($A130,'I | Capex forecast'!$A$11:$AA$160,L$8,0),VLOOKUP($A130,'I | Capex forecast'!$A$11:$AA$160,L$8,0)*INDEX('I | Inflation'!$G$41:$I$42,MATCH($H130,'I | Inflation'!$F$41:$F$42,0),MATCH(L$10,'I | Inflation'!$G$40:$I$40,0))),0)</f>
        <v>0</v>
      </c>
      <c r="M130" s="53"/>
      <c r="N130" s="52">
        <f>K130*VLOOKUP($A130,'I | Capex forecast'!$A$11:$AA$160,21,0)*(HLOOKUP(N$10,'I | Inflation'!$D$57:$J$59,3,0)-1)</f>
        <v>0</v>
      </c>
      <c r="O130" s="52">
        <f>L130*VLOOKUP($A130,'I | Capex forecast'!$A$11:$AA$160,21,0)*(HLOOKUP(O$10,'I | Inflation'!$D$57:$J$59,3,0)-1)</f>
        <v>0</v>
      </c>
      <c r="P130" s="53"/>
      <c r="Q130" s="52"/>
      <c r="R130" s="52"/>
      <c r="S130" s="53"/>
      <c r="T130" s="52"/>
      <c r="U130" s="52"/>
      <c r="V130" s="53"/>
      <c r="W130" s="52"/>
      <c r="X130" s="52"/>
      <c r="Y130" s="53"/>
      <c r="Z130" s="52">
        <f>K130*VLOOKUP($A130,'I | Capex forecast'!$A$11:$AA$160,27,0)</f>
        <v>0</v>
      </c>
      <c r="AA130" s="52">
        <f>L130*VLOOKUP($A130,'I | Capex forecast'!$A$11:$AA$160,27,0)</f>
        <v>0</v>
      </c>
      <c r="AB130" s="53"/>
      <c r="AC130" s="52">
        <f t="shared" si="14"/>
        <v>0</v>
      </c>
      <c r="AD130" s="52">
        <f t="shared" si="15"/>
        <v>0</v>
      </c>
      <c r="AE130" s="53"/>
      <c r="AF130" s="52">
        <f>IF(VLOOKUP($A130,'I | Capex forecast'!$A$11:$AA$160,10,0)="Yes",AC130,0)</f>
        <v>0</v>
      </c>
      <c r="AG130" s="52">
        <f>IF(VLOOKUP($A130,'I | Capex forecast'!$A$11:$AA$160,10,0)="Yes",AD130,0)</f>
        <v>0</v>
      </c>
      <c r="AH130" s="53"/>
      <c r="AI130" s="52">
        <f t="shared" si="16"/>
        <v>0</v>
      </c>
      <c r="AJ130" s="52">
        <f t="shared" si="17"/>
        <v>0</v>
      </c>
    </row>
    <row r="131" spans="1:36" s="4" customFormat="1" x14ac:dyDescent="0.3">
      <c r="A131" s="56">
        <v>121</v>
      </c>
      <c r="B131" s="48" t="str">
        <f>IF('I | Capex forecast'!B132="","",'I | Capex forecast'!B132)</f>
        <v/>
      </c>
      <c r="C131" s="48" t="str">
        <f>IF('I | Capex forecast'!C132="","",'I | Capex forecast'!C132)</f>
        <v/>
      </c>
      <c r="D131" s="48" t="str">
        <f>IF('I | Capex forecast'!D134="","",'I | Capex forecast'!D134)</f>
        <v/>
      </c>
      <c r="E131" s="48" t="str">
        <f>IF('I | Capex forecast'!E132="","",'I | Capex forecast'!E132)</f>
        <v/>
      </c>
      <c r="F131" s="48" t="str">
        <f>IF('I | Capex forecast'!F132="","",'I | Capex forecast'!F132)</f>
        <v/>
      </c>
      <c r="G131" s="48" t="str">
        <f>IF('I | Capex forecast'!G132="","",'I | Capex forecast'!G132)</f>
        <v/>
      </c>
      <c r="H131" s="48" t="str">
        <f>IF('I | Capex forecast'!H132="","",'I | Capex forecast'!H132)</f>
        <v/>
      </c>
      <c r="I131" s="48" t="str">
        <f>IF('I | Capex forecast'!I132="","",'I | Capex forecast'!I132)</f>
        <v/>
      </c>
      <c r="J131" s="50"/>
      <c r="K131" s="52">
        <f>IFERROR(IF($H131="nominal",VLOOKUP($A131,'I | Capex forecast'!$A$11:$AA$160,K$8,0),VLOOKUP($A131,'I | Capex forecast'!$A$11:$AA$160,K$8,0)*INDEX('I | Inflation'!$G$41:$I$42,MATCH($H131,'I | Inflation'!$F$41:$F$42,0),MATCH(K$10,'I | Inflation'!$G$40:$I$40,0))),0)</f>
        <v>0</v>
      </c>
      <c r="L131" s="52">
        <f>IFERROR(IF($H131="nominal",VLOOKUP($A131,'I | Capex forecast'!$A$11:$AA$160,L$8,0),VLOOKUP($A131,'I | Capex forecast'!$A$11:$AA$160,L$8,0)*INDEX('I | Inflation'!$G$41:$I$42,MATCH($H131,'I | Inflation'!$F$41:$F$42,0),MATCH(L$10,'I | Inflation'!$G$40:$I$40,0))),0)</f>
        <v>0</v>
      </c>
      <c r="M131" s="53"/>
      <c r="N131" s="52">
        <f>K131*VLOOKUP($A131,'I | Capex forecast'!$A$11:$AA$160,21,0)*(HLOOKUP(N$10,'I | Inflation'!$D$57:$J$59,3,0)-1)</f>
        <v>0</v>
      </c>
      <c r="O131" s="52">
        <f>L131*VLOOKUP($A131,'I | Capex forecast'!$A$11:$AA$160,21,0)*(HLOOKUP(O$10,'I | Inflation'!$D$57:$J$59,3,0)-1)</f>
        <v>0</v>
      </c>
      <c r="P131" s="53"/>
      <c r="Q131" s="52"/>
      <c r="R131" s="52"/>
      <c r="S131" s="53"/>
      <c r="T131" s="52"/>
      <c r="U131" s="52"/>
      <c r="V131" s="53"/>
      <c r="W131" s="52"/>
      <c r="X131" s="52"/>
      <c r="Y131" s="53"/>
      <c r="Z131" s="52">
        <f>K131*VLOOKUP($A131,'I | Capex forecast'!$A$11:$AA$160,27,0)</f>
        <v>0</v>
      </c>
      <c r="AA131" s="52">
        <f>L131*VLOOKUP($A131,'I | Capex forecast'!$A$11:$AA$160,27,0)</f>
        <v>0</v>
      </c>
      <c r="AB131" s="53"/>
      <c r="AC131" s="52">
        <f t="shared" si="14"/>
        <v>0</v>
      </c>
      <c r="AD131" s="52">
        <f t="shared" si="15"/>
        <v>0</v>
      </c>
      <c r="AE131" s="53"/>
      <c r="AF131" s="52">
        <f>IF(VLOOKUP($A131,'I | Capex forecast'!$A$11:$AA$160,10,0)="Yes",AC131,0)</f>
        <v>0</v>
      </c>
      <c r="AG131" s="52">
        <f>IF(VLOOKUP($A131,'I | Capex forecast'!$A$11:$AA$160,10,0)="Yes",AD131,0)</f>
        <v>0</v>
      </c>
      <c r="AH131" s="53"/>
      <c r="AI131" s="52">
        <f t="shared" si="16"/>
        <v>0</v>
      </c>
      <c r="AJ131" s="52">
        <f t="shared" si="17"/>
        <v>0</v>
      </c>
    </row>
    <row r="132" spans="1:36" s="4" customFormat="1" x14ac:dyDescent="0.3">
      <c r="A132" s="56">
        <v>122</v>
      </c>
      <c r="B132" s="48" t="str">
        <f>IF('I | Capex forecast'!B133="","",'I | Capex forecast'!B133)</f>
        <v/>
      </c>
      <c r="C132" s="48" t="str">
        <f>IF('I | Capex forecast'!C133="","",'I | Capex forecast'!C133)</f>
        <v/>
      </c>
      <c r="D132" s="48" t="str">
        <f>IF('I | Capex forecast'!D135="","",'I | Capex forecast'!D135)</f>
        <v/>
      </c>
      <c r="E132" s="48" t="str">
        <f>IF('I | Capex forecast'!E133="","",'I | Capex forecast'!E133)</f>
        <v/>
      </c>
      <c r="F132" s="48" t="str">
        <f>IF('I | Capex forecast'!F133="","",'I | Capex forecast'!F133)</f>
        <v/>
      </c>
      <c r="G132" s="48" t="str">
        <f>IF('I | Capex forecast'!G133="","",'I | Capex forecast'!G133)</f>
        <v/>
      </c>
      <c r="H132" s="48" t="str">
        <f>IF('I | Capex forecast'!H133="","",'I | Capex forecast'!H133)</f>
        <v/>
      </c>
      <c r="I132" s="48" t="str">
        <f>IF('I | Capex forecast'!I133="","",'I | Capex forecast'!I133)</f>
        <v/>
      </c>
      <c r="J132" s="50"/>
      <c r="K132" s="52">
        <f>IFERROR(IF($H132="nominal",VLOOKUP($A132,'I | Capex forecast'!$A$11:$AA$160,K$8,0),VLOOKUP($A132,'I | Capex forecast'!$A$11:$AA$160,K$8,0)*INDEX('I | Inflation'!$G$41:$I$42,MATCH($H132,'I | Inflation'!$F$41:$F$42,0),MATCH(K$10,'I | Inflation'!$G$40:$I$40,0))),0)</f>
        <v>0</v>
      </c>
      <c r="L132" s="52">
        <f>IFERROR(IF($H132="nominal",VLOOKUP($A132,'I | Capex forecast'!$A$11:$AA$160,L$8,0),VLOOKUP($A132,'I | Capex forecast'!$A$11:$AA$160,L$8,0)*INDEX('I | Inflation'!$G$41:$I$42,MATCH($H132,'I | Inflation'!$F$41:$F$42,0),MATCH(L$10,'I | Inflation'!$G$40:$I$40,0))),0)</f>
        <v>0</v>
      </c>
      <c r="M132" s="53"/>
      <c r="N132" s="52">
        <f>K132*VLOOKUP($A132,'I | Capex forecast'!$A$11:$AA$160,21,0)*(HLOOKUP(N$10,'I | Inflation'!$D$57:$J$59,3,0)-1)</f>
        <v>0</v>
      </c>
      <c r="O132" s="52">
        <f>L132*VLOOKUP($A132,'I | Capex forecast'!$A$11:$AA$160,21,0)*(HLOOKUP(O$10,'I | Inflation'!$D$57:$J$59,3,0)-1)</f>
        <v>0</v>
      </c>
      <c r="P132" s="53"/>
      <c r="Q132" s="52"/>
      <c r="R132" s="52"/>
      <c r="S132" s="53"/>
      <c r="T132" s="52"/>
      <c r="U132" s="52"/>
      <c r="V132" s="53"/>
      <c r="W132" s="52"/>
      <c r="X132" s="52"/>
      <c r="Y132" s="53"/>
      <c r="Z132" s="52">
        <f>K132*VLOOKUP($A132,'I | Capex forecast'!$A$11:$AA$160,27,0)</f>
        <v>0</v>
      </c>
      <c r="AA132" s="52">
        <f>L132*VLOOKUP($A132,'I | Capex forecast'!$A$11:$AA$160,27,0)</f>
        <v>0</v>
      </c>
      <c r="AB132" s="53"/>
      <c r="AC132" s="52">
        <f t="shared" si="14"/>
        <v>0</v>
      </c>
      <c r="AD132" s="52">
        <f t="shared" si="15"/>
        <v>0</v>
      </c>
      <c r="AE132" s="53"/>
      <c r="AF132" s="52">
        <f>IF(VLOOKUP($A132,'I | Capex forecast'!$A$11:$AA$160,10,0)="Yes",AC132,0)</f>
        <v>0</v>
      </c>
      <c r="AG132" s="52">
        <f>IF(VLOOKUP($A132,'I | Capex forecast'!$A$11:$AA$160,10,0)="Yes",AD132,0)</f>
        <v>0</v>
      </c>
      <c r="AH132" s="53"/>
      <c r="AI132" s="52">
        <f t="shared" si="16"/>
        <v>0</v>
      </c>
      <c r="AJ132" s="52">
        <f t="shared" si="17"/>
        <v>0</v>
      </c>
    </row>
    <row r="133" spans="1:36" x14ac:dyDescent="0.3">
      <c r="A133" s="56">
        <v>123</v>
      </c>
      <c r="B133" s="48" t="str">
        <f>IF('I | Capex forecast'!B134="","",'I | Capex forecast'!B134)</f>
        <v/>
      </c>
      <c r="C133" s="48" t="str">
        <f>IF('I | Capex forecast'!C134="","",'I | Capex forecast'!C134)</f>
        <v/>
      </c>
      <c r="D133" s="48" t="str">
        <f>IF('I | Capex forecast'!D136="","",'I | Capex forecast'!D136)</f>
        <v/>
      </c>
      <c r="E133" s="48" t="str">
        <f>IF('I | Capex forecast'!E134="","",'I | Capex forecast'!E134)</f>
        <v/>
      </c>
      <c r="F133" s="48" t="str">
        <f>IF('I | Capex forecast'!F134="","",'I | Capex forecast'!F134)</f>
        <v/>
      </c>
      <c r="G133" s="48" t="str">
        <f>IF('I | Capex forecast'!G134="","",'I | Capex forecast'!G134)</f>
        <v/>
      </c>
      <c r="H133" s="48" t="str">
        <f>IF('I | Capex forecast'!H134="","",'I | Capex forecast'!H134)</f>
        <v/>
      </c>
      <c r="I133" s="48" t="str">
        <f>IF('I | Capex forecast'!I134="","",'I | Capex forecast'!I134)</f>
        <v/>
      </c>
      <c r="J133" s="50"/>
      <c r="K133" s="52">
        <f>IFERROR(IF($H133="nominal",VLOOKUP($A133,'I | Capex forecast'!$A$11:$AA$160,K$8,0),VLOOKUP($A133,'I | Capex forecast'!$A$11:$AA$160,K$8,0)*INDEX('I | Inflation'!$G$41:$I$42,MATCH($H133,'I | Inflation'!$F$41:$F$42,0),MATCH(K$10,'I | Inflation'!$G$40:$I$40,0))),0)</f>
        <v>0</v>
      </c>
      <c r="L133" s="52">
        <f>IFERROR(IF($H133="nominal",VLOOKUP($A133,'I | Capex forecast'!$A$11:$AA$160,L$8,0),VLOOKUP($A133,'I | Capex forecast'!$A$11:$AA$160,L$8,0)*INDEX('I | Inflation'!$G$41:$I$42,MATCH($H133,'I | Inflation'!$F$41:$F$42,0),MATCH(L$10,'I | Inflation'!$G$40:$I$40,0))),0)</f>
        <v>0</v>
      </c>
      <c r="M133" s="53"/>
      <c r="N133" s="52">
        <f>K133*VLOOKUP($A133,'I | Capex forecast'!$A$11:$AA$160,21,0)*(HLOOKUP(N$10,'I | Inflation'!$D$57:$J$59,3,0)-1)</f>
        <v>0</v>
      </c>
      <c r="O133" s="52">
        <f>L133*VLOOKUP($A133,'I | Capex forecast'!$A$11:$AA$160,21,0)*(HLOOKUP(O$10,'I | Inflation'!$D$57:$J$59,3,0)-1)</f>
        <v>0</v>
      </c>
      <c r="P133" s="53"/>
      <c r="Q133" s="52"/>
      <c r="R133" s="52"/>
      <c r="S133" s="53"/>
      <c r="T133" s="52"/>
      <c r="U133" s="52"/>
      <c r="V133" s="53"/>
      <c r="W133" s="52"/>
      <c r="X133" s="52"/>
      <c r="Y133" s="53"/>
      <c r="Z133" s="52">
        <f>K133*VLOOKUP($A133,'I | Capex forecast'!$A$11:$AA$160,27,0)</f>
        <v>0</v>
      </c>
      <c r="AA133" s="52">
        <f>L133*VLOOKUP($A133,'I | Capex forecast'!$A$11:$AA$160,27,0)</f>
        <v>0</v>
      </c>
      <c r="AB133" s="53"/>
      <c r="AC133" s="52">
        <f t="shared" si="14"/>
        <v>0</v>
      </c>
      <c r="AD133" s="52">
        <f t="shared" si="15"/>
        <v>0</v>
      </c>
      <c r="AE133" s="53"/>
      <c r="AF133" s="52">
        <f>IF(VLOOKUP($A133,'I | Capex forecast'!$A$11:$AA$160,10,0)="Yes",AC133,0)</f>
        <v>0</v>
      </c>
      <c r="AG133" s="52">
        <f>IF(VLOOKUP($A133,'I | Capex forecast'!$A$11:$AA$160,10,0)="Yes",AD133,0)</f>
        <v>0</v>
      </c>
      <c r="AH133" s="53"/>
      <c r="AI133" s="52">
        <f t="shared" si="16"/>
        <v>0</v>
      </c>
      <c r="AJ133" s="52">
        <f t="shared" si="17"/>
        <v>0</v>
      </c>
    </row>
    <row r="134" spans="1:36" x14ac:dyDescent="0.3">
      <c r="A134" s="56">
        <v>124</v>
      </c>
      <c r="B134" s="48" t="str">
        <f>IF('I | Capex forecast'!B135="","",'I | Capex forecast'!B135)</f>
        <v/>
      </c>
      <c r="C134" s="48" t="str">
        <f>IF('I | Capex forecast'!C135="","",'I | Capex forecast'!C135)</f>
        <v/>
      </c>
      <c r="D134" s="48" t="str">
        <f>IF('I | Capex forecast'!D137="","",'I | Capex forecast'!D137)</f>
        <v/>
      </c>
      <c r="E134" s="48" t="str">
        <f>IF('I | Capex forecast'!E135="","",'I | Capex forecast'!E135)</f>
        <v/>
      </c>
      <c r="F134" s="48" t="str">
        <f>IF('I | Capex forecast'!F135="","",'I | Capex forecast'!F135)</f>
        <v/>
      </c>
      <c r="G134" s="48" t="str">
        <f>IF('I | Capex forecast'!G135="","",'I | Capex forecast'!G135)</f>
        <v/>
      </c>
      <c r="H134" s="48" t="str">
        <f>IF('I | Capex forecast'!H135="","",'I | Capex forecast'!H135)</f>
        <v/>
      </c>
      <c r="I134" s="48" t="str">
        <f>IF('I | Capex forecast'!I135="","",'I | Capex forecast'!I135)</f>
        <v/>
      </c>
      <c r="J134" s="50"/>
      <c r="K134" s="52">
        <f>IFERROR(IF($H134="nominal",VLOOKUP($A134,'I | Capex forecast'!$A$11:$AA$160,K$8,0),VLOOKUP($A134,'I | Capex forecast'!$A$11:$AA$160,K$8,0)*INDEX('I | Inflation'!$G$41:$I$42,MATCH($H134,'I | Inflation'!$F$41:$F$42,0),MATCH(K$10,'I | Inflation'!$G$40:$I$40,0))),0)</f>
        <v>0</v>
      </c>
      <c r="L134" s="52">
        <f>IFERROR(IF($H134="nominal",VLOOKUP($A134,'I | Capex forecast'!$A$11:$AA$160,L$8,0),VLOOKUP($A134,'I | Capex forecast'!$A$11:$AA$160,L$8,0)*INDEX('I | Inflation'!$G$41:$I$42,MATCH($H134,'I | Inflation'!$F$41:$F$42,0),MATCH(L$10,'I | Inflation'!$G$40:$I$40,0))),0)</f>
        <v>0</v>
      </c>
      <c r="M134" s="53"/>
      <c r="N134" s="52">
        <f>K134*VLOOKUP($A134,'I | Capex forecast'!$A$11:$AA$160,21,0)*(HLOOKUP(N$10,'I | Inflation'!$D$57:$J$59,3,0)-1)</f>
        <v>0</v>
      </c>
      <c r="O134" s="52">
        <f>L134*VLOOKUP($A134,'I | Capex forecast'!$A$11:$AA$160,21,0)*(HLOOKUP(O$10,'I | Inflation'!$D$57:$J$59,3,0)-1)</f>
        <v>0</v>
      </c>
      <c r="P134" s="53"/>
      <c r="Q134" s="52"/>
      <c r="R134" s="52"/>
      <c r="S134" s="53"/>
      <c r="T134" s="52"/>
      <c r="U134" s="52"/>
      <c r="V134" s="53"/>
      <c r="W134" s="52"/>
      <c r="X134" s="52"/>
      <c r="Y134" s="53"/>
      <c r="Z134" s="52">
        <f>K134*VLOOKUP($A134,'I | Capex forecast'!$A$11:$AA$160,27,0)</f>
        <v>0</v>
      </c>
      <c r="AA134" s="52">
        <f>L134*VLOOKUP($A134,'I | Capex forecast'!$A$11:$AA$160,27,0)</f>
        <v>0</v>
      </c>
      <c r="AB134" s="53"/>
      <c r="AC134" s="52">
        <f t="shared" si="14"/>
        <v>0</v>
      </c>
      <c r="AD134" s="52">
        <f t="shared" si="15"/>
        <v>0</v>
      </c>
      <c r="AE134" s="53"/>
      <c r="AF134" s="52">
        <f>IF(VLOOKUP($A134,'I | Capex forecast'!$A$11:$AA$160,10,0)="Yes",AC134,0)</f>
        <v>0</v>
      </c>
      <c r="AG134" s="52">
        <f>IF(VLOOKUP($A134,'I | Capex forecast'!$A$11:$AA$160,10,0)="Yes",AD134,0)</f>
        <v>0</v>
      </c>
      <c r="AH134" s="53"/>
      <c r="AI134" s="52">
        <f t="shared" si="16"/>
        <v>0</v>
      </c>
      <c r="AJ134" s="52">
        <f t="shared" si="17"/>
        <v>0</v>
      </c>
    </row>
    <row r="135" spans="1:36" x14ac:dyDescent="0.3">
      <c r="A135" s="56">
        <v>125</v>
      </c>
      <c r="B135" s="48" t="str">
        <f>IF('I | Capex forecast'!B136="","",'I | Capex forecast'!B136)</f>
        <v/>
      </c>
      <c r="C135" s="48" t="str">
        <f>IF('I | Capex forecast'!C136="","",'I | Capex forecast'!C136)</f>
        <v/>
      </c>
      <c r="D135" s="48" t="str">
        <f>IF('I | Capex forecast'!D138="","",'I | Capex forecast'!D138)</f>
        <v/>
      </c>
      <c r="E135" s="48" t="str">
        <f>IF('I | Capex forecast'!E136="","",'I | Capex forecast'!E136)</f>
        <v/>
      </c>
      <c r="F135" s="48" t="str">
        <f>IF('I | Capex forecast'!F136="","",'I | Capex forecast'!F136)</f>
        <v/>
      </c>
      <c r="G135" s="48" t="str">
        <f>IF('I | Capex forecast'!G136="","",'I | Capex forecast'!G136)</f>
        <v/>
      </c>
      <c r="H135" s="48" t="str">
        <f>IF('I | Capex forecast'!H136="","",'I | Capex forecast'!H136)</f>
        <v/>
      </c>
      <c r="I135" s="48" t="str">
        <f>IF('I | Capex forecast'!I136="","",'I | Capex forecast'!I136)</f>
        <v/>
      </c>
      <c r="J135" s="50"/>
      <c r="K135" s="52">
        <f>IFERROR(IF($H135="nominal",VLOOKUP($A135,'I | Capex forecast'!$A$11:$AA$160,K$8,0),VLOOKUP($A135,'I | Capex forecast'!$A$11:$AA$160,K$8,0)*INDEX('I | Inflation'!$G$41:$I$42,MATCH($H135,'I | Inflation'!$F$41:$F$42,0),MATCH(K$10,'I | Inflation'!$G$40:$I$40,0))),0)</f>
        <v>0</v>
      </c>
      <c r="L135" s="52">
        <f>IFERROR(IF($H135="nominal",VLOOKUP($A135,'I | Capex forecast'!$A$11:$AA$160,L$8,0),VLOOKUP($A135,'I | Capex forecast'!$A$11:$AA$160,L$8,0)*INDEX('I | Inflation'!$G$41:$I$42,MATCH($H135,'I | Inflation'!$F$41:$F$42,0),MATCH(L$10,'I | Inflation'!$G$40:$I$40,0))),0)</f>
        <v>0</v>
      </c>
      <c r="M135" s="53"/>
      <c r="N135" s="52">
        <f>K135*VLOOKUP($A135,'I | Capex forecast'!$A$11:$AA$160,21,0)*(HLOOKUP(N$10,'I | Inflation'!$D$57:$J$59,3,0)-1)</f>
        <v>0</v>
      </c>
      <c r="O135" s="52">
        <f>L135*VLOOKUP($A135,'I | Capex forecast'!$A$11:$AA$160,21,0)*(HLOOKUP(O$10,'I | Inflation'!$D$57:$J$59,3,0)-1)</f>
        <v>0</v>
      </c>
      <c r="P135" s="53"/>
      <c r="Q135" s="52"/>
      <c r="R135" s="52"/>
      <c r="S135" s="53"/>
      <c r="T135" s="52"/>
      <c r="U135" s="52"/>
      <c r="V135" s="53"/>
      <c r="W135" s="52"/>
      <c r="X135" s="52"/>
      <c r="Y135" s="53"/>
      <c r="Z135" s="52">
        <f>K135*VLOOKUP($A135,'I | Capex forecast'!$A$11:$AA$160,27,0)</f>
        <v>0</v>
      </c>
      <c r="AA135" s="52">
        <f>L135*VLOOKUP($A135,'I | Capex forecast'!$A$11:$AA$160,27,0)</f>
        <v>0</v>
      </c>
      <c r="AB135" s="53"/>
      <c r="AC135" s="52">
        <f t="shared" si="14"/>
        <v>0</v>
      </c>
      <c r="AD135" s="52">
        <f t="shared" si="15"/>
        <v>0</v>
      </c>
      <c r="AE135" s="53"/>
      <c r="AF135" s="52">
        <f>IF(VLOOKUP($A135,'I | Capex forecast'!$A$11:$AA$160,10,0)="Yes",AC135,0)</f>
        <v>0</v>
      </c>
      <c r="AG135" s="52">
        <f>IF(VLOOKUP($A135,'I | Capex forecast'!$A$11:$AA$160,10,0)="Yes",AD135,0)</f>
        <v>0</v>
      </c>
      <c r="AH135" s="53"/>
      <c r="AI135" s="52">
        <f t="shared" si="16"/>
        <v>0</v>
      </c>
      <c r="AJ135" s="52">
        <f t="shared" si="17"/>
        <v>0</v>
      </c>
    </row>
    <row r="136" spans="1:36" x14ac:dyDescent="0.3">
      <c r="A136" s="56">
        <v>126</v>
      </c>
      <c r="B136" s="48" t="str">
        <f>IF('I | Capex forecast'!B137="","",'I | Capex forecast'!B137)</f>
        <v/>
      </c>
      <c r="C136" s="48" t="str">
        <f>IF('I | Capex forecast'!C137="","",'I | Capex forecast'!C137)</f>
        <v/>
      </c>
      <c r="D136" s="48" t="str">
        <f>IF('I | Capex forecast'!D139="","",'I | Capex forecast'!D139)</f>
        <v/>
      </c>
      <c r="E136" s="48" t="str">
        <f>IF('I | Capex forecast'!E137="","",'I | Capex forecast'!E137)</f>
        <v/>
      </c>
      <c r="F136" s="48" t="str">
        <f>IF('I | Capex forecast'!F137="","",'I | Capex forecast'!F137)</f>
        <v/>
      </c>
      <c r="G136" s="48" t="str">
        <f>IF('I | Capex forecast'!G137="","",'I | Capex forecast'!G137)</f>
        <v/>
      </c>
      <c r="H136" s="48" t="str">
        <f>IF('I | Capex forecast'!H137="","",'I | Capex forecast'!H137)</f>
        <v/>
      </c>
      <c r="I136" s="48" t="str">
        <f>IF('I | Capex forecast'!I137="","",'I | Capex forecast'!I137)</f>
        <v/>
      </c>
      <c r="J136" s="50"/>
      <c r="K136" s="52">
        <f>IFERROR(IF($H136="nominal",VLOOKUP($A136,'I | Capex forecast'!$A$11:$AA$160,K$8,0),VLOOKUP($A136,'I | Capex forecast'!$A$11:$AA$160,K$8,0)*INDEX('I | Inflation'!$G$41:$I$42,MATCH($H136,'I | Inflation'!$F$41:$F$42,0),MATCH(K$10,'I | Inflation'!$G$40:$I$40,0))),0)</f>
        <v>0</v>
      </c>
      <c r="L136" s="52">
        <f>IFERROR(IF($H136="nominal",VLOOKUP($A136,'I | Capex forecast'!$A$11:$AA$160,L$8,0),VLOOKUP($A136,'I | Capex forecast'!$A$11:$AA$160,L$8,0)*INDEX('I | Inflation'!$G$41:$I$42,MATCH($H136,'I | Inflation'!$F$41:$F$42,0),MATCH(L$10,'I | Inflation'!$G$40:$I$40,0))),0)</f>
        <v>0</v>
      </c>
      <c r="M136" s="53"/>
      <c r="N136" s="52">
        <f>K136*VLOOKUP($A136,'I | Capex forecast'!$A$11:$AA$160,21,0)*(HLOOKUP(N$10,'I | Inflation'!$D$57:$J$59,3,0)-1)</f>
        <v>0</v>
      </c>
      <c r="O136" s="52">
        <f>L136*VLOOKUP($A136,'I | Capex forecast'!$A$11:$AA$160,21,0)*(HLOOKUP(O$10,'I | Inflation'!$D$57:$J$59,3,0)-1)</f>
        <v>0</v>
      </c>
      <c r="P136" s="53"/>
      <c r="Q136" s="52"/>
      <c r="R136" s="52"/>
      <c r="S136" s="53"/>
      <c r="T136" s="52"/>
      <c r="U136" s="52"/>
      <c r="V136" s="53"/>
      <c r="W136" s="52"/>
      <c r="X136" s="52"/>
      <c r="Y136" s="53"/>
      <c r="Z136" s="52">
        <f>K136*VLOOKUP($A136,'I | Capex forecast'!$A$11:$AA$160,27,0)</f>
        <v>0</v>
      </c>
      <c r="AA136" s="52">
        <f>L136*VLOOKUP($A136,'I | Capex forecast'!$A$11:$AA$160,27,0)</f>
        <v>0</v>
      </c>
      <c r="AB136" s="53"/>
      <c r="AC136" s="52">
        <f t="shared" si="14"/>
        <v>0</v>
      </c>
      <c r="AD136" s="52">
        <f t="shared" si="15"/>
        <v>0</v>
      </c>
      <c r="AE136" s="53"/>
      <c r="AF136" s="52">
        <f>IF(VLOOKUP($A136,'I | Capex forecast'!$A$11:$AA$160,10,0)="Yes",AC136,0)</f>
        <v>0</v>
      </c>
      <c r="AG136" s="52">
        <f>IF(VLOOKUP($A136,'I | Capex forecast'!$A$11:$AA$160,10,0)="Yes",AD136,0)</f>
        <v>0</v>
      </c>
      <c r="AH136" s="53"/>
      <c r="AI136" s="52">
        <f t="shared" si="16"/>
        <v>0</v>
      </c>
      <c r="AJ136" s="52">
        <f t="shared" si="17"/>
        <v>0</v>
      </c>
    </row>
    <row r="137" spans="1:36" x14ac:dyDescent="0.3">
      <c r="A137" s="56">
        <v>127</v>
      </c>
      <c r="B137" s="48" t="str">
        <f>IF('I | Capex forecast'!B138="","",'I | Capex forecast'!B138)</f>
        <v/>
      </c>
      <c r="C137" s="48" t="str">
        <f>IF('I | Capex forecast'!C138="","",'I | Capex forecast'!C138)</f>
        <v/>
      </c>
      <c r="D137" s="48" t="str">
        <f>IF('I | Capex forecast'!D140="","",'I | Capex forecast'!D140)</f>
        <v/>
      </c>
      <c r="E137" s="48" t="str">
        <f>IF('I | Capex forecast'!E138="","",'I | Capex forecast'!E138)</f>
        <v/>
      </c>
      <c r="F137" s="48" t="str">
        <f>IF('I | Capex forecast'!F138="","",'I | Capex forecast'!F138)</f>
        <v/>
      </c>
      <c r="G137" s="48" t="str">
        <f>IF('I | Capex forecast'!G138="","",'I | Capex forecast'!G138)</f>
        <v/>
      </c>
      <c r="H137" s="48" t="str">
        <f>IF('I | Capex forecast'!H138="","",'I | Capex forecast'!H138)</f>
        <v/>
      </c>
      <c r="I137" s="48" t="str">
        <f>IF('I | Capex forecast'!I138="","",'I | Capex forecast'!I138)</f>
        <v/>
      </c>
      <c r="J137" s="50"/>
      <c r="K137" s="52">
        <f>IFERROR(IF($H137="nominal",VLOOKUP($A137,'I | Capex forecast'!$A$11:$AA$160,K$8,0),VLOOKUP($A137,'I | Capex forecast'!$A$11:$AA$160,K$8,0)*INDEX('I | Inflation'!$G$41:$I$42,MATCH($H137,'I | Inflation'!$F$41:$F$42,0),MATCH(K$10,'I | Inflation'!$G$40:$I$40,0))),0)</f>
        <v>0</v>
      </c>
      <c r="L137" s="52">
        <f>IFERROR(IF($H137="nominal",VLOOKUP($A137,'I | Capex forecast'!$A$11:$AA$160,L$8,0),VLOOKUP($A137,'I | Capex forecast'!$A$11:$AA$160,L$8,0)*INDEX('I | Inflation'!$G$41:$I$42,MATCH($H137,'I | Inflation'!$F$41:$F$42,0),MATCH(L$10,'I | Inflation'!$G$40:$I$40,0))),0)</f>
        <v>0</v>
      </c>
      <c r="M137" s="53"/>
      <c r="N137" s="52">
        <f>K137*VLOOKUP($A137,'I | Capex forecast'!$A$11:$AA$160,21,0)*(HLOOKUP(N$10,'I | Inflation'!$D$57:$J$59,3,0)-1)</f>
        <v>0</v>
      </c>
      <c r="O137" s="52">
        <f>L137*VLOOKUP($A137,'I | Capex forecast'!$A$11:$AA$160,21,0)*(HLOOKUP(O$10,'I | Inflation'!$D$57:$J$59,3,0)-1)</f>
        <v>0</v>
      </c>
      <c r="P137" s="53"/>
      <c r="Q137" s="52"/>
      <c r="R137" s="52"/>
      <c r="S137" s="53"/>
      <c r="T137" s="52"/>
      <c r="U137" s="52"/>
      <c r="V137" s="53"/>
      <c r="W137" s="52"/>
      <c r="X137" s="52"/>
      <c r="Y137" s="53"/>
      <c r="Z137" s="52">
        <f>K137*VLOOKUP($A137,'I | Capex forecast'!$A$11:$AA$160,27,0)</f>
        <v>0</v>
      </c>
      <c r="AA137" s="52">
        <f>L137*VLOOKUP($A137,'I | Capex forecast'!$A$11:$AA$160,27,0)</f>
        <v>0</v>
      </c>
      <c r="AB137" s="53"/>
      <c r="AC137" s="52">
        <f t="shared" si="14"/>
        <v>0</v>
      </c>
      <c r="AD137" s="52">
        <f t="shared" si="15"/>
        <v>0</v>
      </c>
      <c r="AE137" s="53"/>
      <c r="AF137" s="52">
        <f>IF(VLOOKUP($A137,'I | Capex forecast'!$A$11:$AA$160,10,0)="Yes",AC137,0)</f>
        <v>0</v>
      </c>
      <c r="AG137" s="52">
        <f>IF(VLOOKUP($A137,'I | Capex forecast'!$A$11:$AA$160,10,0)="Yes",AD137,0)</f>
        <v>0</v>
      </c>
      <c r="AH137" s="53"/>
      <c r="AI137" s="52">
        <f t="shared" si="16"/>
        <v>0</v>
      </c>
      <c r="AJ137" s="52">
        <f t="shared" si="17"/>
        <v>0</v>
      </c>
    </row>
    <row r="138" spans="1:36" x14ac:dyDescent="0.3">
      <c r="A138" s="56">
        <v>128</v>
      </c>
      <c r="B138" s="48" t="str">
        <f>IF('I | Capex forecast'!B139="","",'I | Capex forecast'!B139)</f>
        <v/>
      </c>
      <c r="C138" s="48" t="str">
        <f>IF('I | Capex forecast'!C139="","",'I | Capex forecast'!C139)</f>
        <v/>
      </c>
      <c r="D138" s="48" t="str">
        <f>IF('I | Capex forecast'!D141="","",'I | Capex forecast'!D141)</f>
        <v/>
      </c>
      <c r="E138" s="48" t="str">
        <f>IF('I | Capex forecast'!E139="","",'I | Capex forecast'!E139)</f>
        <v/>
      </c>
      <c r="F138" s="48" t="str">
        <f>IF('I | Capex forecast'!F139="","",'I | Capex forecast'!F139)</f>
        <v/>
      </c>
      <c r="G138" s="48" t="str">
        <f>IF('I | Capex forecast'!G139="","",'I | Capex forecast'!G139)</f>
        <v/>
      </c>
      <c r="H138" s="48" t="str">
        <f>IF('I | Capex forecast'!H139="","",'I | Capex forecast'!H139)</f>
        <v/>
      </c>
      <c r="I138" s="48" t="str">
        <f>IF('I | Capex forecast'!I139="","",'I | Capex forecast'!I139)</f>
        <v/>
      </c>
      <c r="J138" s="50"/>
      <c r="K138" s="52">
        <f>IFERROR(IF($H138="nominal",VLOOKUP($A138,'I | Capex forecast'!$A$11:$AA$160,K$8,0),VLOOKUP($A138,'I | Capex forecast'!$A$11:$AA$160,K$8,0)*INDEX('I | Inflation'!$G$41:$I$42,MATCH($H138,'I | Inflation'!$F$41:$F$42,0),MATCH(K$10,'I | Inflation'!$G$40:$I$40,0))),0)</f>
        <v>0</v>
      </c>
      <c r="L138" s="52">
        <f>IFERROR(IF($H138="nominal",VLOOKUP($A138,'I | Capex forecast'!$A$11:$AA$160,L$8,0),VLOOKUP($A138,'I | Capex forecast'!$A$11:$AA$160,L$8,0)*INDEX('I | Inflation'!$G$41:$I$42,MATCH($H138,'I | Inflation'!$F$41:$F$42,0),MATCH(L$10,'I | Inflation'!$G$40:$I$40,0))),0)</f>
        <v>0</v>
      </c>
      <c r="M138" s="53"/>
      <c r="N138" s="52">
        <f>K138*VLOOKUP($A138,'I | Capex forecast'!$A$11:$AA$160,21,0)*(HLOOKUP(N$10,'I | Inflation'!$D$57:$J$59,3,0)-1)</f>
        <v>0</v>
      </c>
      <c r="O138" s="52">
        <f>L138*VLOOKUP($A138,'I | Capex forecast'!$A$11:$AA$160,21,0)*(HLOOKUP(O$10,'I | Inflation'!$D$57:$J$59,3,0)-1)</f>
        <v>0</v>
      </c>
      <c r="P138" s="53"/>
      <c r="Q138" s="52"/>
      <c r="R138" s="52"/>
      <c r="S138" s="53"/>
      <c r="T138" s="52"/>
      <c r="U138" s="52"/>
      <c r="V138" s="53"/>
      <c r="W138" s="52"/>
      <c r="X138" s="52"/>
      <c r="Y138" s="53"/>
      <c r="Z138" s="52">
        <f>K138*VLOOKUP($A138,'I | Capex forecast'!$A$11:$AA$160,27,0)</f>
        <v>0</v>
      </c>
      <c r="AA138" s="52">
        <f>L138*VLOOKUP($A138,'I | Capex forecast'!$A$11:$AA$160,27,0)</f>
        <v>0</v>
      </c>
      <c r="AB138" s="53"/>
      <c r="AC138" s="52">
        <f t="shared" si="14"/>
        <v>0</v>
      </c>
      <c r="AD138" s="52">
        <f t="shared" si="15"/>
        <v>0</v>
      </c>
      <c r="AE138" s="53"/>
      <c r="AF138" s="52">
        <f>IF(VLOOKUP($A138,'I | Capex forecast'!$A$11:$AA$160,10,0)="Yes",AC138,0)</f>
        <v>0</v>
      </c>
      <c r="AG138" s="52">
        <f>IF(VLOOKUP($A138,'I | Capex forecast'!$A$11:$AA$160,10,0)="Yes",AD138,0)</f>
        <v>0</v>
      </c>
      <c r="AH138" s="53"/>
      <c r="AI138" s="52">
        <f t="shared" si="16"/>
        <v>0</v>
      </c>
      <c r="AJ138" s="52">
        <f t="shared" si="17"/>
        <v>0</v>
      </c>
    </row>
    <row r="139" spans="1:36" x14ac:dyDescent="0.3">
      <c r="A139" s="56">
        <v>129</v>
      </c>
      <c r="B139" s="48" t="str">
        <f>IF('I | Capex forecast'!B140="","",'I | Capex forecast'!B140)</f>
        <v/>
      </c>
      <c r="C139" s="48" t="str">
        <f>IF('I | Capex forecast'!C140="","",'I | Capex forecast'!C140)</f>
        <v/>
      </c>
      <c r="D139" s="48" t="str">
        <f>IF('I | Capex forecast'!D142="","",'I | Capex forecast'!D142)</f>
        <v/>
      </c>
      <c r="E139" s="48" t="str">
        <f>IF('I | Capex forecast'!E140="","",'I | Capex forecast'!E140)</f>
        <v/>
      </c>
      <c r="F139" s="48" t="str">
        <f>IF('I | Capex forecast'!F140="","",'I | Capex forecast'!F140)</f>
        <v/>
      </c>
      <c r="G139" s="48" t="str">
        <f>IF('I | Capex forecast'!G140="","",'I | Capex forecast'!G140)</f>
        <v/>
      </c>
      <c r="H139" s="48" t="str">
        <f>IF('I | Capex forecast'!H140="","",'I | Capex forecast'!H140)</f>
        <v/>
      </c>
      <c r="I139" s="48" t="str">
        <f>IF('I | Capex forecast'!I140="","",'I | Capex forecast'!I140)</f>
        <v/>
      </c>
      <c r="J139" s="50"/>
      <c r="K139" s="52">
        <f>IFERROR(IF($H139="nominal",VLOOKUP($A139,'I | Capex forecast'!$A$11:$AA$160,K$8,0),VLOOKUP($A139,'I | Capex forecast'!$A$11:$AA$160,K$8,0)*INDEX('I | Inflation'!$G$41:$I$42,MATCH($H139,'I | Inflation'!$F$41:$F$42,0),MATCH(K$10,'I | Inflation'!$G$40:$I$40,0))),0)</f>
        <v>0</v>
      </c>
      <c r="L139" s="52">
        <f>IFERROR(IF($H139="nominal",VLOOKUP($A139,'I | Capex forecast'!$A$11:$AA$160,L$8,0),VLOOKUP($A139,'I | Capex forecast'!$A$11:$AA$160,L$8,0)*INDEX('I | Inflation'!$G$41:$I$42,MATCH($H139,'I | Inflation'!$F$41:$F$42,0),MATCH(L$10,'I | Inflation'!$G$40:$I$40,0))),0)</f>
        <v>0</v>
      </c>
      <c r="M139" s="53"/>
      <c r="N139" s="52">
        <f>K139*VLOOKUP($A139,'I | Capex forecast'!$A$11:$AA$160,21,0)*(HLOOKUP(N$10,'I | Inflation'!$D$57:$J$59,3,0)-1)</f>
        <v>0</v>
      </c>
      <c r="O139" s="52">
        <f>L139*VLOOKUP($A139,'I | Capex forecast'!$A$11:$AA$160,21,0)*(HLOOKUP(O$10,'I | Inflation'!$D$57:$J$59,3,0)-1)</f>
        <v>0</v>
      </c>
      <c r="P139" s="53"/>
      <c r="Q139" s="52"/>
      <c r="R139" s="52"/>
      <c r="S139" s="53"/>
      <c r="T139" s="52"/>
      <c r="U139" s="52"/>
      <c r="V139" s="53"/>
      <c r="W139" s="52"/>
      <c r="X139" s="52"/>
      <c r="Y139" s="53"/>
      <c r="Z139" s="52">
        <f>K139*VLOOKUP($A139,'I | Capex forecast'!$A$11:$AA$160,27,0)</f>
        <v>0</v>
      </c>
      <c r="AA139" s="52">
        <f>L139*VLOOKUP($A139,'I | Capex forecast'!$A$11:$AA$160,27,0)</f>
        <v>0</v>
      </c>
      <c r="AB139" s="53"/>
      <c r="AC139" s="52">
        <f t="shared" ref="AC139:AC155" si="18">K139+N139+Q139+T139+W139+Z139</f>
        <v>0</v>
      </c>
      <c r="AD139" s="52">
        <f t="shared" ref="AD139:AD155" si="19">L139+O139+R139+U139+X139+AA139</f>
        <v>0</v>
      </c>
      <c r="AE139" s="53"/>
      <c r="AF139" s="52">
        <f>IF(VLOOKUP($A139,'I | Capex forecast'!$A$11:$AA$160,10,0)="Yes",AC139,0)</f>
        <v>0</v>
      </c>
      <c r="AG139" s="52">
        <f>IF(VLOOKUP($A139,'I | Capex forecast'!$A$11:$AA$160,10,0)="Yes",AD139,0)</f>
        <v>0</v>
      </c>
      <c r="AH139" s="53"/>
      <c r="AI139" s="52">
        <f t="shared" ref="AI139:AI155" si="20">IF($G139="As incurred",AC139,IF($G139=AI$10,$AC139+$AD139,0))</f>
        <v>0</v>
      </c>
      <c r="AJ139" s="52">
        <f t="shared" ref="AJ139:AJ155" si="21">IF($G139="As incurred",AD139,IF($G139=AJ$10,$AC139+$AD139,0))</f>
        <v>0</v>
      </c>
    </row>
    <row r="140" spans="1:36" x14ac:dyDescent="0.3">
      <c r="A140" s="56">
        <v>130</v>
      </c>
      <c r="B140" s="48" t="str">
        <f>IF('I | Capex forecast'!B141="","",'I | Capex forecast'!B141)</f>
        <v/>
      </c>
      <c r="C140" s="48" t="str">
        <f>IF('I | Capex forecast'!C141="","",'I | Capex forecast'!C141)</f>
        <v/>
      </c>
      <c r="D140" s="48" t="str">
        <f>IF('I | Capex forecast'!D143="","",'I | Capex forecast'!D143)</f>
        <v/>
      </c>
      <c r="E140" s="48" t="str">
        <f>IF('I | Capex forecast'!E141="","",'I | Capex forecast'!E141)</f>
        <v/>
      </c>
      <c r="F140" s="48" t="str">
        <f>IF('I | Capex forecast'!F141="","",'I | Capex forecast'!F141)</f>
        <v/>
      </c>
      <c r="G140" s="48" t="str">
        <f>IF('I | Capex forecast'!G141="","",'I | Capex forecast'!G141)</f>
        <v/>
      </c>
      <c r="H140" s="48" t="str">
        <f>IF('I | Capex forecast'!H141="","",'I | Capex forecast'!H141)</f>
        <v/>
      </c>
      <c r="I140" s="48" t="str">
        <f>IF('I | Capex forecast'!I141="","",'I | Capex forecast'!I141)</f>
        <v/>
      </c>
      <c r="J140" s="50"/>
      <c r="K140" s="52">
        <f>IFERROR(IF($H140="nominal",VLOOKUP($A140,'I | Capex forecast'!$A$11:$AA$160,K$8,0),VLOOKUP($A140,'I | Capex forecast'!$A$11:$AA$160,K$8,0)*INDEX('I | Inflation'!$G$41:$I$42,MATCH($H140,'I | Inflation'!$F$41:$F$42,0),MATCH(K$10,'I | Inflation'!$G$40:$I$40,0))),0)</f>
        <v>0</v>
      </c>
      <c r="L140" s="52">
        <f>IFERROR(IF($H140="nominal",VLOOKUP($A140,'I | Capex forecast'!$A$11:$AA$160,L$8,0),VLOOKUP($A140,'I | Capex forecast'!$A$11:$AA$160,L$8,0)*INDEX('I | Inflation'!$G$41:$I$42,MATCH($H140,'I | Inflation'!$F$41:$F$42,0),MATCH(L$10,'I | Inflation'!$G$40:$I$40,0))),0)</f>
        <v>0</v>
      </c>
      <c r="M140" s="53"/>
      <c r="N140" s="52">
        <f>K140*VLOOKUP($A140,'I | Capex forecast'!$A$11:$AA$160,21,0)*(HLOOKUP(N$10,'I | Inflation'!$D$57:$J$59,3,0)-1)</f>
        <v>0</v>
      </c>
      <c r="O140" s="52">
        <f>L140*VLOOKUP($A140,'I | Capex forecast'!$A$11:$AA$160,21,0)*(HLOOKUP(O$10,'I | Inflation'!$D$57:$J$59,3,0)-1)</f>
        <v>0</v>
      </c>
      <c r="P140" s="53"/>
      <c r="Q140" s="52"/>
      <c r="R140" s="52"/>
      <c r="S140" s="53"/>
      <c r="T140" s="52"/>
      <c r="U140" s="52"/>
      <c r="V140" s="53"/>
      <c r="W140" s="52"/>
      <c r="X140" s="52"/>
      <c r="Y140" s="53"/>
      <c r="Z140" s="52">
        <f>K140*VLOOKUP($A140,'I | Capex forecast'!$A$11:$AA$160,27,0)</f>
        <v>0</v>
      </c>
      <c r="AA140" s="52">
        <f>L140*VLOOKUP($A140,'I | Capex forecast'!$A$11:$AA$160,27,0)</f>
        <v>0</v>
      </c>
      <c r="AB140" s="53"/>
      <c r="AC140" s="52">
        <f t="shared" si="18"/>
        <v>0</v>
      </c>
      <c r="AD140" s="52">
        <f t="shared" si="19"/>
        <v>0</v>
      </c>
      <c r="AE140" s="53"/>
      <c r="AF140" s="52">
        <f>IF(VLOOKUP($A140,'I | Capex forecast'!$A$11:$AA$160,10,0)="Yes",AC140,0)</f>
        <v>0</v>
      </c>
      <c r="AG140" s="52">
        <f>IF(VLOOKUP($A140,'I | Capex forecast'!$A$11:$AA$160,10,0)="Yes",AD140,0)</f>
        <v>0</v>
      </c>
      <c r="AH140" s="53"/>
      <c r="AI140" s="52">
        <f t="shared" si="20"/>
        <v>0</v>
      </c>
      <c r="AJ140" s="52">
        <f t="shared" si="21"/>
        <v>0</v>
      </c>
    </row>
    <row r="141" spans="1:36" x14ac:dyDescent="0.3">
      <c r="A141" s="56">
        <v>131</v>
      </c>
      <c r="B141" s="48" t="str">
        <f>IF('I | Capex forecast'!B142="","",'I | Capex forecast'!B142)</f>
        <v/>
      </c>
      <c r="C141" s="48" t="str">
        <f>IF('I | Capex forecast'!C142="","",'I | Capex forecast'!C142)</f>
        <v/>
      </c>
      <c r="D141" s="48" t="str">
        <f>IF('I | Capex forecast'!D144="","",'I | Capex forecast'!D144)</f>
        <v/>
      </c>
      <c r="E141" s="48" t="str">
        <f>IF('I | Capex forecast'!E142="","",'I | Capex forecast'!E142)</f>
        <v/>
      </c>
      <c r="F141" s="48" t="str">
        <f>IF('I | Capex forecast'!F142="","",'I | Capex forecast'!F142)</f>
        <v/>
      </c>
      <c r="G141" s="48" t="str">
        <f>IF('I | Capex forecast'!G142="","",'I | Capex forecast'!G142)</f>
        <v/>
      </c>
      <c r="H141" s="48" t="str">
        <f>IF('I | Capex forecast'!H142="","",'I | Capex forecast'!H142)</f>
        <v/>
      </c>
      <c r="I141" s="48" t="str">
        <f>IF('I | Capex forecast'!I142="","",'I | Capex forecast'!I142)</f>
        <v/>
      </c>
      <c r="J141" s="50"/>
      <c r="K141" s="52">
        <f>IFERROR(IF($H141="nominal",VLOOKUP($A141,'I | Capex forecast'!$A$11:$AA$160,K$8,0),VLOOKUP($A141,'I | Capex forecast'!$A$11:$AA$160,K$8,0)*INDEX('I | Inflation'!$G$41:$I$42,MATCH($H141,'I | Inflation'!$F$41:$F$42,0),MATCH(K$10,'I | Inflation'!$G$40:$I$40,0))),0)</f>
        <v>0</v>
      </c>
      <c r="L141" s="52">
        <f>IFERROR(IF($H141="nominal",VLOOKUP($A141,'I | Capex forecast'!$A$11:$AA$160,L$8,0),VLOOKUP($A141,'I | Capex forecast'!$A$11:$AA$160,L$8,0)*INDEX('I | Inflation'!$G$41:$I$42,MATCH($H141,'I | Inflation'!$F$41:$F$42,0),MATCH(L$10,'I | Inflation'!$G$40:$I$40,0))),0)</f>
        <v>0</v>
      </c>
      <c r="M141" s="53"/>
      <c r="N141" s="52">
        <f>K141*VLOOKUP($A141,'I | Capex forecast'!$A$11:$AA$160,21,0)*(HLOOKUP(N$10,'I | Inflation'!$D$57:$J$59,3,0)-1)</f>
        <v>0</v>
      </c>
      <c r="O141" s="52">
        <f>L141*VLOOKUP($A141,'I | Capex forecast'!$A$11:$AA$160,21,0)*(HLOOKUP(O$10,'I | Inflation'!$D$57:$J$59,3,0)-1)</f>
        <v>0</v>
      </c>
      <c r="P141" s="53"/>
      <c r="Q141" s="52"/>
      <c r="R141" s="52"/>
      <c r="S141" s="53"/>
      <c r="T141" s="52"/>
      <c r="U141" s="52"/>
      <c r="V141" s="53"/>
      <c r="W141" s="52"/>
      <c r="X141" s="52"/>
      <c r="Y141" s="53"/>
      <c r="Z141" s="52">
        <f>K141*VLOOKUP($A141,'I | Capex forecast'!$A$11:$AA$160,27,0)</f>
        <v>0</v>
      </c>
      <c r="AA141" s="52">
        <f>L141*VLOOKUP($A141,'I | Capex forecast'!$A$11:$AA$160,27,0)</f>
        <v>0</v>
      </c>
      <c r="AB141" s="53"/>
      <c r="AC141" s="52">
        <f t="shared" si="18"/>
        <v>0</v>
      </c>
      <c r="AD141" s="52">
        <f t="shared" si="19"/>
        <v>0</v>
      </c>
      <c r="AE141" s="53"/>
      <c r="AF141" s="52">
        <f>IF(VLOOKUP($A141,'I | Capex forecast'!$A$11:$AA$160,10,0)="Yes",AC141,0)</f>
        <v>0</v>
      </c>
      <c r="AG141" s="52">
        <f>IF(VLOOKUP($A141,'I | Capex forecast'!$A$11:$AA$160,10,0)="Yes",AD141,0)</f>
        <v>0</v>
      </c>
      <c r="AH141" s="53"/>
      <c r="AI141" s="52">
        <f t="shared" si="20"/>
        <v>0</v>
      </c>
      <c r="AJ141" s="52">
        <f t="shared" si="21"/>
        <v>0</v>
      </c>
    </row>
    <row r="142" spans="1:36" x14ac:dyDescent="0.3">
      <c r="A142" s="56">
        <v>132</v>
      </c>
      <c r="B142" s="48" t="str">
        <f>IF('I | Capex forecast'!B143="","",'I | Capex forecast'!B143)</f>
        <v/>
      </c>
      <c r="C142" s="48" t="str">
        <f>IF('I | Capex forecast'!C143="","",'I | Capex forecast'!C143)</f>
        <v/>
      </c>
      <c r="D142" s="48" t="str">
        <f>IF('I | Capex forecast'!D145="","",'I | Capex forecast'!D145)</f>
        <v/>
      </c>
      <c r="E142" s="48" t="str">
        <f>IF('I | Capex forecast'!E143="","",'I | Capex forecast'!E143)</f>
        <v/>
      </c>
      <c r="F142" s="48" t="str">
        <f>IF('I | Capex forecast'!F143="","",'I | Capex forecast'!F143)</f>
        <v/>
      </c>
      <c r="G142" s="48" t="str">
        <f>IF('I | Capex forecast'!G143="","",'I | Capex forecast'!G143)</f>
        <v/>
      </c>
      <c r="H142" s="48" t="str">
        <f>IF('I | Capex forecast'!H143="","",'I | Capex forecast'!H143)</f>
        <v/>
      </c>
      <c r="I142" s="48" t="str">
        <f>IF('I | Capex forecast'!I143="","",'I | Capex forecast'!I143)</f>
        <v/>
      </c>
      <c r="J142" s="50"/>
      <c r="K142" s="52">
        <f>IFERROR(IF($H142="nominal",VLOOKUP($A142,'I | Capex forecast'!$A$11:$AA$160,K$8,0),VLOOKUP($A142,'I | Capex forecast'!$A$11:$AA$160,K$8,0)*INDEX('I | Inflation'!$G$41:$I$42,MATCH($H142,'I | Inflation'!$F$41:$F$42,0),MATCH(K$10,'I | Inflation'!$G$40:$I$40,0))),0)</f>
        <v>0</v>
      </c>
      <c r="L142" s="52">
        <f>IFERROR(IF($H142="nominal",VLOOKUP($A142,'I | Capex forecast'!$A$11:$AA$160,L$8,0),VLOOKUP($A142,'I | Capex forecast'!$A$11:$AA$160,L$8,0)*INDEX('I | Inflation'!$G$41:$I$42,MATCH($H142,'I | Inflation'!$F$41:$F$42,0),MATCH(L$10,'I | Inflation'!$G$40:$I$40,0))),0)</f>
        <v>0</v>
      </c>
      <c r="M142" s="53"/>
      <c r="N142" s="52">
        <f>K142*VLOOKUP($A142,'I | Capex forecast'!$A$11:$AA$160,21,0)*(HLOOKUP(N$10,'I | Inflation'!$D$57:$J$59,3,0)-1)</f>
        <v>0</v>
      </c>
      <c r="O142" s="52">
        <f>L142*VLOOKUP($A142,'I | Capex forecast'!$A$11:$AA$160,21,0)*(HLOOKUP(O$10,'I | Inflation'!$D$57:$J$59,3,0)-1)</f>
        <v>0</v>
      </c>
      <c r="P142" s="53"/>
      <c r="Q142" s="52"/>
      <c r="R142" s="52"/>
      <c r="S142" s="53"/>
      <c r="T142" s="52"/>
      <c r="U142" s="52"/>
      <c r="V142" s="53"/>
      <c r="W142" s="52"/>
      <c r="X142" s="52"/>
      <c r="Y142" s="53"/>
      <c r="Z142" s="52">
        <f>K142*VLOOKUP($A142,'I | Capex forecast'!$A$11:$AA$160,27,0)</f>
        <v>0</v>
      </c>
      <c r="AA142" s="52">
        <f>L142*VLOOKUP($A142,'I | Capex forecast'!$A$11:$AA$160,27,0)</f>
        <v>0</v>
      </c>
      <c r="AB142" s="53"/>
      <c r="AC142" s="52">
        <f t="shared" si="18"/>
        <v>0</v>
      </c>
      <c r="AD142" s="52">
        <f t="shared" si="19"/>
        <v>0</v>
      </c>
      <c r="AE142" s="53"/>
      <c r="AF142" s="52">
        <f>IF(VLOOKUP($A142,'I | Capex forecast'!$A$11:$AA$160,10,0)="Yes",AC142,0)</f>
        <v>0</v>
      </c>
      <c r="AG142" s="52">
        <f>IF(VLOOKUP($A142,'I | Capex forecast'!$A$11:$AA$160,10,0)="Yes",AD142,0)</f>
        <v>0</v>
      </c>
      <c r="AH142" s="53"/>
      <c r="AI142" s="52">
        <f t="shared" si="20"/>
        <v>0</v>
      </c>
      <c r="AJ142" s="52">
        <f t="shared" si="21"/>
        <v>0</v>
      </c>
    </row>
    <row r="143" spans="1:36" x14ac:dyDescent="0.3">
      <c r="A143" s="56">
        <v>133</v>
      </c>
      <c r="B143" s="48" t="str">
        <f>IF('I | Capex forecast'!B144="","",'I | Capex forecast'!B144)</f>
        <v/>
      </c>
      <c r="C143" s="48" t="str">
        <f>IF('I | Capex forecast'!C144="","",'I | Capex forecast'!C144)</f>
        <v/>
      </c>
      <c r="D143" s="48" t="str">
        <f>IF('I | Capex forecast'!D146="","",'I | Capex forecast'!D146)</f>
        <v/>
      </c>
      <c r="E143" s="48" t="str">
        <f>IF('I | Capex forecast'!E144="","",'I | Capex forecast'!E144)</f>
        <v/>
      </c>
      <c r="F143" s="48" t="str">
        <f>IF('I | Capex forecast'!F144="","",'I | Capex forecast'!F144)</f>
        <v/>
      </c>
      <c r="G143" s="48" t="str">
        <f>IF('I | Capex forecast'!G144="","",'I | Capex forecast'!G144)</f>
        <v/>
      </c>
      <c r="H143" s="48" t="str">
        <f>IF('I | Capex forecast'!H144="","",'I | Capex forecast'!H144)</f>
        <v/>
      </c>
      <c r="I143" s="48" t="str">
        <f>IF('I | Capex forecast'!I144="","",'I | Capex forecast'!I144)</f>
        <v/>
      </c>
      <c r="J143" s="50"/>
      <c r="K143" s="52">
        <f>IFERROR(IF($H143="nominal",VLOOKUP($A143,'I | Capex forecast'!$A$11:$AA$160,K$8,0),VLOOKUP($A143,'I | Capex forecast'!$A$11:$AA$160,K$8,0)*INDEX('I | Inflation'!$G$41:$I$42,MATCH($H143,'I | Inflation'!$F$41:$F$42,0),MATCH(K$10,'I | Inflation'!$G$40:$I$40,0))),0)</f>
        <v>0</v>
      </c>
      <c r="L143" s="52">
        <f>IFERROR(IF($H143="nominal",VLOOKUP($A143,'I | Capex forecast'!$A$11:$AA$160,L$8,0),VLOOKUP($A143,'I | Capex forecast'!$A$11:$AA$160,L$8,0)*INDEX('I | Inflation'!$G$41:$I$42,MATCH($H143,'I | Inflation'!$F$41:$F$42,0),MATCH(L$10,'I | Inflation'!$G$40:$I$40,0))),0)</f>
        <v>0</v>
      </c>
      <c r="M143" s="53"/>
      <c r="N143" s="52">
        <f>K143*VLOOKUP($A143,'I | Capex forecast'!$A$11:$AA$160,21,0)*(HLOOKUP(N$10,'I | Inflation'!$D$57:$J$59,3,0)-1)</f>
        <v>0</v>
      </c>
      <c r="O143" s="52">
        <f>L143*VLOOKUP($A143,'I | Capex forecast'!$A$11:$AA$160,21,0)*(HLOOKUP(O$10,'I | Inflation'!$D$57:$J$59,3,0)-1)</f>
        <v>0</v>
      </c>
      <c r="P143" s="53"/>
      <c r="Q143" s="52"/>
      <c r="R143" s="52"/>
      <c r="S143" s="53"/>
      <c r="T143" s="52"/>
      <c r="U143" s="52"/>
      <c r="V143" s="53"/>
      <c r="W143" s="52"/>
      <c r="X143" s="52"/>
      <c r="Y143" s="53"/>
      <c r="Z143" s="52">
        <f>K143*VLOOKUP($A143,'I | Capex forecast'!$A$11:$AA$160,27,0)</f>
        <v>0</v>
      </c>
      <c r="AA143" s="52">
        <f>L143*VLOOKUP($A143,'I | Capex forecast'!$A$11:$AA$160,27,0)</f>
        <v>0</v>
      </c>
      <c r="AB143" s="53"/>
      <c r="AC143" s="52">
        <f t="shared" si="18"/>
        <v>0</v>
      </c>
      <c r="AD143" s="52">
        <f t="shared" si="19"/>
        <v>0</v>
      </c>
      <c r="AE143" s="53"/>
      <c r="AF143" s="52">
        <f>IF(VLOOKUP($A143,'I | Capex forecast'!$A$11:$AA$160,10,0)="Yes",AC143,0)</f>
        <v>0</v>
      </c>
      <c r="AG143" s="52">
        <f>IF(VLOOKUP($A143,'I | Capex forecast'!$A$11:$AA$160,10,0)="Yes",AD143,0)</f>
        <v>0</v>
      </c>
      <c r="AH143" s="53"/>
      <c r="AI143" s="52">
        <f t="shared" si="20"/>
        <v>0</v>
      </c>
      <c r="AJ143" s="52">
        <f t="shared" si="21"/>
        <v>0</v>
      </c>
    </row>
    <row r="144" spans="1:36" x14ac:dyDescent="0.3">
      <c r="A144" s="56">
        <v>134</v>
      </c>
      <c r="B144" s="48" t="str">
        <f>IF('I | Capex forecast'!B145="","",'I | Capex forecast'!B145)</f>
        <v/>
      </c>
      <c r="C144" s="48" t="str">
        <f>IF('I | Capex forecast'!C145="","",'I | Capex forecast'!C145)</f>
        <v/>
      </c>
      <c r="D144" s="48" t="str">
        <f>IF('I | Capex forecast'!D147="","",'I | Capex forecast'!D147)</f>
        <v/>
      </c>
      <c r="E144" s="48" t="str">
        <f>IF('I | Capex forecast'!E145="","",'I | Capex forecast'!E145)</f>
        <v/>
      </c>
      <c r="F144" s="48" t="str">
        <f>IF('I | Capex forecast'!F145="","",'I | Capex forecast'!F145)</f>
        <v/>
      </c>
      <c r="G144" s="48" t="str">
        <f>IF('I | Capex forecast'!G145="","",'I | Capex forecast'!G145)</f>
        <v/>
      </c>
      <c r="H144" s="48" t="str">
        <f>IF('I | Capex forecast'!H145="","",'I | Capex forecast'!H145)</f>
        <v/>
      </c>
      <c r="I144" s="48" t="str">
        <f>IF('I | Capex forecast'!I145="","",'I | Capex forecast'!I145)</f>
        <v/>
      </c>
      <c r="J144" s="50"/>
      <c r="K144" s="52">
        <f>IFERROR(IF($H144="nominal",VLOOKUP($A144,'I | Capex forecast'!$A$11:$AA$160,K$8,0),VLOOKUP($A144,'I | Capex forecast'!$A$11:$AA$160,K$8,0)*INDEX('I | Inflation'!$G$41:$I$42,MATCH($H144,'I | Inflation'!$F$41:$F$42,0),MATCH(K$10,'I | Inflation'!$G$40:$I$40,0))),0)</f>
        <v>0</v>
      </c>
      <c r="L144" s="52">
        <f>IFERROR(IF($H144="nominal",VLOOKUP($A144,'I | Capex forecast'!$A$11:$AA$160,L$8,0),VLOOKUP($A144,'I | Capex forecast'!$A$11:$AA$160,L$8,0)*INDEX('I | Inflation'!$G$41:$I$42,MATCH($H144,'I | Inflation'!$F$41:$F$42,0),MATCH(L$10,'I | Inflation'!$G$40:$I$40,0))),0)</f>
        <v>0</v>
      </c>
      <c r="M144" s="53"/>
      <c r="N144" s="52">
        <f>K144*VLOOKUP($A144,'I | Capex forecast'!$A$11:$AA$160,21,0)*(HLOOKUP(N$10,'I | Inflation'!$D$57:$J$59,3,0)-1)</f>
        <v>0</v>
      </c>
      <c r="O144" s="52">
        <f>L144*VLOOKUP($A144,'I | Capex forecast'!$A$11:$AA$160,21,0)*(HLOOKUP(O$10,'I | Inflation'!$D$57:$J$59,3,0)-1)</f>
        <v>0</v>
      </c>
      <c r="P144" s="53"/>
      <c r="Q144" s="52"/>
      <c r="R144" s="52"/>
      <c r="S144" s="53"/>
      <c r="T144" s="52"/>
      <c r="U144" s="52"/>
      <c r="V144" s="53"/>
      <c r="W144" s="52"/>
      <c r="X144" s="52"/>
      <c r="Y144" s="53"/>
      <c r="Z144" s="52">
        <f>K144*VLOOKUP($A144,'I | Capex forecast'!$A$11:$AA$160,27,0)</f>
        <v>0</v>
      </c>
      <c r="AA144" s="52">
        <f>L144*VLOOKUP($A144,'I | Capex forecast'!$A$11:$AA$160,27,0)</f>
        <v>0</v>
      </c>
      <c r="AB144" s="53"/>
      <c r="AC144" s="52">
        <f t="shared" si="18"/>
        <v>0</v>
      </c>
      <c r="AD144" s="52">
        <f t="shared" si="19"/>
        <v>0</v>
      </c>
      <c r="AE144" s="53"/>
      <c r="AF144" s="52">
        <f>IF(VLOOKUP($A144,'I | Capex forecast'!$A$11:$AA$160,10,0)="Yes",AC144,0)</f>
        <v>0</v>
      </c>
      <c r="AG144" s="52">
        <f>IF(VLOOKUP($A144,'I | Capex forecast'!$A$11:$AA$160,10,0)="Yes",AD144,0)</f>
        <v>0</v>
      </c>
      <c r="AH144" s="53"/>
      <c r="AI144" s="52">
        <f t="shared" si="20"/>
        <v>0</v>
      </c>
      <c r="AJ144" s="52">
        <f t="shared" si="21"/>
        <v>0</v>
      </c>
    </row>
    <row r="145" spans="1:36" x14ac:dyDescent="0.3">
      <c r="A145" s="56">
        <v>135</v>
      </c>
      <c r="B145" s="48" t="str">
        <f>IF('I | Capex forecast'!B146="","",'I | Capex forecast'!B146)</f>
        <v/>
      </c>
      <c r="C145" s="48" t="str">
        <f>IF('I | Capex forecast'!C146="","",'I | Capex forecast'!C146)</f>
        <v/>
      </c>
      <c r="D145" s="48" t="str">
        <f>IF('I | Capex forecast'!D148="","",'I | Capex forecast'!D148)</f>
        <v/>
      </c>
      <c r="E145" s="48" t="str">
        <f>IF('I | Capex forecast'!E146="","",'I | Capex forecast'!E146)</f>
        <v/>
      </c>
      <c r="F145" s="48" t="str">
        <f>IF('I | Capex forecast'!F146="","",'I | Capex forecast'!F146)</f>
        <v/>
      </c>
      <c r="G145" s="48" t="str">
        <f>IF('I | Capex forecast'!G146="","",'I | Capex forecast'!G146)</f>
        <v/>
      </c>
      <c r="H145" s="48" t="str">
        <f>IF('I | Capex forecast'!H146="","",'I | Capex forecast'!H146)</f>
        <v/>
      </c>
      <c r="I145" s="48" t="str">
        <f>IF('I | Capex forecast'!I146="","",'I | Capex forecast'!I146)</f>
        <v/>
      </c>
      <c r="J145" s="50"/>
      <c r="K145" s="52">
        <f>IFERROR(IF($H145="nominal",VLOOKUP($A145,'I | Capex forecast'!$A$11:$AA$160,K$8,0),VLOOKUP($A145,'I | Capex forecast'!$A$11:$AA$160,K$8,0)*INDEX('I | Inflation'!$G$41:$I$42,MATCH($H145,'I | Inflation'!$F$41:$F$42,0),MATCH(K$10,'I | Inflation'!$G$40:$I$40,0))),0)</f>
        <v>0</v>
      </c>
      <c r="L145" s="52">
        <f>IFERROR(IF($H145="nominal",VLOOKUP($A145,'I | Capex forecast'!$A$11:$AA$160,L$8,0),VLOOKUP($A145,'I | Capex forecast'!$A$11:$AA$160,L$8,0)*INDEX('I | Inflation'!$G$41:$I$42,MATCH($H145,'I | Inflation'!$F$41:$F$42,0),MATCH(L$10,'I | Inflation'!$G$40:$I$40,0))),0)</f>
        <v>0</v>
      </c>
      <c r="M145" s="53"/>
      <c r="N145" s="52">
        <f>K145*VLOOKUP($A145,'I | Capex forecast'!$A$11:$AA$160,21,0)*(HLOOKUP(N$10,'I | Inflation'!$D$57:$J$59,3,0)-1)</f>
        <v>0</v>
      </c>
      <c r="O145" s="52">
        <f>L145*VLOOKUP($A145,'I | Capex forecast'!$A$11:$AA$160,21,0)*(HLOOKUP(O$10,'I | Inflation'!$D$57:$J$59,3,0)-1)</f>
        <v>0</v>
      </c>
      <c r="P145" s="53"/>
      <c r="Q145" s="52"/>
      <c r="R145" s="52"/>
      <c r="S145" s="53"/>
      <c r="T145" s="52"/>
      <c r="U145" s="52"/>
      <c r="V145" s="53"/>
      <c r="W145" s="52"/>
      <c r="X145" s="52"/>
      <c r="Y145" s="53"/>
      <c r="Z145" s="52">
        <f>K145*VLOOKUP($A145,'I | Capex forecast'!$A$11:$AA$160,27,0)</f>
        <v>0</v>
      </c>
      <c r="AA145" s="52">
        <f>L145*VLOOKUP($A145,'I | Capex forecast'!$A$11:$AA$160,27,0)</f>
        <v>0</v>
      </c>
      <c r="AB145" s="53"/>
      <c r="AC145" s="52">
        <f t="shared" si="18"/>
        <v>0</v>
      </c>
      <c r="AD145" s="52">
        <f t="shared" si="19"/>
        <v>0</v>
      </c>
      <c r="AE145" s="53"/>
      <c r="AF145" s="52">
        <f>IF(VLOOKUP($A145,'I | Capex forecast'!$A$11:$AA$160,10,0)="Yes",AC145,0)</f>
        <v>0</v>
      </c>
      <c r="AG145" s="52">
        <f>IF(VLOOKUP($A145,'I | Capex forecast'!$A$11:$AA$160,10,0)="Yes",AD145,0)</f>
        <v>0</v>
      </c>
      <c r="AH145" s="53"/>
      <c r="AI145" s="52">
        <f t="shared" si="20"/>
        <v>0</v>
      </c>
      <c r="AJ145" s="52">
        <f t="shared" si="21"/>
        <v>0</v>
      </c>
    </row>
    <row r="146" spans="1:36" x14ac:dyDescent="0.3">
      <c r="A146" s="56">
        <v>136</v>
      </c>
      <c r="B146" s="48" t="str">
        <f>IF('I | Capex forecast'!B147="","",'I | Capex forecast'!B147)</f>
        <v/>
      </c>
      <c r="C146" s="48" t="str">
        <f>IF('I | Capex forecast'!C147="","",'I | Capex forecast'!C147)</f>
        <v/>
      </c>
      <c r="D146" s="48" t="str">
        <f>IF('I | Capex forecast'!D149="","",'I | Capex forecast'!D149)</f>
        <v/>
      </c>
      <c r="E146" s="48" t="str">
        <f>IF('I | Capex forecast'!E147="","",'I | Capex forecast'!E147)</f>
        <v/>
      </c>
      <c r="F146" s="48" t="str">
        <f>IF('I | Capex forecast'!F147="","",'I | Capex forecast'!F147)</f>
        <v/>
      </c>
      <c r="G146" s="48" t="str">
        <f>IF('I | Capex forecast'!G147="","",'I | Capex forecast'!G147)</f>
        <v/>
      </c>
      <c r="H146" s="48" t="str">
        <f>IF('I | Capex forecast'!H147="","",'I | Capex forecast'!H147)</f>
        <v/>
      </c>
      <c r="I146" s="48" t="str">
        <f>IF('I | Capex forecast'!I147="","",'I | Capex forecast'!I147)</f>
        <v/>
      </c>
      <c r="J146" s="50"/>
      <c r="K146" s="52">
        <f>IFERROR(IF($H146="nominal",VLOOKUP($A146,'I | Capex forecast'!$A$11:$AA$160,K$8,0),VLOOKUP($A146,'I | Capex forecast'!$A$11:$AA$160,K$8,0)*INDEX('I | Inflation'!$G$41:$I$42,MATCH($H146,'I | Inflation'!$F$41:$F$42,0),MATCH(K$10,'I | Inflation'!$G$40:$I$40,0))),0)</f>
        <v>0</v>
      </c>
      <c r="L146" s="52">
        <f>IFERROR(IF($H146="nominal",VLOOKUP($A146,'I | Capex forecast'!$A$11:$AA$160,L$8,0),VLOOKUP($A146,'I | Capex forecast'!$A$11:$AA$160,L$8,0)*INDEX('I | Inflation'!$G$41:$I$42,MATCH($H146,'I | Inflation'!$F$41:$F$42,0),MATCH(L$10,'I | Inflation'!$G$40:$I$40,0))),0)</f>
        <v>0</v>
      </c>
      <c r="M146" s="53"/>
      <c r="N146" s="52">
        <f>K146*VLOOKUP($A146,'I | Capex forecast'!$A$11:$AA$160,21,0)*(HLOOKUP(N$10,'I | Inflation'!$D$57:$J$59,3,0)-1)</f>
        <v>0</v>
      </c>
      <c r="O146" s="52">
        <f>L146*VLOOKUP($A146,'I | Capex forecast'!$A$11:$AA$160,21,0)*(HLOOKUP(O$10,'I | Inflation'!$D$57:$J$59,3,0)-1)</f>
        <v>0</v>
      </c>
      <c r="P146" s="53"/>
      <c r="Q146" s="52"/>
      <c r="R146" s="52"/>
      <c r="S146" s="53"/>
      <c r="T146" s="52"/>
      <c r="U146" s="52"/>
      <c r="V146" s="53"/>
      <c r="W146" s="52"/>
      <c r="X146" s="52"/>
      <c r="Y146" s="53"/>
      <c r="Z146" s="52">
        <f>K146*VLOOKUP($A146,'I | Capex forecast'!$A$11:$AA$160,27,0)</f>
        <v>0</v>
      </c>
      <c r="AA146" s="52">
        <f>L146*VLOOKUP($A146,'I | Capex forecast'!$A$11:$AA$160,27,0)</f>
        <v>0</v>
      </c>
      <c r="AB146" s="53"/>
      <c r="AC146" s="52">
        <f t="shared" si="18"/>
        <v>0</v>
      </c>
      <c r="AD146" s="52">
        <f t="shared" si="19"/>
        <v>0</v>
      </c>
      <c r="AE146" s="53"/>
      <c r="AF146" s="52">
        <f>IF(VLOOKUP($A146,'I | Capex forecast'!$A$11:$AA$160,10,0)="Yes",AC146,0)</f>
        <v>0</v>
      </c>
      <c r="AG146" s="52">
        <f>IF(VLOOKUP($A146,'I | Capex forecast'!$A$11:$AA$160,10,0)="Yes",AD146,0)</f>
        <v>0</v>
      </c>
      <c r="AH146" s="53"/>
      <c r="AI146" s="52">
        <f t="shared" si="20"/>
        <v>0</v>
      </c>
      <c r="AJ146" s="52">
        <f t="shared" si="21"/>
        <v>0</v>
      </c>
    </row>
    <row r="147" spans="1:36" x14ac:dyDescent="0.3">
      <c r="A147" s="56">
        <v>137</v>
      </c>
      <c r="B147" s="48" t="str">
        <f>IF('I | Capex forecast'!B148="","",'I | Capex forecast'!B148)</f>
        <v/>
      </c>
      <c r="C147" s="48" t="str">
        <f>IF('I | Capex forecast'!C148="","",'I | Capex forecast'!C148)</f>
        <v/>
      </c>
      <c r="D147" s="48" t="str">
        <f>IF('I | Capex forecast'!D150="","",'I | Capex forecast'!D150)</f>
        <v/>
      </c>
      <c r="E147" s="48" t="str">
        <f>IF('I | Capex forecast'!E148="","",'I | Capex forecast'!E148)</f>
        <v/>
      </c>
      <c r="F147" s="48" t="str">
        <f>IF('I | Capex forecast'!F148="","",'I | Capex forecast'!F148)</f>
        <v/>
      </c>
      <c r="G147" s="48" t="str">
        <f>IF('I | Capex forecast'!G148="","",'I | Capex forecast'!G148)</f>
        <v/>
      </c>
      <c r="H147" s="48" t="str">
        <f>IF('I | Capex forecast'!H148="","",'I | Capex forecast'!H148)</f>
        <v/>
      </c>
      <c r="I147" s="48" t="str">
        <f>IF('I | Capex forecast'!I148="","",'I | Capex forecast'!I148)</f>
        <v/>
      </c>
      <c r="J147" s="50"/>
      <c r="K147" s="52">
        <f>IFERROR(IF($H147="nominal",VLOOKUP($A147,'I | Capex forecast'!$A$11:$AA$160,K$8,0),VLOOKUP($A147,'I | Capex forecast'!$A$11:$AA$160,K$8,0)*INDEX('I | Inflation'!$G$41:$I$42,MATCH($H147,'I | Inflation'!$F$41:$F$42,0),MATCH(K$10,'I | Inflation'!$G$40:$I$40,0))),0)</f>
        <v>0</v>
      </c>
      <c r="L147" s="52">
        <f>IFERROR(IF($H147="nominal",VLOOKUP($A147,'I | Capex forecast'!$A$11:$AA$160,L$8,0),VLOOKUP($A147,'I | Capex forecast'!$A$11:$AA$160,L$8,0)*INDEX('I | Inflation'!$G$41:$I$42,MATCH($H147,'I | Inflation'!$F$41:$F$42,0),MATCH(L$10,'I | Inflation'!$G$40:$I$40,0))),0)</f>
        <v>0</v>
      </c>
      <c r="M147" s="53"/>
      <c r="N147" s="52">
        <f>K147*VLOOKUP($A147,'I | Capex forecast'!$A$11:$AA$160,21,0)*(HLOOKUP(N$10,'I | Inflation'!$D$57:$J$59,3,0)-1)</f>
        <v>0</v>
      </c>
      <c r="O147" s="52">
        <f>L147*VLOOKUP($A147,'I | Capex forecast'!$A$11:$AA$160,21,0)*(HLOOKUP(O$10,'I | Inflation'!$D$57:$J$59,3,0)-1)</f>
        <v>0</v>
      </c>
      <c r="P147" s="53"/>
      <c r="Q147" s="52"/>
      <c r="R147" s="52"/>
      <c r="S147" s="53"/>
      <c r="T147" s="52"/>
      <c r="U147" s="52"/>
      <c r="V147" s="53"/>
      <c r="W147" s="52"/>
      <c r="X147" s="52"/>
      <c r="Y147" s="53"/>
      <c r="Z147" s="52">
        <f>K147*VLOOKUP($A147,'I | Capex forecast'!$A$11:$AA$160,27,0)</f>
        <v>0</v>
      </c>
      <c r="AA147" s="52">
        <f>L147*VLOOKUP($A147,'I | Capex forecast'!$A$11:$AA$160,27,0)</f>
        <v>0</v>
      </c>
      <c r="AB147" s="53"/>
      <c r="AC147" s="52">
        <f t="shared" si="18"/>
        <v>0</v>
      </c>
      <c r="AD147" s="52">
        <f t="shared" si="19"/>
        <v>0</v>
      </c>
      <c r="AE147" s="53"/>
      <c r="AF147" s="52">
        <f>IF(VLOOKUP($A147,'I | Capex forecast'!$A$11:$AA$160,10,0)="Yes",AC147,0)</f>
        <v>0</v>
      </c>
      <c r="AG147" s="52">
        <f>IF(VLOOKUP($A147,'I | Capex forecast'!$A$11:$AA$160,10,0)="Yes",AD147,0)</f>
        <v>0</v>
      </c>
      <c r="AH147" s="53"/>
      <c r="AI147" s="52">
        <f t="shared" si="20"/>
        <v>0</v>
      </c>
      <c r="AJ147" s="52">
        <f t="shared" si="21"/>
        <v>0</v>
      </c>
    </row>
    <row r="148" spans="1:36" x14ac:dyDescent="0.3">
      <c r="A148" s="56">
        <v>138</v>
      </c>
      <c r="B148" s="48" t="str">
        <f>IF('I | Capex forecast'!B149="","",'I | Capex forecast'!B149)</f>
        <v/>
      </c>
      <c r="C148" s="48" t="str">
        <f>IF('I | Capex forecast'!C149="","",'I | Capex forecast'!C149)</f>
        <v/>
      </c>
      <c r="D148" s="48" t="str">
        <f>IF('I | Capex forecast'!D151="","",'I | Capex forecast'!D151)</f>
        <v/>
      </c>
      <c r="E148" s="48" t="str">
        <f>IF('I | Capex forecast'!E149="","",'I | Capex forecast'!E149)</f>
        <v/>
      </c>
      <c r="F148" s="48" t="str">
        <f>IF('I | Capex forecast'!F149="","",'I | Capex forecast'!F149)</f>
        <v/>
      </c>
      <c r="G148" s="48" t="str">
        <f>IF('I | Capex forecast'!G149="","",'I | Capex forecast'!G149)</f>
        <v/>
      </c>
      <c r="H148" s="48" t="str">
        <f>IF('I | Capex forecast'!H149="","",'I | Capex forecast'!H149)</f>
        <v/>
      </c>
      <c r="I148" s="48" t="str">
        <f>IF('I | Capex forecast'!I149="","",'I | Capex forecast'!I149)</f>
        <v/>
      </c>
      <c r="J148" s="50"/>
      <c r="K148" s="52">
        <f>IFERROR(IF($H148="nominal",VLOOKUP($A148,'I | Capex forecast'!$A$11:$AA$160,K$8,0),VLOOKUP($A148,'I | Capex forecast'!$A$11:$AA$160,K$8,0)*INDEX('I | Inflation'!$G$41:$I$42,MATCH($H148,'I | Inflation'!$F$41:$F$42,0),MATCH(K$10,'I | Inflation'!$G$40:$I$40,0))),0)</f>
        <v>0</v>
      </c>
      <c r="L148" s="52">
        <f>IFERROR(IF($H148="nominal",VLOOKUP($A148,'I | Capex forecast'!$A$11:$AA$160,L$8,0),VLOOKUP($A148,'I | Capex forecast'!$A$11:$AA$160,L$8,0)*INDEX('I | Inflation'!$G$41:$I$42,MATCH($H148,'I | Inflation'!$F$41:$F$42,0),MATCH(L$10,'I | Inflation'!$G$40:$I$40,0))),0)</f>
        <v>0</v>
      </c>
      <c r="M148" s="53"/>
      <c r="N148" s="52">
        <f>K148*VLOOKUP($A148,'I | Capex forecast'!$A$11:$AA$160,21,0)*(HLOOKUP(N$10,'I | Inflation'!$D$57:$J$59,3,0)-1)</f>
        <v>0</v>
      </c>
      <c r="O148" s="52">
        <f>L148*VLOOKUP($A148,'I | Capex forecast'!$A$11:$AA$160,21,0)*(HLOOKUP(O$10,'I | Inflation'!$D$57:$J$59,3,0)-1)</f>
        <v>0</v>
      </c>
      <c r="P148" s="53"/>
      <c r="Q148" s="52"/>
      <c r="R148" s="52"/>
      <c r="S148" s="53"/>
      <c r="T148" s="52"/>
      <c r="U148" s="52"/>
      <c r="V148" s="53"/>
      <c r="W148" s="52"/>
      <c r="X148" s="52"/>
      <c r="Y148" s="53"/>
      <c r="Z148" s="52">
        <f>K148*VLOOKUP($A148,'I | Capex forecast'!$A$11:$AA$160,27,0)</f>
        <v>0</v>
      </c>
      <c r="AA148" s="52">
        <f>L148*VLOOKUP($A148,'I | Capex forecast'!$A$11:$AA$160,27,0)</f>
        <v>0</v>
      </c>
      <c r="AB148" s="53"/>
      <c r="AC148" s="52">
        <f t="shared" si="18"/>
        <v>0</v>
      </c>
      <c r="AD148" s="52">
        <f t="shared" si="19"/>
        <v>0</v>
      </c>
      <c r="AE148" s="53"/>
      <c r="AF148" s="52">
        <f>IF(VLOOKUP($A148,'I | Capex forecast'!$A$11:$AA$160,10,0)="Yes",AC148,0)</f>
        <v>0</v>
      </c>
      <c r="AG148" s="52">
        <f>IF(VLOOKUP($A148,'I | Capex forecast'!$A$11:$AA$160,10,0)="Yes",AD148,0)</f>
        <v>0</v>
      </c>
      <c r="AH148" s="53"/>
      <c r="AI148" s="52">
        <f t="shared" si="20"/>
        <v>0</v>
      </c>
      <c r="AJ148" s="52">
        <f t="shared" si="21"/>
        <v>0</v>
      </c>
    </row>
    <row r="149" spans="1:36" x14ac:dyDescent="0.3">
      <c r="A149" s="56">
        <v>139</v>
      </c>
      <c r="B149" s="48" t="str">
        <f>IF('I | Capex forecast'!B150="","",'I | Capex forecast'!B150)</f>
        <v/>
      </c>
      <c r="C149" s="48" t="str">
        <f>IF('I | Capex forecast'!C150="","",'I | Capex forecast'!C150)</f>
        <v/>
      </c>
      <c r="D149" s="48" t="str">
        <f>IF('I | Capex forecast'!D152="","",'I | Capex forecast'!D152)</f>
        <v/>
      </c>
      <c r="E149" s="48" t="str">
        <f>IF('I | Capex forecast'!E150="","",'I | Capex forecast'!E150)</f>
        <v/>
      </c>
      <c r="F149" s="48" t="str">
        <f>IF('I | Capex forecast'!F150="","",'I | Capex forecast'!F150)</f>
        <v/>
      </c>
      <c r="G149" s="48" t="str">
        <f>IF('I | Capex forecast'!G150="","",'I | Capex forecast'!G150)</f>
        <v/>
      </c>
      <c r="H149" s="48" t="str">
        <f>IF('I | Capex forecast'!H150="","",'I | Capex forecast'!H150)</f>
        <v/>
      </c>
      <c r="I149" s="48" t="str">
        <f>IF('I | Capex forecast'!I150="","",'I | Capex forecast'!I150)</f>
        <v/>
      </c>
      <c r="J149" s="50"/>
      <c r="K149" s="52">
        <f>IFERROR(IF($H149="nominal",VLOOKUP($A149,'I | Capex forecast'!$A$11:$AA$160,K$8,0),VLOOKUP($A149,'I | Capex forecast'!$A$11:$AA$160,K$8,0)*INDEX('I | Inflation'!$G$41:$I$42,MATCH($H149,'I | Inflation'!$F$41:$F$42,0),MATCH(K$10,'I | Inflation'!$G$40:$I$40,0))),0)</f>
        <v>0</v>
      </c>
      <c r="L149" s="52">
        <f>IFERROR(IF($H149="nominal",VLOOKUP($A149,'I | Capex forecast'!$A$11:$AA$160,L$8,0),VLOOKUP($A149,'I | Capex forecast'!$A$11:$AA$160,L$8,0)*INDEX('I | Inflation'!$G$41:$I$42,MATCH($H149,'I | Inflation'!$F$41:$F$42,0),MATCH(L$10,'I | Inflation'!$G$40:$I$40,0))),0)</f>
        <v>0</v>
      </c>
      <c r="M149" s="53"/>
      <c r="N149" s="52">
        <f>K149*VLOOKUP($A149,'I | Capex forecast'!$A$11:$AA$160,21,0)*(HLOOKUP(N$10,'I | Inflation'!$D$57:$J$59,3,0)-1)</f>
        <v>0</v>
      </c>
      <c r="O149" s="52">
        <f>L149*VLOOKUP($A149,'I | Capex forecast'!$A$11:$AA$160,21,0)*(HLOOKUP(O$10,'I | Inflation'!$D$57:$J$59,3,0)-1)</f>
        <v>0</v>
      </c>
      <c r="P149" s="53"/>
      <c r="Q149" s="52"/>
      <c r="R149" s="52"/>
      <c r="S149" s="53"/>
      <c r="T149" s="52"/>
      <c r="U149" s="52"/>
      <c r="V149" s="53"/>
      <c r="W149" s="52"/>
      <c r="X149" s="52"/>
      <c r="Y149" s="53"/>
      <c r="Z149" s="52">
        <f>K149*VLOOKUP($A149,'I | Capex forecast'!$A$11:$AA$160,27,0)</f>
        <v>0</v>
      </c>
      <c r="AA149" s="52">
        <f>L149*VLOOKUP($A149,'I | Capex forecast'!$A$11:$AA$160,27,0)</f>
        <v>0</v>
      </c>
      <c r="AB149" s="53"/>
      <c r="AC149" s="52">
        <f t="shared" si="18"/>
        <v>0</v>
      </c>
      <c r="AD149" s="52">
        <f t="shared" si="19"/>
        <v>0</v>
      </c>
      <c r="AE149" s="53"/>
      <c r="AF149" s="52">
        <f>IF(VLOOKUP($A149,'I | Capex forecast'!$A$11:$AA$160,10,0)="Yes",AC149,0)</f>
        <v>0</v>
      </c>
      <c r="AG149" s="52">
        <f>IF(VLOOKUP($A149,'I | Capex forecast'!$A$11:$AA$160,10,0)="Yes",AD149,0)</f>
        <v>0</v>
      </c>
      <c r="AH149" s="53"/>
      <c r="AI149" s="52">
        <f t="shared" si="20"/>
        <v>0</v>
      </c>
      <c r="AJ149" s="52">
        <f t="shared" si="21"/>
        <v>0</v>
      </c>
    </row>
    <row r="150" spans="1:36" x14ac:dyDescent="0.3">
      <c r="A150" s="56">
        <v>140</v>
      </c>
      <c r="B150" s="48" t="str">
        <f>IF('I | Capex forecast'!B151="","",'I | Capex forecast'!B151)</f>
        <v/>
      </c>
      <c r="C150" s="48" t="str">
        <f>IF('I | Capex forecast'!C151="","",'I | Capex forecast'!C151)</f>
        <v/>
      </c>
      <c r="D150" s="48" t="str">
        <f>IF('I | Capex forecast'!D153="","",'I | Capex forecast'!D153)</f>
        <v/>
      </c>
      <c r="E150" s="48" t="str">
        <f>IF('I | Capex forecast'!E151="","",'I | Capex forecast'!E151)</f>
        <v/>
      </c>
      <c r="F150" s="48" t="str">
        <f>IF('I | Capex forecast'!F151="","",'I | Capex forecast'!F151)</f>
        <v/>
      </c>
      <c r="G150" s="48" t="str">
        <f>IF('I | Capex forecast'!G151="","",'I | Capex forecast'!G151)</f>
        <v/>
      </c>
      <c r="H150" s="48" t="str">
        <f>IF('I | Capex forecast'!H151="","",'I | Capex forecast'!H151)</f>
        <v/>
      </c>
      <c r="I150" s="48" t="str">
        <f>IF('I | Capex forecast'!I151="","",'I | Capex forecast'!I151)</f>
        <v/>
      </c>
      <c r="J150" s="50"/>
      <c r="K150" s="52">
        <f>IFERROR(IF($H150="nominal",VLOOKUP($A150,'I | Capex forecast'!$A$11:$AA$160,K$8,0),VLOOKUP($A150,'I | Capex forecast'!$A$11:$AA$160,K$8,0)*INDEX('I | Inflation'!$G$41:$I$42,MATCH($H150,'I | Inflation'!$F$41:$F$42,0),MATCH(K$10,'I | Inflation'!$G$40:$I$40,0))),0)</f>
        <v>0</v>
      </c>
      <c r="L150" s="52">
        <f>IFERROR(IF($H150="nominal",VLOOKUP($A150,'I | Capex forecast'!$A$11:$AA$160,L$8,0),VLOOKUP($A150,'I | Capex forecast'!$A$11:$AA$160,L$8,0)*INDEX('I | Inflation'!$G$41:$I$42,MATCH($H150,'I | Inflation'!$F$41:$F$42,0),MATCH(L$10,'I | Inflation'!$G$40:$I$40,0))),0)</f>
        <v>0</v>
      </c>
      <c r="M150" s="53"/>
      <c r="N150" s="52">
        <f>K150*VLOOKUP($A150,'I | Capex forecast'!$A$11:$AA$160,21,0)*(HLOOKUP(N$10,'I | Inflation'!$D$57:$J$59,3,0)-1)</f>
        <v>0</v>
      </c>
      <c r="O150" s="52">
        <f>L150*VLOOKUP($A150,'I | Capex forecast'!$A$11:$AA$160,21,0)*(HLOOKUP(O$10,'I | Inflation'!$D$57:$J$59,3,0)-1)</f>
        <v>0</v>
      </c>
      <c r="P150" s="53"/>
      <c r="Q150" s="52"/>
      <c r="R150" s="52"/>
      <c r="S150" s="53"/>
      <c r="T150" s="52"/>
      <c r="U150" s="52"/>
      <c r="V150" s="53"/>
      <c r="W150" s="52"/>
      <c r="X150" s="52"/>
      <c r="Y150" s="53"/>
      <c r="Z150" s="52">
        <f>K150*VLOOKUP($A150,'I | Capex forecast'!$A$11:$AA$160,27,0)</f>
        <v>0</v>
      </c>
      <c r="AA150" s="52">
        <f>L150*VLOOKUP($A150,'I | Capex forecast'!$A$11:$AA$160,27,0)</f>
        <v>0</v>
      </c>
      <c r="AB150" s="53"/>
      <c r="AC150" s="52">
        <f t="shared" si="18"/>
        <v>0</v>
      </c>
      <c r="AD150" s="52">
        <f t="shared" si="19"/>
        <v>0</v>
      </c>
      <c r="AE150" s="53"/>
      <c r="AF150" s="52">
        <f>IF(VLOOKUP($A150,'I | Capex forecast'!$A$11:$AA$160,10,0)="Yes",AC150,0)</f>
        <v>0</v>
      </c>
      <c r="AG150" s="52">
        <f>IF(VLOOKUP($A150,'I | Capex forecast'!$A$11:$AA$160,10,0)="Yes",AD150,0)</f>
        <v>0</v>
      </c>
      <c r="AH150" s="53"/>
      <c r="AI150" s="52">
        <f t="shared" si="20"/>
        <v>0</v>
      </c>
      <c r="AJ150" s="52">
        <f t="shared" si="21"/>
        <v>0</v>
      </c>
    </row>
    <row r="151" spans="1:36" x14ac:dyDescent="0.3">
      <c r="A151" s="56">
        <v>141</v>
      </c>
      <c r="B151" s="48" t="str">
        <f>IF('I | Capex forecast'!B152="","",'I | Capex forecast'!B152)</f>
        <v/>
      </c>
      <c r="C151" s="48" t="str">
        <f>IF('I | Capex forecast'!C152="","",'I | Capex forecast'!C152)</f>
        <v/>
      </c>
      <c r="D151" s="48" t="str">
        <f>IF('I | Capex forecast'!D154="","",'I | Capex forecast'!D154)</f>
        <v/>
      </c>
      <c r="E151" s="48" t="str">
        <f>IF('I | Capex forecast'!E152="","",'I | Capex forecast'!E152)</f>
        <v/>
      </c>
      <c r="F151" s="48" t="str">
        <f>IF('I | Capex forecast'!F152="","",'I | Capex forecast'!F152)</f>
        <v/>
      </c>
      <c r="G151" s="48" t="str">
        <f>IF('I | Capex forecast'!G152="","",'I | Capex forecast'!G152)</f>
        <v/>
      </c>
      <c r="H151" s="48" t="str">
        <f>IF('I | Capex forecast'!H152="","",'I | Capex forecast'!H152)</f>
        <v/>
      </c>
      <c r="I151" s="48" t="str">
        <f>IF('I | Capex forecast'!I152="","",'I | Capex forecast'!I152)</f>
        <v/>
      </c>
      <c r="J151" s="50"/>
      <c r="K151" s="52">
        <f>IFERROR(IF($H151="nominal",VLOOKUP($A151,'I | Capex forecast'!$A$11:$AA$160,K$8,0),VLOOKUP($A151,'I | Capex forecast'!$A$11:$AA$160,K$8,0)*INDEX('I | Inflation'!$G$41:$I$42,MATCH($H151,'I | Inflation'!$F$41:$F$42,0),MATCH(K$10,'I | Inflation'!$G$40:$I$40,0))),0)</f>
        <v>0</v>
      </c>
      <c r="L151" s="52">
        <f>IFERROR(IF($H151="nominal",VLOOKUP($A151,'I | Capex forecast'!$A$11:$AA$160,L$8,0),VLOOKUP($A151,'I | Capex forecast'!$A$11:$AA$160,L$8,0)*INDEX('I | Inflation'!$G$41:$I$42,MATCH($H151,'I | Inflation'!$F$41:$F$42,0),MATCH(L$10,'I | Inflation'!$G$40:$I$40,0))),0)</f>
        <v>0</v>
      </c>
      <c r="M151" s="53"/>
      <c r="N151" s="52">
        <f>K151*VLOOKUP($A151,'I | Capex forecast'!$A$11:$AA$160,21,0)*(HLOOKUP(N$10,'I | Inflation'!$D$57:$J$59,3,0)-1)</f>
        <v>0</v>
      </c>
      <c r="O151" s="52">
        <f>L151*VLOOKUP($A151,'I | Capex forecast'!$A$11:$AA$160,21,0)*(HLOOKUP(O$10,'I | Inflation'!$D$57:$J$59,3,0)-1)</f>
        <v>0</v>
      </c>
      <c r="P151" s="53"/>
      <c r="Q151" s="52"/>
      <c r="R151" s="52"/>
      <c r="S151" s="53"/>
      <c r="T151" s="52"/>
      <c r="U151" s="52"/>
      <c r="V151" s="53"/>
      <c r="W151" s="52"/>
      <c r="X151" s="52"/>
      <c r="Y151" s="53"/>
      <c r="Z151" s="52">
        <f>K151*VLOOKUP($A151,'I | Capex forecast'!$A$11:$AA$160,27,0)</f>
        <v>0</v>
      </c>
      <c r="AA151" s="52">
        <f>L151*VLOOKUP($A151,'I | Capex forecast'!$A$11:$AA$160,27,0)</f>
        <v>0</v>
      </c>
      <c r="AB151" s="53"/>
      <c r="AC151" s="52">
        <f t="shared" si="18"/>
        <v>0</v>
      </c>
      <c r="AD151" s="52">
        <f t="shared" si="19"/>
        <v>0</v>
      </c>
      <c r="AE151" s="53"/>
      <c r="AF151" s="52">
        <f>IF(VLOOKUP($A151,'I | Capex forecast'!$A$11:$AA$160,10,0)="Yes",AC151,0)</f>
        <v>0</v>
      </c>
      <c r="AG151" s="52">
        <f>IF(VLOOKUP($A151,'I | Capex forecast'!$A$11:$AA$160,10,0)="Yes",AD151,0)</f>
        <v>0</v>
      </c>
      <c r="AH151" s="53"/>
      <c r="AI151" s="52">
        <f t="shared" si="20"/>
        <v>0</v>
      </c>
      <c r="AJ151" s="52">
        <f t="shared" si="21"/>
        <v>0</v>
      </c>
    </row>
    <row r="152" spans="1:36" x14ac:dyDescent="0.3">
      <c r="A152" s="56">
        <v>142</v>
      </c>
      <c r="B152" s="48" t="str">
        <f>IF('I | Capex forecast'!B153="","",'I | Capex forecast'!B153)</f>
        <v/>
      </c>
      <c r="C152" s="48" t="str">
        <f>IF('I | Capex forecast'!C153="","",'I | Capex forecast'!C153)</f>
        <v/>
      </c>
      <c r="D152" s="48" t="str">
        <f>IF('I | Capex forecast'!D155="","",'I | Capex forecast'!D155)</f>
        <v/>
      </c>
      <c r="E152" s="48" t="str">
        <f>IF('I | Capex forecast'!E153="","",'I | Capex forecast'!E153)</f>
        <v/>
      </c>
      <c r="F152" s="48" t="str">
        <f>IF('I | Capex forecast'!F153="","",'I | Capex forecast'!F153)</f>
        <v/>
      </c>
      <c r="G152" s="48" t="str">
        <f>IF('I | Capex forecast'!G153="","",'I | Capex forecast'!G153)</f>
        <v/>
      </c>
      <c r="H152" s="48" t="str">
        <f>IF('I | Capex forecast'!H153="","",'I | Capex forecast'!H153)</f>
        <v/>
      </c>
      <c r="I152" s="48" t="str">
        <f>IF('I | Capex forecast'!I153="","",'I | Capex forecast'!I153)</f>
        <v/>
      </c>
      <c r="J152" s="50"/>
      <c r="K152" s="52">
        <f>IFERROR(IF($H152="nominal",VLOOKUP($A152,'I | Capex forecast'!$A$11:$AA$160,K$8,0),VLOOKUP($A152,'I | Capex forecast'!$A$11:$AA$160,K$8,0)*INDEX('I | Inflation'!$G$41:$I$42,MATCH($H152,'I | Inflation'!$F$41:$F$42,0),MATCH(K$10,'I | Inflation'!$G$40:$I$40,0))),0)</f>
        <v>0</v>
      </c>
      <c r="L152" s="52">
        <f>IFERROR(IF($H152="nominal",VLOOKUP($A152,'I | Capex forecast'!$A$11:$AA$160,L$8,0),VLOOKUP($A152,'I | Capex forecast'!$A$11:$AA$160,L$8,0)*INDEX('I | Inflation'!$G$41:$I$42,MATCH($H152,'I | Inflation'!$F$41:$F$42,0),MATCH(L$10,'I | Inflation'!$G$40:$I$40,0))),0)</f>
        <v>0</v>
      </c>
      <c r="M152" s="53"/>
      <c r="N152" s="52">
        <f>K152*VLOOKUP($A152,'I | Capex forecast'!$A$11:$AA$160,21,0)*(HLOOKUP(N$10,'I | Inflation'!$D$57:$J$59,3,0)-1)</f>
        <v>0</v>
      </c>
      <c r="O152" s="52">
        <f>L152*VLOOKUP($A152,'I | Capex forecast'!$A$11:$AA$160,21,0)*(HLOOKUP(O$10,'I | Inflation'!$D$57:$J$59,3,0)-1)</f>
        <v>0</v>
      </c>
      <c r="P152" s="53"/>
      <c r="Q152" s="52"/>
      <c r="R152" s="52"/>
      <c r="S152" s="53"/>
      <c r="T152" s="52"/>
      <c r="U152" s="52"/>
      <c r="V152" s="53"/>
      <c r="W152" s="52"/>
      <c r="X152" s="52"/>
      <c r="Y152" s="53"/>
      <c r="Z152" s="52">
        <f>K152*VLOOKUP($A152,'I | Capex forecast'!$A$11:$AA$160,27,0)</f>
        <v>0</v>
      </c>
      <c r="AA152" s="52">
        <f>L152*VLOOKUP($A152,'I | Capex forecast'!$A$11:$AA$160,27,0)</f>
        <v>0</v>
      </c>
      <c r="AB152" s="53"/>
      <c r="AC152" s="52">
        <f t="shared" si="18"/>
        <v>0</v>
      </c>
      <c r="AD152" s="52">
        <f t="shared" si="19"/>
        <v>0</v>
      </c>
      <c r="AE152" s="53"/>
      <c r="AF152" s="52">
        <f>IF(VLOOKUP($A152,'I | Capex forecast'!$A$11:$AA$160,10,0)="Yes",AC152,0)</f>
        <v>0</v>
      </c>
      <c r="AG152" s="52">
        <f>IF(VLOOKUP($A152,'I | Capex forecast'!$A$11:$AA$160,10,0)="Yes",AD152,0)</f>
        <v>0</v>
      </c>
      <c r="AH152" s="53"/>
      <c r="AI152" s="52">
        <f t="shared" si="20"/>
        <v>0</v>
      </c>
      <c r="AJ152" s="52">
        <f t="shared" si="21"/>
        <v>0</v>
      </c>
    </row>
    <row r="153" spans="1:36" x14ac:dyDescent="0.3">
      <c r="A153" s="56">
        <v>143</v>
      </c>
      <c r="B153" s="48" t="str">
        <f>IF('I | Capex forecast'!B154="","",'I | Capex forecast'!B154)</f>
        <v/>
      </c>
      <c r="C153" s="48" t="str">
        <f>IF('I | Capex forecast'!C154="","",'I | Capex forecast'!C154)</f>
        <v/>
      </c>
      <c r="D153" s="48" t="str">
        <f>IF('I | Capex forecast'!D156="","",'I | Capex forecast'!D156)</f>
        <v/>
      </c>
      <c r="E153" s="48" t="str">
        <f>IF('I | Capex forecast'!E154="","",'I | Capex forecast'!E154)</f>
        <v/>
      </c>
      <c r="F153" s="48" t="str">
        <f>IF('I | Capex forecast'!F154="","",'I | Capex forecast'!F154)</f>
        <v/>
      </c>
      <c r="G153" s="48" t="str">
        <f>IF('I | Capex forecast'!G154="","",'I | Capex forecast'!G154)</f>
        <v/>
      </c>
      <c r="H153" s="48" t="str">
        <f>IF('I | Capex forecast'!H154="","",'I | Capex forecast'!H154)</f>
        <v/>
      </c>
      <c r="I153" s="48" t="str">
        <f>IF('I | Capex forecast'!I154="","",'I | Capex forecast'!I154)</f>
        <v/>
      </c>
      <c r="J153" s="50"/>
      <c r="K153" s="52">
        <f>IFERROR(IF($H153="nominal",VLOOKUP($A153,'I | Capex forecast'!$A$11:$AA$160,K$8,0),VLOOKUP($A153,'I | Capex forecast'!$A$11:$AA$160,K$8,0)*INDEX('I | Inflation'!$G$41:$I$42,MATCH($H153,'I | Inflation'!$F$41:$F$42,0),MATCH(K$10,'I | Inflation'!$G$40:$I$40,0))),0)</f>
        <v>0</v>
      </c>
      <c r="L153" s="52">
        <f>IFERROR(IF($H153="nominal",VLOOKUP($A153,'I | Capex forecast'!$A$11:$AA$160,L$8,0),VLOOKUP($A153,'I | Capex forecast'!$A$11:$AA$160,L$8,0)*INDEX('I | Inflation'!$G$41:$I$42,MATCH($H153,'I | Inflation'!$F$41:$F$42,0),MATCH(L$10,'I | Inflation'!$G$40:$I$40,0))),0)</f>
        <v>0</v>
      </c>
      <c r="M153" s="53"/>
      <c r="N153" s="52">
        <f>K153*VLOOKUP($A153,'I | Capex forecast'!$A$11:$AA$160,21,0)*(HLOOKUP(N$10,'I | Inflation'!$D$57:$J$59,3,0)-1)</f>
        <v>0</v>
      </c>
      <c r="O153" s="52">
        <f>L153*VLOOKUP($A153,'I | Capex forecast'!$A$11:$AA$160,21,0)*(HLOOKUP(O$10,'I | Inflation'!$D$57:$J$59,3,0)-1)</f>
        <v>0</v>
      </c>
      <c r="P153" s="53"/>
      <c r="Q153" s="52"/>
      <c r="R153" s="52"/>
      <c r="S153" s="53"/>
      <c r="T153" s="52"/>
      <c r="U153" s="52"/>
      <c r="V153" s="53"/>
      <c r="W153" s="52"/>
      <c r="X153" s="52"/>
      <c r="Y153" s="53"/>
      <c r="Z153" s="52">
        <f>K153*VLOOKUP($A153,'I | Capex forecast'!$A$11:$AA$160,27,0)</f>
        <v>0</v>
      </c>
      <c r="AA153" s="52">
        <f>L153*VLOOKUP($A153,'I | Capex forecast'!$A$11:$AA$160,27,0)</f>
        <v>0</v>
      </c>
      <c r="AB153" s="53"/>
      <c r="AC153" s="52">
        <f t="shared" si="18"/>
        <v>0</v>
      </c>
      <c r="AD153" s="52">
        <f t="shared" si="19"/>
        <v>0</v>
      </c>
      <c r="AE153" s="53"/>
      <c r="AF153" s="52">
        <f>IF(VLOOKUP($A153,'I | Capex forecast'!$A$11:$AA$160,10,0)="Yes",AC153,0)</f>
        <v>0</v>
      </c>
      <c r="AG153" s="52">
        <f>IF(VLOOKUP($A153,'I | Capex forecast'!$A$11:$AA$160,10,0)="Yes",AD153,0)</f>
        <v>0</v>
      </c>
      <c r="AH153" s="53"/>
      <c r="AI153" s="52">
        <f t="shared" si="20"/>
        <v>0</v>
      </c>
      <c r="AJ153" s="52">
        <f t="shared" si="21"/>
        <v>0</v>
      </c>
    </row>
    <row r="154" spans="1:36" x14ac:dyDescent="0.3">
      <c r="A154" s="56">
        <v>144</v>
      </c>
      <c r="B154" s="48" t="str">
        <f>IF('I | Capex forecast'!B155="","",'I | Capex forecast'!B155)</f>
        <v/>
      </c>
      <c r="C154" s="48" t="str">
        <f>IF('I | Capex forecast'!C155="","",'I | Capex forecast'!C155)</f>
        <v/>
      </c>
      <c r="D154" s="48" t="str">
        <f>IF('I | Capex forecast'!D157="","",'I | Capex forecast'!D157)</f>
        <v/>
      </c>
      <c r="E154" s="48" t="str">
        <f>IF('I | Capex forecast'!E155="","",'I | Capex forecast'!E155)</f>
        <v/>
      </c>
      <c r="F154" s="48" t="str">
        <f>IF('I | Capex forecast'!F155="","",'I | Capex forecast'!F155)</f>
        <v/>
      </c>
      <c r="G154" s="48" t="str">
        <f>IF('I | Capex forecast'!G155="","",'I | Capex forecast'!G155)</f>
        <v/>
      </c>
      <c r="H154" s="48" t="str">
        <f>IF('I | Capex forecast'!H155="","",'I | Capex forecast'!H155)</f>
        <v/>
      </c>
      <c r="I154" s="48" t="str">
        <f>IF('I | Capex forecast'!I155="","",'I | Capex forecast'!I155)</f>
        <v/>
      </c>
      <c r="J154" s="50"/>
      <c r="K154" s="52">
        <f>IFERROR(IF($H154="nominal",VLOOKUP($A154,'I | Capex forecast'!$A$11:$AA$160,K$8,0),VLOOKUP($A154,'I | Capex forecast'!$A$11:$AA$160,K$8,0)*INDEX('I | Inflation'!$G$41:$I$42,MATCH($H154,'I | Inflation'!$F$41:$F$42,0),MATCH(K$10,'I | Inflation'!$G$40:$I$40,0))),0)</f>
        <v>0</v>
      </c>
      <c r="L154" s="52">
        <f>IFERROR(IF($H154="nominal",VLOOKUP($A154,'I | Capex forecast'!$A$11:$AA$160,L$8,0),VLOOKUP($A154,'I | Capex forecast'!$A$11:$AA$160,L$8,0)*INDEX('I | Inflation'!$G$41:$I$42,MATCH($H154,'I | Inflation'!$F$41:$F$42,0),MATCH(L$10,'I | Inflation'!$G$40:$I$40,0))),0)</f>
        <v>0</v>
      </c>
      <c r="M154" s="53"/>
      <c r="N154" s="52">
        <f>K154*VLOOKUP($A154,'I | Capex forecast'!$A$11:$AA$160,21,0)*(HLOOKUP(N$10,'I | Inflation'!$D$57:$J$59,3,0)-1)</f>
        <v>0</v>
      </c>
      <c r="O154" s="52">
        <f>L154*VLOOKUP($A154,'I | Capex forecast'!$A$11:$AA$160,21,0)*(HLOOKUP(O$10,'I | Inflation'!$D$57:$J$59,3,0)-1)</f>
        <v>0</v>
      </c>
      <c r="P154" s="53"/>
      <c r="Q154" s="52"/>
      <c r="R154" s="52"/>
      <c r="S154" s="53"/>
      <c r="T154" s="52"/>
      <c r="U154" s="52"/>
      <c r="V154" s="53"/>
      <c r="W154" s="52"/>
      <c r="X154" s="52"/>
      <c r="Y154" s="53"/>
      <c r="Z154" s="52">
        <f>K154*VLOOKUP($A154,'I | Capex forecast'!$A$11:$AA$160,27,0)</f>
        <v>0</v>
      </c>
      <c r="AA154" s="52">
        <f>L154*VLOOKUP($A154,'I | Capex forecast'!$A$11:$AA$160,27,0)</f>
        <v>0</v>
      </c>
      <c r="AB154" s="53"/>
      <c r="AC154" s="52">
        <f t="shared" si="18"/>
        <v>0</v>
      </c>
      <c r="AD154" s="52">
        <f t="shared" si="19"/>
        <v>0</v>
      </c>
      <c r="AE154" s="53"/>
      <c r="AF154" s="52">
        <f>IF(VLOOKUP($A154,'I | Capex forecast'!$A$11:$AA$160,10,0)="Yes",AC154,0)</f>
        <v>0</v>
      </c>
      <c r="AG154" s="52">
        <f>IF(VLOOKUP($A154,'I | Capex forecast'!$A$11:$AA$160,10,0)="Yes",AD154,0)</f>
        <v>0</v>
      </c>
      <c r="AH154" s="53"/>
      <c r="AI154" s="52">
        <f t="shared" si="20"/>
        <v>0</v>
      </c>
      <c r="AJ154" s="52">
        <f t="shared" si="21"/>
        <v>0</v>
      </c>
    </row>
    <row r="155" spans="1:36" x14ac:dyDescent="0.3">
      <c r="A155" s="56">
        <v>145</v>
      </c>
      <c r="B155" s="48" t="str">
        <f>IF('I | Capex forecast'!B156="","",'I | Capex forecast'!B156)</f>
        <v/>
      </c>
      <c r="C155" s="48" t="str">
        <f>IF('I | Capex forecast'!C156="","",'I | Capex forecast'!C156)</f>
        <v/>
      </c>
      <c r="D155" s="48" t="str">
        <f>IF('I | Capex forecast'!D158="","",'I | Capex forecast'!D158)</f>
        <v/>
      </c>
      <c r="E155" s="48" t="str">
        <f>IF('I | Capex forecast'!E156="","",'I | Capex forecast'!E156)</f>
        <v/>
      </c>
      <c r="F155" s="48" t="str">
        <f>IF('I | Capex forecast'!F156="","",'I | Capex forecast'!F156)</f>
        <v/>
      </c>
      <c r="G155" s="48" t="str">
        <f>IF('I | Capex forecast'!G156="","",'I | Capex forecast'!G156)</f>
        <v/>
      </c>
      <c r="H155" s="48" t="str">
        <f>IF('I | Capex forecast'!H156="","",'I | Capex forecast'!H156)</f>
        <v/>
      </c>
      <c r="I155" s="48" t="str">
        <f>IF('I | Capex forecast'!I156="","",'I | Capex forecast'!I156)</f>
        <v/>
      </c>
      <c r="J155" s="50"/>
      <c r="K155" s="52">
        <f>IFERROR(IF($H155="nominal",VLOOKUP($A155,'I | Capex forecast'!$A$11:$AA$160,K$8,0),VLOOKUP($A155,'I | Capex forecast'!$A$11:$AA$160,K$8,0)*INDEX('I | Inflation'!$G$41:$I$42,MATCH($H155,'I | Inflation'!$F$41:$F$42,0),MATCH(K$10,'I | Inflation'!$G$40:$I$40,0))),0)</f>
        <v>0</v>
      </c>
      <c r="L155" s="52">
        <f>IFERROR(IF($H155="nominal",VLOOKUP($A155,'I | Capex forecast'!$A$11:$AA$160,L$8,0),VLOOKUP($A155,'I | Capex forecast'!$A$11:$AA$160,L$8,0)*INDEX('I | Inflation'!$G$41:$I$42,MATCH($H155,'I | Inflation'!$F$41:$F$42,0),MATCH(L$10,'I | Inflation'!$G$40:$I$40,0))),0)</f>
        <v>0</v>
      </c>
      <c r="M155" s="53"/>
      <c r="N155" s="52">
        <f>K155*VLOOKUP($A155,'I | Capex forecast'!$A$11:$AA$160,21,0)*(HLOOKUP(N$10,'I | Inflation'!$D$57:$J$59,3,0)-1)</f>
        <v>0</v>
      </c>
      <c r="O155" s="52">
        <f>L155*VLOOKUP($A155,'I | Capex forecast'!$A$11:$AA$160,21,0)*(HLOOKUP(O$10,'I | Inflation'!$D$57:$J$59,3,0)-1)</f>
        <v>0</v>
      </c>
      <c r="P155" s="53"/>
      <c r="Q155" s="52"/>
      <c r="R155" s="52"/>
      <c r="S155" s="53"/>
      <c r="T155" s="52"/>
      <c r="U155" s="52"/>
      <c r="V155" s="53"/>
      <c r="W155" s="52"/>
      <c r="X155" s="52"/>
      <c r="Y155" s="53"/>
      <c r="Z155" s="52">
        <f>K155*VLOOKUP($A155,'I | Capex forecast'!$A$11:$AA$160,27,0)</f>
        <v>0</v>
      </c>
      <c r="AA155" s="52">
        <f>L155*VLOOKUP($A155,'I | Capex forecast'!$A$11:$AA$160,27,0)</f>
        <v>0</v>
      </c>
      <c r="AB155" s="53"/>
      <c r="AC155" s="52">
        <f t="shared" si="18"/>
        <v>0</v>
      </c>
      <c r="AD155" s="52">
        <f t="shared" si="19"/>
        <v>0</v>
      </c>
      <c r="AE155" s="53"/>
      <c r="AF155" s="52">
        <f>IF(VLOOKUP($A155,'I | Capex forecast'!$A$11:$AA$160,10,0)="Yes",AC155,0)</f>
        <v>0</v>
      </c>
      <c r="AG155" s="52">
        <f>IF(VLOOKUP($A155,'I | Capex forecast'!$A$11:$AA$160,10,0)="Yes",AD155,0)</f>
        <v>0</v>
      </c>
      <c r="AH155" s="53"/>
      <c r="AI155" s="52">
        <f t="shared" si="20"/>
        <v>0</v>
      </c>
      <c r="AJ155" s="52">
        <f t="shared" si="21"/>
        <v>0</v>
      </c>
    </row>
    <row r="156" spans="1:36" x14ac:dyDescent="0.3">
      <c r="A156" s="56">
        <v>146</v>
      </c>
      <c r="B156" s="48" t="str">
        <f>IF('I | Capex forecast'!B157="","",'I | Capex forecast'!B157)</f>
        <v/>
      </c>
      <c r="C156" s="48" t="str">
        <f>IF('I | Capex forecast'!C157="","",'I | Capex forecast'!C157)</f>
        <v/>
      </c>
      <c r="D156" s="48" t="str">
        <f>IF('I | Capex forecast'!D159="","",'I | Capex forecast'!D159)</f>
        <v/>
      </c>
      <c r="E156" s="48" t="str">
        <f>IF('I | Capex forecast'!E157="","",'I | Capex forecast'!E157)</f>
        <v/>
      </c>
      <c r="F156" s="48" t="str">
        <f>IF('I | Capex forecast'!F157="","",'I | Capex forecast'!F157)</f>
        <v/>
      </c>
      <c r="G156" s="48" t="str">
        <f>IF('I | Capex forecast'!G157="","",'I | Capex forecast'!G157)</f>
        <v/>
      </c>
      <c r="H156" s="48" t="str">
        <f>IF('I | Capex forecast'!H157="","",'I | Capex forecast'!H157)</f>
        <v/>
      </c>
      <c r="I156" s="48" t="str">
        <f>IF('I | Capex forecast'!I157="","",'I | Capex forecast'!I157)</f>
        <v/>
      </c>
      <c r="J156" s="50"/>
      <c r="K156" s="52">
        <f>IFERROR(IF($H156="nominal",VLOOKUP($A156,'I | Capex forecast'!$A$11:$AA$160,K$8,0),VLOOKUP($A156,'I | Capex forecast'!$A$11:$AA$160,K$8,0)*INDEX('I | Inflation'!$G$41:$I$42,MATCH($H156,'I | Inflation'!$F$41:$F$42,0),MATCH(K$10,'I | Inflation'!$G$40:$I$40,0))),0)</f>
        <v>0</v>
      </c>
      <c r="L156" s="52">
        <f>IFERROR(IF($H156="nominal",VLOOKUP($A156,'I | Capex forecast'!$A$11:$AA$160,L$8,0),VLOOKUP($A156,'I | Capex forecast'!$A$11:$AA$160,L$8,0)*INDEX('I | Inflation'!$G$41:$I$42,MATCH($H156,'I | Inflation'!$F$41:$F$42,0),MATCH(L$10,'I | Inflation'!$G$40:$I$40,0))),0)</f>
        <v>0</v>
      </c>
      <c r="M156" s="53"/>
      <c r="N156" s="52">
        <f>K156*VLOOKUP($A156,'I | Capex forecast'!$A$11:$AA$160,21,0)*(HLOOKUP(N$10,'I | Inflation'!$D$57:$J$59,3,0)-1)</f>
        <v>0</v>
      </c>
      <c r="O156" s="52">
        <f>L156*VLOOKUP($A156,'I | Capex forecast'!$A$11:$AA$160,21,0)*(HLOOKUP(O$10,'I | Inflation'!$D$57:$J$59,3,0)-1)</f>
        <v>0</v>
      </c>
      <c r="P156" s="53"/>
      <c r="Q156" s="52"/>
      <c r="R156" s="52"/>
      <c r="S156" s="53"/>
      <c r="T156" s="52"/>
      <c r="U156" s="52"/>
      <c r="V156" s="53"/>
      <c r="W156" s="52"/>
      <c r="X156" s="52"/>
      <c r="Y156" s="53"/>
      <c r="Z156" s="52">
        <f>K156*VLOOKUP($A156,'I | Capex forecast'!$A$11:$AA$160,27,0)</f>
        <v>0</v>
      </c>
      <c r="AA156" s="52">
        <f>L156*VLOOKUP($A156,'I | Capex forecast'!$A$11:$AA$160,27,0)</f>
        <v>0</v>
      </c>
      <c r="AB156" s="53"/>
      <c r="AC156" s="52">
        <f t="shared" ref="AC156:AC160" si="22">K156+N156+Q156+T156+W156+Z156</f>
        <v>0</v>
      </c>
      <c r="AD156" s="52">
        <f t="shared" ref="AD156:AD160" si="23">L156+O156+R156+U156+X156+AA156</f>
        <v>0</v>
      </c>
      <c r="AE156" s="53"/>
      <c r="AF156" s="52">
        <f>IF(VLOOKUP($A156,'I | Capex forecast'!$A$11:$AA$160,10,0)="Yes",AC156,0)</f>
        <v>0</v>
      </c>
      <c r="AG156" s="52">
        <f>IF(VLOOKUP($A156,'I | Capex forecast'!$A$11:$AA$160,10,0)="Yes",AD156,0)</f>
        <v>0</v>
      </c>
      <c r="AH156" s="53"/>
      <c r="AI156" s="52">
        <f t="shared" ref="AI156:AI160" si="24">IF($G156="As incurred",AC156,IF($G156=AI$10,$AC156+$AD156,0))</f>
        <v>0</v>
      </c>
      <c r="AJ156" s="52">
        <f t="shared" ref="AJ156:AJ160" si="25">IF($G156="As incurred",AD156,IF($G156=AJ$10,$AC156+$AD156,0))</f>
        <v>0</v>
      </c>
    </row>
    <row r="157" spans="1:36" x14ac:dyDescent="0.3">
      <c r="A157" s="56">
        <v>147</v>
      </c>
      <c r="B157" s="48" t="str">
        <f>IF('I | Capex forecast'!B158="","",'I | Capex forecast'!B158)</f>
        <v/>
      </c>
      <c r="C157" s="48" t="str">
        <f>IF('I | Capex forecast'!C158="","",'I | Capex forecast'!C158)</f>
        <v/>
      </c>
      <c r="D157" s="48" t="str">
        <f>IF('I | Capex forecast'!D160="","",'I | Capex forecast'!D160)</f>
        <v/>
      </c>
      <c r="E157" s="48" t="str">
        <f>IF('I | Capex forecast'!E158="","",'I | Capex forecast'!E158)</f>
        <v/>
      </c>
      <c r="F157" s="48" t="str">
        <f>IF('I | Capex forecast'!F158="","",'I | Capex forecast'!F158)</f>
        <v/>
      </c>
      <c r="G157" s="48" t="str">
        <f>IF('I | Capex forecast'!G158="","",'I | Capex forecast'!G158)</f>
        <v/>
      </c>
      <c r="H157" s="48" t="str">
        <f>IF('I | Capex forecast'!H158="","",'I | Capex forecast'!H158)</f>
        <v/>
      </c>
      <c r="I157" s="48" t="str">
        <f>IF('I | Capex forecast'!I158="","",'I | Capex forecast'!I158)</f>
        <v/>
      </c>
      <c r="J157" s="50"/>
      <c r="K157" s="52">
        <f>IFERROR(IF($H157="nominal",VLOOKUP($A157,'I | Capex forecast'!$A$11:$AA$160,K$8,0),VLOOKUP($A157,'I | Capex forecast'!$A$11:$AA$160,K$8,0)*INDEX('I | Inflation'!$G$41:$I$42,MATCH($H157,'I | Inflation'!$F$41:$F$42,0),MATCH(K$10,'I | Inflation'!$G$40:$I$40,0))),0)</f>
        <v>0</v>
      </c>
      <c r="L157" s="52">
        <f>IFERROR(IF($H157="nominal",VLOOKUP($A157,'I | Capex forecast'!$A$11:$AA$160,L$8,0),VLOOKUP($A157,'I | Capex forecast'!$A$11:$AA$160,L$8,0)*INDEX('I | Inflation'!$G$41:$I$42,MATCH($H157,'I | Inflation'!$F$41:$F$42,0),MATCH(L$10,'I | Inflation'!$G$40:$I$40,0))),0)</f>
        <v>0</v>
      </c>
      <c r="M157" s="53"/>
      <c r="N157" s="52">
        <f>K157*VLOOKUP($A157,'I | Capex forecast'!$A$11:$AA$160,21,0)*(HLOOKUP(N$10,'I | Inflation'!$D$57:$J$59,3,0)-1)</f>
        <v>0</v>
      </c>
      <c r="O157" s="52">
        <f>L157*VLOOKUP($A157,'I | Capex forecast'!$A$11:$AA$160,21,0)*(HLOOKUP(O$10,'I | Inflation'!$D$57:$J$59,3,0)-1)</f>
        <v>0</v>
      </c>
      <c r="P157" s="53"/>
      <c r="Q157" s="52"/>
      <c r="R157" s="52"/>
      <c r="S157" s="53"/>
      <c r="T157" s="52"/>
      <c r="U157" s="52"/>
      <c r="V157" s="53"/>
      <c r="W157" s="52"/>
      <c r="X157" s="52"/>
      <c r="Y157" s="53"/>
      <c r="Z157" s="52">
        <f>K157*VLOOKUP($A157,'I | Capex forecast'!$A$11:$AA$160,27,0)</f>
        <v>0</v>
      </c>
      <c r="AA157" s="52">
        <f>L157*VLOOKUP($A157,'I | Capex forecast'!$A$11:$AA$160,27,0)</f>
        <v>0</v>
      </c>
      <c r="AB157" s="53"/>
      <c r="AC157" s="52">
        <f t="shared" si="22"/>
        <v>0</v>
      </c>
      <c r="AD157" s="52">
        <f t="shared" si="23"/>
        <v>0</v>
      </c>
      <c r="AE157" s="53"/>
      <c r="AF157" s="52">
        <f>IF(VLOOKUP($A157,'I | Capex forecast'!$A$11:$AA$160,10,0)="Yes",AC157,0)</f>
        <v>0</v>
      </c>
      <c r="AG157" s="52">
        <f>IF(VLOOKUP($A157,'I | Capex forecast'!$A$11:$AA$160,10,0)="Yes",AD157,0)</f>
        <v>0</v>
      </c>
      <c r="AH157" s="53"/>
      <c r="AI157" s="52">
        <f t="shared" si="24"/>
        <v>0</v>
      </c>
      <c r="AJ157" s="52">
        <f t="shared" si="25"/>
        <v>0</v>
      </c>
    </row>
    <row r="158" spans="1:36" x14ac:dyDescent="0.3">
      <c r="A158" s="56">
        <v>148</v>
      </c>
      <c r="B158" s="48" t="str">
        <f>IF('I | Capex forecast'!B159="","",'I | Capex forecast'!B159)</f>
        <v/>
      </c>
      <c r="C158" s="48" t="str">
        <f>IF('I | Capex forecast'!C159="","",'I | Capex forecast'!C159)</f>
        <v/>
      </c>
      <c r="D158" s="48" t="str">
        <f>IF('I | Capex forecast'!D161="","",'I | Capex forecast'!D161)</f>
        <v/>
      </c>
      <c r="E158" s="48" t="str">
        <f>IF('I | Capex forecast'!E159="","",'I | Capex forecast'!E159)</f>
        <v/>
      </c>
      <c r="F158" s="48" t="str">
        <f>IF('I | Capex forecast'!F159="","",'I | Capex forecast'!F159)</f>
        <v/>
      </c>
      <c r="G158" s="48" t="str">
        <f>IF('I | Capex forecast'!G159="","",'I | Capex forecast'!G159)</f>
        <v/>
      </c>
      <c r="H158" s="48" t="str">
        <f>IF('I | Capex forecast'!H159="","",'I | Capex forecast'!H159)</f>
        <v/>
      </c>
      <c r="I158" s="48" t="str">
        <f>IF('I | Capex forecast'!I159="","",'I | Capex forecast'!I159)</f>
        <v/>
      </c>
      <c r="J158" s="50"/>
      <c r="K158" s="52">
        <f>IFERROR(IF($H158="nominal",VLOOKUP($A158,'I | Capex forecast'!$A$11:$AA$160,K$8,0),VLOOKUP($A158,'I | Capex forecast'!$A$11:$AA$160,K$8,0)*INDEX('I | Inflation'!$G$41:$I$42,MATCH($H158,'I | Inflation'!$F$41:$F$42,0),MATCH(K$10,'I | Inflation'!$G$40:$I$40,0))),0)</f>
        <v>0</v>
      </c>
      <c r="L158" s="52">
        <f>IFERROR(IF($H158="nominal",VLOOKUP($A158,'I | Capex forecast'!$A$11:$AA$160,L$8,0),VLOOKUP($A158,'I | Capex forecast'!$A$11:$AA$160,L$8,0)*INDEX('I | Inflation'!$G$41:$I$42,MATCH($H158,'I | Inflation'!$F$41:$F$42,0),MATCH(L$10,'I | Inflation'!$G$40:$I$40,0))),0)</f>
        <v>0</v>
      </c>
      <c r="M158" s="53"/>
      <c r="N158" s="52">
        <f>K158*VLOOKUP($A158,'I | Capex forecast'!$A$11:$AA$160,21,0)*(HLOOKUP(N$10,'I | Inflation'!$D$57:$J$59,3,0)-1)</f>
        <v>0</v>
      </c>
      <c r="O158" s="52">
        <f>L158*VLOOKUP($A158,'I | Capex forecast'!$A$11:$AA$160,21,0)*(HLOOKUP(O$10,'I | Inflation'!$D$57:$J$59,3,0)-1)</f>
        <v>0</v>
      </c>
      <c r="P158" s="53"/>
      <c r="Q158" s="52"/>
      <c r="R158" s="52"/>
      <c r="S158" s="53"/>
      <c r="T158" s="52"/>
      <c r="U158" s="52"/>
      <c r="V158" s="53"/>
      <c r="W158" s="52"/>
      <c r="X158" s="52"/>
      <c r="Y158" s="53"/>
      <c r="Z158" s="52">
        <f>K158*VLOOKUP($A158,'I | Capex forecast'!$A$11:$AA$160,27,0)</f>
        <v>0</v>
      </c>
      <c r="AA158" s="52">
        <f>L158*VLOOKUP($A158,'I | Capex forecast'!$A$11:$AA$160,27,0)</f>
        <v>0</v>
      </c>
      <c r="AB158" s="53"/>
      <c r="AC158" s="52">
        <f t="shared" si="22"/>
        <v>0</v>
      </c>
      <c r="AD158" s="52">
        <f t="shared" si="23"/>
        <v>0</v>
      </c>
      <c r="AE158" s="53"/>
      <c r="AF158" s="52">
        <f>IF(VLOOKUP($A158,'I | Capex forecast'!$A$11:$AA$160,10,0)="Yes",AC158,0)</f>
        <v>0</v>
      </c>
      <c r="AG158" s="52">
        <f>IF(VLOOKUP($A158,'I | Capex forecast'!$A$11:$AA$160,10,0)="Yes",AD158,0)</f>
        <v>0</v>
      </c>
      <c r="AH158" s="53"/>
      <c r="AI158" s="52">
        <f t="shared" si="24"/>
        <v>0</v>
      </c>
      <c r="AJ158" s="52">
        <f t="shared" si="25"/>
        <v>0</v>
      </c>
    </row>
    <row r="159" spans="1:36" x14ac:dyDescent="0.3">
      <c r="A159" s="56">
        <v>149</v>
      </c>
      <c r="B159" s="48" t="str">
        <f>IF('I | Capex forecast'!B160="","",'I | Capex forecast'!B160)</f>
        <v/>
      </c>
      <c r="C159" s="48" t="str">
        <f>IF('I | Capex forecast'!C160="","",'I | Capex forecast'!C160)</f>
        <v/>
      </c>
      <c r="D159" s="48" t="str">
        <f>IF('I | Capex forecast'!D162="","",'I | Capex forecast'!D162)</f>
        <v/>
      </c>
      <c r="E159" s="48" t="str">
        <f>IF('I | Capex forecast'!E160="","",'I | Capex forecast'!E160)</f>
        <v/>
      </c>
      <c r="F159" s="48" t="str">
        <f>IF('I | Capex forecast'!F160="","",'I | Capex forecast'!F160)</f>
        <v/>
      </c>
      <c r="G159" s="48" t="str">
        <f>IF('I | Capex forecast'!G160="","",'I | Capex forecast'!G160)</f>
        <v/>
      </c>
      <c r="H159" s="48" t="str">
        <f>IF('I | Capex forecast'!H160="","",'I | Capex forecast'!H160)</f>
        <v/>
      </c>
      <c r="I159" s="48" t="str">
        <f>IF('I | Capex forecast'!I160="","",'I | Capex forecast'!I160)</f>
        <v/>
      </c>
      <c r="J159" s="50"/>
      <c r="K159" s="52">
        <f>IFERROR(IF($H159="nominal",VLOOKUP($A159,'I | Capex forecast'!$A$11:$AA$160,K$8,0),VLOOKUP($A159,'I | Capex forecast'!$A$11:$AA$160,K$8,0)*INDEX('I | Inflation'!$G$41:$I$42,MATCH($H159,'I | Inflation'!$F$41:$F$42,0),MATCH(K$10,'I | Inflation'!$G$40:$I$40,0))),0)</f>
        <v>0</v>
      </c>
      <c r="L159" s="52">
        <f>IFERROR(IF($H159="nominal",VLOOKUP($A159,'I | Capex forecast'!$A$11:$AA$160,L$8,0),VLOOKUP($A159,'I | Capex forecast'!$A$11:$AA$160,L$8,0)*INDEX('I | Inflation'!$G$41:$I$42,MATCH($H159,'I | Inflation'!$F$41:$F$42,0),MATCH(L$10,'I | Inflation'!$G$40:$I$40,0))),0)</f>
        <v>0</v>
      </c>
      <c r="M159" s="53"/>
      <c r="N159" s="52">
        <f>K159*VLOOKUP($A159,'I | Capex forecast'!$A$11:$AA$160,21,0)*(HLOOKUP(N$10,'I | Inflation'!$D$57:$J$59,3,0)-1)</f>
        <v>0</v>
      </c>
      <c r="O159" s="52">
        <f>L159*VLOOKUP($A159,'I | Capex forecast'!$A$11:$AA$160,21,0)*(HLOOKUP(O$10,'I | Inflation'!$D$57:$J$59,3,0)-1)</f>
        <v>0</v>
      </c>
      <c r="P159" s="53"/>
      <c r="Q159" s="52"/>
      <c r="R159" s="52"/>
      <c r="S159" s="53"/>
      <c r="T159" s="52"/>
      <c r="U159" s="52"/>
      <c r="V159" s="53"/>
      <c r="W159" s="52"/>
      <c r="X159" s="52"/>
      <c r="Y159" s="53"/>
      <c r="Z159" s="52">
        <f>K159*VLOOKUP($A159,'I | Capex forecast'!$A$11:$AA$160,27,0)</f>
        <v>0</v>
      </c>
      <c r="AA159" s="52">
        <f>L159*VLOOKUP($A159,'I | Capex forecast'!$A$11:$AA$160,27,0)</f>
        <v>0</v>
      </c>
      <c r="AB159" s="53"/>
      <c r="AC159" s="52">
        <f t="shared" si="22"/>
        <v>0</v>
      </c>
      <c r="AD159" s="52">
        <f t="shared" si="23"/>
        <v>0</v>
      </c>
      <c r="AE159" s="53"/>
      <c r="AF159" s="52">
        <f>IF(VLOOKUP($A159,'I | Capex forecast'!$A$11:$AA$160,10,0)="Yes",AC159,0)</f>
        <v>0</v>
      </c>
      <c r="AG159" s="52">
        <f>IF(VLOOKUP($A159,'I | Capex forecast'!$A$11:$AA$160,10,0)="Yes",AD159,0)</f>
        <v>0</v>
      </c>
      <c r="AH159" s="53"/>
      <c r="AI159" s="52">
        <f t="shared" si="24"/>
        <v>0</v>
      </c>
      <c r="AJ159" s="52">
        <f t="shared" si="25"/>
        <v>0</v>
      </c>
    </row>
    <row r="160" spans="1:36" x14ac:dyDescent="0.3">
      <c r="A160" s="56">
        <v>150</v>
      </c>
      <c r="B160" s="48" t="str">
        <f>IF('I | Capex forecast'!B161="","",'I | Capex forecast'!B161)</f>
        <v>TOTAL</v>
      </c>
      <c r="C160" s="48" t="str">
        <f>IF('I | Capex forecast'!C161="","",'I | Capex forecast'!C161)</f>
        <v/>
      </c>
      <c r="D160" s="48" t="str">
        <f>IF('I | Capex forecast'!D163="","",'I | Capex forecast'!D163)</f>
        <v/>
      </c>
      <c r="E160" s="48" t="str">
        <f>IF('I | Capex forecast'!E161="","",'I | Capex forecast'!E161)</f>
        <v/>
      </c>
      <c r="F160" s="48" t="str">
        <f>IF('I | Capex forecast'!F161="","",'I | Capex forecast'!F161)</f>
        <v/>
      </c>
      <c r="G160" s="48" t="str">
        <f>IF('I | Capex forecast'!G161="","",'I | Capex forecast'!G161)</f>
        <v/>
      </c>
      <c r="H160" s="48" t="str">
        <f>IF('I | Capex forecast'!H161="","",'I | Capex forecast'!H161)</f>
        <v/>
      </c>
      <c r="I160" s="48" t="str">
        <f>IF('I | Capex forecast'!I161="","",'I | Capex forecast'!I161)</f>
        <v/>
      </c>
      <c r="J160" s="50"/>
      <c r="K160" s="52">
        <f>IFERROR(IF($H160="nominal",VLOOKUP($A160,'I | Capex forecast'!$A$11:$AA$160,K$8,0),VLOOKUP($A160,'I | Capex forecast'!$A$11:$AA$160,K$8,0)*INDEX('I | Inflation'!$G$41:$I$42,MATCH($H160,'I | Inflation'!$F$41:$F$42,0),MATCH(K$10,'I | Inflation'!$G$40:$I$40,0))),0)</f>
        <v>0</v>
      </c>
      <c r="L160" s="52">
        <f>IFERROR(IF($H160="nominal",VLOOKUP($A160,'I | Capex forecast'!$A$11:$AA$160,L$8,0),VLOOKUP($A160,'I | Capex forecast'!$A$11:$AA$160,L$8,0)*INDEX('I | Inflation'!$G$41:$I$42,MATCH($H160,'I | Inflation'!$F$41:$F$42,0),MATCH(L$10,'I | Inflation'!$G$40:$I$40,0))),0)</f>
        <v>0</v>
      </c>
      <c r="M160" s="53"/>
      <c r="N160" s="52">
        <f>K160*VLOOKUP($A160,'I | Capex forecast'!$A$11:$AA$160,21,0)*(HLOOKUP(N$10,'I | Inflation'!$D$57:$J$59,3,0)-1)</f>
        <v>0</v>
      </c>
      <c r="O160" s="52">
        <f>L160*VLOOKUP($A160,'I | Capex forecast'!$A$11:$AA$160,21,0)*(HLOOKUP(O$10,'I | Inflation'!$D$57:$J$59,3,0)-1)</f>
        <v>0</v>
      </c>
      <c r="P160" s="53"/>
      <c r="Q160" s="52"/>
      <c r="R160" s="52"/>
      <c r="S160" s="53"/>
      <c r="T160" s="52"/>
      <c r="U160" s="52"/>
      <c r="V160" s="53"/>
      <c r="W160" s="52"/>
      <c r="X160" s="52"/>
      <c r="Y160" s="53"/>
      <c r="Z160" s="52">
        <f>K160*VLOOKUP($A160,'I | Capex forecast'!$A$11:$AA$160,27,0)</f>
        <v>0</v>
      </c>
      <c r="AA160" s="52">
        <f>L160*VLOOKUP($A160,'I | Capex forecast'!$A$11:$AA$160,27,0)</f>
        <v>0</v>
      </c>
      <c r="AB160" s="53"/>
      <c r="AC160" s="52">
        <f t="shared" si="22"/>
        <v>0</v>
      </c>
      <c r="AD160" s="52">
        <f t="shared" si="23"/>
        <v>0</v>
      </c>
      <c r="AE160" s="53"/>
      <c r="AF160" s="52">
        <f>IF(VLOOKUP($A160,'I | Capex forecast'!$A$11:$AA$160,10,0)="Yes",AC160,0)</f>
        <v>0</v>
      </c>
      <c r="AG160" s="52">
        <f>IF(VLOOKUP($A160,'I | Capex forecast'!$A$11:$AA$160,10,0)="Yes",AD160,0)</f>
        <v>0</v>
      </c>
      <c r="AH160" s="53"/>
      <c r="AI160" s="52">
        <f t="shared" si="24"/>
        <v>0</v>
      </c>
      <c r="AJ160" s="52">
        <f t="shared" si="25"/>
        <v>0</v>
      </c>
    </row>
    <row r="161" spans="1:36" x14ac:dyDescent="0.3">
      <c r="A161" s="13"/>
      <c r="B161" s="10" t="s">
        <v>26</v>
      </c>
      <c r="C161" s="10"/>
      <c r="D161" s="10"/>
      <c r="E161" s="12"/>
      <c r="F161" s="12"/>
      <c r="G161" s="12"/>
      <c r="H161" s="12"/>
      <c r="I161" s="12"/>
      <c r="J161" s="19"/>
      <c r="K161" s="20">
        <f>SUM(K11:K160)</f>
        <v>10561362.682510512</v>
      </c>
      <c r="L161" s="20">
        <f>SUM(L11:L160)</f>
        <v>14604568.769128814</v>
      </c>
      <c r="N161" s="20">
        <f>SUM(N11:N160)</f>
        <v>0</v>
      </c>
      <c r="O161" s="20">
        <f>SUM(O11:O160)</f>
        <v>589.51587685163179</v>
      </c>
      <c r="Q161" s="20">
        <f>SUM(Q11:Q160)</f>
        <v>0</v>
      </c>
      <c r="R161" s="20">
        <f>SUM(R11:R160)</f>
        <v>0</v>
      </c>
      <c r="T161" s="20">
        <f>SUM(T11:T160)</f>
        <v>0</v>
      </c>
      <c r="U161" s="20">
        <f>SUM(U11:U160)</f>
        <v>0</v>
      </c>
      <c r="W161" s="20">
        <f>SUM(W11:W160)</f>
        <v>0</v>
      </c>
      <c r="X161" s="20">
        <f>SUM(X11:X160)</f>
        <v>0</v>
      </c>
      <c r="Z161" s="20">
        <f>SUM(Z11:Z160)</f>
        <v>950522.64142594615</v>
      </c>
      <c r="AA161" s="20">
        <f>SUM(AA11:AA160)</f>
        <v>1314411.1892215933</v>
      </c>
      <c r="AC161" s="20">
        <f>SUM(AC11:AC160)</f>
        <v>11511885.323936457</v>
      </c>
      <c r="AD161" s="20">
        <f>SUM(AD11:AD160)</f>
        <v>15919569.474227261</v>
      </c>
      <c r="AF161" s="20">
        <f>SUM(AF11:AF160)</f>
        <v>4411936.4914910626</v>
      </c>
      <c r="AG161" s="20">
        <f>SUM(AG11:AG160)</f>
        <v>1248664.6062471978</v>
      </c>
      <c r="AI161" s="20">
        <f>SUM(AI11:AI160)</f>
        <v>11511885.323936457</v>
      </c>
      <c r="AJ161" s="20">
        <f>SUM(AJ11:AJ160)</f>
        <v>15919569.474227261</v>
      </c>
    </row>
    <row r="163" spans="1:36" s="42" customFormat="1" x14ac:dyDescent="0.3">
      <c r="H163" s="43"/>
      <c r="I163" s="43"/>
      <c r="K163" s="45"/>
      <c r="L163" s="45"/>
    </row>
    <row r="164" spans="1:36" s="42" customFormat="1" x14ac:dyDescent="0.3">
      <c r="H164" s="43"/>
      <c r="I164" s="43"/>
      <c r="K164" s="46"/>
      <c r="L164" s="46"/>
    </row>
  </sheetData>
  <autoFilter ref="A10:AJ161" xr:uid="{15FAF912-F09D-409B-953F-A37771CB94E6}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446278-A626-41E8-9C71-CD530FCE4559}">
  <sheetPr>
    <tabColor theme="4" tint="0.79998168889431442"/>
  </sheetPr>
  <dimension ref="A4:CI164"/>
  <sheetViews>
    <sheetView showGridLines="0" zoomScale="70" zoomScaleNormal="70" workbookViewId="0">
      <pane ySplit="10" topLeftCell="A11" activePane="bottomLeft" state="frozen"/>
      <selection pane="bottomLeft" activeCell="BN50" sqref="BN50:BN54"/>
    </sheetView>
  </sheetViews>
  <sheetFormatPr defaultColWidth="8.625" defaultRowHeight="16.5" x14ac:dyDescent="0.3"/>
  <cols>
    <col min="1" max="1" width="4.625" style="2" customWidth="1"/>
    <col min="2" max="2" width="46.25" style="2" bestFit="1" customWidth="1"/>
    <col min="3" max="3" width="14.625" style="2" bestFit="1" customWidth="1"/>
    <col min="4" max="4" width="22.375" style="2" bestFit="1" customWidth="1"/>
    <col min="5" max="5" width="16" style="2" bestFit="1" customWidth="1"/>
    <col min="6" max="6" width="17.375" style="2" bestFit="1" customWidth="1"/>
    <col min="7" max="7" width="16.75" style="2" customWidth="1"/>
    <col min="8" max="10" width="12.625" style="3" customWidth="1"/>
    <col min="11" max="11" width="2.625" style="2" customWidth="1"/>
    <col min="12" max="16" width="12.625" style="2" customWidth="1"/>
    <col min="17" max="17" width="13" style="2" customWidth="1"/>
    <col min="18" max="18" width="2.625" style="2" customWidth="1"/>
    <col min="19" max="24" width="13" style="2" customWidth="1"/>
    <col min="25" max="25" width="2.625" style="2" customWidth="1"/>
    <col min="26" max="31" width="12.625" style="2" customWidth="1"/>
    <col min="32" max="32" width="2.625" style="2" customWidth="1"/>
    <col min="33" max="38" width="12.625" style="2" customWidth="1"/>
    <col min="39" max="39" width="2.625" style="2" hidden="1" customWidth="1"/>
    <col min="40" max="45" width="12.625" style="2" hidden="1" customWidth="1"/>
    <col min="46" max="46" width="2.625" style="2" hidden="1" customWidth="1"/>
    <col min="47" max="52" width="12.625" style="2" hidden="1" customWidth="1"/>
    <col min="53" max="53" width="2.625" style="2" hidden="1" customWidth="1"/>
    <col min="54" max="59" width="12.625" style="2" hidden="1" customWidth="1"/>
    <col min="60" max="60" width="2.625" style="2" customWidth="1"/>
    <col min="61" max="66" width="12.625" style="2" customWidth="1"/>
    <col min="67" max="67" width="2.625" style="2" customWidth="1"/>
    <col min="68" max="72" width="12.625" style="2" customWidth="1"/>
    <col min="73" max="73" width="16.5" style="2" bestFit="1" customWidth="1"/>
    <col min="74" max="74" width="2.625" style="2" customWidth="1"/>
    <col min="75" max="79" width="12.625" style="2" customWidth="1"/>
    <col min="80" max="80" width="14.5" style="2" bestFit="1" customWidth="1"/>
    <col min="81" max="81" width="2.625" style="2" customWidth="1"/>
    <col min="82" max="87" width="12.625" style="2" customWidth="1"/>
    <col min="88" max="16384" width="8.625" style="2"/>
  </cols>
  <sheetData>
    <row r="4" spans="1:87" x14ac:dyDescent="0.3">
      <c r="Z4" s="29"/>
    </row>
    <row r="5" spans="1:87" x14ac:dyDescent="0.3">
      <c r="Z5" s="6"/>
    </row>
    <row r="6" spans="1:87" s="24" customFormat="1" ht="18.75" x14ac:dyDescent="0.3">
      <c r="A6" s="27" t="s">
        <v>48</v>
      </c>
      <c r="H6" s="26"/>
      <c r="I6" s="26"/>
      <c r="J6" s="26"/>
      <c r="P6" s="66" t="s">
        <v>36</v>
      </c>
      <c r="Q6" s="93">
        <f>Q161</f>
        <v>79853472.386872515</v>
      </c>
      <c r="S6" s="2"/>
      <c r="T6" s="2"/>
      <c r="U6" s="2"/>
      <c r="V6" s="2"/>
      <c r="W6" s="66" t="s">
        <v>36</v>
      </c>
      <c r="X6" s="93">
        <f>X161</f>
        <v>28160198.273143075</v>
      </c>
      <c r="AD6" s="66" t="s">
        <v>36</v>
      </c>
      <c r="AE6" s="93">
        <f>AE161</f>
        <v>718142.83802123007</v>
      </c>
      <c r="AG6" s="2"/>
      <c r="AH6" s="2"/>
      <c r="AI6" s="2"/>
      <c r="AJ6" s="2"/>
      <c r="AK6" s="66" t="s">
        <v>36</v>
      </c>
      <c r="AL6" s="93">
        <f>AL161</f>
        <v>28878341.111164313</v>
      </c>
      <c r="AR6" s="66" t="s">
        <v>36</v>
      </c>
      <c r="AS6" s="92">
        <f>AS161</f>
        <v>0</v>
      </c>
      <c r="AY6" s="66" t="s">
        <v>36</v>
      </c>
      <c r="AZ6" s="92">
        <f>AZ161</f>
        <v>0</v>
      </c>
      <c r="BF6" s="66" t="s">
        <v>36</v>
      </c>
      <c r="BG6" s="93">
        <f>BG161</f>
        <v>0</v>
      </c>
      <c r="BM6" s="66" t="s">
        <v>36</v>
      </c>
      <c r="BN6" s="93">
        <f>BN161</f>
        <v>7186812.5148185287</v>
      </c>
      <c r="BT6" s="66" t="s">
        <v>36</v>
      </c>
      <c r="BU6" s="93">
        <f>BU161</f>
        <v>87758427.739712268</v>
      </c>
      <c r="CA6" s="66" t="s">
        <v>36</v>
      </c>
      <c r="CB6" s="93">
        <f>CB161</f>
        <v>87758427.739712268</v>
      </c>
      <c r="CH6" s="66" t="s">
        <v>36</v>
      </c>
      <c r="CI6" s="93">
        <f>CI161</f>
        <v>6553970.5321180765</v>
      </c>
    </row>
    <row r="7" spans="1:87" s="24" customFormat="1" ht="18.75" x14ac:dyDescent="0.3">
      <c r="A7" s="23" t="s">
        <v>183</v>
      </c>
      <c r="H7" s="26"/>
      <c r="I7" s="26"/>
      <c r="J7" s="26"/>
    </row>
    <row r="8" spans="1:87" x14ac:dyDescent="0.3">
      <c r="A8" s="18"/>
      <c r="L8" s="3">
        <v>14</v>
      </c>
      <c r="M8" s="3">
        <v>15</v>
      </c>
      <c r="N8" s="3">
        <v>16</v>
      </c>
      <c r="O8" s="3">
        <v>17</v>
      </c>
      <c r="P8" s="3">
        <v>18</v>
      </c>
      <c r="S8" s="3">
        <v>21</v>
      </c>
      <c r="T8" s="3">
        <v>21</v>
      </c>
      <c r="U8" s="3">
        <v>21</v>
      </c>
      <c r="V8" s="3">
        <v>21</v>
      </c>
      <c r="W8" s="3">
        <v>21</v>
      </c>
      <c r="Z8" s="3">
        <v>21</v>
      </c>
      <c r="AA8" s="3">
        <v>21</v>
      </c>
      <c r="AB8" s="3">
        <v>21</v>
      </c>
      <c r="AC8" s="3">
        <v>21</v>
      </c>
      <c r="AD8" s="3">
        <v>21</v>
      </c>
      <c r="AN8" s="3">
        <v>22</v>
      </c>
      <c r="AO8" s="3">
        <v>22</v>
      </c>
      <c r="AP8" s="3">
        <v>22</v>
      </c>
      <c r="AQ8" s="3">
        <v>22</v>
      </c>
      <c r="AR8" s="3">
        <v>22</v>
      </c>
      <c r="AU8" s="3">
        <v>23</v>
      </c>
      <c r="AV8" s="3">
        <v>23</v>
      </c>
      <c r="AW8" s="3">
        <v>23</v>
      </c>
      <c r="AX8" s="3">
        <v>23</v>
      </c>
      <c r="AY8" s="3">
        <v>23</v>
      </c>
      <c r="BB8" s="3">
        <v>24</v>
      </c>
      <c r="BC8" s="3">
        <v>24</v>
      </c>
      <c r="BD8" s="3">
        <v>24</v>
      </c>
      <c r="BE8" s="3">
        <v>24</v>
      </c>
      <c r="BF8" s="3">
        <v>24</v>
      </c>
      <c r="BI8" s="24">
        <v>27</v>
      </c>
      <c r="BJ8" s="24">
        <v>27</v>
      </c>
      <c r="BK8" s="24">
        <v>27</v>
      </c>
      <c r="BL8" s="24">
        <v>27</v>
      </c>
      <c r="BM8" s="24">
        <v>27</v>
      </c>
      <c r="BP8" s="3"/>
      <c r="BQ8" s="3"/>
      <c r="BR8" s="3"/>
      <c r="BS8" s="3"/>
      <c r="BT8" s="3"/>
      <c r="BW8" s="3"/>
      <c r="BX8" s="3"/>
      <c r="BY8" s="3"/>
      <c r="BZ8" s="3"/>
      <c r="CA8" s="3"/>
      <c r="CD8" s="3"/>
      <c r="CE8" s="3"/>
      <c r="CF8" s="3"/>
      <c r="CG8" s="3"/>
      <c r="CH8" s="3"/>
    </row>
    <row r="9" spans="1:87" ht="18.75" x14ac:dyDescent="0.3">
      <c r="A9" s="7" t="s">
        <v>28</v>
      </c>
      <c r="B9" s="7"/>
      <c r="C9" s="8"/>
      <c r="D9" s="8"/>
      <c r="E9" s="8"/>
      <c r="F9" s="8"/>
      <c r="G9" s="8"/>
      <c r="H9" s="8"/>
      <c r="I9" s="8"/>
      <c r="J9" s="8"/>
      <c r="L9" s="7" t="s">
        <v>114</v>
      </c>
      <c r="M9" s="15"/>
      <c r="N9" s="15"/>
      <c r="O9" s="15"/>
      <c r="P9" s="15"/>
      <c r="Q9" s="15"/>
      <c r="S9" s="7" t="s">
        <v>328</v>
      </c>
      <c r="T9" s="15"/>
      <c r="U9" s="15"/>
      <c r="V9" s="15"/>
      <c r="W9" s="15"/>
      <c r="X9" s="15"/>
      <c r="Z9" s="7" t="s">
        <v>115</v>
      </c>
      <c r="AA9" s="15"/>
      <c r="AB9" s="15"/>
      <c r="AC9" s="15"/>
      <c r="AD9" s="15"/>
      <c r="AE9" s="15"/>
      <c r="AG9" s="7" t="s">
        <v>329</v>
      </c>
      <c r="AH9" s="15"/>
      <c r="AI9" s="15"/>
      <c r="AJ9" s="15"/>
      <c r="AK9" s="15"/>
      <c r="AL9" s="15"/>
      <c r="AN9" s="7" t="s">
        <v>121</v>
      </c>
      <c r="AO9" s="15"/>
      <c r="AP9" s="15"/>
      <c r="AQ9" s="15"/>
      <c r="AR9" s="15"/>
      <c r="AS9" s="15"/>
      <c r="AU9" s="7" t="s">
        <v>122</v>
      </c>
      <c r="AV9" s="15"/>
      <c r="AW9" s="15"/>
      <c r="AX9" s="15"/>
      <c r="AY9" s="15"/>
      <c r="AZ9" s="15"/>
      <c r="BB9" s="7" t="s">
        <v>123</v>
      </c>
      <c r="BC9" s="15"/>
      <c r="BD9" s="15"/>
      <c r="BE9" s="15"/>
      <c r="BF9" s="15"/>
      <c r="BG9" s="15"/>
      <c r="BI9" s="7" t="s">
        <v>124</v>
      </c>
      <c r="BJ9" s="15"/>
      <c r="BK9" s="15"/>
      <c r="BL9" s="15"/>
      <c r="BM9" s="15"/>
      <c r="BN9" s="15"/>
      <c r="BP9" s="7" t="s">
        <v>125</v>
      </c>
      <c r="BQ9" s="15"/>
      <c r="BR9" s="15"/>
      <c r="BS9" s="15"/>
      <c r="BT9" s="15"/>
      <c r="BU9" s="15"/>
      <c r="BW9" s="7" t="s">
        <v>194</v>
      </c>
      <c r="BX9" s="15"/>
      <c r="BY9" s="15"/>
      <c r="BZ9" s="15"/>
      <c r="CA9" s="15"/>
      <c r="CB9" s="15"/>
      <c r="CD9" s="7" t="s">
        <v>126</v>
      </c>
      <c r="CE9" s="15"/>
      <c r="CF9" s="15"/>
      <c r="CG9" s="15"/>
      <c r="CH9" s="15"/>
      <c r="CI9" s="15"/>
    </row>
    <row r="10" spans="1:87" s="68" customFormat="1" ht="36" x14ac:dyDescent="0.2">
      <c r="A10" s="64" t="s">
        <v>30</v>
      </c>
      <c r="B10" s="65" t="s">
        <v>22</v>
      </c>
      <c r="C10" s="65" t="s">
        <v>142</v>
      </c>
      <c r="D10" s="65" t="s">
        <v>251</v>
      </c>
      <c r="E10" s="65" t="s">
        <v>0</v>
      </c>
      <c r="F10" s="65" t="s">
        <v>141</v>
      </c>
      <c r="G10" s="65" t="s">
        <v>31</v>
      </c>
      <c r="H10" s="65" t="s">
        <v>23</v>
      </c>
      <c r="I10" s="65" t="s">
        <v>32</v>
      </c>
      <c r="J10" s="65" t="s">
        <v>182</v>
      </c>
      <c r="K10" s="67"/>
      <c r="L10" s="66" t="s">
        <v>53</v>
      </c>
      <c r="M10" s="66" t="s">
        <v>52</v>
      </c>
      <c r="N10" s="66" t="s">
        <v>51</v>
      </c>
      <c r="O10" s="66" t="s">
        <v>50</v>
      </c>
      <c r="P10" s="66" t="s">
        <v>49</v>
      </c>
      <c r="Q10" s="66" t="s">
        <v>36</v>
      </c>
      <c r="S10" s="66" t="s">
        <v>53</v>
      </c>
      <c r="T10" s="66" t="s">
        <v>52</v>
      </c>
      <c r="U10" s="66" t="s">
        <v>51</v>
      </c>
      <c r="V10" s="66" t="s">
        <v>50</v>
      </c>
      <c r="W10" s="66" t="s">
        <v>49</v>
      </c>
      <c r="X10" s="66" t="s">
        <v>36</v>
      </c>
      <c r="Z10" s="66" t="s">
        <v>53</v>
      </c>
      <c r="AA10" s="66" t="s">
        <v>52</v>
      </c>
      <c r="AB10" s="66" t="s">
        <v>51</v>
      </c>
      <c r="AC10" s="66" t="s">
        <v>50</v>
      </c>
      <c r="AD10" s="66" t="s">
        <v>49</v>
      </c>
      <c r="AE10" s="66" t="s">
        <v>36</v>
      </c>
      <c r="AG10" s="66" t="s">
        <v>53</v>
      </c>
      <c r="AH10" s="66" t="s">
        <v>52</v>
      </c>
      <c r="AI10" s="66" t="s">
        <v>51</v>
      </c>
      <c r="AJ10" s="66" t="s">
        <v>50</v>
      </c>
      <c r="AK10" s="66" t="s">
        <v>49</v>
      </c>
      <c r="AL10" s="66" t="s">
        <v>36</v>
      </c>
      <c r="AN10" s="66" t="s">
        <v>53</v>
      </c>
      <c r="AO10" s="66" t="s">
        <v>52</v>
      </c>
      <c r="AP10" s="66" t="s">
        <v>51</v>
      </c>
      <c r="AQ10" s="66" t="s">
        <v>50</v>
      </c>
      <c r="AR10" s="66" t="s">
        <v>49</v>
      </c>
      <c r="AS10" s="66" t="s">
        <v>36</v>
      </c>
      <c r="AU10" s="66" t="s">
        <v>53</v>
      </c>
      <c r="AV10" s="66" t="s">
        <v>52</v>
      </c>
      <c r="AW10" s="66" t="s">
        <v>51</v>
      </c>
      <c r="AX10" s="66" t="s">
        <v>50</v>
      </c>
      <c r="AY10" s="66" t="s">
        <v>49</v>
      </c>
      <c r="AZ10" s="66" t="s">
        <v>36</v>
      </c>
      <c r="BB10" s="66" t="s">
        <v>53</v>
      </c>
      <c r="BC10" s="66" t="s">
        <v>52</v>
      </c>
      <c r="BD10" s="66" t="s">
        <v>51</v>
      </c>
      <c r="BE10" s="66" t="s">
        <v>50</v>
      </c>
      <c r="BF10" s="66" t="s">
        <v>49</v>
      </c>
      <c r="BG10" s="66" t="s">
        <v>36</v>
      </c>
      <c r="BI10" s="66" t="s">
        <v>53</v>
      </c>
      <c r="BJ10" s="66" t="s">
        <v>52</v>
      </c>
      <c r="BK10" s="66" t="s">
        <v>51</v>
      </c>
      <c r="BL10" s="66" t="s">
        <v>50</v>
      </c>
      <c r="BM10" s="66" t="s">
        <v>49</v>
      </c>
      <c r="BN10" s="66" t="s">
        <v>36</v>
      </c>
      <c r="BP10" s="66" t="s">
        <v>53</v>
      </c>
      <c r="BQ10" s="66" t="s">
        <v>52</v>
      </c>
      <c r="BR10" s="66" t="s">
        <v>51</v>
      </c>
      <c r="BS10" s="66" t="s">
        <v>50</v>
      </c>
      <c r="BT10" s="66" t="s">
        <v>49</v>
      </c>
      <c r="BU10" s="66" t="s">
        <v>36</v>
      </c>
      <c r="BW10" s="66" t="s">
        <v>53</v>
      </c>
      <c r="BX10" s="66" t="s">
        <v>52</v>
      </c>
      <c r="BY10" s="66" t="s">
        <v>51</v>
      </c>
      <c r="BZ10" s="66" t="s">
        <v>50</v>
      </c>
      <c r="CA10" s="66" t="s">
        <v>49</v>
      </c>
      <c r="CB10" s="66" t="s">
        <v>36</v>
      </c>
      <c r="CD10" s="66" t="s">
        <v>53</v>
      </c>
      <c r="CE10" s="66" t="s">
        <v>52</v>
      </c>
      <c r="CF10" s="66" t="s">
        <v>51</v>
      </c>
      <c r="CG10" s="66" t="s">
        <v>50</v>
      </c>
      <c r="CH10" s="66" t="s">
        <v>49</v>
      </c>
      <c r="CI10" s="66" t="s">
        <v>36</v>
      </c>
    </row>
    <row r="11" spans="1:87" s="4" customFormat="1" x14ac:dyDescent="0.3">
      <c r="A11" s="56">
        <v>1</v>
      </c>
      <c r="B11" s="48" t="str">
        <f>IF('I | Capex forecast'!B11="","",'I | Capex forecast'!B11)</f>
        <v>Lytton Valve replacement DN300 &amp; DN200</v>
      </c>
      <c r="C11" s="48" t="str">
        <f>IF('I | Capex forecast'!C11="","",'I | Capex forecast'!C11)</f>
        <v>SIB</v>
      </c>
      <c r="D11" s="48" t="str">
        <f>IF('I | Capex forecast'!D11="","",'I | Capex forecast'!D11)</f>
        <v>Valve replacement</v>
      </c>
      <c r="E11" s="48" t="str">
        <f>IF('I | Capex forecast'!E11="","",'I | Capex forecast'!E11)</f>
        <v>Pipelines</v>
      </c>
      <c r="F11" s="48" t="str">
        <f>IF('I | Capex forecast'!F11="","",'I | Capex forecast'!F11)</f>
        <v>Replacement</v>
      </c>
      <c r="G11" s="48" t="str">
        <f>IF('I | Capex forecast'!G11="","",'I | Capex forecast'!G11)</f>
        <v>As incurred</v>
      </c>
      <c r="H11" s="48" t="str">
        <f>IF('I | Capex forecast'!H11="","",'I | Capex forecast'!H11)</f>
        <v>FY 26</v>
      </c>
      <c r="I11" s="48" t="str">
        <f>IF('I | Capex forecast'!I11="","",'I | Capex forecast'!I11)</f>
        <v>Mid-year</v>
      </c>
      <c r="J11" s="48" t="str">
        <f>IF('I | Capex forecast'!J11="","",'I | Capex forecast'!J11)</f>
        <v>Yes</v>
      </c>
      <c r="K11" s="50"/>
      <c r="L11" s="52">
        <f>IFERROR(VLOOKUP($A11,'I | Capex forecast'!$A$11:$AA$160,L$8,0)*INDEX('I | Inflation'!$F$46:$G$49,MATCH($I11,'I | Inflation'!$E$46:$E$49,0),MATCH($H11,'I | Inflation'!$F$45:$G$45,0)),0)</f>
        <v>0</v>
      </c>
      <c r="M11" s="52">
        <f>IFERROR(VLOOKUP($A11,'I | Capex forecast'!$A$11:$AA$160,M$8,0)*INDEX('I | Inflation'!$F$46:$G$49,MATCH($I11,'I | Inflation'!$E$46:$E$49,0),MATCH($H11,'I | Inflation'!$F$45:$G$45,0)),0)</f>
        <v>0</v>
      </c>
      <c r="N11" s="52">
        <f>IFERROR(VLOOKUP($A11,'I | Capex forecast'!$A$11:$AA$160,N$8,0)*INDEX('I | Inflation'!$F$46:$G$49,MATCH($I11,'I | Inflation'!$E$46:$E$49,0),MATCH($H11,'I | Inflation'!$F$45:$G$45,0)),0)</f>
        <v>0</v>
      </c>
      <c r="O11" s="52">
        <f>IFERROR(VLOOKUP($A11,'I | Capex forecast'!$A$11:$AA$160,O$8,0)*INDEX('I | Inflation'!$F$46:$G$49,MATCH($I11,'I | Inflation'!$E$46:$E$49,0),MATCH($H11,'I | Inflation'!$F$45:$G$45,0)),0)</f>
        <v>105293.41244019142</v>
      </c>
      <c r="P11" s="52">
        <f>IFERROR(VLOOKUP($A11,'I | Capex forecast'!$A$11:$AA$160,P$8,0)*INDEX('I | Inflation'!$F$46:$G$49,MATCH($I11,'I | Inflation'!$E$46:$E$49,0),MATCH($H11,'I | Inflation'!$F$45:$G$45,0)),0)</f>
        <v>105293.41244019142</v>
      </c>
      <c r="Q11" s="54">
        <f>SUM(L11:P11)</f>
        <v>210586.82488038283</v>
      </c>
      <c r="R11" s="53"/>
      <c r="S11" s="226">
        <f>L11*VLOOKUP($A11,'I | Capex forecast'!$A$11:$AA$160,S$8,0)</f>
        <v>0</v>
      </c>
      <c r="T11" s="226">
        <f>M11*VLOOKUP($A11,'I | Capex forecast'!$A$11:$AA$160,T$8,0)</f>
        <v>0</v>
      </c>
      <c r="U11" s="226">
        <f>N11*VLOOKUP($A11,'I | Capex forecast'!$A$11:$AA$160,U$8,0)</f>
        <v>0</v>
      </c>
      <c r="V11" s="226">
        <f>O11*VLOOKUP($A11,'I | Capex forecast'!$A$11:$AA$160,V$8,0)</f>
        <v>40460.277174384086</v>
      </c>
      <c r="W11" s="226">
        <f>P11*VLOOKUP($A11,'I | Capex forecast'!$A$11:$AA$160,W$8,0)</f>
        <v>40460.277174384086</v>
      </c>
      <c r="X11" s="54">
        <f>SUM(S11:W11)</f>
        <v>80920.554348768172</v>
      </c>
      <c r="Y11" s="53"/>
      <c r="Z11" s="52">
        <f>S11*(HLOOKUP(Z$10,'I | Inflation'!$E$57:$J$59,3,0)-1)</f>
        <v>0</v>
      </c>
      <c r="AA11" s="52">
        <f>T11*(HLOOKUP(AA$10,'I | Inflation'!$E$57:$J$59,3,0)-1)</f>
        <v>0</v>
      </c>
      <c r="AB11" s="52">
        <f>U11*(HLOOKUP(AB$10,'I | Inflation'!$E$57:$J$59,3,0)-1)</f>
        <v>0</v>
      </c>
      <c r="AC11" s="52">
        <f>V11*(HLOOKUP(AC$10,'I | Inflation'!$E$57:$J$59,3,0)-1)</f>
        <v>1587.2837461237334</v>
      </c>
      <c r="AD11" s="52">
        <f>W11*(HLOOKUP(AD$10,'I | Inflation'!$E$57:$J$59,3,0)-1)</f>
        <v>1874.5042015944352</v>
      </c>
      <c r="AE11" s="54">
        <f>SUM(Z11:AD11)</f>
        <v>3461.7879477181687</v>
      </c>
      <c r="AF11" s="53"/>
      <c r="AG11" s="226">
        <f>S11+Z11</f>
        <v>0</v>
      </c>
      <c r="AH11" s="226">
        <f t="shared" ref="AH11:AK11" si="0">T11+AA11</f>
        <v>0</v>
      </c>
      <c r="AI11" s="226">
        <f t="shared" si="0"/>
        <v>0</v>
      </c>
      <c r="AJ11" s="226">
        <f t="shared" si="0"/>
        <v>42047.560920507822</v>
      </c>
      <c r="AK11" s="226">
        <f t="shared" si="0"/>
        <v>42334.78137597852</v>
      </c>
      <c r="AL11" s="54">
        <f>SUM(AG11:AK11)</f>
        <v>84382.342296486342</v>
      </c>
      <c r="AM11" s="53"/>
      <c r="AN11" s="52"/>
      <c r="AO11" s="52"/>
      <c r="AP11" s="52"/>
      <c r="AQ11" s="52"/>
      <c r="AR11" s="52"/>
      <c r="AS11" s="54">
        <f>SUM(AN11:AR11)</f>
        <v>0</v>
      </c>
      <c r="AT11" s="53"/>
      <c r="AU11" s="52"/>
      <c r="AV11" s="52"/>
      <c r="AW11" s="52"/>
      <c r="AX11" s="52"/>
      <c r="AY11" s="52"/>
      <c r="AZ11" s="54">
        <f>SUM(AU11:AY11)</f>
        <v>0</v>
      </c>
      <c r="BA11" s="53"/>
      <c r="BB11" s="52"/>
      <c r="BC11" s="52"/>
      <c r="BD11" s="52"/>
      <c r="BE11" s="52"/>
      <c r="BF11" s="52"/>
      <c r="BG11" s="54">
        <f>SUM(BB11:BF11)</f>
        <v>0</v>
      </c>
      <c r="BH11" s="53"/>
      <c r="BI11" s="52">
        <f>L11*VLOOKUP($A11,'I | Capex forecast'!$A$11:$AA$160,BI$8,0)</f>
        <v>0</v>
      </c>
      <c r="BJ11" s="52">
        <f>M11*VLOOKUP($A11,'I | Capex forecast'!$A$11:$AA$160,BJ$8,0)</f>
        <v>0</v>
      </c>
      <c r="BK11" s="52">
        <f>N11*VLOOKUP($A11,'I | Capex forecast'!$A$11:$AA$160,BK$8,0)</f>
        <v>0</v>
      </c>
      <c r="BL11" s="52">
        <f>O11*VLOOKUP($A11,'I | Capex forecast'!$A$11:$AA$160,BL$8,0)</f>
        <v>9476.4071196172263</v>
      </c>
      <c r="BM11" s="52">
        <f>P11*VLOOKUP($A11,'I | Capex forecast'!$A$11:$AA$160,BM$8,0)</f>
        <v>9476.4071196172263</v>
      </c>
      <c r="BN11" s="54">
        <f>SUM(BI11:BM11)</f>
        <v>18952.814239234453</v>
      </c>
      <c r="BO11" s="53"/>
      <c r="BP11" s="52">
        <f t="shared" ref="BP11:BP42" si="1">L11+Z11+AN11+AU11+BB11+BI11</f>
        <v>0</v>
      </c>
      <c r="BQ11" s="52">
        <f t="shared" ref="BQ11:BQ42" si="2">M11+AA11+AO11+AV11+BC11+BJ11</f>
        <v>0</v>
      </c>
      <c r="BR11" s="52">
        <f t="shared" ref="BR11:BR42" si="3">N11+AB11+AP11+AW11+BD11+BK11</f>
        <v>0</v>
      </c>
      <c r="BS11" s="52">
        <f t="shared" ref="BS11:BS42" si="4">O11+AC11+AQ11+AX11+BE11+BL11</f>
        <v>116357.10330593238</v>
      </c>
      <c r="BT11" s="52">
        <f t="shared" ref="BT11:BT42" si="5">P11+AD11+AR11+AY11+BF11+BM11</f>
        <v>116644.32376140308</v>
      </c>
      <c r="BU11" s="54">
        <f>SUM(BP11:BT11)</f>
        <v>233001.42706733546</v>
      </c>
      <c r="BW11" s="52">
        <f t="shared" ref="BW11:BW42" si="6">IF($G11="As incurred",BP11,IF($G11=BW$10,$BU11,0))</f>
        <v>0</v>
      </c>
      <c r="BX11" s="52">
        <f t="shared" ref="BX11:BX42" si="7">IF($G11="As incurred",BQ11,IF($G11=BX$10,$BU11,0))</f>
        <v>0</v>
      </c>
      <c r="BY11" s="52">
        <f t="shared" ref="BY11:BY42" si="8">IF($G11="As incurred",BR11,IF($G11=BY$10,$BU11,0))</f>
        <v>0</v>
      </c>
      <c r="BZ11" s="52">
        <f t="shared" ref="BZ11:BZ42" si="9">IF($G11="As incurred",BS11,IF($G11=BZ$10,$BU11,0))</f>
        <v>116357.10330593238</v>
      </c>
      <c r="CA11" s="52">
        <f t="shared" ref="CA11:CA42" si="10">IF($G11="As incurred",BT11,IF($G11=CA$10,$BU11,0))</f>
        <v>116644.32376140308</v>
      </c>
      <c r="CB11" s="54">
        <f>SUM(BW11:CA11)</f>
        <v>233001.42706733546</v>
      </c>
      <c r="CC11" s="53"/>
      <c r="CD11" s="52">
        <f>IF($J11="Yes",BW11,0)</f>
        <v>0</v>
      </c>
      <c r="CE11" s="52">
        <f t="shared" ref="CE11:CG11" si="11">IF($J11="Yes",BX11,0)</f>
        <v>0</v>
      </c>
      <c r="CF11" s="52">
        <f t="shared" si="11"/>
        <v>0</v>
      </c>
      <c r="CG11" s="52">
        <f t="shared" si="11"/>
        <v>116357.10330593238</v>
      </c>
      <c r="CH11" s="52">
        <f>IF($J11="Yes",CA11,0)</f>
        <v>116644.32376140308</v>
      </c>
      <c r="CI11" s="54">
        <f>SUM(CD11:CH11)</f>
        <v>233001.42706733546</v>
      </c>
    </row>
    <row r="12" spans="1:87" s="4" customFormat="1" x14ac:dyDescent="0.3">
      <c r="A12" s="56">
        <v>2</v>
      </c>
      <c r="B12" s="48" t="str">
        <f>IF('I | Capex forecast'!B12="","",'I | Capex forecast'!B12)</f>
        <v>DN200 Lytton Lateral - ILI - MFL</v>
      </c>
      <c r="C12" s="48" t="str">
        <f>IF('I | Capex forecast'!C12="","",'I | Capex forecast'!C12)</f>
        <v>Pipeline Integrity</v>
      </c>
      <c r="D12" s="48" t="str">
        <f>IF('I | Capex forecast'!D12="","",'I | Capex forecast'!D12)</f>
        <v>ILI</v>
      </c>
      <c r="E12" s="48" t="str">
        <f>IF('I | Capex forecast'!E12="","",'I | Capex forecast'!E12)</f>
        <v>Pipeline Integrity</v>
      </c>
      <c r="F12" s="48" t="str">
        <f>IF('I | Capex forecast'!F12="","",'I | Capex forecast'!F12)</f>
        <v>Replacement</v>
      </c>
      <c r="G12" s="48" t="str">
        <f>IF('I | Capex forecast'!G12="","",'I | Capex forecast'!G12)</f>
        <v>As incurred</v>
      </c>
      <c r="H12" s="48" t="str">
        <f>IF('I | Capex forecast'!H12="","",'I | Capex forecast'!H12)</f>
        <v>FY 26</v>
      </c>
      <c r="I12" s="48" t="str">
        <f>IF('I | Capex forecast'!I12="","",'I | Capex forecast'!I12)</f>
        <v>Mid-year</v>
      </c>
      <c r="J12" s="48" t="str">
        <f>IF('I | Capex forecast'!J12="","",'I | Capex forecast'!J12)</f>
        <v>No</v>
      </c>
      <c r="K12" s="50"/>
      <c r="L12" s="52">
        <f>IFERROR(VLOOKUP($A12,'I | Capex forecast'!$A$11:$AA$160,L$8,0)*INDEX('I | Inflation'!$F$46:$G$49,MATCH($I12,'I | Inflation'!$E$46:$E$49,0),MATCH($H12,'I | Inflation'!$F$45:$G$45,0)),0)</f>
        <v>526467.06220095709</v>
      </c>
      <c r="M12" s="52">
        <f>IFERROR(VLOOKUP($A12,'I | Capex forecast'!$A$11:$AA$160,M$8,0)*INDEX('I | Inflation'!$F$46:$G$49,MATCH($I12,'I | Inflation'!$E$46:$E$49,0),MATCH($H12,'I | Inflation'!$F$45:$G$45,0)),0)</f>
        <v>0</v>
      </c>
      <c r="N12" s="52">
        <f>IFERROR(VLOOKUP($A12,'I | Capex forecast'!$A$11:$AA$160,N$8,0)*INDEX('I | Inflation'!$F$46:$G$49,MATCH($I12,'I | Inflation'!$E$46:$E$49,0),MATCH($H12,'I | Inflation'!$F$45:$G$45,0)),0)</f>
        <v>0</v>
      </c>
      <c r="O12" s="52">
        <f>IFERROR(VLOOKUP($A12,'I | Capex forecast'!$A$11:$AA$160,O$8,0)*INDEX('I | Inflation'!$F$46:$G$49,MATCH($I12,'I | Inflation'!$E$46:$E$49,0),MATCH($H12,'I | Inflation'!$F$45:$G$45,0)),0)</f>
        <v>0</v>
      </c>
      <c r="P12" s="52">
        <f>IFERROR(VLOOKUP($A12,'I | Capex forecast'!$A$11:$AA$160,P$8,0)*INDEX('I | Inflation'!$F$46:$G$49,MATCH($I12,'I | Inflation'!$E$46:$E$49,0),MATCH($H12,'I | Inflation'!$F$45:$G$45,0)),0)</f>
        <v>0</v>
      </c>
      <c r="Q12" s="54">
        <f t="shared" ref="Q12:Q18" si="12">SUM(L12:P12)</f>
        <v>526467.06220095709</v>
      </c>
      <c r="R12" s="53"/>
      <c r="S12" s="226">
        <f>L12*VLOOKUP($A12,'I | Capex forecast'!$A$11:$AA$160,S$8,0)</f>
        <v>202301.38587192044</v>
      </c>
      <c r="T12" s="226">
        <f>M12*VLOOKUP($A12,'I | Capex forecast'!$A$11:$AA$160,T$8,0)</f>
        <v>0</v>
      </c>
      <c r="U12" s="226">
        <f>N12*VLOOKUP($A12,'I | Capex forecast'!$A$11:$AA$160,U$8,0)</f>
        <v>0</v>
      </c>
      <c r="V12" s="226">
        <f>O12*VLOOKUP($A12,'I | Capex forecast'!$A$11:$AA$160,V$8,0)</f>
        <v>0</v>
      </c>
      <c r="W12" s="226">
        <f>P12*VLOOKUP($A12,'I | Capex forecast'!$A$11:$AA$160,W$8,0)</f>
        <v>0</v>
      </c>
      <c r="X12" s="54">
        <f t="shared" ref="X12:X75" si="13">SUM(S12:W12)</f>
        <v>202301.38587192044</v>
      </c>
      <c r="Y12" s="53"/>
      <c r="Z12" s="52">
        <f>S12*(HLOOKUP(Z$10,'I | Inflation'!$E$57:$J$59,3,0)-1)</f>
        <v>2762.7071528597139</v>
      </c>
      <c r="AA12" s="52">
        <f>T12*(HLOOKUP(AA$10,'I | Inflation'!$E$57:$J$59,3,0)-1)</f>
        <v>0</v>
      </c>
      <c r="AB12" s="52">
        <f>U12*(HLOOKUP(AB$10,'I | Inflation'!$E$57:$J$59,3,0)-1)</f>
        <v>0</v>
      </c>
      <c r="AC12" s="52">
        <f>V12*(HLOOKUP(AC$10,'I | Inflation'!$E$57:$J$59,3,0)-1)</f>
        <v>0</v>
      </c>
      <c r="AD12" s="52">
        <f>W12*(HLOOKUP(AD$10,'I | Inflation'!$E$57:$J$59,3,0)-1)</f>
        <v>0</v>
      </c>
      <c r="AE12" s="54">
        <f t="shared" ref="AE12:AE75" si="14">SUM(Z12:AD12)</f>
        <v>2762.7071528597139</v>
      </c>
      <c r="AF12" s="53"/>
      <c r="AG12" s="226">
        <f t="shared" ref="AG12:AG75" si="15">S12+Z12</f>
        <v>205064.09302478016</v>
      </c>
      <c r="AH12" s="226">
        <f t="shared" ref="AH12:AH75" si="16">T12+AA12</f>
        <v>0</v>
      </c>
      <c r="AI12" s="226">
        <f t="shared" ref="AI12:AI75" si="17">U12+AB12</f>
        <v>0</v>
      </c>
      <c r="AJ12" s="226">
        <f t="shared" ref="AJ12:AJ75" si="18">V12+AC12</f>
        <v>0</v>
      </c>
      <c r="AK12" s="226">
        <f t="shared" ref="AK12:AK75" si="19">W12+AD12</f>
        <v>0</v>
      </c>
      <c r="AL12" s="54">
        <f t="shared" ref="AL12:AL75" si="20">SUM(AG12:AK12)</f>
        <v>205064.09302478016</v>
      </c>
      <c r="AM12" s="53"/>
      <c r="AN12" s="52"/>
      <c r="AO12" s="52"/>
      <c r="AP12" s="52"/>
      <c r="AQ12" s="52"/>
      <c r="AR12" s="52"/>
      <c r="AS12" s="54">
        <f t="shared" ref="AS12:AS75" si="21">SUM(AN12:AR12)</f>
        <v>0</v>
      </c>
      <c r="AT12" s="53"/>
      <c r="AU12" s="52"/>
      <c r="AV12" s="52"/>
      <c r="AW12" s="52"/>
      <c r="AX12" s="52"/>
      <c r="AY12" s="52"/>
      <c r="AZ12" s="54">
        <f t="shared" ref="AZ12:AZ75" si="22">SUM(AU12:AY12)</f>
        <v>0</v>
      </c>
      <c r="BA12" s="53"/>
      <c r="BB12" s="52"/>
      <c r="BC12" s="52"/>
      <c r="BD12" s="52"/>
      <c r="BE12" s="52"/>
      <c r="BF12" s="52"/>
      <c r="BG12" s="54">
        <f t="shared" ref="BG12:BG75" si="23">SUM(BB12:BF12)</f>
        <v>0</v>
      </c>
      <c r="BH12" s="53"/>
      <c r="BI12" s="52">
        <f>L12*VLOOKUP($A12,'I | Capex forecast'!$A$11:$AA$160,BI$8,0)</f>
        <v>47382.035598086135</v>
      </c>
      <c r="BJ12" s="52">
        <f>M12*VLOOKUP($A12,'I | Capex forecast'!$A$11:$AA$160,BJ$8,0)</f>
        <v>0</v>
      </c>
      <c r="BK12" s="52">
        <f>N12*VLOOKUP($A12,'I | Capex forecast'!$A$11:$AA$160,BK$8,0)</f>
        <v>0</v>
      </c>
      <c r="BL12" s="52">
        <f>O12*VLOOKUP($A12,'I | Capex forecast'!$A$11:$AA$160,BL$8,0)</f>
        <v>0</v>
      </c>
      <c r="BM12" s="52">
        <f>P12*VLOOKUP($A12,'I | Capex forecast'!$A$11:$AA$160,BM$8,0)</f>
        <v>0</v>
      </c>
      <c r="BN12" s="54">
        <f t="shared" ref="BN12:BN75" si="24">SUM(BI12:BM12)</f>
        <v>47382.035598086135</v>
      </c>
      <c r="BO12" s="53"/>
      <c r="BP12" s="52">
        <f t="shared" si="1"/>
        <v>576611.80495190294</v>
      </c>
      <c r="BQ12" s="52">
        <f t="shared" si="2"/>
        <v>0</v>
      </c>
      <c r="BR12" s="52">
        <f t="shared" si="3"/>
        <v>0</v>
      </c>
      <c r="BS12" s="52">
        <f t="shared" si="4"/>
        <v>0</v>
      </c>
      <c r="BT12" s="52">
        <f t="shared" si="5"/>
        <v>0</v>
      </c>
      <c r="BU12" s="54">
        <f t="shared" ref="BU12:BU75" si="25">SUM(BP12:BT12)</f>
        <v>576611.80495190294</v>
      </c>
      <c r="BW12" s="52">
        <f t="shared" si="6"/>
        <v>576611.80495190294</v>
      </c>
      <c r="BX12" s="52">
        <f t="shared" si="7"/>
        <v>0</v>
      </c>
      <c r="BY12" s="52">
        <f t="shared" si="8"/>
        <v>0</v>
      </c>
      <c r="BZ12" s="52">
        <f t="shared" si="9"/>
        <v>0</v>
      </c>
      <c r="CA12" s="52">
        <f t="shared" si="10"/>
        <v>0</v>
      </c>
      <c r="CB12" s="54">
        <f t="shared" ref="CB12:CB75" si="26">SUM(BW12:CA12)</f>
        <v>576611.80495190294</v>
      </c>
      <c r="CC12" s="53"/>
      <c r="CD12" s="52">
        <f t="shared" ref="CD12:CD75" si="27">IF($J12="Yes",BW12,0)</f>
        <v>0</v>
      </c>
      <c r="CE12" s="52">
        <f t="shared" ref="CE12:CE75" si="28">IF($J12="Yes",BX12,0)</f>
        <v>0</v>
      </c>
      <c r="CF12" s="52">
        <f t="shared" ref="CF12:CF75" si="29">IF($J12="Yes",BY12,0)</f>
        <v>0</v>
      </c>
      <c r="CG12" s="52">
        <f t="shared" ref="CG12:CG75" si="30">IF($J12="Yes",BZ12,0)</f>
        <v>0</v>
      </c>
      <c r="CH12" s="52">
        <f t="shared" ref="CH12:CH75" si="31">IF($J12="Yes",CA12,0)</f>
        <v>0</v>
      </c>
      <c r="CI12" s="54">
        <f t="shared" ref="CI12:CI75" si="32">SUM(CD12:CH12)</f>
        <v>0</v>
      </c>
    </row>
    <row r="13" spans="1:87" s="4" customFormat="1" x14ac:dyDescent="0.3">
      <c r="A13" s="56">
        <v>3</v>
      </c>
      <c r="B13" s="48" t="str">
        <f>IF('I | Capex forecast'!B13="","",'I | Capex forecast'!B13)</f>
        <v>DN250 Peat Lateral - ILI</v>
      </c>
      <c r="C13" s="48" t="str">
        <f>IF('I | Capex forecast'!C13="","",'I | Capex forecast'!C13)</f>
        <v>Pipeline Integrity</v>
      </c>
      <c r="D13" s="48" t="str">
        <f>IF('I | Capex forecast'!D13="","",'I | Capex forecast'!D13)</f>
        <v>ILI</v>
      </c>
      <c r="E13" s="48" t="str">
        <f>IF('I | Capex forecast'!E13="","",'I | Capex forecast'!E13)</f>
        <v>Pipeline Integrity</v>
      </c>
      <c r="F13" s="48" t="str">
        <f>IF('I | Capex forecast'!F13="","",'I | Capex forecast'!F13)</f>
        <v>Replacement</v>
      </c>
      <c r="G13" s="48" t="str">
        <f>IF('I | Capex forecast'!G13="","",'I | Capex forecast'!G13)</f>
        <v>As incurred</v>
      </c>
      <c r="H13" s="48" t="str">
        <f>IF('I | Capex forecast'!H13="","",'I | Capex forecast'!H13)</f>
        <v>FY 26</v>
      </c>
      <c r="I13" s="48" t="str">
        <f>IF('I | Capex forecast'!I13="","",'I | Capex forecast'!I13)</f>
        <v>Mid-year</v>
      </c>
      <c r="J13" s="48" t="str">
        <f>IF('I | Capex forecast'!J13="","",'I | Capex forecast'!J13)</f>
        <v>No</v>
      </c>
      <c r="K13" s="50"/>
      <c r="L13" s="52">
        <f>IFERROR(VLOOKUP($A13,'I | Capex forecast'!$A$11:$AA$160,L$8,0)*INDEX('I | Inflation'!$F$46:$G$49,MATCH($I13,'I | Inflation'!$E$46:$E$49,0),MATCH($H13,'I | Inflation'!$F$45:$G$45,0)),0)</f>
        <v>0</v>
      </c>
      <c r="M13" s="52">
        <f>IFERROR(VLOOKUP($A13,'I | Capex forecast'!$A$11:$AA$160,M$8,0)*INDEX('I | Inflation'!$F$46:$G$49,MATCH($I13,'I | Inflation'!$E$46:$E$49,0),MATCH($H13,'I | Inflation'!$F$45:$G$45,0)),0)</f>
        <v>631760.47464114847</v>
      </c>
      <c r="N13" s="52">
        <f>IFERROR(VLOOKUP($A13,'I | Capex forecast'!$A$11:$AA$160,N$8,0)*INDEX('I | Inflation'!$F$46:$G$49,MATCH($I13,'I | Inflation'!$E$46:$E$49,0),MATCH($H13,'I | Inflation'!$F$45:$G$45,0)),0)</f>
        <v>0</v>
      </c>
      <c r="O13" s="52">
        <f>IFERROR(VLOOKUP($A13,'I | Capex forecast'!$A$11:$AA$160,O$8,0)*INDEX('I | Inflation'!$F$46:$G$49,MATCH($I13,'I | Inflation'!$E$46:$E$49,0),MATCH($H13,'I | Inflation'!$F$45:$G$45,0)),0)</f>
        <v>0</v>
      </c>
      <c r="P13" s="52">
        <f>IFERROR(VLOOKUP($A13,'I | Capex forecast'!$A$11:$AA$160,P$8,0)*INDEX('I | Inflation'!$F$46:$G$49,MATCH($I13,'I | Inflation'!$E$46:$E$49,0),MATCH($H13,'I | Inflation'!$F$45:$G$45,0)),0)</f>
        <v>0</v>
      </c>
      <c r="Q13" s="54">
        <f t="shared" si="12"/>
        <v>631760.47464114847</v>
      </c>
      <c r="R13" s="53"/>
      <c r="S13" s="226">
        <f>L13*VLOOKUP($A13,'I | Capex forecast'!$A$11:$AA$160,S$8,0)</f>
        <v>0</v>
      </c>
      <c r="T13" s="226">
        <f>M13*VLOOKUP($A13,'I | Capex forecast'!$A$11:$AA$160,T$8,0)</f>
        <v>242761.66304630451</v>
      </c>
      <c r="U13" s="226">
        <f>N13*VLOOKUP($A13,'I | Capex forecast'!$A$11:$AA$160,U$8,0)</f>
        <v>0</v>
      </c>
      <c r="V13" s="226">
        <f>O13*VLOOKUP($A13,'I | Capex forecast'!$A$11:$AA$160,V$8,0)</f>
        <v>0</v>
      </c>
      <c r="W13" s="226">
        <f>P13*VLOOKUP($A13,'I | Capex forecast'!$A$11:$AA$160,W$8,0)</f>
        <v>0</v>
      </c>
      <c r="X13" s="54">
        <f t="shared" si="13"/>
        <v>242761.66304630451</v>
      </c>
      <c r="Y13" s="53"/>
      <c r="Z13" s="52">
        <f>S13*(HLOOKUP(Z$10,'I | Inflation'!$E$57:$J$59,3,0)-1)</f>
        <v>0</v>
      </c>
      <c r="AA13" s="52">
        <f>T13*(HLOOKUP(AA$10,'I | Inflation'!$E$57:$J$59,3,0)-1)</f>
        <v>4577.3625406234996</v>
      </c>
      <c r="AB13" s="52">
        <f>U13*(HLOOKUP(AB$10,'I | Inflation'!$E$57:$J$59,3,0)-1)</f>
        <v>0</v>
      </c>
      <c r="AC13" s="52">
        <f>V13*(HLOOKUP(AC$10,'I | Inflation'!$E$57:$J$59,3,0)-1)</f>
        <v>0</v>
      </c>
      <c r="AD13" s="52">
        <f>W13*(HLOOKUP(AD$10,'I | Inflation'!$E$57:$J$59,3,0)-1)</f>
        <v>0</v>
      </c>
      <c r="AE13" s="54">
        <f t="shared" si="14"/>
        <v>4577.3625406234996</v>
      </c>
      <c r="AF13" s="53"/>
      <c r="AG13" s="226">
        <f t="shared" si="15"/>
        <v>0</v>
      </c>
      <c r="AH13" s="226">
        <f t="shared" si="16"/>
        <v>247339.02558692801</v>
      </c>
      <c r="AI13" s="226">
        <f t="shared" si="17"/>
        <v>0</v>
      </c>
      <c r="AJ13" s="226">
        <f t="shared" si="18"/>
        <v>0</v>
      </c>
      <c r="AK13" s="226">
        <f t="shared" si="19"/>
        <v>0</v>
      </c>
      <c r="AL13" s="54">
        <f t="shared" si="20"/>
        <v>247339.02558692801</v>
      </c>
      <c r="AM13" s="53"/>
      <c r="AN13" s="52"/>
      <c r="AO13" s="52"/>
      <c r="AP13" s="52"/>
      <c r="AQ13" s="52"/>
      <c r="AR13" s="52"/>
      <c r="AS13" s="54">
        <f t="shared" si="21"/>
        <v>0</v>
      </c>
      <c r="AT13" s="53"/>
      <c r="AU13" s="52"/>
      <c r="AV13" s="52"/>
      <c r="AW13" s="52"/>
      <c r="AX13" s="52"/>
      <c r="AY13" s="52"/>
      <c r="AZ13" s="54">
        <f t="shared" si="22"/>
        <v>0</v>
      </c>
      <c r="BA13" s="53"/>
      <c r="BB13" s="52"/>
      <c r="BC13" s="52"/>
      <c r="BD13" s="52"/>
      <c r="BE13" s="52"/>
      <c r="BF13" s="52"/>
      <c r="BG13" s="54">
        <f t="shared" si="23"/>
        <v>0</v>
      </c>
      <c r="BH13" s="53"/>
      <c r="BI13" s="52">
        <f>L13*VLOOKUP($A13,'I | Capex forecast'!$A$11:$AA$160,BI$8,0)</f>
        <v>0</v>
      </c>
      <c r="BJ13" s="52">
        <f>M13*VLOOKUP($A13,'I | Capex forecast'!$A$11:$AA$160,BJ$8,0)</f>
        <v>56858.442717703358</v>
      </c>
      <c r="BK13" s="52">
        <f>N13*VLOOKUP($A13,'I | Capex forecast'!$A$11:$AA$160,BK$8,0)</f>
        <v>0</v>
      </c>
      <c r="BL13" s="52">
        <f>O13*VLOOKUP($A13,'I | Capex forecast'!$A$11:$AA$160,BL$8,0)</f>
        <v>0</v>
      </c>
      <c r="BM13" s="52">
        <f>P13*VLOOKUP($A13,'I | Capex forecast'!$A$11:$AA$160,BM$8,0)</f>
        <v>0</v>
      </c>
      <c r="BN13" s="54">
        <f t="shared" si="24"/>
        <v>56858.442717703358</v>
      </c>
      <c r="BO13" s="53"/>
      <c r="BP13" s="52">
        <f t="shared" si="1"/>
        <v>0</v>
      </c>
      <c r="BQ13" s="52">
        <f t="shared" si="2"/>
        <v>693196.2798994754</v>
      </c>
      <c r="BR13" s="52">
        <f t="shared" si="3"/>
        <v>0</v>
      </c>
      <c r="BS13" s="52">
        <f t="shared" si="4"/>
        <v>0</v>
      </c>
      <c r="BT13" s="52">
        <f t="shared" si="5"/>
        <v>0</v>
      </c>
      <c r="BU13" s="54">
        <f t="shared" si="25"/>
        <v>693196.2798994754</v>
      </c>
      <c r="BW13" s="52">
        <f t="shared" si="6"/>
        <v>0</v>
      </c>
      <c r="BX13" s="52">
        <f t="shared" si="7"/>
        <v>693196.2798994754</v>
      </c>
      <c r="BY13" s="52">
        <f t="shared" si="8"/>
        <v>0</v>
      </c>
      <c r="BZ13" s="52">
        <f t="shared" si="9"/>
        <v>0</v>
      </c>
      <c r="CA13" s="52">
        <f t="shared" si="10"/>
        <v>0</v>
      </c>
      <c r="CB13" s="54">
        <f t="shared" si="26"/>
        <v>693196.2798994754</v>
      </c>
      <c r="CC13" s="53"/>
      <c r="CD13" s="52">
        <f t="shared" si="27"/>
        <v>0</v>
      </c>
      <c r="CE13" s="52">
        <f t="shared" si="28"/>
        <v>0</v>
      </c>
      <c r="CF13" s="52">
        <f t="shared" si="29"/>
        <v>0</v>
      </c>
      <c r="CG13" s="52">
        <f t="shared" si="30"/>
        <v>0</v>
      </c>
      <c r="CH13" s="52">
        <f t="shared" si="31"/>
        <v>0</v>
      </c>
      <c r="CI13" s="54">
        <f t="shared" si="32"/>
        <v>0</v>
      </c>
    </row>
    <row r="14" spans="1:87" s="4" customFormat="1" x14ac:dyDescent="0.3">
      <c r="A14" s="56">
        <v>4</v>
      </c>
      <c r="B14" s="48" t="str">
        <f>IF('I | Capex forecast'!B14="","",'I | Capex forecast'!B14)</f>
        <v>DN250 Peat Lateral - Validation Dig ILI</v>
      </c>
      <c r="C14" s="48" t="str">
        <f>IF('I | Capex forecast'!C14="","",'I | Capex forecast'!C14)</f>
        <v>Pipeline Integrity</v>
      </c>
      <c r="D14" s="48" t="str">
        <f>IF('I | Capex forecast'!D14="","",'I | Capex forecast'!D14)</f>
        <v>Validation dig</v>
      </c>
      <c r="E14" s="48" t="str">
        <f>IF('I | Capex forecast'!E14="","",'I | Capex forecast'!E14)</f>
        <v>Pipeline Integrity</v>
      </c>
      <c r="F14" s="48" t="str">
        <f>IF('I | Capex forecast'!F14="","",'I | Capex forecast'!F14)</f>
        <v>Replacement</v>
      </c>
      <c r="G14" s="48" t="str">
        <f>IF('I | Capex forecast'!G14="","",'I | Capex forecast'!G14)</f>
        <v>As incurred</v>
      </c>
      <c r="H14" s="48" t="str">
        <f>IF('I | Capex forecast'!H14="","",'I | Capex forecast'!H14)</f>
        <v>FY 26</v>
      </c>
      <c r="I14" s="48" t="str">
        <f>IF('I | Capex forecast'!I14="","",'I | Capex forecast'!I14)</f>
        <v>Mid-year</v>
      </c>
      <c r="J14" s="48" t="str">
        <f>IF('I | Capex forecast'!J14="","",'I | Capex forecast'!J14)</f>
        <v>No</v>
      </c>
      <c r="K14" s="50"/>
      <c r="L14" s="52">
        <f>IFERROR(VLOOKUP($A14,'I | Capex forecast'!$A$11:$AA$160,L$8,0)*INDEX('I | Inflation'!$F$46:$G$49,MATCH($I14,'I | Inflation'!$E$46:$E$49,0),MATCH($H14,'I | Inflation'!$F$45:$G$45,0)),0)</f>
        <v>0</v>
      </c>
      <c r="M14" s="52">
        <f>IFERROR(VLOOKUP($A14,'I | Capex forecast'!$A$11:$AA$160,M$8,0)*INDEX('I | Inflation'!$F$46:$G$49,MATCH($I14,'I | Inflation'!$E$46:$E$49,0),MATCH($H14,'I | Inflation'!$F$45:$G$45,0)),0)</f>
        <v>0</v>
      </c>
      <c r="N14" s="52">
        <f>IFERROR(VLOOKUP($A14,'I | Capex forecast'!$A$11:$AA$160,N$8,0)*INDEX('I | Inflation'!$F$46:$G$49,MATCH($I14,'I | Inflation'!$E$46:$E$49,0),MATCH($H14,'I | Inflation'!$F$45:$G$45,0)),0)</f>
        <v>947640.7119617227</v>
      </c>
      <c r="O14" s="52">
        <f>IFERROR(VLOOKUP($A14,'I | Capex forecast'!$A$11:$AA$160,O$8,0)*INDEX('I | Inflation'!$F$46:$G$49,MATCH($I14,'I | Inflation'!$E$46:$E$49,0),MATCH($H14,'I | Inflation'!$F$45:$G$45,0)),0)</f>
        <v>0</v>
      </c>
      <c r="P14" s="52">
        <f>IFERROR(VLOOKUP($A14,'I | Capex forecast'!$A$11:$AA$160,P$8,0)*INDEX('I | Inflation'!$F$46:$G$49,MATCH($I14,'I | Inflation'!$E$46:$E$49,0),MATCH($H14,'I | Inflation'!$F$45:$G$45,0)),0)</f>
        <v>0</v>
      </c>
      <c r="Q14" s="54">
        <f t="shared" si="12"/>
        <v>947640.7119617227</v>
      </c>
      <c r="R14" s="53"/>
      <c r="S14" s="226">
        <f>L14*VLOOKUP($A14,'I | Capex forecast'!$A$11:$AA$160,S$8,0)</f>
        <v>0</v>
      </c>
      <c r="T14" s="226">
        <f>M14*VLOOKUP($A14,'I | Capex forecast'!$A$11:$AA$160,T$8,0)</f>
        <v>0</v>
      </c>
      <c r="U14" s="226">
        <f>N14*VLOOKUP($A14,'I | Capex forecast'!$A$11:$AA$160,U$8,0)</f>
        <v>364142.49456945679</v>
      </c>
      <c r="V14" s="226">
        <f>O14*VLOOKUP($A14,'I | Capex forecast'!$A$11:$AA$160,V$8,0)</f>
        <v>0</v>
      </c>
      <c r="W14" s="226">
        <f>P14*VLOOKUP($A14,'I | Capex forecast'!$A$11:$AA$160,W$8,0)</f>
        <v>0</v>
      </c>
      <c r="X14" s="54">
        <f t="shared" si="13"/>
        <v>364142.49456945679</v>
      </c>
      <c r="Y14" s="53"/>
      <c r="Z14" s="52">
        <f>S14*(HLOOKUP(Z$10,'I | Inflation'!$E$57:$J$59,3,0)-1)</f>
        <v>0</v>
      </c>
      <c r="AA14" s="52">
        <f>T14*(HLOOKUP(AA$10,'I | Inflation'!$E$57:$J$59,3,0)-1)</f>
        <v>0</v>
      </c>
      <c r="AB14" s="52">
        <f>U14*(HLOOKUP(AB$10,'I | Inflation'!$E$57:$J$59,3,0)-1)</f>
        <v>10021.467689519101</v>
      </c>
      <c r="AC14" s="52">
        <f>V14*(HLOOKUP(AC$10,'I | Inflation'!$E$57:$J$59,3,0)-1)</f>
        <v>0</v>
      </c>
      <c r="AD14" s="52">
        <f>W14*(HLOOKUP(AD$10,'I | Inflation'!$E$57:$J$59,3,0)-1)</f>
        <v>0</v>
      </c>
      <c r="AE14" s="54">
        <f t="shared" si="14"/>
        <v>10021.467689519101</v>
      </c>
      <c r="AF14" s="53"/>
      <c r="AG14" s="226">
        <f t="shared" si="15"/>
        <v>0</v>
      </c>
      <c r="AH14" s="226">
        <f t="shared" si="16"/>
        <v>0</v>
      </c>
      <c r="AI14" s="226">
        <f t="shared" si="17"/>
        <v>374163.96225897589</v>
      </c>
      <c r="AJ14" s="226">
        <f t="shared" si="18"/>
        <v>0</v>
      </c>
      <c r="AK14" s="226">
        <f t="shared" si="19"/>
        <v>0</v>
      </c>
      <c r="AL14" s="54">
        <f t="shared" si="20"/>
        <v>374163.96225897589</v>
      </c>
      <c r="AM14" s="53"/>
      <c r="AN14" s="52"/>
      <c r="AO14" s="52"/>
      <c r="AP14" s="52"/>
      <c r="AQ14" s="52"/>
      <c r="AR14" s="52"/>
      <c r="AS14" s="54">
        <f t="shared" si="21"/>
        <v>0</v>
      </c>
      <c r="AT14" s="53"/>
      <c r="AU14" s="52"/>
      <c r="AV14" s="52"/>
      <c r="AW14" s="52"/>
      <c r="AX14" s="52"/>
      <c r="AY14" s="52"/>
      <c r="AZ14" s="54">
        <f t="shared" si="22"/>
        <v>0</v>
      </c>
      <c r="BA14" s="53"/>
      <c r="BB14" s="52"/>
      <c r="BC14" s="52"/>
      <c r="BD14" s="52"/>
      <c r="BE14" s="52"/>
      <c r="BF14" s="52"/>
      <c r="BG14" s="54">
        <f t="shared" si="23"/>
        <v>0</v>
      </c>
      <c r="BH14" s="53"/>
      <c r="BI14" s="52">
        <f>L14*VLOOKUP($A14,'I | Capex forecast'!$A$11:$AA$160,BI$8,0)</f>
        <v>0</v>
      </c>
      <c r="BJ14" s="52">
        <f>M14*VLOOKUP($A14,'I | Capex forecast'!$A$11:$AA$160,BJ$8,0)</f>
        <v>0</v>
      </c>
      <c r="BK14" s="52">
        <f>N14*VLOOKUP($A14,'I | Capex forecast'!$A$11:$AA$160,BK$8,0)</f>
        <v>85287.66407655504</v>
      </c>
      <c r="BL14" s="52">
        <f>O14*VLOOKUP($A14,'I | Capex forecast'!$A$11:$AA$160,BL$8,0)</f>
        <v>0</v>
      </c>
      <c r="BM14" s="52">
        <f>P14*VLOOKUP($A14,'I | Capex forecast'!$A$11:$AA$160,BM$8,0)</f>
        <v>0</v>
      </c>
      <c r="BN14" s="54">
        <f t="shared" si="24"/>
        <v>85287.66407655504</v>
      </c>
      <c r="BO14" s="53"/>
      <c r="BP14" s="52">
        <f t="shared" si="1"/>
        <v>0</v>
      </c>
      <c r="BQ14" s="52">
        <f t="shared" si="2"/>
        <v>0</v>
      </c>
      <c r="BR14" s="52">
        <f t="shared" si="3"/>
        <v>1042949.8437277968</v>
      </c>
      <c r="BS14" s="52">
        <f t="shared" si="4"/>
        <v>0</v>
      </c>
      <c r="BT14" s="52">
        <f t="shared" si="5"/>
        <v>0</v>
      </c>
      <c r="BU14" s="54">
        <f t="shared" si="25"/>
        <v>1042949.8437277968</v>
      </c>
      <c r="BW14" s="52">
        <f t="shared" si="6"/>
        <v>0</v>
      </c>
      <c r="BX14" s="52">
        <f t="shared" si="7"/>
        <v>0</v>
      </c>
      <c r="BY14" s="52">
        <f t="shared" si="8"/>
        <v>1042949.8437277968</v>
      </c>
      <c r="BZ14" s="52">
        <f t="shared" si="9"/>
        <v>0</v>
      </c>
      <c r="CA14" s="52">
        <f t="shared" si="10"/>
        <v>0</v>
      </c>
      <c r="CB14" s="54">
        <f t="shared" si="26"/>
        <v>1042949.8437277968</v>
      </c>
      <c r="CC14" s="53"/>
      <c r="CD14" s="52">
        <f t="shared" si="27"/>
        <v>0</v>
      </c>
      <c r="CE14" s="52">
        <f t="shared" si="28"/>
        <v>0</v>
      </c>
      <c r="CF14" s="52">
        <f t="shared" si="29"/>
        <v>0</v>
      </c>
      <c r="CG14" s="52">
        <f t="shared" si="30"/>
        <v>0</v>
      </c>
      <c r="CH14" s="52">
        <f t="shared" si="31"/>
        <v>0</v>
      </c>
      <c r="CI14" s="54">
        <f t="shared" si="32"/>
        <v>0</v>
      </c>
    </row>
    <row r="15" spans="1:87" s="4" customFormat="1" x14ac:dyDescent="0.3">
      <c r="A15" s="56">
        <v>5</v>
      </c>
      <c r="B15" s="48" t="str">
        <f>IF('I | Capex forecast'!B15="","",'I | Capex forecast'!B15)</f>
        <v>DN300 Metro - ILI - MFL + EMAT</v>
      </c>
      <c r="C15" s="48" t="str">
        <f>IF('I | Capex forecast'!C15="","",'I | Capex forecast'!C15)</f>
        <v>Pipeline Integrity</v>
      </c>
      <c r="D15" s="48" t="str">
        <f>IF('I | Capex forecast'!D15="","",'I | Capex forecast'!D15)</f>
        <v>ILI</v>
      </c>
      <c r="E15" s="48" t="str">
        <f>IF('I | Capex forecast'!E15="","",'I | Capex forecast'!E15)</f>
        <v>Pipeline Integrity</v>
      </c>
      <c r="F15" s="48" t="str">
        <f>IF('I | Capex forecast'!F15="","",'I | Capex forecast'!F15)</f>
        <v>Replacement</v>
      </c>
      <c r="G15" s="48" t="str">
        <f>IF('I | Capex forecast'!G15="","",'I | Capex forecast'!G15)</f>
        <v>As incurred</v>
      </c>
      <c r="H15" s="48" t="str">
        <f>IF('I | Capex forecast'!H15="","",'I | Capex forecast'!H15)</f>
        <v>FY 26</v>
      </c>
      <c r="I15" s="48" t="str">
        <f>IF('I | Capex forecast'!I15="","",'I | Capex forecast'!I15)</f>
        <v>Mid-year</v>
      </c>
      <c r="J15" s="48" t="str">
        <f>IF('I | Capex forecast'!J15="","",'I | Capex forecast'!J15)</f>
        <v>No</v>
      </c>
      <c r="K15" s="50"/>
      <c r="L15" s="52">
        <f>IFERROR(VLOOKUP($A15,'I | Capex forecast'!$A$11:$AA$160,L$8,0)*INDEX('I | Inflation'!$F$46:$G$49,MATCH($I15,'I | Inflation'!$E$46:$E$49,0),MATCH($H15,'I | Inflation'!$F$45:$G$45,0)),0)</f>
        <v>0</v>
      </c>
      <c r="M15" s="52">
        <f>IFERROR(VLOOKUP($A15,'I | Capex forecast'!$A$11:$AA$160,M$8,0)*INDEX('I | Inflation'!$F$46:$G$49,MATCH($I15,'I | Inflation'!$E$46:$E$49,0),MATCH($H15,'I | Inflation'!$F$45:$G$45,0)),0)</f>
        <v>0</v>
      </c>
      <c r="N15" s="52">
        <f>IFERROR(VLOOKUP($A15,'I | Capex forecast'!$A$11:$AA$160,N$8,0)*INDEX('I | Inflation'!$F$46:$G$49,MATCH($I15,'I | Inflation'!$E$46:$E$49,0),MATCH($H15,'I | Inflation'!$F$45:$G$45,0)),0)</f>
        <v>84234.729952153124</v>
      </c>
      <c r="O15" s="52">
        <f>IFERROR(VLOOKUP($A15,'I | Capex forecast'!$A$11:$AA$160,O$8,0)*INDEX('I | Inflation'!$F$46:$G$49,MATCH($I15,'I | Inflation'!$E$46:$E$49,0),MATCH($H15,'I | Inflation'!$F$45:$G$45,0)),0)</f>
        <v>1500522.7325415506</v>
      </c>
      <c r="P15" s="52">
        <f>IFERROR(VLOOKUP($A15,'I | Capex forecast'!$A$11:$AA$160,P$8,0)*INDEX('I | Inflation'!$F$46:$G$49,MATCH($I15,'I | Inflation'!$E$46:$E$49,0),MATCH($H15,'I | Inflation'!$F$45:$G$45,0)),0)</f>
        <v>792005.46609975141</v>
      </c>
      <c r="Q15" s="54">
        <f t="shared" si="12"/>
        <v>2376762.9285934549</v>
      </c>
      <c r="R15" s="53"/>
      <c r="S15" s="226">
        <f>L15*VLOOKUP($A15,'I | Capex forecast'!$A$11:$AA$160,S$8,0)</f>
        <v>0</v>
      </c>
      <c r="T15" s="226">
        <f>M15*VLOOKUP($A15,'I | Capex forecast'!$A$11:$AA$160,T$8,0)</f>
        <v>0</v>
      </c>
      <c r="U15" s="226">
        <f>N15*VLOOKUP($A15,'I | Capex forecast'!$A$11:$AA$160,U$8,0)</f>
        <v>32368.221739507266</v>
      </c>
      <c r="V15" s="226">
        <f>O15*VLOOKUP($A15,'I | Capex forecast'!$A$11:$AA$160,V$8,0)</f>
        <v>576594.15017611498</v>
      </c>
      <c r="W15" s="226">
        <f>P15*VLOOKUP($A15,'I | Capex forecast'!$A$11:$AA$160,W$8,0)</f>
        <v>304337.75427522796</v>
      </c>
      <c r="X15" s="54">
        <f t="shared" si="13"/>
        <v>913300.12619085028</v>
      </c>
      <c r="Y15" s="53"/>
      <c r="Z15" s="52">
        <f>S15*(HLOOKUP(Z$10,'I | Inflation'!$E$57:$J$59,3,0)-1)</f>
        <v>0</v>
      </c>
      <c r="AA15" s="52">
        <f>T15*(HLOOKUP(AA$10,'I | Inflation'!$E$57:$J$59,3,0)-1)</f>
        <v>0</v>
      </c>
      <c r="AB15" s="52">
        <f>U15*(HLOOKUP(AB$10,'I | Inflation'!$E$57:$J$59,3,0)-1)</f>
        <v>890.79712795725322</v>
      </c>
      <c r="AC15" s="52">
        <f>V15*(HLOOKUP(AC$10,'I | Inflation'!$E$57:$J$59,3,0)-1)</f>
        <v>22620.174319122329</v>
      </c>
      <c r="AD15" s="52">
        <f>W15*(HLOOKUP(AD$10,'I | Inflation'!$E$57:$J$59,3,0)-1)</f>
        <v>14099.81440893117</v>
      </c>
      <c r="AE15" s="54">
        <f t="shared" si="14"/>
        <v>37610.785856010749</v>
      </c>
      <c r="AF15" s="53"/>
      <c r="AG15" s="226">
        <f t="shared" si="15"/>
        <v>0</v>
      </c>
      <c r="AH15" s="226">
        <f t="shared" si="16"/>
        <v>0</v>
      </c>
      <c r="AI15" s="226">
        <f t="shared" si="17"/>
        <v>33259.018867464518</v>
      </c>
      <c r="AJ15" s="226">
        <f t="shared" si="18"/>
        <v>599214.32449523732</v>
      </c>
      <c r="AK15" s="226">
        <f t="shared" si="19"/>
        <v>318437.56868415914</v>
      </c>
      <c r="AL15" s="54">
        <f t="shared" si="20"/>
        <v>950910.9120468609</v>
      </c>
      <c r="AM15" s="53"/>
      <c r="AN15" s="52"/>
      <c r="AO15" s="52"/>
      <c r="AP15" s="52"/>
      <c r="AQ15" s="52"/>
      <c r="AR15" s="52"/>
      <c r="AS15" s="54">
        <f t="shared" si="21"/>
        <v>0</v>
      </c>
      <c r="AT15" s="53"/>
      <c r="AU15" s="52"/>
      <c r="AV15" s="52"/>
      <c r="AW15" s="52"/>
      <c r="AX15" s="52"/>
      <c r="AY15" s="52"/>
      <c r="AZ15" s="54">
        <f t="shared" si="22"/>
        <v>0</v>
      </c>
      <c r="BA15" s="53"/>
      <c r="BB15" s="52"/>
      <c r="BC15" s="52"/>
      <c r="BD15" s="52"/>
      <c r="BE15" s="52"/>
      <c r="BF15" s="52"/>
      <c r="BG15" s="54">
        <f t="shared" si="23"/>
        <v>0</v>
      </c>
      <c r="BH15" s="53"/>
      <c r="BI15" s="52">
        <f>L15*VLOOKUP($A15,'I | Capex forecast'!$A$11:$AA$160,BI$8,0)</f>
        <v>0</v>
      </c>
      <c r="BJ15" s="52">
        <f>M15*VLOOKUP($A15,'I | Capex forecast'!$A$11:$AA$160,BJ$8,0)</f>
        <v>0</v>
      </c>
      <c r="BK15" s="52">
        <f>N15*VLOOKUP($A15,'I | Capex forecast'!$A$11:$AA$160,BK$8,0)</f>
        <v>7581.1256956937805</v>
      </c>
      <c r="BL15" s="52">
        <f>O15*VLOOKUP($A15,'I | Capex forecast'!$A$11:$AA$160,BL$8,0)</f>
        <v>135047.04592873956</v>
      </c>
      <c r="BM15" s="52">
        <f>P15*VLOOKUP($A15,'I | Capex forecast'!$A$11:$AA$160,BM$8,0)</f>
        <v>71280.491948977622</v>
      </c>
      <c r="BN15" s="54">
        <f t="shared" si="24"/>
        <v>213908.66357341094</v>
      </c>
      <c r="BO15" s="53"/>
      <c r="BP15" s="52">
        <f t="shared" si="1"/>
        <v>0</v>
      </c>
      <c r="BQ15" s="52">
        <f t="shared" si="2"/>
        <v>0</v>
      </c>
      <c r="BR15" s="52">
        <f t="shared" si="3"/>
        <v>92706.652775804163</v>
      </c>
      <c r="BS15" s="52">
        <f t="shared" si="4"/>
        <v>1658189.9527894123</v>
      </c>
      <c r="BT15" s="52">
        <f t="shared" si="5"/>
        <v>877385.77245766018</v>
      </c>
      <c r="BU15" s="54">
        <f t="shared" si="25"/>
        <v>2628282.3780228766</v>
      </c>
      <c r="BW15" s="52">
        <f t="shared" si="6"/>
        <v>0</v>
      </c>
      <c r="BX15" s="52">
        <f t="shared" si="7"/>
        <v>0</v>
      </c>
      <c r="BY15" s="52">
        <f t="shared" si="8"/>
        <v>92706.652775804163</v>
      </c>
      <c r="BZ15" s="52">
        <f t="shared" si="9"/>
        <v>1658189.9527894123</v>
      </c>
      <c r="CA15" s="52">
        <f t="shared" si="10"/>
        <v>877385.77245766018</v>
      </c>
      <c r="CB15" s="54">
        <f t="shared" si="26"/>
        <v>2628282.3780228766</v>
      </c>
      <c r="CC15" s="53"/>
      <c r="CD15" s="52">
        <f t="shared" si="27"/>
        <v>0</v>
      </c>
      <c r="CE15" s="52">
        <f t="shared" si="28"/>
        <v>0</v>
      </c>
      <c r="CF15" s="52">
        <f t="shared" si="29"/>
        <v>0</v>
      </c>
      <c r="CG15" s="52">
        <f t="shared" si="30"/>
        <v>0</v>
      </c>
      <c r="CH15" s="52">
        <f t="shared" si="31"/>
        <v>0</v>
      </c>
      <c r="CI15" s="54">
        <f t="shared" si="32"/>
        <v>0</v>
      </c>
    </row>
    <row r="16" spans="1:87" s="4" customFormat="1" x14ac:dyDescent="0.3">
      <c r="A16" s="56">
        <v>6</v>
      </c>
      <c r="B16" s="48" t="str">
        <f>IF('I | Capex forecast'!B16="","",'I | Capex forecast'!B16)</f>
        <v>DN300 Metro - Validation dig ILI</v>
      </c>
      <c r="C16" s="48" t="str">
        <f>IF('I | Capex forecast'!C16="","",'I | Capex forecast'!C16)</f>
        <v>Pipeline Integrity</v>
      </c>
      <c r="D16" s="48" t="str">
        <f>IF('I | Capex forecast'!D16="","",'I | Capex forecast'!D16)</f>
        <v>Validation dig</v>
      </c>
      <c r="E16" s="48" t="str">
        <f>IF('I | Capex forecast'!E16="","",'I | Capex forecast'!E16)</f>
        <v>Pipeline Integrity</v>
      </c>
      <c r="F16" s="48" t="str">
        <f>IF('I | Capex forecast'!F16="","",'I | Capex forecast'!F16)</f>
        <v>Replacement</v>
      </c>
      <c r="G16" s="48" t="str">
        <f>IF('I | Capex forecast'!G16="","",'I | Capex forecast'!G16)</f>
        <v>As incurred</v>
      </c>
      <c r="H16" s="48" t="str">
        <f>IF('I | Capex forecast'!H16="","",'I | Capex forecast'!H16)</f>
        <v>FY 26</v>
      </c>
      <c r="I16" s="48" t="str">
        <f>IF('I | Capex forecast'!I16="","",'I | Capex forecast'!I16)</f>
        <v>Mid-year</v>
      </c>
      <c r="J16" s="48" t="str">
        <f>IF('I | Capex forecast'!J16="","",'I | Capex forecast'!J16)</f>
        <v>No</v>
      </c>
      <c r="K16" s="50"/>
      <c r="L16" s="52">
        <f>IFERROR(VLOOKUP($A16,'I | Capex forecast'!$A$11:$AA$160,L$8,0)*INDEX('I | Inflation'!$F$46:$G$49,MATCH($I16,'I | Inflation'!$E$46:$E$49,0),MATCH($H16,'I | Inflation'!$F$45:$G$45,0)),0)</f>
        <v>1684694.5990430627</v>
      </c>
      <c r="M16" s="52">
        <f>IFERROR(VLOOKUP($A16,'I | Capex forecast'!$A$11:$AA$160,M$8,0)*INDEX('I | Inflation'!$F$46:$G$49,MATCH($I16,'I | Inflation'!$E$46:$E$49,0),MATCH($H16,'I | Inflation'!$F$45:$G$45,0)),0)</f>
        <v>0</v>
      </c>
      <c r="N16" s="52">
        <f>IFERROR(VLOOKUP($A16,'I | Capex forecast'!$A$11:$AA$160,N$8,0)*INDEX('I | Inflation'!$F$46:$G$49,MATCH($I16,'I | Inflation'!$E$46:$E$49,0),MATCH($H16,'I | Inflation'!$F$45:$G$45,0)),0)</f>
        <v>0</v>
      </c>
      <c r="O16" s="52">
        <f>IFERROR(VLOOKUP($A16,'I | Capex forecast'!$A$11:$AA$160,O$8,0)*INDEX('I | Inflation'!$F$46:$G$49,MATCH($I16,'I | Inflation'!$E$46:$E$49,0),MATCH($H16,'I | Inflation'!$F$45:$G$45,0)),0)</f>
        <v>0</v>
      </c>
      <c r="P16" s="52">
        <f>IFERROR(VLOOKUP($A16,'I | Capex forecast'!$A$11:$AA$160,P$8,0)*INDEX('I | Inflation'!$F$46:$G$49,MATCH($I16,'I | Inflation'!$E$46:$E$49,0),MATCH($H16,'I | Inflation'!$F$45:$G$45,0)),0)</f>
        <v>0</v>
      </c>
      <c r="Q16" s="54">
        <f t="shared" si="12"/>
        <v>1684694.5990430627</v>
      </c>
      <c r="R16" s="53"/>
      <c r="S16" s="226">
        <f>L16*VLOOKUP($A16,'I | Capex forecast'!$A$11:$AA$160,S$8,0)</f>
        <v>647364.43479014537</v>
      </c>
      <c r="T16" s="226">
        <f>M16*VLOOKUP($A16,'I | Capex forecast'!$A$11:$AA$160,T$8,0)</f>
        <v>0</v>
      </c>
      <c r="U16" s="226">
        <f>N16*VLOOKUP($A16,'I | Capex forecast'!$A$11:$AA$160,U$8,0)</f>
        <v>0</v>
      </c>
      <c r="V16" s="226">
        <f>O16*VLOOKUP($A16,'I | Capex forecast'!$A$11:$AA$160,V$8,0)</f>
        <v>0</v>
      </c>
      <c r="W16" s="226">
        <f>P16*VLOOKUP($A16,'I | Capex forecast'!$A$11:$AA$160,W$8,0)</f>
        <v>0</v>
      </c>
      <c r="X16" s="54">
        <f t="shared" si="13"/>
        <v>647364.43479014537</v>
      </c>
      <c r="Y16" s="53"/>
      <c r="Z16" s="52">
        <f>S16*(HLOOKUP(Z$10,'I | Inflation'!$E$57:$J$59,3,0)-1)</f>
        <v>8840.6628891510845</v>
      </c>
      <c r="AA16" s="52">
        <f>T16*(HLOOKUP(AA$10,'I | Inflation'!$E$57:$J$59,3,0)-1)</f>
        <v>0</v>
      </c>
      <c r="AB16" s="52">
        <f>U16*(HLOOKUP(AB$10,'I | Inflation'!$E$57:$J$59,3,0)-1)</f>
        <v>0</v>
      </c>
      <c r="AC16" s="52">
        <f>V16*(HLOOKUP(AC$10,'I | Inflation'!$E$57:$J$59,3,0)-1)</f>
        <v>0</v>
      </c>
      <c r="AD16" s="52">
        <f>W16*(HLOOKUP(AD$10,'I | Inflation'!$E$57:$J$59,3,0)-1)</f>
        <v>0</v>
      </c>
      <c r="AE16" s="54">
        <f t="shared" si="14"/>
        <v>8840.6628891510845</v>
      </c>
      <c r="AF16" s="53"/>
      <c r="AG16" s="226">
        <f t="shared" si="15"/>
        <v>656205.09767929651</v>
      </c>
      <c r="AH16" s="226">
        <f t="shared" si="16"/>
        <v>0</v>
      </c>
      <c r="AI16" s="226">
        <f t="shared" si="17"/>
        <v>0</v>
      </c>
      <c r="AJ16" s="226">
        <f t="shared" si="18"/>
        <v>0</v>
      </c>
      <c r="AK16" s="226">
        <f t="shared" si="19"/>
        <v>0</v>
      </c>
      <c r="AL16" s="54">
        <f t="shared" si="20"/>
        <v>656205.09767929651</v>
      </c>
      <c r="AM16" s="53"/>
      <c r="AN16" s="52"/>
      <c r="AO16" s="52"/>
      <c r="AP16" s="52"/>
      <c r="AQ16" s="52"/>
      <c r="AR16" s="52"/>
      <c r="AS16" s="54">
        <f t="shared" si="21"/>
        <v>0</v>
      </c>
      <c r="AT16" s="53"/>
      <c r="AU16" s="52"/>
      <c r="AV16" s="52"/>
      <c r="AW16" s="52"/>
      <c r="AX16" s="52"/>
      <c r="AY16" s="52"/>
      <c r="AZ16" s="54">
        <f t="shared" si="22"/>
        <v>0</v>
      </c>
      <c r="BA16" s="53"/>
      <c r="BB16" s="52"/>
      <c r="BC16" s="52"/>
      <c r="BD16" s="52"/>
      <c r="BE16" s="52"/>
      <c r="BF16" s="52"/>
      <c r="BG16" s="54">
        <f t="shared" si="23"/>
        <v>0</v>
      </c>
      <c r="BH16" s="53"/>
      <c r="BI16" s="52">
        <f>L16*VLOOKUP($A16,'I | Capex forecast'!$A$11:$AA$160,BI$8,0)</f>
        <v>151622.51391387562</v>
      </c>
      <c r="BJ16" s="52">
        <f>M16*VLOOKUP($A16,'I | Capex forecast'!$A$11:$AA$160,BJ$8,0)</f>
        <v>0</v>
      </c>
      <c r="BK16" s="52">
        <f>N16*VLOOKUP($A16,'I | Capex forecast'!$A$11:$AA$160,BK$8,0)</f>
        <v>0</v>
      </c>
      <c r="BL16" s="52">
        <f>O16*VLOOKUP($A16,'I | Capex forecast'!$A$11:$AA$160,BL$8,0)</f>
        <v>0</v>
      </c>
      <c r="BM16" s="52">
        <f>P16*VLOOKUP($A16,'I | Capex forecast'!$A$11:$AA$160,BM$8,0)</f>
        <v>0</v>
      </c>
      <c r="BN16" s="54">
        <f t="shared" si="24"/>
        <v>151622.51391387562</v>
      </c>
      <c r="BO16" s="53"/>
      <c r="BP16" s="52">
        <f t="shared" si="1"/>
        <v>1845157.7758460895</v>
      </c>
      <c r="BQ16" s="52">
        <f t="shared" si="2"/>
        <v>0</v>
      </c>
      <c r="BR16" s="52">
        <f t="shared" si="3"/>
        <v>0</v>
      </c>
      <c r="BS16" s="52">
        <f t="shared" si="4"/>
        <v>0</v>
      </c>
      <c r="BT16" s="52">
        <f t="shared" si="5"/>
        <v>0</v>
      </c>
      <c r="BU16" s="54">
        <f t="shared" si="25"/>
        <v>1845157.7758460895</v>
      </c>
      <c r="BW16" s="52">
        <f t="shared" si="6"/>
        <v>1845157.7758460895</v>
      </c>
      <c r="BX16" s="52">
        <f t="shared" si="7"/>
        <v>0</v>
      </c>
      <c r="BY16" s="52">
        <f t="shared" si="8"/>
        <v>0</v>
      </c>
      <c r="BZ16" s="52">
        <f t="shared" si="9"/>
        <v>0</v>
      </c>
      <c r="CA16" s="52">
        <f t="shared" si="10"/>
        <v>0</v>
      </c>
      <c r="CB16" s="54">
        <f t="shared" si="26"/>
        <v>1845157.7758460895</v>
      </c>
      <c r="CC16" s="53"/>
      <c r="CD16" s="52">
        <f t="shared" si="27"/>
        <v>0</v>
      </c>
      <c r="CE16" s="52">
        <f t="shared" si="28"/>
        <v>0</v>
      </c>
      <c r="CF16" s="52">
        <f t="shared" si="29"/>
        <v>0</v>
      </c>
      <c r="CG16" s="52">
        <f t="shared" si="30"/>
        <v>0</v>
      </c>
      <c r="CH16" s="52">
        <f t="shared" si="31"/>
        <v>0</v>
      </c>
      <c r="CI16" s="54">
        <f t="shared" si="32"/>
        <v>0</v>
      </c>
    </row>
    <row r="17" spans="1:87" s="4" customFormat="1" x14ac:dyDescent="0.3">
      <c r="A17" s="56">
        <v>7</v>
      </c>
      <c r="B17" s="48" t="str">
        <f>IF('I | Capex forecast'!B17="","",'I | Capex forecast'!B17)</f>
        <v>DN400 - MFL Campaign (3 sections) FY28-30</v>
      </c>
      <c r="C17" s="48" t="str">
        <f>IF('I | Capex forecast'!C17="","",'I | Capex forecast'!C17)</f>
        <v>Pipeline Integrity</v>
      </c>
      <c r="D17" s="48" t="str">
        <f>IF('I | Capex forecast'!D17="","",'I | Capex forecast'!D17)</f>
        <v>ILI</v>
      </c>
      <c r="E17" s="48" t="str">
        <f>IF('I | Capex forecast'!E17="","",'I | Capex forecast'!E17)</f>
        <v>Pipeline Integrity</v>
      </c>
      <c r="F17" s="48" t="str">
        <f>IF('I | Capex forecast'!F17="","",'I | Capex forecast'!F17)</f>
        <v>Replacement</v>
      </c>
      <c r="G17" s="48" t="str">
        <f>IF('I | Capex forecast'!G17="","",'I | Capex forecast'!G17)</f>
        <v>As incurred</v>
      </c>
      <c r="H17" s="48" t="str">
        <f>IF('I | Capex forecast'!H17="","",'I | Capex forecast'!H17)</f>
        <v>FY 26</v>
      </c>
      <c r="I17" s="48" t="str">
        <f>IF('I | Capex forecast'!I17="","",'I | Capex forecast'!I17)</f>
        <v>Mid-year</v>
      </c>
      <c r="J17" s="48" t="str">
        <f>IF('I | Capex forecast'!J17="","",'I | Capex forecast'!J17)</f>
        <v>No</v>
      </c>
      <c r="K17" s="50"/>
      <c r="L17" s="52">
        <f>IFERROR(VLOOKUP($A17,'I | Capex forecast'!$A$11:$AA$160,L$8,0)*INDEX('I | Inflation'!$F$46:$G$49,MATCH($I17,'I | Inflation'!$E$46:$E$49,0),MATCH($H17,'I | Inflation'!$F$45:$G$45,0)),0)</f>
        <v>1052934.1244019142</v>
      </c>
      <c r="M17" s="52">
        <f>IFERROR(VLOOKUP($A17,'I | Capex forecast'!$A$11:$AA$160,M$8,0)*INDEX('I | Inflation'!$F$46:$G$49,MATCH($I17,'I | Inflation'!$E$46:$E$49,0),MATCH($H17,'I | Inflation'!$F$45:$G$45,0)),0)</f>
        <v>526467.06220095709</v>
      </c>
      <c r="N17" s="52">
        <f>IFERROR(VLOOKUP($A17,'I | Capex forecast'!$A$11:$AA$160,N$8,0)*INDEX('I | Inflation'!$F$46:$G$49,MATCH($I17,'I | Inflation'!$E$46:$E$49,0),MATCH($H17,'I | Inflation'!$F$45:$G$45,0)),0)</f>
        <v>0</v>
      </c>
      <c r="O17" s="52">
        <f>IFERROR(VLOOKUP($A17,'I | Capex forecast'!$A$11:$AA$160,O$8,0)*INDEX('I | Inflation'!$F$46:$G$49,MATCH($I17,'I | Inflation'!$E$46:$E$49,0),MATCH($H17,'I | Inflation'!$F$45:$G$45,0)),0)</f>
        <v>0</v>
      </c>
      <c r="P17" s="52">
        <f>IFERROR(VLOOKUP($A17,'I | Capex forecast'!$A$11:$AA$160,P$8,0)*INDEX('I | Inflation'!$F$46:$G$49,MATCH($I17,'I | Inflation'!$E$46:$E$49,0),MATCH($H17,'I | Inflation'!$F$45:$G$45,0)),0)</f>
        <v>0</v>
      </c>
      <c r="Q17" s="54">
        <f t="shared" si="12"/>
        <v>1579401.1866028714</v>
      </c>
      <c r="R17" s="53"/>
      <c r="S17" s="226">
        <f>L17*VLOOKUP($A17,'I | Capex forecast'!$A$11:$AA$160,S$8,0)</f>
        <v>404602.77174384089</v>
      </c>
      <c r="T17" s="226">
        <f>M17*VLOOKUP($A17,'I | Capex forecast'!$A$11:$AA$160,T$8,0)</f>
        <v>202301.38587192044</v>
      </c>
      <c r="U17" s="226">
        <f>N17*VLOOKUP($A17,'I | Capex forecast'!$A$11:$AA$160,U$8,0)</f>
        <v>0</v>
      </c>
      <c r="V17" s="226">
        <f>O17*VLOOKUP($A17,'I | Capex forecast'!$A$11:$AA$160,V$8,0)</f>
        <v>0</v>
      </c>
      <c r="W17" s="226">
        <f>P17*VLOOKUP($A17,'I | Capex forecast'!$A$11:$AA$160,W$8,0)</f>
        <v>0</v>
      </c>
      <c r="X17" s="54">
        <f t="shared" si="13"/>
        <v>606904.15761576127</v>
      </c>
      <c r="Y17" s="53"/>
      <c r="Z17" s="52">
        <f>S17*(HLOOKUP(Z$10,'I | Inflation'!$E$57:$J$59,3,0)-1)</f>
        <v>5525.4143057194278</v>
      </c>
      <c r="AA17" s="52">
        <f>T17*(HLOOKUP(AA$10,'I | Inflation'!$E$57:$J$59,3,0)-1)</f>
        <v>3814.4687838529167</v>
      </c>
      <c r="AB17" s="52">
        <f>U17*(HLOOKUP(AB$10,'I | Inflation'!$E$57:$J$59,3,0)-1)</f>
        <v>0</v>
      </c>
      <c r="AC17" s="52">
        <f>V17*(HLOOKUP(AC$10,'I | Inflation'!$E$57:$J$59,3,0)-1)</f>
        <v>0</v>
      </c>
      <c r="AD17" s="52">
        <f>W17*(HLOOKUP(AD$10,'I | Inflation'!$E$57:$J$59,3,0)-1)</f>
        <v>0</v>
      </c>
      <c r="AE17" s="54">
        <f t="shared" si="14"/>
        <v>9339.883089572344</v>
      </c>
      <c r="AF17" s="53"/>
      <c r="AG17" s="226">
        <f t="shared" si="15"/>
        <v>410128.18604956032</v>
      </c>
      <c r="AH17" s="226">
        <f t="shared" si="16"/>
        <v>206115.85465577335</v>
      </c>
      <c r="AI17" s="226">
        <f t="shared" si="17"/>
        <v>0</v>
      </c>
      <c r="AJ17" s="226">
        <f t="shared" si="18"/>
        <v>0</v>
      </c>
      <c r="AK17" s="226">
        <f t="shared" si="19"/>
        <v>0</v>
      </c>
      <c r="AL17" s="54">
        <f t="shared" si="20"/>
        <v>616244.0407053337</v>
      </c>
      <c r="AM17" s="53"/>
      <c r="AN17" s="52"/>
      <c r="AO17" s="52"/>
      <c r="AP17" s="52"/>
      <c r="AQ17" s="52"/>
      <c r="AR17" s="52"/>
      <c r="AS17" s="54">
        <f t="shared" si="21"/>
        <v>0</v>
      </c>
      <c r="AT17" s="53"/>
      <c r="AU17" s="52"/>
      <c r="AV17" s="52"/>
      <c r="AW17" s="52"/>
      <c r="AX17" s="52"/>
      <c r="AY17" s="52"/>
      <c r="AZ17" s="54">
        <f t="shared" si="22"/>
        <v>0</v>
      </c>
      <c r="BA17" s="53"/>
      <c r="BB17" s="52"/>
      <c r="BC17" s="52"/>
      <c r="BD17" s="52"/>
      <c r="BE17" s="52"/>
      <c r="BF17" s="52"/>
      <c r="BG17" s="54">
        <f t="shared" si="23"/>
        <v>0</v>
      </c>
      <c r="BH17" s="53"/>
      <c r="BI17" s="52">
        <f>L17*VLOOKUP($A17,'I | Capex forecast'!$A$11:$AA$160,BI$8,0)</f>
        <v>94764.07119617227</v>
      </c>
      <c r="BJ17" s="52">
        <f>M17*VLOOKUP($A17,'I | Capex forecast'!$A$11:$AA$160,BJ$8,0)</f>
        <v>47382.035598086135</v>
      </c>
      <c r="BK17" s="52">
        <f>N17*VLOOKUP($A17,'I | Capex forecast'!$A$11:$AA$160,BK$8,0)</f>
        <v>0</v>
      </c>
      <c r="BL17" s="52">
        <f>O17*VLOOKUP($A17,'I | Capex forecast'!$A$11:$AA$160,BL$8,0)</f>
        <v>0</v>
      </c>
      <c r="BM17" s="52">
        <f>P17*VLOOKUP($A17,'I | Capex forecast'!$A$11:$AA$160,BM$8,0)</f>
        <v>0</v>
      </c>
      <c r="BN17" s="54">
        <f t="shared" si="24"/>
        <v>142146.1067942584</v>
      </c>
      <c r="BO17" s="53"/>
      <c r="BP17" s="52">
        <f t="shared" si="1"/>
        <v>1153223.6099038059</v>
      </c>
      <c r="BQ17" s="52">
        <f t="shared" si="2"/>
        <v>577663.56658289605</v>
      </c>
      <c r="BR17" s="52">
        <f t="shared" si="3"/>
        <v>0</v>
      </c>
      <c r="BS17" s="52">
        <f t="shared" si="4"/>
        <v>0</v>
      </c>
      <c r="BT17" s="52">
        <f t="shared" si="5"/>
        <v>0</v>
      </c>
      <c r="BU17" s="54">
        <f t="shared" si="25"/>
        <v>1730887.1764867019</v>
      </c>
      <c r="BW17" s="52">
        <f t="shared" si="6"/>
        <v>1153223.6099038059</v>
      </c>
      <c r="BX17" s="52">
        <f t="shared" si="7"/>
        <v>577663.56658289605</v>
      </c>
      <c r="BY17" s="52">
        <f t="shared" si="8"/>
        <v>0</v>
      </c>
      <c r="BZ17" s="52">
        <f t="shared" si="9"/>
        <v>0</v>
      </c>
      <c r="CA17" s="52">
        <f t="shared" si="10"/>
        <v>0</v>
      </c>
      <c r="CB17" s="54">
        <f t="shared" si="26"/>
        <v>1730887.1764867019</v>
      </c>
      <c r="CC17" s="53"/>
      <c r="CD17" s="52">
        <f t="shared" si="27"/>
        <v>0</v>
      </c>
      <c r="CE17" s="52">
        <f t="shared" si="28"/>
        <v>0</v>
      </c>
      <c r="CF17" s="52">
        <f t="shared" si="29"/>
        <v>0</v>
      </c>
      <c r="CG17" s="52">
        <f t="shared" si="30"/>
        <v>0</v>
      </c>
      <c r="CH17" s="52">
        <f t="shared" si="31"/>
        <v>0</v>
      </c>
      <c r="CI17" s="54">
        <f t="shared" si="32"/>
        <v>0</v>
      </c>
    </row>
    <row r="18" spans="1:87" s="4" customFormat="1" x14ac:dyDescent="0.3">
      <c r="A18" s="56">
        <v>8</v>
      </c>
      <c r="B18" s="48" t="str">
        <f>IF('I | Capex forecast'!B18="","",'I | Capex forecast'!B18)</f>
        <v>DN400 - MFL Campaign (5 sections) FY26-28</v>
      </c>
      <c r="C18" s="48" t="str">
        <f>IF('I | Capex forecast'!C18="","",'I | Capex forecast'!C18)</f>
        <v>Pipeline Integrity</v>
      </c>
      <c r="D18" s="48" t="str">
        <f>IF('I | Capex forecast'!D18="","",'I | Capex forecast'!D18)</f>
        <v>ILI</v>
      </c>
      <c r="E18" s="48" t="str">
        <f>IF('I | Capex forecast'!E18="","",'I | Capex forecast'!E18)</f>
        <v>Pipeline Integrity</v>
      </c>
      <c r="F18" s="48" t="str">
        <f>IF('I | Capex forecast'!F18="","",'I | Capex forecast'!F18)</f>
        <v>Replacement</v>
      </c>
      <c r="G18" s="48" t="str">
        <f>IF('I | Capex forecast'!G18="","",'I | Capex forecast'!G18)</f>
        <v>As incurred</v>
      </c>
      <c r="H18" s="48" t="str">
        <f>IF('I | Capex forecast'!H18="","",'I | Capex forecast'!H18)</f>
        <v>FY 26</v>
      </c>
      <c r="I18" s="48" t="str">
        <f>IF('I | Capex forecast'!I18="","",'I | Capex forecast'!I18)</f>
        <v>Mid-year</v>
      </c>
      <c r="J18" s="48" t="str">
        <f>IF('I | Capex forecast'!J18="","",'I | Capex forecast'!J18)</f>
        <v>No</v>
      </c>
      <c r="K18" s="50"/>
      <c r="L18" s="52">
        <f>IFERROR(VLOOKUP($A18,'I | Capex forecast'!$A$11:$AA$160,L$8,0)*INDEX('I | Inflation'!$F$46:$G$49,MATCH($I18,'I | Inflation'!$E$46:$E$49,0),MATCH($H18,'I | Inflation'!$F$45:$G$45,0)),0)</f>
        <v>340296.72673133021</v>
      </c>
      <c r="M18" s="52">
        <f>IFERROR(VLOOKUP($A18,'I | Capex forecast'!$A$11:$AA$160,M$8,0)*INDEX('I | Inflation'!$F$46:$G$49,MATCH($I18,'I | Inflation'!$E$46:$E$49,0),MATCH($H18,'I | Inflation'!$F$45:$G$45,0)),0)</f>
        <v>0</v>
      </c>
      <c r="N18" s="52">
        <f>IFERROR(VLOOKUP($A18,'I | Capex forecast'!$A$11:$AA$160,N$8,0)*INDEX('I | Inflation'!$F$46:$G$49,MATCH($I18,'I | Inflation'!$E$46:$E$49,0),MATCH($H18,'I | Inflation'!$F$45:$G$45,0)),0)</f>
        <v>0</v>
      </c>
      <c r="O18" s="52">
        <f>IFERROR(VLOOKUP($A18,'I | Capex forecast'!$A$11:$AA$160,O$8,0)*INDEX('I | Inflation'!$F$46:$G$49,MATCH($I18,'I | Inflation'!$E$46:$E$49,0),MATCH($H18,'I | Inflation'!$F$45:$G$45,0)),0)</f>
        <v>0</v>
      </c>
      <c r="P18" s="52">
        <f>IFERROR(VLOOKUP($A18,'I | Capex forecast'!$A$11:$AA$160,P$8,0)*INDEX('I | Inflation'!$F$46:$G$49,MATCH($I18,'I | Inflation'!$E$46:$E$49,0),MATCH($H18,'I | Inflation'!$F$45:$G$45,0)),0)</f>
        <v>0</v>
      </c>
      <c r="Q18" s="54">
        <f t="shared" si="12"/>
        <v>340296.72673133021</v>
      </c>
      <c r="R18" s="53"/>
      <c r="S18" s="226">
        <f>L18*VLOOKUP($A18,'I | Capex forecast'!$A$11:$AA$160,S$8,0)</f>
        <v>130763.16519712018</v>
      </c>
      <c r="T18" s="226">
        <f>M18*VLOOKUP($A18,'I | Capex forecast'!$A$11:$AA$160,T$8,0)</f>
        <v>0</v>
      </c>
      <c r="U18" s="226">
        <f>N18*VLOOKUP($A18,'I | Capex forecast'!$A$11:$AA$160,U$8,0)</f>
        <v>0</v>
      </c>
      <c r="V18" s="226">
        <f>O18*VLOOKUP($A18,'I | Capex forecast'!$A$11:$AA$160,V$8,0)</f>
        <v>0</v>
      </c>
      <c r="W18" s="226">
        <f>P18*VLOOKUP($A18,'I | Capex forecast'!$A$11:$AA$160,W$8,0)</f>
        <v>0</v>
      </c>
      <c r="X18" s="54">
        <f t="shared" si="13"/>
        <v>130763.16519712018</v>
      </c>
      <c r="Y18" s="53"/>
      <c r="Z18" s="52">
        <f>S18*(HLOOKUP(Z$10,'I | Inflation'!$E$57:$J$59,3,0)-1)</f>
        <v>1785.7531240511562</v>
      </c>
      <c r="AA18" s="52">
        <f>T18*(HLOOKUP(AA$10,'I | Inflation'!$E$57:$J$59,3,0)-1)</f>
        <v>0</v>
      </c>
      <c r="AB18" s="52">
        <f>U18*(HLOOKUP(AB$10,'I | Inflation'!$E$57:$J$59,3,0)-1)</f>
        <v>0</v>
      </c>
      <c r="AC18" s="52">
        <f>V18*(HLOOKUP(AC$10,'I | Inflation'!$E$57:$J$59,3,0)-1)</f>
        <v>0</v>
      </c>
      <c r="AD18" s="52">
        <f>W18*(HLOOKUP(AD$10,'I | Inflation'!$E$57:$J$59,3,0)-1)</f>
        <v>0</v>
      </c>
      <c r="AE18" s="54">
        <f t="shared" si="14"/>
        <v>1785.7531240511562</v>
      </c>
      <c r="AF18" s="53"/>
      <c r="AG18" s="226">
        <f t="shared" si="15"/>
        <v>132548.91832117134</v>
      </c>
      <c r="AH18" s="226">
        <f t="shared" si="16"/>
        <v>0</v>
      </c>
      <c r="AI18" s="226">
        <f t="shared" si="17"/>
        <v>0</v>
      </c>
      <c r="AJ18" s="226">
        <f t="shared" si="18"/>
        <v>0</v>
      </c>
      <c r="AK18" s="226">
        <f t="shared" si="19"/>
        <v>0</v>
      </c>
      <c r="AL18" s="54">
        <f t="shared" si="20"/>
        <v>132548.91832117134</v>
      </c>
      <c r="AM18" s="53"/>
      <c r="AN18" s="52"/>
      <c r="AO18" s="52"/>
      <c r="AP18" s="52"/>
      <c r="AQ18" s="52"/>
      <c r="AR18" s="52"/>
      <c r="AS18" s="54">
        <f t="shared" si="21"/>
        <v>0</v>
      </c>
      <c r="AT18" s="53"/>
      <c r="AU18" s="52"/>
      <c r="AV18" s="52"/>
      <c r="AW18" s="52"/>
      <c r="AX18" s="52"/>
      <c r="AY18" s="52"/>
      <c r="AZ18" s="54">
        <f t="shared" si="22"/>
        <v>0</v>
      </c>
      <c r="BA18" s="53"/>
      <c r="BB18" s="52"/>
      <c r="BC18" s="52"/>
      <c r="BD18" s="52"/>
      <c r="BE18" s="52"/>
      <c r="BF18" s="52"/>
      <c r="BG18" s="54">
        <f t="shared" si="23"/>
        <v>0</v>
      </c>
      <c r="BH18" s="53"/>
      <c r="BI18" s="52">
        <f>L18*VLOOKUP($A18,'I | Capex forecast'!$A$11:$AA$160,BI$8,0)</f>
        <v>30626.705405819717</v>
      </c>
      <c r="BJ18" s="52">
        <f>M18*VLOOKUP($A18,'I | Capex forecast'!$A$11:$AA$160,BJ$8,0)</f>
        <v>0</v>
      </c>
      <c r="BK18" s="52">
        <f>N18*VLOOKUP($A18,'I | Capex forecast'!$A$11:$AA$160,BK$8,0)</f>
        <v>0</v>
      </c>
      <c r="BL18" s="52">
        <f>O18*VLOOKUP($A18,'I | Capex forecast'!$A$11:$AA$160,BL$8,0)</f>
        <v>0</v>
      </c>
      <c r="BM18" s="52">
        <f>P18*VLOOKUP($A18,'I | Capex forecast'!$A$11:$AA$160,BM$8,0)</f>
        <v>0</v>
      </c>
      <c r="BN18" s="54">
        <f t="shared" si="24"/>
        <v>30626.705405819717</v>
      </c>
      <c r="BO18" s="53"/>
      <c r="BP18" s="52">
        <f t="shared" si="1"/>
        <v>372709.18526120106</v>
      </c>
      <c r="BQ18" s="52">
        <f t="shared" si="2"/>
        <v>0</v>
      </c>
      <c r="BR18" s="52">
        <f t="shared" si="3"/>
        <v>0</v>
      </c>
      <c r="BS18" s="52">
        <f t="shared" si="4"/>
        <v>0</v>
      </c>
      <c r="BT18" s="52">
        <f t="shared" si="5"/>
        <v>0</v>
      </c>
      <c r="BU18" s="54">
        <f t="shared" si="25"/>
        <v>372709.18526120106</v>
      </c>
      <c r="BW18" s="52">
        <f t="shared" si="6"/>
        <v>372709.18526120106</v>
      </c>
      <c r="BX18" s="52">
        <f t="shared" si="7"/>
        <v>0</v>
      </c>
      <c r="BY18" s="52">
        <f t="shared" si="8"/>
        <v>0</v>
      </c>
      <c r="BZ18" s="52">
        <f t="shared" si="9"/>
        <v>0</v>
      </c>
      <c r="CA18" s="52">
        <f t="shared" si="10"/>
        <v>0</v>
      </c>
      <c r="CB18" s="54">
        <f t="shared" si="26"/>
        <v>372709.18526120106</v>
      </c>
      <c r="CC18" s="53"/>
      <c r="CD18" s="52">
        <f t="shared" si="27"/>
        <v>0</v>
      </c>
      <c r="CE18" s="52">
        <f t="shared" si="28"/>
        <v>0</v>
      </c>
      <c r="CF18" s="52">
        <f t="shared" si="29"/>
        <v>0</v>
      </c>
      <c r="CG18" s="52">
        <f t="shared" si="30"/>
        <v>0</v>
      </c>
      <c r="CH18" s="52">
        <f t="shared" si="31"/>
        <v>0</v>
      </c>
      <c r="CI18" s="54">
        <f t="shared" si="32"/>
        <v>0</v>
      </c>
    </row>
    <row r="19" spans="1:87" s="4" customFormat="1" x14ac:dyDescent="0.3">
      <c r="A19" s="56">
        <v>9</v>
      </c>
      <c r="B19" s="48" t="str">
        <f>IF('I | Capex forecast'!B19="","",'I | Capex forecast'!B19)</f>
        <v>DN400 - Validation Dig ILI (3 sections)</v>
      </c>
      <c r="C19" s="48" t="str">
        <f>IF('I | Capex forecast'!C19="","",'I | Capex forecast'!C19)</f>
        <v>Pipeline Integrity</v>
      </c>
      <c r="D19" s="48" t="str">
        <f>IF('I | Capex forecast'!D19="","",'I | Capex forecast'!D19)</f>
        <v>Validation dig</v>
      </c>
      <c r="E19" s="48" t="str">
        <f>IF('I | Capex forecast'!E19="","",'I | Capex forecast'!E19)</f>
        <v>Pipeline Integrity</v>
      </c>
      <c r="F19" s="48" t="str">
        <f>IF('I | Capex forecast'!F19="","",'I | Capex forecast'!F19)</f>
        <v>Replacement</v>
      </c>
      <c r="G19" s="48" t="str">
        <f>IF('I | Capex forecast'!G19="","",'I | Capex forecast'!G19)</f>
        <v>As incurred</v>
      </c>
      <c r="H19" s="48" t="str">
        <f>IF('I | Capex forecast'!H19="","",'I | Capex forecast'!H19)</f>
        <v>FY 26</v>
      </c>
      <c r="I19" s="48" t="str">
        <f>IF('I | Capex forecast'!I19="","",'I | Capex forecast'!I19)</f>
        <v>Mid-year</v>
      </c>
      <c r="J19" s="48" t="str">
        <f>IF('I | Capex forecast'!J19="","",'I | Capex forecast'!J19)</f>
        <v>No</v>
      </c>
      <c r="K19" s="50"/>
      <c r="L19" s="52">
        <f>IFERROR(VLOOKUP($A19,'I | Capex forecast'!$A$11:$AA$160,L$8,0)*INDEX('I | Inflation'!$F$46:$G$49,MATCH($I19,'I | Inflation'!$E$46:$E$49,0),MATCH($H19,'I | Inflation'!$F$45:$G$45,0)),0)</f>
        <v>0</v>
      </c>
      <c r="M19" s="52">
        <f>IFERROR(VLOOKUP($A19,'I | Capex forecast'!$A$11:$AA$160,M$8,0)*INDEX('I | Inflation'!$F$46:$G$49,MATCH($I19,'I | Inflation'!$E$46:$E$49,0),MATCH($H19,'I | Inflation'!$F$45:$G$45,0)),0)</f>
        <v>894994.00574162707</v>
      </c>
      <c r="N19" s="52">
        <f>IFERROR(VLOOKUP($A19,'I | Capex forecast'!$A$11:$AA$160,N$8,0)*INDEX('I | Inflation'!$F$46:$G$49,MATCH($I19,'I | Inflation'!$E$46:$E$49,0),MATCH($H19,'I | Inflation'!$F$45:$G$45,0)),0)</f>
        <v>894994.00574162707</v>
      </c>
      <c r="O19" s="52">
        <f>IFERROR(VLOOKUP($A19,'I | Capex forecast'!$A$11:$AA$160,O$8,0)*INDEX('I | Inflation'!$F$46:$G$49,MATCH($I19,'I | Inflation'!$E$46:$E$49,0),MATCH($H19,'I | Inflation'!$F$45:$G$45,0)),0)</f>
        <v>894994.00574162707</v>
      </c>
      <c r="P19" s="52">
        <f>IFERROR(VLOOKUP($A19,'I | Capex forecast'!$A$11:$AA$160,P$8,0)*INDEX('I | Inflation'!$F$46:$G$49,MATCH($I19,'I | Inflation'!$E$46:$E$49,0),MATCH($H19,'I | Inflation'!$F$45:$G$45,0)),0)</f>
        <v>236910.17799043067</v>
      </c>
      <c r="Q19" s="54">
        <f t="shared" ref="Q19:Q52" si="33">SUM(L19:P19)</f>
        <v>2921892.1952153118</v>
      </c>
      <c r="R19" s="53"/>
      <c r="S19" s="226">
        <f>L19*VLOOKUP($A19,'I | Capex forecast'!$A$11:$AA$160,S$8,0)</f>
        <v>0</v>
      </c>
      <c r="T19" s="226">
        <f>M19*VLOOKUP($A19,'I | Capex forecast'!$A$11:$AA$160,T$8,0)</f>
        <v>343912.35598226474</v>
      </c>
      <c r="U19" s="226">
        <f>N19*VLOOKUP($A19,'I | Capex forecast'!$A$11:$AA$160,U$8,0)</f>
        <v>343912.35598226474</v>
      </c>
      <c r="V19" s="226">
        <f>O19*VLOOKUP($A19,'I | Capex forecast'!$A$11:$AA$160,V$8,0)</f>
        <v>343912.35598226474</v>
      </c>
      <c r="W19" s="226">
        <f>P19*VLOOKUP($A19,'I | Capex forecast'!$A$11:$AA$160,W$8,0)</f>
        <v>91035.623642364197</v>
      </c>
      <c r="X19" s="54">
        <f t="shared" si="13"/>
        <v>1122772.6915891585</v>
      </c>
      <c r="Y19" s="53"/>
      <c r="Z19" s="52">
        <f>S19*(HLOOKUP(Z$10,'I | Inflation'!$E$57:$J$59,3,0)-1)</f>
        <v>0</v>
      </c>
      <c r="AA19" s="52">
        <f>T19*(HLOOKUP(AA$10,'I | Inflation'!$E$57:$J$59,3,0)-1)</f>
        <v>6484.5969325499582</v>
      </c>
      <c r="AB19" s="52">
        <f>U19*(HLOOKUP(AB$10,'I | Inflation'!$E$57:$J$59,3,0)-1)</f>
        <v>9464.719484545818</v>
      </c>
      <c r="AC19" s="52">
        <f>V19*(HLOOKUP(AC$10,'I | Inflation'!$E$57:$J$59,3,0)-1)</f>
        <v>13491.911842051733</v>
      </c>
      <c r="AD19" s="52">
        <f>W19*(HLOOKUP(AD$10,'I | Inflation'!$E$57:$J$59,3,0)-1)</f>
        <v>4217.6344535874796</v>
      </c>
      <c r="AE19" s="54">
        <f t="shared" si="14"/>
        <v>33658.86271273499</v>
      </c>
      <c r="AF19" s="53"/>
      <c r="AG19" s="226">
        <f t="shared" si="15"/>
        <v>0</v>
      </c>
      <c r="AH19" s="226">
        <f t="shared" si="16"/>
        <v>350396.9529148147</v>
      </c>
      <c r="AI19" s="226">
        <f t="shared" si="17"/>
        <v>353377.07546681055</v>
      </c>
      <c r="AJ19" s="226">
        <f t="shared" si="18"/>
        <v>357404.26782431646</v>
      </c>
      <c r="AK19" s="226">
        <f t="shared" si="19"/>
        <v>95253.258095951678</v>
      </c>
      <c r="AL19" s="54">
        <f t="shared" si="20"/>
        <v>1156431.5543018933</v>
      </c>
      <c r="AM19" s="53"/>
      <c r="AN19" s="52"/>
      <c r="AO19" s="52"/>
      <c r="AP19" s="52"/>
      <c r="AQ19" s="52"/>
      <c r="AR19" s="52"/>
      <c r="AS19" s="54">
        <f t="shared" si="21"/>
        <v>0</v>
      </c>
      <c r="AT19" s="53"/>
      <c r="AU19" s="52"/>
      <c r="AV19" s="52"/>
      <c r="AW19" s="52"/>
      <c r="AX19" s="52"/>
      <c r="AY19" s="52"/>
      <c r="AZ19" s="54">
        <f t="shared" si="22"/>
        <v>0</v>
      </c>
      <c r="BA19" s="53"/>
      <c r="BB19" s="52"/>
      <c r="BC19" s="52"/>
      <c r="BD19" s="52"/>
      <c r="BE19" s="52"/>
      <c r="BF19" s="52"/>
      <c r="BG19" s="54">
        <f t="shared" si="23"/>
        <v>0</v>
      </c>
      <c r="BH19" s="53"/>
      <c r="BI19" s="52">
        <f>L19*VLOOKUP($A19,'I | Capex forecast'!$A$11:$AA$160,BI$8,0)</f>
        <v>0</v>
      </c>
      <c r="BJ19" s="52">
        <f>M19*VLOOKUP($A19,'I | Capex forecast'!$A$11:$AA$160,BJ$8,0)</f>
        <v>80549.460516746432</v>
      </c>
      <c r="BK19" s="52">
        <f>N19*VLOOKUP($A19,'I | Capex forecast'!$A$11:$AA$160,BK$8,0)</f>
        <v>80549.460516746432</v>
      </c>
      <c r="BL19" s="52">
        <f>O19*VLOOKUP($A19,'I | Capex forecast'!$A$11:$AA$160,BL$8,0)</f>
        <v>80549.460516746432</v>
      </c>
      <c r="BM19" s="52">
        <f>P19*VLOOKUP($A19,'I | Capex forecast'!$A$11:$AA$160,BM$8,0)</f>
        <v>21321.91601913876</v>
      </c>
      <c r="BN19" s="54">
        <f t="shared" si="24"/>
        <v>262970.29756937805</v>
      </c>
      <c r="BO19" s="53"/>
      <c r="BP19" s="52">
        <f t="shared" si="1"/>
        <v>0</v>
      </c>
      <c r="BQ19" s="52">
        <f t="shared" si="2"/>
        <v>982028.06319092342</v>
      </c>
      <c r="BR19" s="52">
        <f t="shared" si="3"/>
        <v>985008.18574291933</v>
      </c>
      <c r="BS19" s="52">
        <f t="shared" si="4"/>
        <v>989035.37810042524</v>
      </c>
      <c r="BT19" s="52">
        <f t="shared" si="5"/>
        <v>262449.72846315691</v>
      </c>
      <c r="BU19" s="54">
        <f t="shared" si="25"/>
        <v>3218521.3554974254</v>
      </c>
      <c r="BW19" s="52">
        <f t="shared" si="6"/>
        <v>0</v>
      </c>
      <c r="BX19" s="52">
        <f t="shared" si="7"/>
        <v>982028.06319092342</v>
      </c>
      <c r="BY19" s="52">
        <f t="shared" si="8"/>
        <v>985008.18574291933</v>
      </c>
      <c r="BZ19" s="52">
        <f t="shared" si="9"/>
        <v>989035.37810042524</v>
      </c>
      <c r="CA19" s="52">
        <f t="shared" si="10"/>
        <v>262449.72846315691</v>
      </c>
      <c r="CB19" s="54">
        <f t="shared" si="26"/>
        <v>3218521.3554974254</v>
      </c>
      <c r="CC19" s="53"/>
      <c r="CD19" s="52">
        <f t="shared" si="27"/>
        <v>0</v>
      </c>
      <c r="CE19" s="52">
        <f t="shared" si="28"/>
        <v>0</v>
      </c>
      <c r="CF19" s="52">
        <f t="shared" si="29"/>
        <v>0</v>
      </c>
      <c r="CG19" s="52">
        <f t="shared" si="30"/>
        <v>0</v>
      </c>
      <c r="CH19" s="52">
        <f t="shared" si="31"/>
        <v>0</v>
      </c>
      <c r="CI19" s="54">
        <f t="shared" si="32"/>
        <v>0</v>
      </c>
    </row>
    <row r="20" spans="1:87" s="4" customFormat="1" x14ac:dyDescent="0.3">
      <c r="A20" s="56">
        <v>10</v>
      </c>
      <c r="B20" s="48" t="str">
        <f>IF('I | Capex forecast'!B20="","",'I | Capex forecast'!B20)</f>
        <v>DN400 - Validation Dig ILI (5 sections)</v>
      </c>
      <c r="C20" s="48" t="str">
        <f>IF('I | Capex forecast'!C20="","",'I | Capex forecast'!C20)</f>
        <v>Pipeline Integrity</v>
      </c>
      <c r="D20" s="48" t="str">
        <f>IF('I | Capex forecast'!D20="","",'I | Capex forecast'!D20)</f>
        <v>Validation dig</v>
      </c>
      <c r="E20" s="48" t="str">
        <f>IF('I | Capex forecast'!E20="","",'I | Capex forecast'!E20)</f>
        <v>Pipeline Integrity</v>
      </c>
      <c r="F20" s="48" t="str">
        <f>IF('I | Capex forecast'!F20="","",'I | Capex forecast'!F20)</f>
        <v>Replacement</v>
      </c>
      <c r="G20" s="48" t="str">
        <f>IF('I | Capex forecast'!G20="","",'I | Capex forecast'!G20)</f>
        <v>As incurred</v>
      </c>
      <c r="H20" s="48" t="str">
        <f>IF('I | Capex forecast'!H20="","",'I | Capex forecast'!H20)</f>
        <v>FY 26</v>
      </c>
      <c r="I20" s="48" t="str">
        <f>IF('I | Capex forecast'!I20="","",'I | Capex forecast'!I20)</f>
        <v>Mid-year</v>
      </c>
      <c r="J20" s="48" t="str">
        <f>IF('I | Capex forecast'!J20="","",'I | Capex forecast'!J20)</f>
        <v>No</v>
      </c>
      <c r="K20" s="50"/>
      <c r="L20" s="52">
        <f>IFERROR(VLOOKUP($A20,'I | Capex forecast'!$A$11:$AA$160,L$8,0)*INDEX('I | Inflation'!$F$46:$G$49,MATCH($I20,'I | Inflation'!$E$46:$E$49,0),MATCH($H20,'I | Inflation'!$F$45:$G$45,0)),0)</f>
        <v>0</v>
      </c>
      <c r="M20" s="52">
        <f>IFERROR(VLOOKUP($A20,'I | Capex forecast'!$A$11:$AA$160,M$8,0)*INDEX('I | Inflation'!$F$46:$G$49,MATCH($I20,'I | Inflation'!$E$46:$E$49,0),MATCH($H20,'I | Inflation'!$F$45:$G$45,0)),0)</f>
        <v>894994.00574162707</v>
      </c>
      <c r="N20" s="52">
        <f>IFERROR(VLOOKUP($A20,'I | Capex forecast'!$A$11:$AA$160,N$8,0)*INDEX('I | Inflation'!$F$46:$G$49,MATCH($I20,'I | Inflation'!$E$46:$E$49,0),MATCH($H20,'I | Inflation'!$F$45:$G$45,0)),0)</f>
        <v>894994.00574162707</v>
      </c>
      <c r="O20" s="52">
        <f>IFERROR(VLOOKUP($A20,'I | Capex forecast'!$A$11:$AA$160,O$8,0)*INDEX('I | Inflation'!$F$46:$G$49,MATCH($I20,'I | Inflation'!$E$46:$E$49,0),MATCH($H20,'I | Inflation'!$F$45:$G$45,0)),0)</f>
        <v>894994.00574162707</v>
      </c>
      <c r="P20" s="52">
        <f>IFERROR(VLOOKUP($A20,'I | Capex forecast'!$A$11:$AA$160,P$8,0)*INDEX('I | Inflation'!$F$46:$G$49,MATCH($I20,'I | Inflation'!$E$46:$E$49,0),MATCH($H20,'I | Inflation'!$F$45:$G$45,0)),0)</f>
        <v>236910.17799043067</v>
      </c>
      <c r="Q20" s="54">
        <f t="shared" si="33"/>
        <v>2921892.1952153118</v>
      </c>
      <c r="R20" s="53"/>
      <c r="S20" s="226">
        <f>L20*VLOOKUP($A20,'I | Capex forecast'!$A$11:$AA$160,S$8,0)</f>
        <v>0</v>
      </c>
      <c r="T20" s="226">
        <f>M20*VLOOKUP($A20,'I | Capex forecast'!$A$11:$AA$160,T$8,0)</f>
        <v>343912.35598226474</v>
      </c>
      <c r="U20" s="226">
        <f>N20*VLOOKUP($A20,'I | Capex forecast'!$A$11:$AA$160,U$8,0)</f>
        <v>343912.35598226474</v>
      </c>
      <c r="V20" s="226">
        <f>O20*VLOOKUP($A20,'I | Capex forecast'!$A$11:$AA$160,V$8,0)</f>
        <v>343912.35598226474</v>
      </c>
      <c r="W20" s="226">
        <f>P20*VLOOKUP($A20,'I | Capex forecast'!$A$11:$AA$160,W$8,0)</f>
        <v>91035.623642364197</v>
      </c>
      <c r="X20" s="54">
        <f t="shared" si="13"/>
        <v>1122772.6915891585</v>
      </c>
      <c r="Y20" s="53"/>
      <c r="Z20" s="52">
        <f>S20*(HLOOKUP(Z$10,'I | Inflation'!$E$57:$J$59,3,0)-1)</f>
        <v>0</v>
      </c>
      <c r="AA20" s="52">
        <f>T20*(HLOOKUP(AA$10,'I | Inflation'!$E$57:$J$59,3,0)-1)</f>
        <v>6484.5969325499582</v>
      </c>
      <c r="AB20" s="52">
        <f>U20*(HLOOKUP(AB$10,'I | Inflation'!$E$57:$J$59,3,0)-1)</f>
        <v>9464.719484545818</v>
      </c>
      <c r="AC20" s="52">
        <f>V20*(HLOOKUP(AC$10,'I | Inflation'!$E$57:$J$59,3,0)-1)</f>
        <v>13491.911842051733</v>
      </c>
      <c r="AD20" s="52">
        <f>W20*(HLOOKUP(AD$10,'I | Inflation'!$E$57:$J$59,3,0)-1)</f>
        <v>4217.6344535874796</v>
      </c>
      <c r="AE20" s="54">
        <f t="shared" si="14"/>
        <v>33658.86271273499</v>
      </c>
      <c r="AF20" s="53"/>
      <c r="AG20" s="226">
        <f t="shared" si="15"/>
        <v>0</v>
      </c>
      <c r="AH20" s="226">
        <f t="shared" si="16"/>
        <v>350396.9529148147</v>
      </c>
      <c r="AI20" s="226">
        <f t="shared" si="17"/>
        <v>353377.07546681055</v>
      </c>
      <c r="AJ20" s="226">
        <f t="shared" si="18"/>
        <v>357404.26782431646</v>
      </c>
      <c r="AK20" s="226">
        <f t="shared" si="19"/>
        <v>95253.258095951678</v>
      </c>
      <c r="AL20" s="54">
        <f t="shared" si="20"/>
        <v>1156431.5543018933</v>
      </c>
      <c r="AM20" s="53"/>
      <c r="AN20" s="52"/>
      <c r="AO20" s="52"/>
      <c r="AP20" s="52"/>
      <c r="AQ20" s="52"/>
      <c r="AR20" s="52"/>
      <c r="AS20" s="54">
        <f t="shared" si="21"/>
        <v>0</v>
      </c>
      <c r="AT20" s="53"/>
      <c r="AU20" s="52"/>
      <c r="AV20" s="52"/>
      <c r="AW20" s="52"/>
      <c r="AX20" s="52"/>
      <c r="AY20" s="52"/>
      <c r="AZ20" s="54">
        <f t="shared" si="22"/>
        <v>0</v>
      </c>
      <c r="BA20" s="53"/>
      <c r="BB20" s="52"/>
      <c r="BC20" s="52"/>
      <c r="BD20" s="52"/>
      <c r="BE20" s="52"/>
      <c r="BF20" s="52"/>
      <c r="BG20" s="54">
        <f t="shared" si="23"/>
        <v>0</v>
      </c>
      <c r="BH20" s="53"/>
      <c r="BI20" s="52">
        <f>L20*VLOOKUP($A20,'I | Capex forecast'!$A$11:$AA$160,BI$8,0)</f>
        <v>0</v>
      </c>
      <c r="BJ20" s="52">
        <f>M20*VLOOKUP($A20,'I | Capex forecast'!$A$11:$AA$160,BJ$8,0)</f>
        <v>80549.460516746432</v>
      </c>
      <c r="BK20" s="52">
        <f>N20*VLOOKUP($A20,'I | Capex forecast'!$A$11:$AA$160,BK$8,0)</f>
        <v>80549.460516746432</v>
      </c>
      <c r="BL20" s="52">
        <f>O20*VLOOKUP($A20,'I | Capex forecast'!$A$11:$AA$160,BL$8,0)</f>
        <v>80549.460516746432</v>
      </c>
      <c r="BM20" s="52">
        <f>P20*VLOOKUP($A20,'I | Capex forecast'!$A$11:$AA$160,BM$8,0)</f>
        <v>21321.91601913876</v>
      </c>
      <c r="BN20" s="54">
        <f t="shared" si="24"/>
        <v>262970.29756937805</v>
      </c>
      <c r="BO20" s="53"/>
      <c r="BP20" s="52">
        <f t="shared" si="1"/>
        <v>0</v>
      </c>
      <c r="BQ20" s="52">
        <f t="shared" si="2"/>
        <v>982028.06319092342</v>
      </c>
      <c r="BR20" s="52">
        <f t="shared" si="3"/>
        <v>985008.18574291933</v>
      </c>
      <c r="BS20" s="52">
        <f t="shared" si="4"/>
        <v>989035.37810042524</v>
      </c>
      <c r="BT20" s="52">
        <f t="shared" si="5"/>
        <v>262449.72846315691</v>
      </c>
      <c r="BU20" s="54">
        <f t="shared" si="25"/>
        <v>3218521.3554974254</v>
      </c>
      <c r="BW20" s="52">
        <f t="shared" si="6"/>
        <v>0</v>
      </c>
      <c r="BX20" s="52">
        <f t="shared" si="7"/>
        <v>982028.06319092342</v>
      </c>
      <c r="BY20" s="52">
        <f t="shared" si="8"/>
        <v>985008.18574291933</v>
      </c>
      <c r="BZ20" s="52">
        <f t="shared" si="9"/>
        <v>989035.37810042524</v>
      </c>
      <c r="CA20" s="52">
        <f t="shared" si="10"/>
        <v>262449.72846315691</v>
      </c>
      <c r="CB20" s="54">
        <f t="shared" si="26"/>
        <v>3218521.3554974254</v>
      </c>
      <c r="CC20" s="53"/>
      <c r="CD20" s="52">
        <f t="shared" si="27"/>
        <v>0</v>
      </c>
      <c r="CE20" s="52">
        <f t="shared" si="28"/>
        <v>0</v>
      </c>
      <c r="CF20" s="52">
        <f t="shared" si="29"/>
        <v>0</v>
      </c>
      <c r="CG20" s="52">
        <f t="shared" si="30"/>
        <v>0</v>
      </c>
      <c r="CH20" s="52">
        <f t="shared" si="31"/>
        <v>0</v>
      </c>
      <c r="CI20" s="54">
        <f t="shared" si="32"/>
        <v>0</v>
      </c>
    </row>
    <row r="21" spans="1:87" s="4" customFormat="1" x14ac:dyDescent="0.3">
      <c r="A21" s="56">
        <v>11</v>
      </c>
      <c r="B21" s="48" t="str">
        <f>IF('I | Capex forecast'!B21="","",'I | Capex forecast'!B21)</f>
        <v>CP Program</v>
      </c>
      <c r="C21" s="48" t="str">
        <f>IF('I | Capex forecast'!C21="","",'I | Capex forecast'!C21)</f>
        <v>Pipeline Integrity</v>
      </c>
      <c r="D21" s="48" t="str">
        <f>IF('I | Capex forecast'!D21="","",'I | Capex forecast'!D21)</f>
        <v>CP</v>
      </c>
      <c r="E21" s="48" t="str">
        <f>IF('I | Capex forecast'!E21="","",'I | Capex forecast'!E21)</f>
        <v>Pipelines</v>
      </c>
      <c r="F21" s="48" t="str">
        <f>IF('I | Capex forecast'!F21="","",'I | Capex forecast'!F21)</f>
        <v>Replacement</v>
      </c>
      <c r="G21" s="48" t="str">
        <f>IF('I | Capex forecast'!G21="","",'I | Capex forecast'!G21)</f>
        <v>As incurred</v>
      </c>
      <c r="H21" s="48" t="str">
        <f>IF('I | Capex forecast'!H21="","",'I | Capex forecast'!H21)</f>
        <v>FY 26</v>
      </c>
      <c r="I21" s="48" t="str">
        <f>IF('I | Capex forecast'!I21="","",'I | Capex forecast'!I21)</f>
        <v>Mid-year</v>
      </c>
      <c r="J21" s="48" t="str">
        <f>IF('I | Capex forecast'!J21="","",'I | Capex forecast'!J21)</f>
        <v>No</v>
      </c>
      <c r="K21" s="50"/>
      <c r="L21" s="52">
        <f>IFERROR(VLOOKUP($A21,'I | Capex forecast'!$A$11:$AA$160,L$8,0)*INDEX('I | Inflation'!$F$46:$G$49,MATCH($I21,'I | Inflation'!$E$46:$E$49,0),MATCH($H21,'I | Inflation'!$F$45:$G$45,0)),0)</f>
        <v>1579401.1866028712</v>
      </c>
      <c r="M21" s="52">
        <f>IFERROR(VLOOKUP($A21,'I | Capex forecast'!$A$11:$AA$160,M$8,0)*INDEX('I | Inflation'!$F$46:$G$49,MATCH($I21,'I | Inflation'!$E$46:$E$49,0),MATCH($H21,'I | Inflation'!$F$45:$G$45,0)),0)</f>
        <v>1579401.1866028712</v>
      </c>
      <c r="N21" s="52">
        <f>IFERROR(VLOOKUP($A21,'I | Capex forecast'!$A$11:$AA$160,N$8,0)*INDEX('I | Inflation'!$F$46:$G$49,MATCH($I21,'I | Inflation'!$E$46:$E$49,0),MATCH($H21,'I | Inflation'!$F$45:$G$45,0)),0)</f>
        <v>1579401.1866028712</v>
      </c>
      <c r="O21" s="52">
        <f>IFERROR(VLOOKUP($A21,'I | Capex forecast'!$A$11:$AA$160,O$8,0)*INDEX('I | Inflation'!$F$46:$G$49,MATCH($I21,'I | Inflation'!$E$46:$E$49,0),MATCH($H21,'I | Inflation'!$F$45:$G$45,0)),0)</f>
        <v>1579401.1866028712</v>
      </c>
      <c r="P21" s="52">
        <f>IFERROR(VLOOKUP($A21,'I | Capex forecast'!$A$11:$AA$160,P$8,0)*INDEX('I | Inflation'!$F$46:$G$49,MATCH($I21,'I | Inflation'!$E$46:$E$49,0),MATCH($H21,'I | Inflation'!$F$45:$G$45,0)),0)</f>
        <v>1579401.1866028712</v>
      </c>
      <c r="Q21" s="54">
        <f t="shared" si="33"/>
        <v>7897005.9330143556</v>
      </c>
      <c r="R21" s="53"/>
      <c r="S21" s="226">
        <f>L21*VLOOKUP($A21,'I | Capex forecast'!$A$11:$AA$160,S$8,0)</f>
        <v>606904.15761576127</v>
      </c>
      <c r="T21" s="226">
        <f>M21*VLOOKUP($A21,'I | Capex forecast'!$A$11:$AA$160,T$8,0)</f>
        <v>606904.15761576127</v>
      </c>
      <c r="U21" s="226">
        <f>N21*VLOOKUP($A21,'I | Capex forecast'!$A$11:$AA$160,U$8,0)</f>
        <v>606904.15761576127</v>
      </c>
      <c r="V21" s="226">
        <f>O21*VLOOKUP($A21,'I | Capex forecast'!$A$11:$AA$160,V$8,0)</f>
        <v>606904.15761576127</v>
      </c>
      <c r="W21" s="226">
        <f>P21*VLOOKUP($A21,'I | Capex forecast'!$A$11:$AA$160,W$8,0)</f>
        <v>606904.15761576127</v>
      </c>
      <c r="X21" s="54">
        <f t="shared" si="13"/>
        <v>3034520.7880788064</v>
      </c>
      <c r="Y21" s="53"/>
      <c r="Z21" s="52">
        <f>S21*(HLOOKUP(Z$10,'I | Inflation'!$E$57:$J$59,3,0)-1)</f>
        <v>8288.1214585791422</v>
      </c>
      <c r="AA21" s="52">
        <f>T21*(HLOOKUP(AA$10,'I | Inflation'!$E$57:$J$59,3,0)-1)</f>
        <v>11443.40635155875</v>
      </c>
      <c r="AB21" s="52">
        <f>U21*(HLOOKUP(AB$10,'I | Inflation'!$E$57:$J$59,3,0)-1)</f>
        <v>16702.446149198498</v>
      </c>
      <c r="AC21" s="52">
        <f>V21*(HLOOKUP(AC$10,'I | Inflation'!$E$57:$J$59,3,0)-1)</f>
        <v>23809.256191855999</v>
      </c>
      <c r="AD21" s="52">
        <f>W21*(HLOOKUP(AD$10,'I | Inflation'!$E$57:$J$59,3,0)-1)</f>
        <v>28117.563023916529</v>
      </c>
      <c r="AE21" s="54">
        <f t="shared" si="14"/>
        <v>88360.79317510892</v>
      </c>
      <c r="AF21" s="53"/>
      <c r="AG21" s="226">
        <f t="shared" si="15"/>
        <v>615192.27907434036</v>
      </c>
      <c r="AH21" s="226">
        <f t="shared" si="16"/>
        <v>618347.56396732002</v>
      </c>
      <c r="AI21" s="226">
        <f t="shared" si="17"/>
        <v>623606.60376495973</v>
      </c>
      <c r="AJ21" s="226">
        <f t="shared" si="18"/>
        <v>630713.41380761727</v>
      </c>
      <c r="AK21" s="226">
        <f t="shared" si="19"/>
        <v>635021.72063967783</v>
      </c>
      <c r="AL21" s="54">
        <f t="shared" si="20"/>
        <v>3122881.5812539151</v>
      </c>
      <c r="AM21" s="53"/>
      <c r="AN21" s="52"/>
      <c r="AO21" s="52"/>
      <c r="AP21" s="52"/>
      <c r="AQ21" s="52"/>
      <c r="AR21" s="52"/>
      <c r="AS21" s="54">
        <f t="shared" si="21"/>
        <v>0</v>
      </c>
      <c r="AT21" s="53"/>
      <c r="AU21" s="52"/>
      <c r="AV21" s="52"/>
      <c r="AW21" s="52"/>
      <c r="AX21" s="52"/>
      <c r="AY21" s="52"/>
      <c r="AZ21" s="54">
        <f t="shared" si="22"/>
        <v>0</v>
      </c>
      <c r="BA21" s="53"/>
      <c r="BB21" s="52"/>
      <c r="BC21" s="52"/>
      <c r="BD21" s="52"/>
      <c r="BE21" s="52"/>
      <c r="BF21" s="52"/>
      <c r="BG21" s="54">
        <f t="shared" si="23"/>
        <v>0</v>
      </c>
      <c r="BH21" s="53"/>
      <c r="BI21" s="52">
        <f>L21*VLOOKUP($A21,'I | Capex forecast'!$A$11:$AA$160,BI$8,0)</f>
        <v>142146.1067942584</v>
      </c>
      <c r="BJ21" s="52">
        <f>M21*VLOOKUP($A21,'I | Capex forecast'!$A$11:$AA$160,BJ$8,0)</f>
        <v>142146.1067942584</v>
      </c>
      <c r="BK21" s="52">
        <f>N21*VLOOKUP($A21,'I | Capex forecast'!$A$11:$AA$160,BK$8,0)</f>
        <v>142146.1067942584</v>
      </c>
      <c r="BL21" s="52">
        <f>O21*VLOOKUP($A21,'I | Capex forecast'!$A$11:$AA$160,BL$8,0)</f>
        <v>142146.1067942584</v>
      </c>
      <c r="BM21" s="52">
        <f>P21*VLOOKUP($A21,'I | Capex forecast'!$A$11:$AA$160,BM$8,0)</f>
        <v>142146.1067942584</v>
      </c>
      <c r="BN21" s="54">
        <f t="shared" si="24"/>
        <v>710730.53397129197</v>
      </c>
      <c r="BO21" s="53"/>
      <c r="BP21" s="52">
        <f t="shared" si="1"/>
        <v>1729835.4148557086</v>
      </c>
      <c r="BQ21" s="52">
        <f t="shared" si="2"/>
        <v>1732990.6997486884</v>
      </c>
      <c r="BR21" s="52">
        <f t="shared" si="3"/>
        <v>1738249.7395463281</v>
      </c>
      <c r="BS21" s="52">
        <f t="shared" si="4"/>
        <v>1745356.5495889855</v>
      </c>
      <c r="BT21" s="52">
        <f t="shared" si="5"/>
        <v>1749664.856421046</v>
      </c>
      <c r="BU21" s="54">
        <f t="shared" si="25"/>
        <v>8696097.2601607554</v>
      </c>
      <c r="BW21" s="52">
        <f t="shared" si="6"/>
        <v>1729835.4148557086</v>
      </c>
      <c r="BX21" s="52">
        <f t="shared" si="7"/>
        <v>1732990.6997486884</v>
      </c>
      <c r="BY21" s="52">
        <f t="shared" si="8"/>
        <v>1738249.7395463281</v>
      </c>
      <c r="BZ21" s="52">
        <f t="shared" si="9"/>
        <v>1745356.5495889855</v>
      </c>
      <c r="CA21" s="52">
        <f t="shared" si="10"/>
        <v>1749664.856421046</v>
      </c>
      <c r="CB21" s="54">
        <f t="shared" si="26"/>
        <v>8696097.2601607554</v>
      </c>
      <c r="CC21" s="53"/>
      <c r="CD21" s="52">
        <f t="shared" si="27"/>
        <v>0</v>
      </c>
      <c r="CE21" s="52">
        <f t="shared" si="28"/>
        <v>0</v>
      </c>
      <c r="CF21" s="52">
        <f t="shared" si="29"/>
        <v>0</v>
      </c>
      <c r="CG21" s="52">
        <f t="shared" si="30"/>
        <v>0</v>
      </c>
      <c r="CH21" s="52">
        <f t="shared" si="31"/>
        <v>0</v>
      </c>
      <c r="CI21" s="54">
        <f t="shared" si="32"/>
        <v>0</v>
      </c>
    </row>
    <row r="22" spans="1:87" s="4" customFormat="1" x14ac:dyDescent="0.3">
      <c r="A22" s="56">
        <v>12</v>
      </c>
      <c r="B22" s="48" t="str">
        <f>IF('I | Capex forecast'!B22="","",'I | Capex forecast'!B22)</f>
        <v>CP Interference (DN250) and Registration</v>
      </c>
      <c r="C22" s="48" t="str">
        <f>IF('I | Capex forecast'!C22="","",'I | Capex forecast'!C22)</f>
        <v>Pipeline Integrity</v>
      </c>
      <c r="D22" s="48" t="str">
        <f>IF('I | Capex forecast'!D22="","",'I | Capex forecast'!D22)</f>
        <v>CP</v>
      </c>
      <c r="E22" s="48" t="str">
        <f>IF('I | Capex forecast'!E22="","",'I | Capex forecast'!E22)</f>
        <v>Pipelines</v>
      </c>
      <c r="F22" s="48" t="str">
        <f>IF('I | Capex forecast'!F22="","",'I | Capex forecast'!F22)</f>
        <v>Replacement</v>
      </c>
      <c r="G22" s="48" t="str">
        <f>IF('I | Capex forecast'!G22="","",'I | Capex forecast'!G22)</f>
        <v>As incurred</v>
      </c>
      <c r="H22" s="48" t="str">
        <f>IF('I | Capex forecast'!H22="","",'I | Capex forecast'!H22)</f>
        <v>FY 26</v>
      </c>
      <c r="I22" s="48" t="str">
        <f>IF('I | Capex forecast'!I22="","",'I | Capex forecast'!I22)</f>
        <v>Mid-year</v>
      </c>
      <c r="J22" s="48" t="str">
        <f>IF('I | Capex forecast'!J22="","",'I | Capex forecast'!J22)</f>
        <v>No</v>
      </c>
      <c r="K22" s="50"/>
      <c r="L22" s="52">
        <f>IFERROR(VLOOKUP($A22,'I | Capex forecast'!$A$11:$AA$160,L$8,0)*INDEX('I | Inflation'!$F$46:$G$49,MATCH($I22,'I | Inflation'!$E$46:$E$49,0),MATCH($H22,'I | Inflation'!$F$45:$G$45,0)),0)</f>
        <v>842347.29952153133</v>
      </c>
      <c r="M22" s="52">
        <f>IFERROR(VLOOKUP($A22,'I | Capex forecast'!$A$11:$AA$160,M$8,0)*INDEX('I | Inflation'!$F$46:$G$49,MATCH($I22,'I | Inflation'!$E$46:$E$49,0),MATCH($H22,'I | Inflation'!$F$45:$G$45,0)),0)</f>
        <v>842347.29952153133</v>
      </c>
      <c r="N22" s="52">
        <f>IFERROR(VLOOKUP($A22,'I | Capex forecast'!$A$11:$AA$160,N$8,0)*INDEX('I | Inflation'!$F$46:$G$49,MATCH($I22,'I | Inflation'!$E$46:$E$49,0),MATCH($H22,'I | Inflation'!$F$45:$G$45,0)),0)</f>
        <v>842347.29952153133</v>
      </c>
      <c r="O22" s="52">
        <f>IFERROR(VLOOKUP($A22,'I | Capex forecast'!$A$11:$AA$160,O$8,0)*INDEX('I | Inflation'!$F$46:$G$49,MATCH($I22,'I | Inflation'!$E$46:$E$49,0),MATCH($H22,'I | Inflation'!$F$45:$G$45,0)),0)</f>
        <v>842347.29952153133</v>
      </c>
      <c r="P22" s="52">
        <f>IFERROR(VLOOKUP($A22,'I | Capex forecast'!$A$11:$AA$160,P$8,0)*INDEX('I | Inflation'!$F$46:$G$49,MATCH($I22,'I | Inflation'!$E$46:$E$49,0),MATCH($H22,'I | Inflation'!$F$45:$G$45,0)),0)</f>
        <v>842347.29952153133</v>
      </c>
      <c r="Q22" s="54">
        <f t="shared" si="33"/>
        <v>4211736.4976076568</v>
      </c>
      <c r="R22" s="53"/>
      <c r="S22" s="226">
        <f>L22*VLOOKUP($A22,'I | Capex forecast'!$A$11:$AA$160,S$8,0)</f>
        <v>323682.21739507269</v>
      </c>
      <c r="T22" s="226">
        <f>M22*VLOOKUP($A22,'I | Capex forecast'!$A$11:$AA$160,T$8,0)</f>
        <v>323682.21739507269</v>
      </c>
      <c r="U22" s="226">
        <f>N22*VLOOKUP($A22,'I | Capex forecast'!$A$11:$AA$160,U$8,0)</f>
        <v>323682.21739507269</v>
      </c>
      <c r="V22" s="226">
        <f>O22*VLOOKUP($A22,'I | Capex forecast'!$A$11:$AA$160,V$8,0)</f>
        <v>323682.21739507269</v>
      </c>
      <c r="W22" s="226">
        <f>P22*VLOOKUP($A22,'I | Capex forecast'!$A$11:$AA$160,W$8,0)</f>
        <v>323682.21739507269</v>
      </c>
      <c r="X22" s="54">
        <f t="shared" si="13"/>
        <v>1618411.0869753635</v>
      </c>
      <c r="Y22" s="53"/>
      <c r="Z22" s="52">
        <f>S22*(HLOOKUP(Z$10,'I | Inflation'!$E$57:$J$59,3,0)-1)</f>
        <v>4420.3314445755423</v>
      </c>
      <c r="AA22" s="52">
        <f>T22*(HLOOKUP(AA$10,'I | Inflation'!$E$57:$J$59,3,0)-1)</f>
        <v>6103.1500541646665</v>
      </c>
      <c r="AB22" s="52">
        <f>U22*(HLOOKUP(AB$10,'I | Inflation'!$E$57:$J$59,3,0)-1)</f>
        <v>8907.9712795725336</v>
      </c>
      <c r="AC22" s="52">
        <f>V22*(HLOOKUP(AC$10,'I | Inflation'!$E$57:$J$59,3,0)-1)</f>
        <v>12698.269968989867</v>
      </c>
      <c r="AD22" s="52">
        <f>W22*(HLOOKUP(AD$10,'I | Inflation'!$E$57:$J$59,3,0)-1)</f>
        <v>14996.033612755482</v>
      </c>
      <c r="AE22" s="54">
        <f t="shared" si="14"/>
        <v>47125.756360058091</v>
      </c>
      <c r="AF22" s="53"/>
      <c r="AG22" s="226">
        <f t="shared" si="15"/>
        <v>328102.54883964825</v>
      </c>
      <c r="AH22" s="226">
        <f t="shared" si="16"/>
        <v>329785.36744923732</v>
      </c>
      <c r="AI22" s="226">
        <f t="shared" si="17"/>
        <v>332590.18867464521</v>
      </c>
      <c r="AJ22" s="226">
        <f t="shared" si="18"/>
        <v>336380.48736406257</v>
      </c>
      <c r="AK22" s="226">
        <f t="shared" si="19"/>
        <v>338678.25100782816</v>
      </c>
      <c r="AL22" s="54">
        <f t="shared" si="20"/>
        <v>1665536.8433354215</v>
      </c>
      <c r="AM22" s="53"/>
      <c r="AN22" s="52"/>
      <c r="AO22" s="52"/>
      <c r="AP22" s="52"/>
      <c r="AQ22" s="52"/>
      <c r="AR22" s="52"/>
      <c r="AS22" s="54">
        <f t="shared" si="21"/>
        <v>0</v>
      </c>
      <c r="AT22" s="53"/>
      <c r="AU22" s="52"/>
      <c r="AV22" s="52"/>
      <c r="AW22" s="52"/>
      <c r="AX22" s="52"/>
      <c r="AY22" s="52"/>
      <c r="AZ22" s="54">
        <f t="shared" si="22"/>
        <v>0</v>
      </c>
      <c r="BA22" s="53"/>
      <c r="BB22" s="52"/>
      <c r="BC22" s="52"/>
      <c r="BD22" s="52"/>
      <c r="BE22" s="52"/>
      <c r="BF22" s="52"/>
      <c r="BG22" s="54">
        <f t="shared" si="23"/>
        <v>0</v>
      </c>
      <c r="BH22" s="53"/>
      <c r="BI22" s="52">
        <f>L22*VLOOKUP($A22,'I | Capex forecast'!$A$11:$AA$160,BI$8,0)</f>
        <v>75811.25695693781</v>
      </c>
      <c r="BJ22" s="52">
        <f>M22*VLOOKUP($A22,'I | Capex forecast'!$A$11:$AA$160,BJ$8,0)</f>
        <v>75811.25695693781</v>
      </c>
      <c r="BK22" s="52">
        <f>N22*VLOOKUP($A22,'I | Capex forecast'!$A$11:$AA$160,BK$8,0)</f>
        <v>75811.25695693781</v>
      </c>
      <c r="BL22" s="52">
        <f>O22*VLOOKUP($A22,'I | Capex forecast'!$A$11:$AA$160,BL$8,0)</f>
        <v>75811.25695693781</v>
      </c>
      <c r="BM22" s="52">
        <f>P22*VLOOKUP($A22,'I | Capex forecast'!$A$11:$AA$160,BM$8,0)</f>
        <v>75811.25695693781</v>
      </c>
      <c r="BN22" s="54">
        <f t="shared" si="24"/>
        <v>379056.28478468908</v>
      </c>
      <c r="BO22" s="53"/>
      <c r="BP22" s="52">
        <f t="shared" si="1"/>
        <v>922578.88792304473</v>
      </c>
      <c r="BQ22" s="52">
        <f t="shared" si="2"/>
        <v>924261.70653263386</v>
      </c>
      <c r="BR22" s="52">
        <f t="shared" si="3"/>
        <v>927066.52775804175</v>
      </c>
      <c r="BS22" s="52">
        <f t="shared" si="4"/>
        <v>930856.82644745905</v>
      </c>
      <c r="BT22" s="52">
        <f t="shared" si="5"/>
        <v>933154.59009122464</v>
      </c>
      <c r="BU22" s="54">
        <f t="shared" si="25"/>
        <v>4637918.538752404</v>
      </c>
      <c r="BW22" s="52">
        <f t="shared" si="6"/>
        <v>922578.88792304473</v>
      </c>
      <c r="BX22" s="52">
        <f t="shared" si="7"/>
        <v>924261.70653263386</v>
      </c>
      <c r="BY22" s="52">
        <f t="shared" si="8"/>
        <v>927066.52775804175</v>
      </c>
      <c r="BZ22" s="52">
        <f t="shared" si="9"/>
        <v>930856.82644745905</v>
      </c>
      <c r="CA22" s="52">
        <f t="shared" si="10"/>
        <v>933154.59009122464</v>
      </c>
      <c r="CB22" s="54">
        <f t="shared" si="26"/>
        <v>4637918.538752404</v>
      </c>
      <c r="CC22" s="53"/>
      <c r="CD22" s="52">
        <f t="shared" si="27"/>
        <v>0</v>
      </c>
      <c r="CE22" s="52">
        <f t="shared" si="28"/>
        <v>0</v>
      </c>
      <c r="CF22" s="52">
        <f t="shared" si="29"/>
        <v>0</v>
      </c>
      <c r="CG22" s="52">
        <f t="shared" si="30"/>
        <v>0</v>
      </c>
      <c r="CH22" s="52">
        <f t="shared" si="31"/>
        <v>0</v>
      </c>
      <c r="CI22" s="54">
        <f t="shared" si="32"/>
        <v>0</v>
      </c>
    </row>
    <row r="23" spans="1:87" s="4" customFormat="1" x14ac:dyDescent="0.3">
      <c r="A23" s="56">
        <v>13</v>
      </c>
      <c r="B23" s="48" t="str">
        <f>IF('I | Capex forecast'!B23="","",'I | Capex forecast'!B23)</f>
        <v>DN200 Lytton Lateral - Validation Dig ILI</v>
      </c>
      <c r="C23" s="48" t="str">
        <f>IF('I | Capex forecast'!C23="","",'I | Capex forecast'!C23)</f>
        <v>Pipeline Integrity</v>
      </c>
      <c r="D23" s="48" t="str">
        <f>IF('I | Capex forecast'!D23="","",'I | Capex forecast'!D23)</f>
        <v>Validation dig</v>
      </c>
      <c r="E23" s="48" t="str">
        <f>IF('I | Capex forecast'!E23="","",'I | Capex forecast'!E23)</f>
        <v>Pipeline Integrity</v>
      </c>
      <c r="F23" s="48" t="str">
        <f>IF('I | Capex forecast'!F23="","",'I | Capex forecast'!F23)</f>
        <v>Replacement</v>
      </c>
      <c r="G23" s="48" t="str">
        <f>IF('I | Capex forecast'!G23="","",'I | Capex forecast'!G23)</f>
        <v>As incurred</v>
      </c>
      <c r="H23" s="48" t="str">
        <f>IF('I | Capex forecast'!H23="","",'I | Capex forecast'!H23)</f>
        <v>FY 26</v>
      </c>
      <c r="I23" s="48" t="str">
        <f>IF('I | Capex forecast'!I23="","",'I | Capex forecast'!I23)</f>
        <v>Mid-year</v>
      </c>
      <c r="J23" s="48" t="str">
        <f>IF('I | Capex forecast'!J23="","",'I | Capex forecast'!J23)</f>
        <v>No</v>
      </c>
      <c r="K23" s="50"/>
      <c r="L23" s="52">
        <f>IFERROR(VLOOKUP($A23,'I | Capex forecast'!$A$11:$AA$160,L$8,0)*INDEX('I | Inflation'!$F$46:$G$49,MATCH($I23,'I | Inflation'!$E$46:$E$49,0),MATCH($H23,'I | Inflation'!$F$45:$G$45,0)),0)</f>
        <v>842347.29952153133</v>
      </c>
      <c r="M23" s="52">
        <f>IFERROR(VLOOKUP($A23,'I | Capex forecast'!$A$11:$AA$160,M$8,0)*INDEX('I | Inflation'!$F$46:$G$49,MATCH($I23,'I | Inflation'!$E$46:$E$49,0),MATCH($H23,'I | Inflation'!$F$45:$G$45,0)),0)</f>
        <v>0</v>
      </c>
      <c r="N23" s="52">
        <f>IFERROR(VLOOKUP($A23,'I | Capex forecast'!$A$11:$AA$160,N$8,0)*INDEX('I | Inflation'!$F$46:$G$49,MATCH($I23,'I | Inflation'!$E$46:$E$49,0),MATCH($H23,'I | Inflation'!$F$45:$G$45,0)),0)</f>
        <v>0</v>
      </c>
      <c r="O23" s="52">
        <f>IFERROR(VLOOKUP($A23,'I | Capex forecast'!$A$11:$AA$160,O$8,0)*INDEX('I | Inflation'!$F$46:$G$49,MATCH($I23,'I | Inflation'!$E$46:$E$49,0),MATCH($H23,'I | Inflation'!$F$45:$G$45,0)),0)</f>
        <v>0</v>
      </c>
      <c r="P23" s="52">
        <f>IFERROR(VLOOKUP($A23,'I | Capex forecast'!$A$11:$AA$160,P$8,0)*INDEX('I | Inflation'!$F$46:$G$49,MATCH($I23,'I | Inflation'!$E$46:$E$49,0),MATCH($H23,'I | Inflation'!$F$45:$G$45,0)),0)</f>
        <v>0</v>
      </c>
      <c r="Q23" s="54">
        <f t="shared" si="33"/>
        <v>842347.29952153133</v>
      </c>
      <c r="R23" s="53"/>
      <c r="S23" s="226">
        <f>L23*VLOOKUP($A23,'I | Capex forecast'!$A$11:$AA$160,S$8,0)</f>
        <v>323682.21739507269</v>
      </c>
      <c r="T23" s="226">
        <f>M23*VLOOKUP($A23,'I | Capex forecast'!$A$11:$AA$160,T$8,0)</f>
        <v>0</v>
      </c>
      <c r="U23" s="226">
        <f>N23*VLOOKUP($A23,'I | Capex forecast'!$A$11:$AA$160,U$8,0)</f>
        <v>0</v>
      </c>
      <c r="V23" s="226">
        <f>O23*VLOOKUP($A23,'I | Capex forecast'!$A$11:$AA$160,V$8,0)</f>
        <v>0</v>
      </c>
      <c r="W23" s="226">
        <f>P23*VLOOKUP($A23,'I | Capex forecast'!$A$11:$AA$160,W$8,0)</f>
        <v>0</v>
      </c>
      <c r="X23" s="54">
        <f t="shared" si="13"/>
        <v>323682.21739507269</v>
      </c>
      <c r="Y23" s="53"/>
      <c r="Z23" s="52">
        <f>S23*(HLOOKUP(Z$10,'I | Inflation'!$E$57:$J$59,3,0)-1)</f>
        <v>4420.3314445755423</v>
      </c>
      <c r="AA23" s="52">
        <f>T23*(HLOOKUP(AA$10,'I | Inflation'!$E$57:$J$59,3,0)-1)</f>
        <v>0</v>
      </c>
      <c r="AB23" s="52">
        <f>U23*(HLOOKUP(AB$10,'I | Inflation'!$E$57:$J$59,3,0)-1)</f>
        <v>0</v>
      </c>
      <c r="AC23" s="52">
        <f>V23*(HLOOKUP(AC$10,'I | Inflation'!$E$57:$J$59,3,0)-1)</f>
        <v>0</v>
      </c>
      <c r="AD23" s="52">
        <f>W23*(HLOOKUP(AD$10,'I | Inflation'!$E$57:$J$59,3,0)-1)</f>
        <v>0</v>
      </c>
      <c r="AE23" s="54">
        <f t="shared" si="14"/>
        <v>4420.3314445755423</v>
      </c>
      <c r="AF23" s="53"/>
      <c r="AG23" s="226">
        <f t="shared" si="15"/>
        <v>328102.54883964825</v>
      </c>
      <c r="AH23" s="226">
        <f t="shared" si="16"/>
        <v>0</v>
      </c>
      <c r="AI23" s="226">
        <f t="shared" si="17"/>
        <v>0</v>
      </c>
      <c r="AJ23" s="226">
        <f t="shared" si="18"/>
        <v>0</v>
      </c>
      <c r="AK23" s="226">
        <f t="shared" si="19"/>
        <v>0</v>
      </c>
      <c r="AL23" s="54">
        <f t="shared" si="20"/>
        <v>328102.54883964825</v>
      </c>
      <c r="AM23" s="53"/>
      <c r="AN23" s="52"/>
      <c r="AO23" s="52"/>
      <c r="AP23" s="52"/>
      <c r="AQ23" s="52"/>
      <c r="AR23" s="52"/>
      <c r="AS23" s="54">
        <f t="shared" si="21"/>
        <v>0</v>
      </c>
      <c r="AT23" s="53"/>
      <c r="AU23" s="52"/>
      <c r="AV23" s="52"/>
      <c r="AW23" s="52"/>
      <c r="AX23" s="52"/>
      <c r="AY23" s="52"/>
      <c r="AZ23" s="54">
        <f t="shared" si="22"/>
        <v>0</v>
      </c>
      <c r="BA23" s="53"/>
      <c r="BB23" s="52"/>
      <c r="BC23" s="52"/>
      <c r="BD23" s="52"/>
      <c r="BE23" s="52"/>
      <c r="BF23" s="52"/>
      <c r="BG23" s="54">
        <f t="shared" si="23"/>
        <v>0</v>
      </c>
      <c r="BH23" s="53"/>
      <c r="BI23" s="52">
        <f>L23*VLOOKUP($A23,'I | Capex forecast'!$A$11:$AA$160,BI$8,0)</f>
        <v>75811.25695693781</v>
      </c>
      <c r="BJ23" s="52">
        <f>M23*VLOOKUP($A23,'I | Capex forecast'!$A$11:$AA$160,BJ$8,0)</f>
        <v>0</v>
      </c>
      <c r="BK23" s="52">
        <f>N23*VLOOKUP($A23,'I | Capex forecast'!$A$11:$AA$160,BK$8,0)</f>
        <v>0</v>
      </c>
      <c r="BL23" s="52">
        <f>O23*VLOOKUP($A23,'I | Capex forecast'!$A$11:$AA$160,BL$8,0)</f>
        <v>0</v>
      </c>
      <c r="BM23" s="52">
        <f>P23*VLOOKUP($A23,'I | Capex forecast'!$A$11:$AA$160,BM$8,0)</f>
        <v>0</v>
      </c>
      <c r="BN23" s="54">
        <f t="shared" si="24"/>
        <v>75811.25695693781</v>
      </c>
      <c r="BO23" s="53"/>
      <c r="BP23" s="52">
        <f t="shared" si="1"/>
        <v>922578.88792304473</v>
      </c>
      <c r="BQ23" s="52">
        <f t="shared" si="2"/>
        <v>0</v>
      </c>
      <c r="BR23" s="52">
        <f t="shared" si="3"/>
        <v>0</v>
      </c>
      <c r="BS23" s="52">
        <f t="shared" si="4"/>
        <v>0</v>
      </c>
      <c r="BT23" s="52">
        <f t="shared" si="5"/>
        <v>0</v>
      </c>
      <c r="BU23" s="54">
        <f t="shared" si="25"/>
        <v>922578.88792304473</v>
      </c>
      <c r="BW23" s="52">
        <f t="shared" si="6"/>
        <v>922578.88792304473</v>
      </c>
      <c r="BX23" s="52">
        <f t="shared" si="7"/>
        <v>0</v>
      </c>
      <c r="BY23" s="52">
        <f t="shared" si="8"/>
        <v>0</v>
      </c>
      <c r="BZ23" s="52">
        <f t="shared" si="9"/>
        <v>0</v>
      </c>
      <c r="CA23" s="52">
        <f t="shared" si="10"/>
        <v>0</v>
      </c>
      <c r="CB23" s="54">
        <f t="shared" si="26"/>
        <v>922578.88792304473</v>
      </c>
      <c r="CC23" s="53"/>
      <c r="CD23" s="52">
        <f t="shared" si="27"/>
        <v>0</v>
      </c>
      <c r="CE23" s="52">
        <f t="shared" si="28"/>
        <v>0</v>
      </c>
      <c r="CF23" s="52">
        <f t="shared" si="29"/>
        <v>0</v>
      </c>
      <c r="CG23" s="52">
        <f t="shared" si="30"/>
        <v>0</v>
      </c>
      <c r="CH23" s="52">
        <f t="shared" si="31"/>
        <v>0</v>
      </c>
      <c r="CI23" s="54">
        <f t="shared" si="32"/>
        <v>0</v>
      </c>
    </row>
    <row r="24" spans="1:87" s="4" customFormat="1" x14ac:dyDescent="0.3">
      <c r="A24" s="56">
        <v>14</v>
      </c>
      <c r="B24" s="48" t="str">
        <f>IF('I | Capex forecast'!B24="","",'I | Capex forecast'!B24)</f>
        <v>DN250 Supply Security - Phase 2a</v>
      </c>
      <c r="C24" s="48" t="str">
        <f>IF('I | Capex forecast'!C24="","",'I | Capex forecast'!C24)</f>
        <v>DN250 Supply Security Project</v>
      </c>
      <c r="D24" s="48" t="str">
        <f>IF('I | Capex forecast'!D24="","",'I | Capex forecast'!D24)</f>
        <v>Security</v>
      </c>
      <c r="E24" s="48" t="str">
        <f>IF('I | Capex forecast'!E24="","",'I | Capex forecast'!E24)</f>
        <v>Pipelines</v>
      </c>
      <c r="F24" s="48" t="str">
        <f>IF('I | Capex forecast'!F24="","",'I | Capex forecast'!F24)</f>
        <v>Replacement</v>
      </c>
      <c r="G24" s="48" t="str">
        <f>IF('I | Capex forecast'!G24="","",'I | Capex forecast'!G24)</f>
        <v>As incurred</v>
      </c>
      <c r="H24" s="48" t="str">
        <f>IF('I | Capex forecast'!H24="","",'I | Capex forecast'!H24)</f>
        <v>FY 26</v>
      </c>
      <c r="I24" s="48" t="str">
        <f>IF('I | Capex forecast'!I24="","",'I | Capex forecast'!I24)</f>
        <v>Mid-year</v>
      </c>
      <c r="J24" s="48" t="str">
        <f>IF('I | Capex forecast'!J24="","",'I | Capex forecast'!J24)</f>
        <v>No</v>
      </c>
      <c r="K24" s="50"/>
      <c r="L24" s="52">
        <f>IFERROR(VLOOKUP($A24,'I | Capex forecast'!$A$11:$AA$160,L$8,0)*INDEX('I | Inflation'!$F$46:$G$49,MATCH($I24,'I | Inflation'!$E$46:$E$49,0),MATCH($H24,'I | Inflation'!$F$45:$G$45,0)),0)</f>
        <v>3275602.2497573979</v>
      </c>
      <c r="M24" s="52">
        <f>IFERROR(VLOOKUP($A24,'I | Capex forecast'!$A$11:$AA$160,M$8,0)*INDEX('I | Inflation'!$F$46:$G$49,MATCH($I24,'I | Inflation'!$E$46:$E$49,0),MATCH($H24,'I | Inflation'!$F$45:$G$45,0)),0)</f>
        <v>3932815.300987714</v>
      </c>
      <c r="N24" s="52">
        <f>IFERROR(VLOOKUP($A24,'I | Capex forecast'!$A$11:$AA$160,N$8,0)*INDEX('I | Inflation'!$F$46:$G$49,MATCH($I24,'I | Inflation'!$E$46:$E$49,0),MATCH($H24,'I | Inflation'!$F$45:$G$45,0)),0)</f>
        <v>0</v>
      </c>
      <c r="O24" s="52">
        <f>IFERROR(VLOOKUP($A24,'I | Capex forecast'!$A$11:$AA$160,O$8,0)*INDEX('I | Inflation'!$F$46:$G$49,MATCH($I24,'I | Inflation'!$E$46:$E$49,0),MATCH($H24,'I | Inflation'!$F$45:$G$45,0)),0)</f>
        <v>0</v>
      </c>
      <c r="P24" s="52">
        <f>IFERROR(VLOOKUP($A24,'I | Capex forecast'!$A$11:$AA$160,P$8,0)*INDEX('I | Inflation'!$F$46:$G$49,MATCH($I24,'I | Inflation'!$E$46:$E$49,0),MATCH($H24,'I | Inflation'!$F$45:$G$45,0)),0)</f>
        <v>0</v>
      </c>
      <c r="Q24" s="54">
        <f t="shared" si="33"/>
        <v>7208417.5507451119</v>
      </c>
      <c r="R24" s="53"/>
      <c r="S24" s="226">
        <f>L24*VLOOKUP($A24,'I | Capex forecast'!$A$11:$AA$160,S$8,0)</f>
        <v>1258690.0914955235</v>
      </c>
      <c r="T24" s="226">
        <f>M24*VLOOKUP($A24,'I | Capex forecast'!$A$11:$AA$160,T$8,0)</f>
        <v>1511232.2173431918</v>
      </c>
      <c r="U24" s="226">
        <f>N24*VLOOKUP($A24,'I | Capex forecast'!$A$11:$AA$160,U$8,0)</f>
        <v>0</v>
      </c>
      <c r="V24" s="226">
        <f>O24*VLOOKUP($A24,'I | Capex forecast'!$A$11:$AA$160,V$8,0)</f>
        <v>0</v>
      </c>
      <c r="W24" s="226">
        <f>P24*VLOOKUP($A24,'I | Capex forecast'!$A$11:$AA$160,W$8,0)</f>
        <v>0</v>
      </c>
      <c r="X24" s="54">
        <f t="shared" si="13"/>
        <v>2769922.3088387153</v>
      </c>
      <c r="Y24" s="53"/>
      <c r="Z24" s="52">
        <f>S24*(HLOOKUP(Z$10,'I | Inflation'!$E$57:$J$59,3,0)-1)</f>
        <v>17189.166075263129</v>
      </c>
      <c r="AA24" s="52">
        <f>T24*(HLOOKUP(AA$10,'I | Inflation'!$E$57:$J$59,3,0)-1)</f>
        <v>28494.852338075627</v>
      </c>
      <c r="AB24" s="52">
        <f>U24*(HLOOKUP(AB$10,'I | Inflation'!$E$57:$J$59,3,0)-1)</f>
        <v>0</v>
      </c>
      <c r="AC24" s="52">
        <f>V24*(HLOOKUP(AC$10,'I | Inflation'!$E$57:$J$59,3,0)-1)</f>
        <v>0</v>
      </c>
      <c r="AD24" s="52">
        <f>W24*(HLOOKUP(AD$10,'I | Inflation'!$E$57:$J$59,3,0)-1)</f>
        <v>0</v>
      </c>
      <c r="AE24" s="54">
        <f t="shared" si="14"/>
        <v>45684.018413338752</v>
      </c>
      <c r="AF24" s="53"/>
      <c r="AG24" s="226">
        <f t="shared" si="15"/>
        <v>1275879.2575707866</v>
      </c>
      <c r="AH24" s="226">
        <f t="shared" si="16"/>
        <v>1539727.0696812675</v>
      </c>
      <c r="AI24" s="226">
        <f t="shared" si="17"/>
        <v>0</v>
      </c>
      <c r="AJ24" s="226">
        <f t="shared" si="18"/>
        <v>0</v>
      </c>
      <c r="AK24" s="226">
        <f t="shared" si="19"/>
        <v>0</v>
      </c>
      <c r="AL24" s="54">
        <f t="shared" si="20"/>
        <v>2815606.3272520541</v>
      </c>
      <c r="AM24" s="53"/>
      <c r="AN24" s="52"/>
      <c r="AO24" s="52"/>
      <c r="AP24" s="52"/>
      <c r="AQ24" s="52"/>
      <c r="AR24" s="52"/>
      <c r="AS24" s="54">
        <f t="shared" si="21"/>
        <v>0</v>
      </c>
      <c r="AT24" s="53"/>
      <c r="AU24" s="52"/>
      <c r="AV24" s="52"/>
      <c r="AW24" s="52"/>
      <c r="AX24" s="52"/>
      <c r="AY24" s="52"/>
      <c r="AZ24" s="54">
        <f t="shared" si="22"/>
        <v>0</v>
      </c>
      <c r="BA24" s="53"/>
      <c r="BB24" s="52"/>
      <c r="BC24" s="52"/>
      <c r="BD24" s="52"/>
      <c r="BE24" s="52"/>
      <c r="BF24" s="52"/>
      <c r="BG24" s="54">
        <f t="shared" si="23"/>
        <v>0</v>
      </c>
      <c r="BH24" s="53"/>
      <c r="BI24" s="52">
        <f>L24*VLOOKUP($A24,'I | Capex forecast'!$A$11:$AA$160,BI$8,0)</f>
        <v>294804.2024781658</v>
      </c>
      <c r="BJ24" s="52">
        <f>M24*VLOOKUP($A24,'I | Capex forecast'!$A$11:$AA$160,BJ$8,0)</f>
        <v>353953.37708889425</v>
      </c>
      <c r="BK24" s="52">
        <f>N24*VLOOKUP($A24,'I | Capex forecast'!$A$11:$AA$160,BK$8,0)</f>
        <v>0</v>
      </c>
      <c r="BL24" s="52">
        <f>O24*VLOOKUP($A24,'I | Capex forecast'!$A$11:$AA$160,BL$8,0)</f>
        <v>0</v>
      </c>
      <c r="BM24" s="52">
        <f>P24*VLOOKUP($A24,'I | Capex forecast'!$A$11:$AA$160,BM$8,0)</f>
        <v>0</v>
      </c>
      <c r="BN24" s="54">
        <f t="shared" si="24"/>
        <v>648757.57956706011</v>
      </c>
      <c r="BO24" s="53"/>
      <c r="BP24" s="52">
        <f t="shared" si="1"/>
        <v>3587595.6183108268</v>
      </c>
      <c r="BQ24" s="52">
        <f t="shared" si="2"/>
        <v>4315263.5304146837</v>
      </c>
      <c r="BR24" s="52">
        <f t="shared" si="3"/>
        <v>0</v>
      </c>
      <c r="BS24" s="52">
        <f t="shared" si="4"/>
        <v>0</v>
      </c>
      <c r="BT24" s="52">
        <f t="shared" si="5"/>
        <v>0</v>
      </c>
      <c r="BU24" s="54">
        <f t="shared" si="25"/>
        <v>7902859.1487255106</v>
      </c>
      <c r="BW24" s="52">
        <f t="shared" si="6"/>
        <v>3587595.6183108268</v>
      </c>
      <c r="BX24" s="52">
        <f t="shared" si="7"/>
        <v>4315263.5304146837</v>
      </c>
      <c r="BY24" s="52">
        <f t="shared" si="8"/>
        <v>0</v>
      </c>
      <c r="BZ24" s="52">
        <f t="shared" si="9"/>
        <v>0</v>
      </c>
      <c r="CA24" s="52">
        <f t="shared" si="10"/>
        <v>0</v>
      </c>
      <c r="CB24" s="54">
        <f t="shared" si="26"/>
        <v>7902859.1487255106</v>
      </c>
      <c r="CC24" s="53"/>
      <c r="CD24" s="52">
        <f t="shared" si="27"/>
        <v>0</v>
      </c>
      <c r="CE24" s="52">
        <f t="shared" si="28"/>
        <v>0</v>
      </c>
      <c r="CF24" s="52">
        <f t="shared" si="29"/>
        <v>0</v>
      </c>
      <c r="CG24" s="52">
        <f t="shared" si="30"/>
        <v>0</v>
      </c>
      <c r="CH24" s="52">
        <f t="shared" si="31"/>
        <v>0</v>
      </c>
      <c r="CI24" s="54">
        <f t="shared" si="32"/>
        <v>0</v>
      </c>
    </row>
    <row r="25" spans="1:87" s="4" customFormat="1" x14ac:dyDescent="0.3">
      <c r="A25" s="56">
        <v>15</v>
      </c>
      <c r="B25" s="48" t="str">
        <f>IF('I | Capex forecast'!B25="","",'I | Capex forecast'!B25)</f>
        <v>DN300 Pig Receiver Safety Upgrades (SEA Compound)​</v>
      </c>
      <c r="C25" s="48" t="str">
        <f>IF('I | Capex forecast'!C25="","",'I | Capex forecast'!C25)</f>
        <v>Pipeline Integrity</v>
      </c>
      <c r="D25" s="48" t="str">
        <f>IF('I | Capex forecast'!D25="","",'I | Capex forecast'!D25)</f>
        <v>ILI upgrade</v>
      </c>
      <c r="E25" s="48" t="str">
        <f>IF('I | Capex forecast'!E25="","",'I | Capex forecast'!E25)</f>
        <v>Pipelines</v>
      </c>
      <c r="F25" s="48" t="str">
        <f>IF('I | Capex forecast'!F25="","",'I | Capex forecast'!F25)</f>
        <v>Replacement</v>
      </c>
      <c r="G25" s="48" t="str">
        <f>IF('I | Capex forecast'!G25="","",'I | Capex forecast'!G25)</f>
        <v>As incurred</v>
      </c>
      <c r="H25" s="48" t="str">
        <f>IF('I | Capex forecast'!H25="","",'I | Capex forecast'!H25)</f>
        <v>FY 26</v>
      </c>
      <c r="I25" s="48" t="str">
        <f>IF('I | Capex forecast'!I25="","",'I | Capex forecast'!I25)</f>
        <v>Mid-year</v>
      </c>
      <c r="J25" s="48" t="str">
        <f>IF('I | Capex forecast'!J25="","",'I | Capex forecast'!J25)</f>
        <v>No</v>
      </c>
      <c r="K25" s="50"/>
      <c r="L25" s="52">
        <f>IFERROR(VLOOKUP($A25,'I | Capex forecast'!$A$11:$AA$160,L$8,0)*INDEX('I | Inflation'!$F$46:$G$49,MATCH($I25,'I | Inflation'!$E$46:$E$49,0),MATCH($H25,'I | Inflation'!$F$45:$G$45,0)),0)</f>
        <v>0</v>
      </c>
      <c r="M25" s="52">
        <f>IFERROR(VLOOKUP($A25,'I | Capex forecast'!$A$11:$AA$160,M$8,0)*INDEX('I | Inflation'!$F$46:$G$49,MATCH($I25,'I | Inflation'!$E$46:$E$49,0),MATCH($H25,'I | Inflation'!$F$45:$G$45,0)),0)</f>
        <v>1926869.4476555029</v>
      </c>
      <c r="N25" s="52">
        <f>IFERROR(VLOOKUP($A25,'I | Capex forecast'!$A$11:$AA$160,N$8,0)*INDEX('I | Inflation'!$F$46:$G$49,MATCH($I25,'I | Inflation'!$E$46:$E$49,0),MATCH($H25,'I | Inflation'!$F$45:$G$45,0)),0)</f>
        <v>0</v>
      </c>
      <c r="O25" s="52">
        <f>IFERROR(VLOOKUP($A25,'I | Capex forecast'!$A$11:$AA$160,O$8,0)*INDEX('I | Inflation'!$F$46:$G$49,MATCH($I25,'I | Inflation'!$E$46:$E$49,0),MATCH($H25,'I | Inflation'!$F$45:$G$45,0)),0)</f>
        <v>0</v>
      </c>
      <c r="P25" s="52">
        <f>IFERROR(VLOOKUP($A25,'I | Capex forecast'!$A$11:$AA$160,P$8,0)*INDEX('I | Inflation'!$F$46:$G$49,MATCH($I25,'I | Inflation'!$E$46:$E$49,0),MATCH($H25,'I | Inflation'!$F$45:$G$45,0)),0)</f>
        <v>0</v>
      </c>
      <c r="Q25" s="54">
        <f t="shared" si="33"/>
        <v>1926869.4476555029</v>
      </c>
      <c r="R25" s="53"/>
      <c r="S25" s="226">
        <f>L25*VLOOKUP($A25,'I | Capex forecast'!$A$11:$AA$160,S$8,0)</f>
        <v>0</v>
      </c>
      <c r="T25" s="226">
        <f>M25*VLOOKUP($A25,'I | Capex forecast'!$A$11:$AA$160,T$8,0)</f>
        <v>740423.0722912288</v>
      </c>
      <c r="U25" s="226">
        <f>N25*VLOOKUP($A25,'I | Capex forecast'!$A$11:$AA$160,U$8,0)</f>
        <v>0</v>
      </c>
      <c r="V25" s="226">
        <f>O25*VLOOKUP($A25,'I | Capex forecast'!$A$11:$AA$160,V$8,0)</f>
        <v>0</v>
      </c>
      <c r="W25" s="226">
        <f>P25*VLOOKUP($A25,'I | Capex forecast'!$A$11:$AA$160,W$8,0)</f>
        <v>0</v>
      </c>
      <c r="X25" s="54">
        <f t="shared" si="13"/>
        <v>740423.0722912288</v>
      </c>
      <c r="Y25" s="53"/>
      <c r="Z25" s="52">
        <f>S25*(HLOOKUP(Z$10,'I | Inflation'!$E$57:$J$59,3,0)-1)</f>
        <v>0</v>
      </c>
      <c r="AA25" s="52">
        <f>T25*(HLOOKUP(AA$10,'I | Inflation'!$E$57:$J$59,3,0)-1)</f>
        <v>13960.955748901675</v>
      </c>
      <c r="AB25" s="52">
        <f>U25*(HLOOKUP(AB$10,'I | Inflation'!$E$57:$J$59,3,0)-1)</f>
        <v>0</v>
      </c>
      <c r="AC25" s="52">
        <f>V25*(HLOOKUP(AC$10,'I | Inflation'!$E$57:$J$59,3,0)-1)</f>
        <v>0</v>
      </c>
      <c r="AD25" s="52">
        <f>W25*(HLOOKUP(AD$10,'I | Inflation'!$E$57:$J$59,3,0)-1)</f>
        <v>0</v>
      </c>
      <c r="AE25" s="54">
        <f t="shared" si="14"/>
        <v>13960.955748901675</v>
      </c>
      <c r="AF25" s="53"/>
      <c r="AG25" s="226">
        <f t="shared" si="15"/>
        <v>0</v>
      </c>
      <c r="AH25" s="226">
        <f t="shared" si="16"/>
        <v>754384.02804013051</v>
      </c>
      <c r="AI25" s="226">
        <f t="shared" si="17"/>
        <v>0</v>
      </c>
      <c r="AJ25" s="226">
        <f t="shared" si="18"/>
        <v>0</v>
      </c>
      <c r="AK25" s="226">
        <f t="shared" si="19"/>
        <v>0</v>
      </c>
      <c r="AL25" s="54">
        <f t="shared" si="20"/>
        <v>754384.02804013051</v>
      </c>
      <c r="AM25" s="53"/>
      <c r="AN25" s="52"/>
      <c r="AO25" s="52"/>
      <c r="AP25" s="52"/>
      <c r="AQ25" s="52"/>
      <c r="AR25" s="52"/>
      <c r="AS25" s="54">
        <f t="shared" si="21"/>
        <v>0</v>
      </c>
      <c r="AT25" s="53"/>
      <c r="AU25" s="52"/>
      <c r="AV25" s="52"/>
      <c r="AW25" s="52"/>
      <c r="AX25" s="52"/>
      <c r="AY25" s="52"/>
      <c r="AZ25" s="54">
        <f t="shared" si="22"/>
        <v>0</v>
      </c>
      <c r="BA25" s="53"/>
      <c r="BB25" s="52"/>
      <c r="BC25" s="52"/>
      <c r="BD25" s="52"/>
      <c r="BE25" s="52"/>
      <c r="BF25" s="52"/>
      <c r="BG25" s="54">
        <f t="shared" si="23"/>
        <v>0</v>
      </c>
      <c r="BH25" s="53"/>
      <c r="BI25" s="52">
        <f>L25*VLOOKUP($A25,'I | Capex forecast'!$A$11:$AA$160,BI$8,0)</f>
        <v>0</v>
      </c>
      <c r="BJ25" s="52">
        <f>M25*VLOOKUP($A25,'I | Capex forecast'!$A$11:$AA$160,BJ$8,0)</f>
        <v>173418.25028899524</v>
      </c>
      <c r="BK25" s="52">
        <f>N25*VLOOKUP($A25,'I | Capex forecast'!$A$11:$AA$160,BK$8,0)</f>
        <v>0</v>
      </c>
      <c r="BL25" s="52">
        <f>O25*VLOOKUP($A25,'I | Capex forecast'!$A$11:$AA$160,BL$8,0)</f>
        <v>0</v>
      </c>
      <c r="BM25" s="52">
        <f>P25*VLOOKUP($A25,'I | Capex forecast'!$A$11:$AA$160,BM$8,0)</f>
        <v>0</v>
      </c>
      <c r="BN25" s="54">
        <f t="shared" si="24"/>
        <v>173418.25028899524</v>
      </c>
      <c r="BO25" s="53"/>
      <c r="BP25" s="52">
        <f t="shared" si="1"/>
        <v>0</v>
      </c>
      <c r="BQ25" s="52">
        <f t="shared" si="2"/>
        <v>2114248.6536933999</v>
      </c>
      <c r="BR25" s="52">
        <f t="shared" si="3"/>
        <v>0</v>
      </c>
      <c r="BS25" s="52">
        <f t="shared" si="4"/>
        <v>0</v>
      </c>
      <c r="BT25" s="52">
        <f t="shared" si="5"/>
        <v>0</v>
      </c>
      <c r="BU25" s="54">
        <f t="shared" si="25"/>
        <v>2114248.6536933999</v>
      </c>
      <c r="BW25" s="52">
        <f t="shared" si="6"/>
        <v>0</v>
      </c>
      <c r="BX25" s="52">
        <f t="shared" si="7"/>
        <v>2114248.6536933999</v>
      </c>
      <c r="BY25" s="52">
        <f t="shared" si="8"/>
        <v>0</v>
      </c>
      <c r="BZ25" s="52">
        <f t="shared" si="9"/>
        <v>0</v>
      </c>
      <c r="CA25" s="52">
        <f t="shared" si="10"/>
        <v>0</v>
      </c>
      <c r="CB25" s="54">
        <f t="shared" si="26"/>
        <v>2114248.6536933999</v>
      </c>
      <c r="CC25" s="53"/>
      <c r="CD25" s="52">
        <f t="shared" si="27"/>
        <v>0</v>
      </c>
      <c r="CE25" s="52">
        <f t="shared" si="28"/>
        <v>0</v>
      </c>
      <c r="CF25" s="52">
        <f t="shared" si="29"/>
        <v>0</v>
      </c>
      <c r="CG25" s="52">
        <f t="shared" si="30"/>
        <v>0</v>
      </c>
      <c r="CH25" s="52">
        <f t="shared" si="31"/>
        <v>0</v>
      </c>
      <c r="CI25" s="54">
        <f t="shared" si="32"/>
        <v>0</v>
      </c>
    </row>
    <row r="26" spans="1:87" s="4" customFormat="1" x14ac:dyDescent="0.3">
      <c r="A26" s="56">
        <v>16</v>
      </c>
      <c r="B26" s="48" t="str">
        <f>IF('I | Capex forecast'!B26="","",'I | Capex forecast'!B26)</f>
        <v>DN250 AC Mitigation (Oakey to Bellbird Park)</v>
      </c>
      <c r="C26" s="48" t="str">
        <f>IF('I | Capex forecast'!C26="","",'I | Capex forecast'!C26)</f>
        <v>DN250 Supply Security Project</v>
      </c>
      <c r="D26" s="48" t="str">
        <f>IF('I | Capex forecast'!D26="","",'I | Capex forecast'!D26)</f>
        <v>AC mitigation</v>
      </c>
      <c r="E26" s="48" t="str">
        <f>IF('I | Capex forecast'!E26="","",'I | Capex forecast'!E26)</f>
        <v>Pipelines</v>
      </c>
      <c r="F26" s="48" t="str">
        <f>IF('I | Capex forecast'!F26="","",'I | Capex forecast'!F26)</f>
        <v>Replacement</v>
      </c>
      <c r="G26" s="48" t="str">
        <f>IF('I | Capex forecast'!G26="","",'I | Capex forecast'!G26)</f>
        <v>As incurred</v>
      </c>
      <c r="H26" s="48" t="str">
        <f>IF('I | Capex forecast'!H26="","",'I | Capex forecast'!H26)</f>
        <v>FY 26</v>
      </c>
      <c r="I26" s="48" t="str">
        <f>IF('I | Capex forecast'!I26="","",'I | Capex forecast'!I26)</f>
        <v>Mid-year</v>
      </c>
      <c r="J26" s="48" t="str">
        <f>IF('I | Capex forecast'!J26="","",'I | Capex forecast'!J26)</f>
        <v>No</v>
      </c>
      <c r="K26" s="50"/>
      <c r="L26" s="52">
        <f>IFERROR(VLOOKUP($A26,'I | Capex forecast'!$A$11:$AA$160,L$8,0)*INDEX('I | Inflation'!$F$46:$G$49,MATCH($I26,'I | Inflation'!$E$46:$E$49,0),MATCH($H26,'I | Inflation'!$F$45:$G$45,0)),0)</f>
        <v>263233.53110047855</v>
      </c>
      <c r="M26" s="52">
        <f>IFERROR(VLOOKUP($A26,'I | Capex forecast'!$A$11:$AA$160,M$8,0)*INDEX('I | Inflation'!$F$46:$G$49,MATCH($I26,'I | Inflation'!$E$46:$E$49,0),MATCH($H26,'I | Inflation'!$F$45:$G$45,0)),0)</f>
        <v>263233.53110047855</v>
      </c>
      <c r="N26" s="52">
        <f>IFERROR(VLOOKUP($A26,'I | Capex forecast'!$A$11:$AA$160,N$8,0)*INDEX('I | Inflation'!$F$46:$G$49,MATCH($I26,'I | Inflation'!$E$46:$E$49,0),MATCH($H26,'I | Inflation'!$F$45:$G$45,0)),0)</f>
        <v>263233.53110047855</v>
      </c>
      <c r="O26" s="52">
        <f>IFERROR(VLOOKUP($A26,'I | Capex forecast'!$A$11:$AA$160,O$8,0)*INDEX('I | Inflation'!$F$46:$G$49,MATCH($I26,'I | Inflation'!$E$46:$E$49,0),MATCH($H26,'I | Inflation'!$F$45:$G$45,0)),0)</f>
        <v>263233.53110047855</v>
      </c>
      <c r="P26" s="52">
        <f>IFERROR(VLOOKUP($A26,'I | Capex forecast'!$A$11:$AA$160,P$8,0)*INDEX('I | Inflation'!$F$46:$G$49,MATCH($I26,'I | Inflation'!$E$46:$E$49,0),MATCH($H26,'I | Inflation'!$F$45:$G$45,0)),0)</f>
        <v>263233.53110047855</v>
      </c>
      <c r="Q26" s="54">
        <f t="shared" si="33"/>
        <v>1316167.6555023927</v>
      </c>
      <c r="R26" s="53"/>
      <c r="S26" s="226">
        <f>L26*VLOOKUP($A26,'I | Capex forecast'!$A$11:$AA$160,S$8,0)</f>
        <v>101150.69293596022</v>
      </c>
      <c r="T26" s="226">
        <f>M26*VLOOKUP($A26,'I | Capex forecast'!$A$11:$AA$160,T$8,0)</f>
        <v>101150.69293596022</v>
      </c>
      <c r="U26" s="226">
        <f>N26*VLOOKUP($A26,'I | Capex forecast'!$A$11:$AA$160,U$8,0)</f>
        <v>101150.69293596022</v>
      </c>
      <c r="V26" s="226">
        <f>O26*VLOOKUP($A26,'I | Capex forecast'!$A$11:$AA$160,V$8,0)</f>
        <v>101150.69293596022</v>
      </c>
      <c r="W26" s="226">
        <f>P26*VLOOKUP($A26,'I | Capex forecast'!$A$11:$AA$160,W$8,0)</f>
        <v>101150.69293596022</v>
      </c>
      <c r="X26" s="54">
        <f t="shared" si="13"/>
        <v>505753.46467980114</v>
      </c>
      <c r="Y26" s="53"/>
      <c r="Z26" s="52">
        <f>S26*(HLOOKUP(Z$10,'I | Inflation'!$E$57:$J$59,3,0)-1)</f>
        <v>1381.353576429857</v>
      </c>
      <c r="AA26" s="52">
        <f>T26*(HLOOKUP(AA$10,'I | Inflation'!$E$57:$J$59,3,0)-1)</f>
        <v>1907.2343919264583</v>
      </c>
      <c r="AB26" s="52">
        <f>U26*(HLOOKUP(AB$10,'I | Inflation'!$E$57:$J$59,3,0)-1)</f>
        <v>2783.7410248664169</v>
      </c>
      <c r="AC26" s="52">
        <f>V26*(HLOOKUP(AC$10,'I | Inflation'!$E$57:$J$59,3,0)-1)</f>
        <v>3968.2093653093339</v>
      </c>
      <c r="AD26" s="52">
        <f>W26*(HLOOKUP(AD$10,'I | Inflation'!$E$57:$J$59,3,0)-1)</f>
        <v>4686.2605039860882</v>
      </c>
      <c r="AE26" s="54">
        <f t="shared" si="14"/>
        <v>14726.798862518155</v>
      </c>
      <c r="AF26" s="53"/>
      <c r="AG26" s="226">
        <f t="shared" si="15"/>
        <v>102532.04651239008</v>
      </c>
      <c r="AH26" s="226">
        <f t="shared" si="16"/>
        <v>103057.92732788667</v>
      </c>
      <c r="AI26" s="226">
        <f t="shared" si="17"/>
        <v>103934.43396082665</v>
      </c>
      <c r="AJ26" s="226">
        <f t="shared" si="18"/>
        <v>105118.90230126955</v>
      </c>
      <c r="AK26" s="226">
        <f t="shared" si="19"/>
        <v>105836.95343994632</v>
      </c>
      <c r="AL26" s="54">
        <f t="shared" si="20"/>
        <v>520480.2635423193</v>
      </c>
      <c r="AM26" s="53"/>
      <c r="AN26" s="52"/>
      <c r="AO26" s="52"/>
      <c r="AP26" s="52"/>
      <c r="AQ26" s="52"/>
      <c r="AR26" s="52"/>
      <c r="AS26" s="54">
        <f t="shared" si="21"/>
        <v>0</v>
      </c>
      <c r="AT26" s="53"/>
      <c r="AU26" s="52"/>
      <c r="AV26" s="52"/>
      <c r="AW26" s="52"/>
      <c r="AX26" s="52"/>
      <c r="AY26" s="52"/>
      <c r="AZ26" s="54">
        <f t="shared" si="22"/>
        <v>0</v>
      </c>
      <c r="BA26" s="53"/>
      <c r="BB26" s="52"/>
      <c r="BC26" s="52"/>
      <c r="BD26" s="52"/>
      <c r="BE26" s="52"/>
      <c r="BF26" s="52"/>
      <c r="BG26" s="54">
        <f t="shared" si="23"/>
        <v>0</v>
      </c>
      <c r="BH26" s="53"/>
      <c r="BI26" s="52">
        <f>L26*VLOOKUP($A26,'I | Capex forecast'!$A$11:$AA$160,BI$8,0)</f>
        <v>23691.017799043067</v>
      </c>
      <c r="BJ26" s="52">
        <f>M26*VLOOKUP($A26,'I | Capex forecast'!$A$11:$AA$160,BJ$8,0)</f>
        <v>23691.017799043067</v>
      </c>
      <c r="BK26" s="52">
        <f>N26*VLOOKUP($A26,'I | Capex forecast'!$A$11:$AA$160,BK$8,0)</f>
        <v>23691.017799043067</v>
      </c>
      <c r="BL26" s="52">
        <f>O26*VLOOKUP($A26,'I | Capex forecast'!$A$11:$AA$160,BL$8,0)</f>
        <v>23691.017799043067</v>
      </c>
      <c r="BM26" s="52">
        <f>P26*VLOOKUP($A26,'I | Capex forecast'!$A$11:$AA$160,BM$8,0)</f>
        <v>23691.017799043067</v>
      </c>
      <c r="BN26" s="54">
        <f t="shared" si="24"/>
        <v>118455.08899521534</v>
      </c>
      <c r="BO26" s="53"/>
      <c r="BP26" s="52">
        <f t="shared" si="1"/>
        <v>288305.90247595147</v>
      </c>
      <c r="BQ26" s="52">
        <f t="shared" si="2"/>
        <v>288831.78329144802</v>
      </c>
      <c r="BR26" s="52">
        <f t="shared" si="3"/>
        <v>289708.28992438805</v>
      </c>
      <c r="BS26" s="52">
        <f t="shared" si="4"/>
        <v>290892.75826483092</v>
      </c>
      <c r="BT26" s="52">
        <f t="shared" si="5"/>
        <v>291610.80940350774</v>
      </c>
      <c r="BU26" s="54">
        <f t="shared" si="25"/>
        <v>1449349.5433601262</v>
      </c>
      <c r="BW26" s="52">
        <f t="shared" si="6"/>
        <v>288305.90247595147</v>
      </c>
      <c r="BX26" s="52">
        <f t="shared" si="7"/>
        <v>288831.78329144802</v>
      </c>
      <c r="BY26" s="52">
        <f t="shared" si="8"/>
        <v>289708.28992438805</v>
      </c>
      <c r="BZ26" s="52">
        <f t="shared" si="9"/>
        <v>290892.75826483092</v>
      </c>
      <c r="CA26" s="52">
        <f t="shared" si="10"/>
        <v>291610.80940350774</v>
      </c>
      <c r="CB26" s="54">
        <f t="shared" si="26"/>
        <v>1449349.5433601262</v>
      </c>
      <c r="CC26" s="53"/>
      <c r="CD26" s="52">
        <f t="shared" si="27"/>
        <v>0</v>
      </c>
      <c r="CE26" s="52">
        <f t="shared" si="28"/>
        <v>0</v>
      </c>
      <c r="CF26" s="52">
        <f t="shared" si="29"/>
        <v>0</v>
      </c>
      <c r="CG26" s="52">
        <f t="shared" si="30"/>
        <v>0</v>
      </c>
      <c r="CH26" s="52">
        <f t="shared" si="31"/>
        <v>0</v>
      </c>
      <c r="CI26" s="54">
        <f t="shared" si="32"/>
        <v>0</v>
      </c>
    </row>
    <row r="27" spans="1:87" s="4" customFormat="1" x14ac:dyDescent="0.3">
      <c r="A27" s="56">
        <v>17</v>
      </c>
      <c r="B27" s="48" t="str">
        <f>IF('I | Capex forecast'!B27="","",'I | Capex forecast'!B27)</f>
        <v>DN250 Suspension - Phase 3</v>
      </c>
      <c r="C27" s="48" t="str">
        <f>IF('I | Capex forecast'!C27="","",'I | Capex forecast'!C27)</f>
        <v>DN250 Supply Security Project</v>
      </c>
      <c r="D27" s="48" t="str">
        <f>IF('I | Capex forecast'!D27="","",'I | Capex forecast'!D27)</f>
        <v>DN250 Supply Security</v>
      </c>
      <c r="E27" s="48" t="str">
        <f>IF('I | Capex forecast'!E27="","",'I | Capex forecast'!E27)</f>
        <v>Pipelines</v>
      </c>
      <c r="F27" s="48" t="str">
        <f>IF('I | Capex forecast'!F27="","",'I | Capex forecast'!F27)</f>
        <v>Replacement</v>
      </c>
      <c r="G27" s="48" t="str">
        <f>IF('I | Capex forecast'!G27="","",'I | Capex forecast'!G27)</f>
        <v>As incurred</v>
      </c>
      <c r="H27" s="48" t="str">
        <f>IF('I | Capex forecast'!H27="","",'I | Capex forecast'!H27)</f>
        <v>FY 26</v>
      </c>
      <c r="I27" s="48" t="str">
        <f>IF('I | Capex forecast'!I27="","",'I | Capex forecast'!I27)</f>
        <v>Mid-year</v>
      </c>
      <c r="J27" s="48" t="str">
        <f>IF('I | Capex forecast'!J27="","",'I | Capex forecast'!J27)</f>
        <v>No</v>
      </c>
      <c r="K27" s="50"/>
      <c r="L27" s="52">
        <f>IFERROR(VLOOKUP($A27,'I | Capex forecast'!$A$11:$AA$160,L$8,0)*INDEX('I | Inflation'!$F$46:$G$49,MATCH($I27,'I | Inflation'!$E$46:$E$49,0),MATCH($H27,'I | Inflation'!$F$45:$G$45,0)),0)</f>
        <v>1102210.3884897993</v>
      </c>
      <c r="M27" s="52">
        <f>IFERROR(VLOOKUP($A27,'I | Capex forecast'!$A$11:$AA$160,M$8,0)*INDEX('I | Inflation'!$F$46:$G$49,MATCH($I27,'I | Inflation'!$E$46:$E$49,0),MATCH($H27,'I | Inflation'!$F$45:$G$45,0)),0)</f>
        <v>1102210.3884897993</v>
      </c>
      <c r="N27" s="52">
        <f>IFERROR(VLOOKUP($A27,'I | Capex forecast'!$A$11:$AA$160,N$8,0)*INDEX('I | Inflation'!$F$46:$G$49,MATCH($I27,'I | Inflation'!$E$46:$E$49,0),MATCH($H27,'I | Inflation'!$F$45:$G$45,0)),0)</f>
        <v>1063583.5001361151</v>
      </c>
      <c r="O27" s="52">
        <f>IFERROR(VLOOKUP($A27,'I | Capex forecast'!$A$11:$AA$160,O$8,0)*INDEX('I | Inflation'!$F$46:$G$49,MATCH($I27,'I | Inflation'!$E$46:$E$49,0),MATCH($H27,'I | Inflation'!$F$45:$G$45,0)),0)</f>
        <v>1045420.3864901821</v>
      </c>
      <c r="P27" s="52">
        <f>IFERROR(VLOOKUP($A27,'I | Capex forecast'!$A$11:$AA$160,P$8,0)*INDEX('I | Inflation'!$F$46:$G$49,MATCH($I27,'I | Inflation'!$E$46:$E$49,0),MATCH($H27,'I | Inflation'!$F$45:$G$45,0)),0)</f>
        <v>2052092.7972023736</v>
      </c>
      <c r="Q27" s="54">
        <f t="shared" si="33"/>
        <v>6365517.4608082697</v>
      </c>
      <c r="R27" s="53"/>
      <c r="S27" s="226">
        <f>L27*VLOOKUP($A27,'I | Capex forecast'!$A$11:$AA$160,S$8,0)</f>
        <v>423537.77685868088</v>
      </c>
      <c r="T27" s="226">
        <f>M27*VLOOKUP($A27,'I | Capex forecast'!$A$11:$AA$160,T$8,0)</f>
        <v>423537.77685868088</v>
      </c>
      <c r="U27" s="226">
        <f>N27*VLOOKUP($A27,'I | Capex forecast'!$A$11:$AA$160,U$8,0)</f>
        <v>408694.9241772581</v>
      </c>
      <c r="V27" s="226">
        <f>O27*VLOOKUP($A27,'I | Capex forecast'!$A$11:$AA$160,V$8,0)</f>
        <v>401715.52636467683</v>
      </c>
      <c r="W27" s="226">
        <f>P27*VLOOKUP($A27,'I | Capex forecast'!$A$11:$AA$160,W$8,0)</f>
        <v>788541.67072918022</v>
      </c>
      <c r="X27" s="54">
        <f t="shared" si="13"/>
        <v>2446027.674988477</v>
      </c>
      <c r="Y27" s="53"/>
      <c r="Z27" s="52">
        <f>S27*(HLOOKUP(Z$10,'I | Inflation'!$E$57:$J$59,3,0)-1)</f>
        <v>5783.9981698127913</v>
      </c>
      <c r="AA27" s="52">
        <f>T27*(HLOOKUP(AA$10,'I | Inflation'!$E$57:$J$59,3,0)-1)</f>
        <v>7985.9642169368981</v>
      </c>
      <c r="AB27" s="52">
        <f>U27*(HLOOKUP(AB$10,'I | Inflation'!$E$57:$J$59,3,0)-1)</f>
        <v>11247.583126367665</v>
      </c>
      <c r="AC27" s="52">
        <f>V27*(HLOOKUP(AC$10,'I | Inflation'!$E$57:$J$59,3,0)-1)</f>
        <v>15759.568893113945</v>
      </c>
      <c r="AD27" s="52">
        <f>W27*(HLOOKUP(AD$10,'I | Inflation'!$E$57:$J$59,3,0)-1)</f>
        <v>36532.73724605039</v>
      </c>
      <c r="AE27" s="54">
        <f t="shared" si="14"/>
        <v>77309.851652281679</v>
      </c>
      <c r="AF27" s="53"/>
      <c r="AG27" s="226">
        <f t="shared" si="15"/>
        <v>429321.77502849366</v>
      </c>
      <c r="AH27" s="226">
        <f t="shared" si="16"/>
        <v>431523.74107561779</v>
      </c>
      <c r="AI27" s="226">
        <f t="shared" si="17"/>
        <v>419942.50730362575</v>
      </c>
      <c r="AJ27" s="226">
        <f t="shared" si="18"/>
        <v>417475.09525779076</v>
      </c>
      <c r="AK27" s="226">
        <f t="shared" si="19"/>
        <v>825074.4079752306</v>
      </c>
      <c r="AL27" s="54">
        <f t="shared" si="20"/>
        <v>2523337.5266407588</v>
      </c>
      <c r="AM27" s="53"/>
      <c r="AN27" s="52"/>
      <c r="AO27" s="52"/>
      <c r="AP27" s="52"/>
      <c r="AQ27" s="52"/>
      <c r="AR27" s="52"/>
      <c r="AS27" s="54">
        <f t="shared" si="21"/>
        <v>0</v>
      </c>
      <c r="AT27" s="53"/>
      <c r="AU27" s="52"/>
      <c r="AV27" s="52"/>
      <c r="AW27" s="52"/>
      <c r="AX27" s="52"/>
      <c r="AY27" s="52"/>
      <c r="AZ27" s="54">
        <f t="shared" si="22"/>
        <v>0</v>
      </c>
      <c r="BA27" s="53"/>
      <c r="BB27" s="52"/>
      <c r="BC27" s="52"/>
      <c r="BD27" s="52"/>
      <c r="BE27" s="52"/>
      <c r="BF27" s="52"/>
      <c r="BG27" s="54">
        <f t="shared" si="23"/>
        <v>0</v>
      </c>
      <c r="BH27" s="53"/>
      <c r="BI27" s="52">
        <f>L27*VLOOKUP($A27,'I | Capex forecast'!$A$11:$AA$160,BI$8,0)</f>
        <v>99198.934964081942</v>
      </c>
      <c r="BJ27" s="52">
        <f>M27*VLOOKUP($A27,'I | Capex forecast'!$A$11:$AA$160,BJ$8,0)</f>
        <v>99198.934964081942</v>
      </c>
      <c r="BK27" s="52">
        <f>N27*VLOOKUP($A27,'I | Capex forecast'!$A$11:$AA$160,BK$8,0)</f>
        <v>95722.515012250355</v>
      </c>
      <c r="BL27" s="52">
        <f>O27*VLOOKUP($A27,'I | Capex forecast'!$A$11:$AA$160,BL$8,0)</f>
        <v>94087.834784116392</v>
      </c>
      <c r="BM27" s="52">
        <f>P27*VLOOKUP($A27,'I | Capex forecast'!$A$11:$AA$160,BM$8,0)</f>
        <v>184688.35174821361</v>
      </c>
      <c r="BN27" s="54">
        <f t="shared" si="24"/>
        <v>572896.57147274422</v>
      </c>
      <c r="BO27" s="53"/>
      <c r="BP27" s="52">
        <f t="shared" si="1"/>
        <v>1207193.3216236942</v>
      </c>
      <c r="BQ27" s="52">
        <f t="shared" si="2"/>
        <v>1209395.2876708182</v>
      </c>
      <c r="BR27" s="52">
        <f t="shared" si="3"/>
        <v>1170553.5982747332</v>
      </c>
      <c r="BS27" s="52">
        <f t="shared" si="4"/>
        <v>1155267.7901674125</v>
      </c>
      <c r="BT27" s="52">
        <f t="shared" si="5"/>
        <v>2273313.8861966375</v>
      </c>
      <c r="BU27" s="54">
        <f t="shared" si="25"/>
        <v>7015723.8839332955</v>
      </c>
      <c r="BW27" s="52">
        <f t="shared" si="6"/>
        <v>1207193.3216236942</v>
      </c>
      <c r="BX27" s="52">
        <f t="shared" si="7"/>
        <v>1209395.2876708182</v>
      </c>
      <c r="BY27" s="52">
        <f t="shared" si="8"/>
        <v>1170553.5982747332</v>
      </c>
      <c r="BZ27" s="52">
        <f t="shared" si="9"/>
        <v>1155267.7901674125</v>
      </c>
      <c r="CA27" s="52">
        <f t="shared" si="10"/>
        <v>2273313.8861966375</v>
      </c>
      <c r="CB27" s="54">
        <f t="shared" si="26"/>
        <v>7015723.8839332955</v>
      </c>
      <c r="CC27" s="53"/>
      <c r="CD27" s="52">
        <f t="shared" si="27"/>
        <v>0</v>
      </c>
      <c r="CE27" s="52">
        <f t="shared" si="28"/>
        <v>0</v>
      </c>
      <c r="CF27" s="52">
        <f t="shared" si="29"/>
        <v>0</v>
      </c>
      <c r="CG27" s="52">
        <f t="shared" si="30"/>
        <v>0</v>
      </c>
      <c r="CH27" s="52">
        <f t="shared" si="31"/>
        <v>0</v>
      </c>
      <c r="CI27" s="54">
        <f t="shared" si="32"/>
        <v>0</v>
      </c>
    </row>
    <row r="28" spans="1:87" s="4" customFormat="1" x14ac:dyDescent="0.3">
      <c r="A28" s="56">
        <v>18</v>
      </c>
      <c r="B28" s="48" t="str">
        <f>IF('I | Capex forecast'!B28="","",'I | Capex forecast'!B28)</f>
        <v>Gowrie Creek flood protection</v>
      </c>
      <c r="C28" s="48" t="str">
        <f>IF('I | Capex forecast'!C28="","",'I | Capex forecast'!C28)</f>
        <v>Environment</v>
      </c>
      <c r="D28" s="48" t="str">
        <f>IF('I | Capex forecast'!D28="","",'I | Capex forecast'!D28)</f>
        <v>Gowrie Creek</v>
      </c>
      <c r="E28" s="48" t="str">
        <f>IF('I | Capex forecast'!E28="","",'I | Capex forecast'!E28)</f>
        <v>Pipelines</v>
      </c>
      <c r="F28" s="48" t="str">
        <f>IF('I | Capex forecast'!F28="","",'I | Capex forecast'!F28)</f>
        <v>Replacement</v>
      </c>
      <c r="G28" s="48" t="str">
        <f>IF('I | Capex forecast'!G28="","",'I | Capex forecast'!G28)</f>
        <v>As incurred</v>
      </c>
      <c r="H28" s="48" t="str">
        <f>IF('I | Capex forecast'!H28="","",'I | Capex forecast'!H28)</f>
        <v>FY 26</v>
      </c>
      <c r="I28" s="48" t="str">
        <f>IF('I | Capex forecast'!I28="","",'I | Capex forecast'!I28)</f>
        <v>Mid-year</v>
      </c>
      <c r="J28" s="48" t="str">
        <f>IF('I | Capex forecast'!J28="","",'I | Capex forecast'!J28)</f>
        <v>No</v>
      </c>
      <c r="K28" s="50"/>
      <c r="L28" s="52">
        <f>IFERROR(VLOOKUP($A28,'I | Capex forecast'!$A$11:$AA$160,L$8,0)*INDEX('I | Inflation'!$F$46:$G$49,MATCH($I28,'I | Inflation'!$E$46:$E$49,0),MATCH($H28,'I | Inflation'!$F$45:$G$45,0)),0)</f>
        <v>9476407.1196172275</v>
      </c>
      <c r="M28" s="52">
        <f>IFERROR(VLOOKUP($A28,'I | Capex forecast'!$A$11:$AA$160,M$8,0)*INDEX('I | Inflation'!$F$46:$G$49,MATCH($I28,'I | Inflation'!$E$46:$E$49,0),MATCH($H28,'I | Inflation'!$F$45:$G$45,0)),0)</f>
        <v>0</v>
      </c>
      <c r="N28" s="52">
        <f>IFERROR(VLOOKUP($A28,'I | Capex forecast'!$A$11:$AA$160,N$8,0)*INDEX('I | Inflation'!$F$46:$G$49,MATCH($I28,'I | Inflation'!$E$46:$E$49,0),MATCH($H28,'I | Inflation'!$F$45:$G$45,0)),0)</f>
        <v>0</v>
      </c>
      <c r="O28" s="52">
        <f>IFERROR(VLOOKUP($A28,'I | Capex forecast'!$A$11:$AA$160,O$8,0)*INDEX('I | Inflation'!$F$46:$G$49,MATCH($I28,'I | Inflation'!$E$46:$E$49,0),MATCH($H28,'I | Inflation'!$F$45:$G$45,0)),0)</f>
        <v>0</v>
      </c>
      <c r="P28" s="52">
        <f>IFERROR(VLOOKUP($A28,'I | Capex forecast'!$A$11:$AA$160,P$8,0)*INDEX('I | Inflation'!$F$46:$G$49,MATCH($I28,'I | Inflation'!$E$46:$E$49,0),MATCH($H28,'I | Inflation'!$F$45:$G$45,0)),0)</f>
        <v>0</v>
      </c>
      <c r="Q28" s="54">
        <f t="shared" si="33"/>
        <v>9476407.1196172275</v>
      </c>
      <c r="R28" s="53"/>
      <c r="S28" s="226">
        <f>L28*VLOOKUP($A28,'I | Capex forecast'!$A$11:$AA$160,S$8,0)</f>
        <v>3641424.9456945681</v>
      </c>
      <c r="T28" s="226">
        <f>M28*VLOOKUP($A28,'I | Capex forecast'!$A$11:$AA$160,T$8,0)</f>
        <v>0</v>
      </c>
      <c r="U28" s="226">
        <f>N28*VLOOKUP($A28,'I | Capex forecast'!$A$11:$AA$160,U$8,0)</f>
        <v>0</v>
      </c>
      <c r="V28" s="226">
        <f>O28*VLOOKUP($A28,'I | Capex forecast'!$A$11:$AA$160,V$8,0)</f>
        <v>0</v>
      </c>
      <c r="W28" s="226">
        <f>P28*VLOOKUP($A28,'I | Capex forecast'!$A$11:$AA$160,W$8,0)</f>
        <v>0</v>
      </c>
      <c r="X28" s="54">
        <f t="shared" si="13"/>
        <v>3641424.9456945681</v>
      </c>
      <c r="Y28" s="53"/>
      <c r="Z28" s="52">
        <f>S28*(HLOOKUP(Z$10,'I | Inflation'!$E$57:$J$59,3,0)-1)</f>
        <v>49728.728751474853</v>
      </c>
      <c r="AA28" s="52">
        <f>T28*(HLOOKUP(AA$10,'I | Inflation'!$E$57:$J$59,3,0)-1)</f>
        <v>0</v>
      </c>
      <c r="AB28" s="52">
        <f>U28*(HLOOKUP(AB$10,'I | Inflation'!$E$57:$J$59,3,0)-1)</f>
        <v>0</v>
      </c>
      <c r="AC28" s="52">
        <f>V28*(HLOOKUP(AC$10,'I | Inflation'!$E$57:$J$59,3,0)-1)</f>
        <v>0</v>
      </c>
      <c r="AD28" s="52">
        <f>W28*(HLOOKUP(AD$10,'I | Inflation'!$E$57:$J$59,3,0)-1)</f>
        <v>0</v>
      </c>
      <c r="AE28" s="54">
        <f t="shared" si="14"/>
        <v>49728.728751474853</v>
      </c>
      <c r="AF28" s="53"/>
      <c r="AG28" s="226">
        <f t="shared" si="15"/>
        <v>3691153.6744460431</v>
      </c>
      <c r="AH28" s="226">
        <f t="shared" si="16"/>
        <v>0</v>
      </c>
      <c r="AI28" s="226">
        <f t="shared" si="17"/>
        <v>0</v>
      </c>
      <c r="AJ28" s="226">
        <f t="shared" si="18"/>
        <v>0</v>
      </c>
      <c r="AK28" s="226">
        <f t="shared" si="19"/>
        <v>0</v>
      </c>
      <c r="AL28" s="54">
        <f t="shared" si="20"/>
        <v>3691153.6744460431</v>
      </c>
      <c r="AM28" s="53"/>
      <c r="AN28" s="52"/>
      <c r="AO28" s="52"/>
      <c r="AP28" s="52"/>
      <c r="AQ28" s="52"/>
      <c r="AR28" s="52"/>
      <c r="AS28" s="54">
        <f t="shared" si="21"/>
        <v>0</v>
      </c>
      <c r="AT28" s="53"/>
      <c r="AU28" s="52"/>
      <c r="AV28" s="52"/>
      <c r="AW28" s="52"/>
      <c r="AX28" s="52"/>
      <c r="AY28" s="52"/>
      <c r="AZ28" s="54">
        <f t="shared" si="22"/>
        <v>0</v>
      </c>
      <c r="BA28" s="53"/>
      <c r="BB28" s="52"/>
      <c r="BC28" s="52"/>
      <c r="BD28" s="52"/>
      <c r="BE28" s="52"/>
      <c r="BF28" s="52"/>
      <c r="BG28" s="54">
        <f t="shared" si="23"/>
        <v>0</v>
      </c>
      <c r="BH28" s="53"/>
      <c r="BI28" s="52">
        <f>L28*VLOOKUP($A28,'I | Capex forecast'!$A$11:$AA$160,BI$8,0)</f>
        <v>852876.64076555043</v>
      </c>
      <c r="BJ28" s="52">
        <f>M28*VLOOKUP($A28,'I | Capex forecast'!$A$11:$AA$160,BJ$8,0)</f>
        <v>0</v>
      </c>
      <c r="BK28" s="52">
        <f>N28*VLOOKUP($A28,'I | Capex forecast'!$A$11:$AA$160,BK$8,0)</f>
        <v>0</v>
      </c>
      <c r="BL28" s="52">
        <f>O28*VLOOKUP($A28,'I | Capex forecast'!$A$11:$AA$160,BL$8,0)</f>
        <v>0</v>
      </c>
      <c r="BM28" s="52">
        <f>P28*VLOOKUP($A28,'I | Capex forecast'!$A$11:$AA$160,BM$8,0)</f>
        <v>0</v>
      </c>
      <c r="BN28" s="54">
        <f t="shared" si="24"/>
        <v>852876.64076555043</v>
      </c>
      <c r="BO28" s="53"/>
      <c r="BP28" s="52">
        <f t="shared" si="1"/>
        <v>10379012.489134252</v>
      </c>
      <c r="BQ28" s="52">
        <f t="shared" si="2"/>
        <v>0</v>
      </c>
      <c r="BR28" s="52">
        <f t="shared" si="3"/>
        <v>0</v>
      </c>
      <c r="BS28" s="52">
        <f t="shared" si="4"/>
        <v>0</v>
      </c>
      <c r="BT28" s="52">
        <f t="shared" si="5"/>
        <v>0</v>
      </c>
      <c r="BU28" s="54">
        <f t="shared" si="25"/>
        <v>10379012.489134252</v>
      </c>
      <c r="BW28" s="52">
        <f t="shared" si="6"/>
        <v>10379012.489134252</v>
      </c>
      <c r="BX28" s="52">
        <f t="shared" si="7"/>
        <v>0</v>
      </c>
      <c r="BY28" s="52">
        <f t="shared" si="8"/>
        <v>0</v>
      </c>
      <c r="BZ28" s="52">
        <f t="shared" si="9"/>
        <v>0</v>
      </c>
      <c r="CA28" s="52">
        <f t="shared" si="10"/>
        <v>0</v>
      </c>
      <c r="CB28" s="54">
        <f t="shared" si="26"/>
        <v>10379012.489134252</v>
      </c>
      <c r="CC28" s="53"/>
      <c r="CD28" s="52">
        <f t="shared" si="27"/>
        <v>0</v>
      </c>
      <c r="CE28" s="52">
        <f t="shared" si="28"/>
        <v>0</v>
      </c>
      <c r="CF28" s="52">
        <f t="shared" si="29"/>
        <v>0</v>
      </c>
      <c r="CG28" s="52">
        <f t="shared" si="30"/>
        <v>0</v>
      </c>
      <c r="CH28" s="52">
        <f t="shared" si="31"/>
        <v>0</v>
      </c>
      <c r="CI28" s="54">
        <f t="shared" si="32"/>
        <v>0</v>
      </c>
    </row>
    <row r="29" spans="1:87" s="4" customFormat="1" x14ac:dyDescent="0.3">
      <c r="A29" s="56">
        <v>19</v>
      </c>
      <c r="B29" s="48" t="str">
        <f>IF('I | Capex forecast'!B29="","",'I | Capex forecast'!B29)</f>
        <v>Station Painting</v>
      </c>
      <c r="C29" s="48" t="str">
        <f>IF('I | Capex forecast'!C29="","",'I | Capex forecast'!C29)</f>
        <v>Site equipment</v>
      </c>
      <c r="D29" s="48" t="str">
        <f>IF('I | Capex forecast'!D29="","",'I | Capex forecast'!D29)</f>
        <v>Station painting</v>
      </c>
      <c r="E29" s="48" t="str">
        <f>IF('I | Capex forecast'!E29="","",'I | Capex forecast'!E29)</f>
        <v>Compressors</v>
      </c>
      <c r="F29" s="48" t="str">
        <f>IF('I | Capex forecast'!F29="","",'I | Capex forecast'!F29)</f>
        <v>Replacement</v>
      </c>
      <c r="G29" s="48" t="str">
        <f>IF('I | Capex forecast'!G29="","",'I | Capex forecast'!G29)</f>
        <v>As incurred</v>
      </c>
      <c r="H29" s="48" t="str">
        <f>IF('I | Capex forecast'!H29="","",'I | Capex forecast'!H29)</f>
        <v>FY 26</v>
      </c>
      <c r="I29" s="48" t="str">
        <f>IF('I | Capex forecast'!I29="","",'I | Capex forecast'!I29)</f>
        <v>Mid-year</v>
      </c>
      <c r="J29" s="48" t="str">
        <f>IF('I | Capex forecast'!J29="","",'I | Capex forecast'!J29)</f>
        <v>No</v>
      </c>
      <c r="K29" s="50"/>
      <c r="L29" s="52">
        <f>IFERROR(VLOOKUP($A29,'I | Capex forecast'!$A$11:$AA$160,L$8,0)*INDEX('I | Inflation'!$F$46:$G$49,MATCH($I29,'I | Inflation'!$E$46:$E$49,0),MATCH($H29,'I | Inflation'!$F$45:$G$45,0)),0)</f>
        <v>210586.82488038283</v>
      </c>
      <c r="M29" s="52">
        <f>IFERROR(VLOOKUP($A29,'I | Capex forecast'!$A$11:$AA$160,M$8,0)*INDEX('I | Inflation'!$F$46:$G$49,MATCH($I29,'I | Inflation'!$E$46:$E$49,0),MATCH($H29,'I | Inflation'!$F$45:$G$45,0)),0)</f>
        <v>210586.82488038283</v>
      </c>
      <c r="N29" s="52">
        <f>IFERROR(VLOOKUP($A29,'I | Capex forecast'!$A$11:$AA$160,N$8,0)*INDEX('I | Inflation'!$F$46:$G$49,MATCH($I29,'I | Inflation'!$E$46:$E$49,0),MATCH($H29,'I | Inflation'!$F$45:$G$45,0)),0)</f>
        <v>210586.82488038283</v>
      </c>
      <c r="O29" s="52">
        <f>IFERROR(VLOOKUP($A29,'I | Capex forecast'!$A$11:$AA$160,O$8,0)*INDEX('I | Inflation'!$F$46:$G$49,MATCH($I29,'I | Inflation'!$E$46:$E$49,0),MATCH($H29,'I | Inflation'!$F$45:$G$45,0)),0)</f>
        <v>210586.82488038283</v>
      </c>
      <c r="P29" s="52">
        <f>IFERROR(VLOOKUP($A29,'I | Capex forecast'!$A$11:$AA$160,P$8,0)*INDEX('I | Inflation'!$F$46:$G$49,MATCH($I29,'I | Inflation'!$E$46:$E$49,0),MATCH($H29,'I | Inflation'!$F$45:$G$45,0)),0)</f>
        <v>210586.82488038283</v>
      </c>
      <c r="Q29" s="54">
        <f t="shared" si="33"/>
        <v>1052934.1244019142</v>
      </c>
      <c r="R29" s="53"/>
      <c r="S29" s="226">
        <f>L29*VLOOKUP($A29,'I | Capex forecast'!$A$11:$AA$160,S$8,0)</f>
        <v>80920.554348768172</v>
      </c>
      <c r="T29" s="226">
        <f>M29*VLOOKUP($A29,'I | Capex forecast'!$A$11:$AA$160,T$8,0)</f>
        <v>80920.554348768172</v>
      </c>
      <c r="U29" s="226">
        <f>N29*VLOOKUP($A29,'I | Capex forecast'!$A$11:$AA$160,U$8,0)</f>
        <v>80920.554348768172</v>
      </c>
      <c r="V29" s="226">
        <f>O29*VLOOKUP($A29,'I | Capex forecast'!$A$11:$AA$160,V$8,0)</f>
        <v>80920.554348768172</v>
      </c>
      <c r="W29" s="226">
        <f>P29*VLOOKUP($A29,'I | Capex forecast'!$A$11:$AA$160,W$8,0)</f>
        <v>80920.554348768172</v>
      </c>
      <c r="X29" s="54">
        <f t="shared" si="13"/>
        <v>404602.77174384089</v>
      </c>
      <c r="Y29" s="53"/>
      <c r="Z29" s="52">
        <f>S29*(HLOOKUP(Z$10,'I | Inflation'!$E$57:$J$59,3,0)-1)</f>
        <v>1105.0828611438856</v>
      </c>
      <c r="AA29" s="52">
        <f>T29*(HLOOKUP(AA$10,'I | Inflation'!$E$57:$J$59,3,0)-1)</f>
        <v>1525.7875135411666</v>
      </c>
      <c r="AB29" s="52">
        <f>U29*(HLOOKUP(AB$10,'I | Inflation'!$E$57:$J$59,3,0)-1)</f>
        <v>2226.9928198931334</v>
      </c>
      <c r="AC29" s="52">
        <f>V29*(HLOOKUP(AC$10,'I | Inflation'!$E$57:$J$59,3,0)-1)</f>
        <v>3174.5674922474668</v>
      </c>
      <c r="AD29" s="52">
        <f>W29*(HLOOKUP(AD$10,'I | Inflation'!$E$57:$J$59,3,0)-1)</f>
        <v>3749.0084031888705</v>
      </c>
      <c r="AE29" s="54">
        <f t="shared" si="14"/>
        <v>11781.439090014523</v>
      </c>
      <c r="AF29" s="53"/>
      <c r="AG29" s="226">
        <f t="shared" si="15"/>
        <v>82025.637209912064</v>
      </c>
      <c r="AH29" s="226">
        <f t="shared" si="16"/>
        <v>82446.341862309331</v>
      </c>
      <c r="AI29" s="226">
        <f t="shared" si="17"/>
        <v>83147.547168661302</v>
      </c>
      <c r="AJ29" s="226">
        <f t="shared" si="18"/>
        <v>84095.121841015643</v>
      </c>
      <c r="AK29" s="226">
        <f t="shared" si="19"/>
        <v>84669.562751957041</v>
      </c>
      <c r="AL29" s="54">
        <f t="shared" si="20"/>
        <v>416384.21083385538</v>
      </c>
      <c r="AM29" s="53"/>
      <c r="AN29" s="52"/>
      <c r="AO29" s="52"/>
      <c r="AP29" s="52"/>
      <c r="AQ29" s="52"/>
      <c r="AR29" s="52"/>
      <c r="AS29" s="54">
        <f t="shared" si="21"/>
        <v>0</v>
      </c>
      <c r="AT29" s="53"/>
      <c r="AU29" s="52"/>
      <c r="AV29" s="52"/>
      <c r="AW29" s="52"/>
      <c r="AX29" s="52"/>
      <c r="AY29" s="52"/>
      <c r="AZ29" s="54">
        <f t="shared" si="22"/>
        <v>0</v>
      </c>
      <c r="BA29" s="53"/>
      <c r="BB29" s="52"/>
      <c r="BC29" s="52"/>
      <c r="BD29" s="52"/>
      <c r="BE29" s="52"/>
      <c r="BF29" s="52"/>
      <c r="BG29" s="54">
        <f t="shared" si="23"/>
        <v>0</v>
      </c>
      <c r="BH29" s="53"/>
      <c r="BI29" s="52">
        <f>L29*VLOOKUP($A29,'I | Capex forecast'!$A$11:$AA$160,BI$8,0)</f>
        <v>18952.814239234453</v>
      </c>
      <c r="BJ29" s="52">
        <f>M29*VLOOKUP($A29,'I | Capex forecast'!$A$11:$AA$160,BJ$8,0)</f>
        <v>18952.814239234453</v>
      </c>
      <c r="BK29" s="52">
        <f>N29*VLOOKUP($A29,'I | Capex forecast'!$A$11:$AA$160,BK$8,0)</f>
        <v>18952.814239234453</v>
      </c>
      <c r="BL29" s="52">
        <f>O29*VLOOKUP($A29,'I | Capex forecast'!$A$11:$AA$160,BL$8,0)</f>
        <v>18952.814239234453</v>
      </c>
      <c r="BM29" s="52">
        <f>P29*VLOOKUP($A29,'I | Capex forecast'!$A$11:$AA$160,BM$8,0)</f>
        <v>18952.814239234453</v>
      </c>
      <c r="BN29" s="54">
        <f t="shared" si="24"/>
        <v>94764.07119617227</v>
      </c>
      <c r="BO29" s="53"/>
      <c r="BP29" s="52">
        <f t="shared" si="1"/>
        <v>230644.72198076118</v>
      </c>
      <c r="BQ29" s="52">
        <f t="shared" si="2"/>
        <v>231065.42663315847</v>
      </c>
      <c r="BR29" s="52">
        <f t="shared" si="3"/>
        <v>231766.63193951044</v>
      </c>
      <c r="BS29" s="52">
        <f t="shared" si="4"/>
        <v>232714.20661186476</v>
      </c>
      <c r="BT29" s="52">
        <f t="shared" si="5"/>
        <v>233288.64752280616</v>
      </c>
      <c r="BU29" s="54">
        <f t="shared" si="25"/>
        <v>1159479.634688101</v>
      </c>
      <c r="BW29" s="52">
        <f t="shared" si="6"/>
        <v>230644.72198076118</v>
      </c>
      <c r="BX29" s="52">
        <f t="shared" si="7"/>
        <v>231065.42663315847</v>
      </c>
      <c r="BY29" s="52">
        <f t="shared" si="8"/>
        <v>231766.63193951044</v>
      </c>
      <c r="BZ29" s="52">
        <f t="shared" si="9"/>
        <v>232714.20661186476</v>
      </c>
      <c r="CA29" s="52">
        <f t="shared" si="10"/>
        <v>233288.64752280616</v>
      </c>
      <c r="CB29" s="54">
        <f t="shared" si="26"/>
        <v>1159479.634688101</v>
      </c>
      <c r="CC29" s="53"/>
      <c r="CD29" s="52">
        <f t="shared" si="27"/>
        <v>0</v>
      </c>
      <c r="CE29" s="52">
        <f t="shared" si="28"/>
        <v>0</v>
      </c>
      <c r="CF29" s="52">
        <f t="shared" si="29"/>
        <v>0</v>
      </c>
      <c r="CG29" s="52">
        <f t="shared" si="30"/>
        <v>0</v>
      </c>
      <c r="CH29" s="52">
        <f t="shared" si="31"/>
        <v>0</v>
      </c>
      <c r="CI29" s="54">
        <f t="shared" si="32"/>
        <v>0</v>
      </c>
    </row>
    <row r="30" spans="1:87" s="4" customFormat="1" x14ac:dyDescent="0.3">
      <c r="A30" s="56">
        <v>20</v>
      </c>
      <c r="B30" s="48" t="str">
        <f>IF('I | Capex forecast'!B30="","",'I | Capex forecast'!B30)</f>
        <v>Replacement for Crane truck</v>
      </c>
      <c r="C30" s="48" t="str">
        <f>IF('I | Capex forecast'!C30="","",'I | Capex forecast'!C30)</f>
        <v>SIB</v>
      </c>
      <c r="D30" s="48" t="str">
        <f>IF('I | Capex forecast'!D30="","",'I | Capex forecast'!D30)</f>
        <v>SIB</v>
      </c>
      <c r="E30" s="48" t="str">
        <f>IF('I | Capex forecast'!E30="","",'I | Capex forecast'!E30)</f>
        <v>SIB capex</v>
      </c>
      <c r="F30" s="48" t="str">
        <f>IF('I | Capex forecast'!F30="","",'I | Capex forecast'!F30)</f>
        <v>Replacement</v>
      </c>
      <c r="G30" s="48" t="str">
        <f>IF('I | Capex forecast'!G30="","",'I | Capex forecast'!G30)</f>
        <v>As incurred</v>
      </c>
      <c r="H30" s="48" t="str">
        <f>IF('I | Capex forecast'!H30="","",'I | Capex forecast'!H30)</f>
        <v>FY 26</v>
      </c>
      <c r="I30" s="48" t="str">
        <f>IF('I | Capex forecast'!I30="","",'I | Capex forecast'!I30)</f>
        <v>Mid-year</v>
      </c>
      <c r="J30" s="48" t="str">
        <f>IF('I | Capex forecast'!J30="","",'I | Capex forecast'!J30)</f>
        <v>No</v>
      </c>
      <c r="K30" s="50"/>
      <c r="L30" s="52">
        <f>IFERROR(VLOOKUP($A30,'I | Capex forecast'!$A$11:$AA$160,L$8,0)*INDEX('I | Inflation'!$F$46:$G$49,MATCH($I30,'I | Inflation'!$E$46:$E$49,0),MATCH($H30,'I | Inflation'!$F$45:$G$45,0)),0)</f>
        <v>0</v>
      </c>
      <c r="M30" s="52">
        <f>IFERROR(VLOOKUP($A30,'I | Capex forecast'!$A$11:$AA$160,M$8,0)*INDEX('I | Inflation'!$F$46:$G$49,MATCH($I30,'I | Inflation'!$E$46:$E$49,0),MATCH($H30,'I | Inflation'!$F$45:$G$45,0)),0)</f>
        <v>263233.53110047855</v>
      </c>
      <c r="N30" s="52">
        <f>IFERROR(VLOOKUP($A30,'I | Capex forecast'!$A$11:$AA$160,N$8,0)*INDEX('I | Inflation'!$F$46:$G$49,MATCH($I30,'I | Inflation'!$E$46:$E$49,0),MATCH($H30,'I | Inflation'!$F$45:$G$45,0)),0)</f>
        <v>0</v>
      </c>
      <c r="O30" s="52">
        <f>IFERROR(VLOOKUP($A30,'I | Capex forecast'!$A$11:$AA$160,O$8,0)*INDEX('I | Inflation'!$F$46:$G$49,MATCH($I30,'I | Inflation'!$E$46:$E$49,0),MATCH($H30,'I | Inflation'!$F$45:$G$45,0)),0)</f>
        <v>0</v>
      </c>
      <c r="P30" s="52">
        <f>IFERROR(VLOOKUP($A30,'I | Capex forecast'!$A$11:$AA$160,P$8,0)*INDEX('I | Inflation'!$F$46:$G$49,MATCH($I30,'I | Inflation'!$E$46:$E$49,0),MATCH($H30,'I | Inflation'!$F$45:$G$45,0)),0)</f>
        <v>0</v>
      </c>
      <c r="Q30" s="54">
        <f t="shared" si="33"/>
        <v>263233.53110047855</v>
      </c>
      <c r="R30" s="53"/>
      <c r="S30" s="226">
        <f>L30*VLOOKUP($A30,'I | Capex forecast'!$A$11:$AA$160,S$8,0)</f>
        <v>0</v>
      </c>
      <c r="T30" s="226">
        <f>M30*VLOOKUP($A30,'I | Capex forecast'!$A$11:$AA$160,T$8,0)</f>
        <v>101150.69293596022</v>
      </c>
      <c r="U30" s="226">
        <f>N30*VLOOKUP($A30,'I | Capex forecast'!$A$11:$AA$160,U$8,0)</f>
        <v>0</v>
      </c>
      <c r="V30" s="226">
        <f>O30*VLOOKUP($A30,'I | Capex forecast'!$A$11:$AA$160,V$8,0)</f>
        <v>0</v>
      </c>
      <c r="W30" s="226">
        <f>P30*VLOOKUP($A30,'I | Capex forecast'!$A$11:$AA$160,W$8,0)</f>
        <v>0</v>
      </c>
      <c r="X30" s="54">
        <f t="shared" si="13"/>
        <v>101150.69293596022</v>
      </c>
      <c r="Y30" s="53"/>
      <c r="Z30" s="52">
        <f>S30*(HLOOKUP(Z$10,'I | Inflation'!$E$57:$J$59,3,0)-1)</f>
        <v>0</v>
      </c>
      <c r="AA30" s="52">
        <f>T30*(HLOOKUP(AA$10,'I | Inflation'!$E$57:$J$59,3,0)-1)</f>
        <v>1907.2343919264583</v>
      </c>
      <c r="AB30" s="52">
        <f>U30*(HLOOKUP(AB$10,'I | Inflation'!$E$57:$J$59,3,0)-1)</f>
        <v>0</v>
      </c>
      <c r="AC30" s="52">
        <f>V30*(HLOOKUP(AC$10,'I | Inflation'!$E$57:$J$59,3,0)-1)</f>
        <v>0</v>
      </c>
      <c r="AD30" s="52">
        <f>W30*(HLOOKUP(AD$10,'I | Inflation'!$E$57:$J$59,3,0)-1)</f>
        <v>0</v>
      </c>
      <c r="AE30" s="54">
        <f t="shared" si="14"/>
        <v>1907.2343919264583</v>
      </c>
      <c r="AF30" s="53"/>
      <c r="AG30" s="226">
        <f t="shared" si="15"/>
        <v>0</v>
      </c>
      <c r="AH30" s="226">
        <f t="shared" si="16"/>
        <v>103057.92732788667</v>
      </c>
      <c r="AI30" s="226">
        <f t="shared" si="17"/>
        <v>0</v>
      </c>
      <c r="AJ30" s="226">
        <f t="shared" si="18"/>
        <v>0</v>
      </c>
      <c r="AK30" s="226">
        <f t="shared" si="19"/>
        <v>0</v>
      </c>
      <c r="AL30" s="54">
        <f t="shared" si="20"/>
        <v>103057.92732788667</v>
      </c>
      <c r="AM30" s="53"/>
      <c r="AN30" s="52"/>
      <c r="AO30" s="52"/>
      <c r="AP30" s="52"/>
      <c r="AQ30" s="52"/>
      <c r="AR30" s="52"/>
      <c r="AS30" s="54">
        <f t="shared" si="21"/>
        <v>0</v>
      </c>
      <c r="AT30" s="53"/>
      <c r="AU30" s="52"/>
      <c r="AV30" s="52"/>
      <c r="AW30" s="52"/>
      <c r="AX30" s="52"/>
      <c r="AY30" s="52"/>
      <c r="AZ30" s="54">
        <f t="shared" si="22"/>
        <v>0</v>
      </c>
      <c r="BA30" s="53"/>
      <c r="BB30" s="52"/>
      <c r="BC30" s="52"/>
      <c r="BD30" s="52"/>
      <c r="BE30" s="52"/>
      <c r="BF30" s="52"/>
      <c r="BG30" s="54">
        <f t="shared" si="23"/>
        <v>0</v>
      </c>
      <c r="BH30" s="53"/>
      <c r="BI30" s="52">
        <f>L30*VLOOKUP($A30,'I | Capex forecast'!$A$11:$AA$160,BI$8,0)</f>
        <v>0</v>
      </c>
      <c r="BJ30" s="52">
        <f>M30*VLOOKUP($A30,'I | Capex forecast'!$A$11:$AA$160,BJ$8,0)</f>
        <v>23691.017799043067</v>
      </c>
      <c r="BK30" s="52">
        <f>N30*VLOOKUP($A30,'I | Capex forecast'!$A$11:$AA$160,BK$8,0)</f>
        <v>0</v>
      </c>
      <c r="BL30" s="52">
        <f>O30*VLOOKUP($A30,'I | Capex forecast'!$A$11:$AA$160,BL$8,0)</f>
        <v>0</v>
      </c>
      <c r="BM30" s="52">
        <f>P30*VLOOKUP($A30,'I | Capex forecast'!$A$11:$AA$160,BM$8,0)</f>
        <v>0</v>
      </c>
      <c r="BN30" s="54">
        <f t="shared" si="24"/>
        <v>23691.017799043067</v>
      </c>
      <c r="BO30" s="53"/>
      <c r="BP30" s="52">
        <f t="shared" si="1"/>
        <v>0</v>
      </c>
      <c r="BQ30" s="52">
        <f t="shared" si="2"/>
        <v>288831.78329144802</v>
      </c>
      <c r="BR30" s="52">
        <f t="shared" si="3"/>
        <v>0</v>
      </c>
      <c r="BS30" s="52">
        <f t="shared" si="4"/>
        <v>0</v>
      </c>
      <c r="BT30" s="52">
        <f t="shared" si="5"/>
        <v>0</v>
      </c>
      <c r="BU30" s="54">
        <f t="shared" si="25"/>
        <v>288831.78329144802</v>
      </c>
      <c r="BW30" s="52">
        <f t="shared" si="6"/>
        <v>0</v>
      </c>
      <c r="BX30" s="52">
        <f t="shared" si="7"/>
        <v>288831.78329144802</v>
      </c>
      <c r="BY30" s="52">
        <f t="shared" si="8"/>
        <v>0</v>
      </c>
      <c r="BZ30" s="52">
        <f t="shared" si="9"/>
        <v>0</v>
      </c>
      <c r="CA30" s="52">
        <f t="shared" si="10"/>
        <v>0</v>
      </c>
      <c r="CB30" s="54">
        <f t="shared" si="26"/>
        <v>288831.78329144802</v>
      </c>
      <c r="CC30" s="53"/>
      <c r="CD30" s="52">
        <f t="shared" si="27"/>
        <v>0</v>
      </c>
      <c r="CE30" s="52">
        <f t="shared" si="28"/>
        <v>0</v>
      </c>
      <c r="CF30" s="52">
        <f t="shared" si="29"/>
        <v>0</v>
      </c>
      <c r="CG30" s="52">
        <f t="shared" si="30"/>
        <v>0</v>
      </c>
      <c r="CH30" s="52">
        <f t="shared" si="31"/>
        <v>0</v>
      </c>
      <c r="CI30" s="54">
        <f t="shared" si="32"/>
        <v>0</v>
      </c>
    </row>
    <row r="31" spans="1:87" s="4" customFormat="1" x14ac:dyDescent="0.3">
      <c r="A31" s="56">
        <v>21</v>
      </c>
      <c r="B31" s="48" t="str">
        <f>IF('I | Capex forecast'!B31="","",'I | Capex forecast'!B31)</f>
        <v>Generator Upgrades</v>
      </c>
      <c r="C31" s="48" t="str">
        <f>IF('I | Capex forecast'!C31="","",'I | Capex forecast'!C31)</f>
        <v>SIB</v>
      </c>
      <c r="D31" s="48" t="str">
        <f>IF('I | Capex forecast'!D31="","",'I | Capex forecast'!D31)</f>
        <v>SIB</v>
      </c>
      <c r="E31" s="48" t="str">
        <f>IF('I | Capex forecast'!E31="","",'I | Capex forecast'!E31)</f>
        <v>SIB capex</v>
      </c>
      <c r="F31" s="48" t="str">
        <f>IF('I | Capex forecast'!F31="","",'I | Capex forecast'!F31)</f>
        <v>Replacement</v>
      </c>
      <c r="G31" s="48" t="str">
        <f>IF('I | Capex forecast'!G31="","",'I | Capex forecast'!G31)</f>
        <v>As incurred</v>
      </c>
      <c r="H31" s="48" t="str">
        <f>IF('I | Capex forecast'!H31="","",'I | Capex forecast'!H31)</f>
        <v>FY 26</v>
      </c>
      <c r="I31" s="48" t="str">
        <f>IF('I | Capex forecast'!I31="","",'I | Capex forecast'!I31)</f>
        <v>Mid-year</v>
      </c>
      <c r="J31" s="48" t="str">
        <f>IF('I | Capex forecast'!J31="","",'I | Capex forecast'!J31)</f>
        <v>No</v>
      </c>
      <c r="K31" s="50"/>
      <c r="L31" s="52">
        <f>IFERROR(VLOOKUP($A31,'I | Capex forecast'!$A$11:$AA$160,L$8,0)*INDEX('I | Inflation'!$F$46:$G$49,MATCH($I31,'I | Inflation'!$E$46:$E$49,0),MATCH($H31,'I | Inflation'!$F$45:$G$45,0)),0)</f>
        <v>0</v>
      </c>
      <c r="M31" s="52">
        <f>IFERROR(VLOOKUP($A31,'I | Capex forecast'!$A$11:$AA$160,M$8,0)*INDEX('I | Inflation'!$F$46:$G$49,MATCH($I31,'I | Inflation'!$E$46:$E$49,0),MATCH($H31,'I | Inflation'!$F$45:$G$45,0)),0)</f>
        <v>0</v>
      </c>
      <c r="N31" s="52">
        <f>IFERROR(VLOOKUP($A31,'I | Capex forecast'!$A$11:$AA$160,N$8,0)*INDEX('I | Inflation'!$F$46:$G$49,MATCH($I31,'I | Inflation'!$E$46:$E$49,0),MATCH($H31,'I | Inflation'!$F$45:$G$45,0)),0)</f>
        <v>0</v>
      </c>
      <c r="O31" s="52">
        <f>IFERROR(VLOOKUP($A31,'I | Capex forecast'!$A$11:$AA$160,O$8,0)*INDEX('I | Inflation'!$F$46:$G$49,MATCH($I31,'I | Inflation'!$E$46:$E$49,0),MATCH($H31,'I | Inflation'!$F$45:$G$45,0)),0)</f>
        <v>105293.41244019142</v>
      </c>
      <c r="P31" s="52">
        <f>IFERROR(VLOOKUP($A31,'I | Capex forecast'!$A$11:$AA$160,P$8,0)*INDEX('I | Inflation'!$F$46:$G$49,MATCH($I31,'I | Inflation'!$E$46:$E$49,0),MATCH($H31,'I | Inflation'!$F$45:$G$45,0)),0)</f>
        <v>105293.41244019142</v>
      </c>
      <c r="Q31" s="54">
        <f t="shared" si="33"/>
        <v>210586.82488038283</v>
      </c>
      <c r="R31" s="53"/>
      <c r="S31" s="226">
        <f>L31*VLOOKUP($A31,'I | Capex forecast'!$A$11:$AA$160,S$8,0)</f>
        <v>0</v>
      </c>
      <c r="T31" s="226">
        <f>M31*VLOOKUP($A31,'I | Capex forecast'!$A$11:$AA$160,T$8,0)</f>
        <v>0</v>
      </c>
      <c r="U31" s="226">
        <f>N31*VLOOKUP($A31,'I | Capex forecast'!$A$11:$AA$160,U$8,0)</f>
        <v>0</v>
      </c>
      <c r="V31" s="226">
        <f>O31*VLOOKUP($A31,'I | Capex forecast'!$A$11:$AA$160,V$8,0)</f>
        <v>40460.277174384086</v>
      </c>
      <c r="W31" s="226">
        <f>P31*VLOOKUP($A31,'I | Capex forecast'!$A$11:$AA$160,W$8,0)</f>
        <v>40460.277174384086</v>
      </c>
      <c r="X31" s="54">
        <f t="shared" si="13"/>
        <v>80920.554348768172</v>
      </c>
      <c r="Y31" s="53"/>
      <c r="Z31" s="52">
        <f>S31*(HLOOKUP(Z$10,'I | Inflation'!$E$57:$J$59,3,0)-1)</f>
        <v>0</v>
      </c>
      <c r="AA31" s="52">
        <f>T31*(HLOOKUP(AA$10,'I | Inflation'!$E$57:$J$59,3,0)-1)</f>
        <v>0</v>
      </c>
      <c r="AB31" s="52">
        <f>U31*(HLOOKUP(AB$10,'I | Inflation'!$E$57:$J$59,3,0)-1)</f>
        <v>0</v>
      </c>
      <c r="AC31" s="52">
        <f>V31*(HLOOKUP(AC$10,'I | Inflation'!$E$57:$J$59,3,0)-1)</f>
        <v>1587.2837461237334</v>
      </c>
      <c r="AD31" s="52">
        <f>W31*(HLOOKUP(AD$10,'I | Inflation'!$E$57:$J$59,3,0)-1)</f>
        <v>1874.5042015944352</v>
      </c>
      <c r="AE31" s="54">
        <f t="shared" si="14"/>
        <v>3461.7879477181687</v>
      </c>
      <c r="AF31" s="53"/>
      <c r="AG31" s="226">
        <f t="shared" si="15"/>
        <v>0</v>
      </c>
      <c r="AH31" s="226">
        <f t="shared" si="16"/>
        <v>0</v>
      </c>
      <c r="AI31" s="226">
        <f t="shared" si="17"/>
        <v>0</v>
      </c>
      <c r="AJ31" s="226">
        <f t="shared" si="18"/>
        <v>42047.560920507822</v>
      </c>
      <c r="AK31" s="226">
        <f t="shared" si="19"/>
        <v>42334.78137597852</v>
      </c>
      <c r="AL31" s="54">
        <f t="shared" si="20"/>
        <v>84382.342296486342</v>
      </c>
      <c r="AM31" s="53"/>
      <c r="AN31" s="52"/>
      <c r="AO31" s="52"/>
      <c r="AP31" s="52"/>
      <c r="AQ31" s="52"/>
      <c r="AR31" s="52"/>
      <c r="AS31" s="54">
        <f t="shared" si="21"/>
        <v>0</v>
      </c>
      <c r="AT31" s="53"/>
      <c r="AU31" s="52"/>
      <c r="AV31" s="52"/>
      <c r="AW31" s="52"/>
      <c r="AX31" s="52"/>
      <c r="AY31" s="52"/>
      <c r="AZ31" s="54">
        <f t="shared" si="22"/>
        <v>0</v>
      </c>
      <c r="BA31" s="53"/>
      <c r="BB31" s="52"/>
      <c r="BC31" s="52"/>
      <c r="BD31" s="52"/>
      <c r="BE31" s="52"/>
      <c r="BF31" s="52"/>
      <c r="BG31" s="54">
        <f t="shared" si="23"/>
        <v>0</v>
      </c>
      <c r="BH31" s="53"/>
      <c r="BI31" s="52">
        <f>L31*VLOOKUP($A31,'I | Capex forecast'!$A$11:$AA$160,BI$8,0)</f>
        <v>0</v>
      </c>
      <c r="BJ31" s="52">
        <f>M31*VLOOKUP($A31,'I | Capex forecast'!$A$11:$AA$160,BJ$8,0)</f>
        <v>0</v>
      </c>
      <c r="BK31" s="52">
        <f>N31*VLOOKUP($A31,'I | Capex forecast'!$A$11:$AA$160,BK$8,0)</f>
        <v>0</v>
      </c>
      <c r="BL31" s="52">
        <f>O31*VLOOKUP($A31,'I | Capex forecast'!$A$11:$AA$160,BL$8,0)</f>
        <v>9476.4071196172263</v>
      </c>
      <c r="BM31" s="52">
        <f>P31*VLOOKUP($A31,'I | Capex forecast'!$A$11:$AA$160,BM$8,0)</f>
        <v>9476.4071196172263</v>
      </c>
      <c r="BN31" s="54">
        <f t="shared" si="24"/>
        <v>18952.814239234453</v>
      </c>
      <c r="BO31" s="53"/>
      <c r="BP31" s="52">
        <f t="shared" si="1"/>
        <v>0</v>
      </c>
      <c r="BQ31" s="52">
        <f t="shared" si="2"/>
        <v>0</v>
      </c>
      <c r="BR31" s="52">
        <f t="shared" si="3"/>
        <v>0</v>
      </c>
      <c r="BS31" s="52">
        <f t="shared" si="4"/>
        <v>116357.10330593238</v>
      </c>
      <c r="BT31" s="52">
        <f t="shared" si="5"/>
        <v>116644.32376140308</v>
      </c>
      <c r="BU31" s="54">
        <f t="shared" si="25"/>
        <v>233001.42706733546</v>
      </c>
      <c r="BW31" s="52">
        <f t="shared" si="6"/>
        <v>0</v>
      </c>
      <c r="BX31" s="52">
        <f t="shared" si="7"/>
        <v>0</v>
      </c>
      <c r="BY31" s="52">
        <f t="shared" si="8"/>
        <v>0</v>
      </c>
      <c r="BZ31" s="52">
        <f t="shared" si="9"/>
        <v>116357.10330593238</v>
      </c>
      <c r="CA31" s="52">
        <f t="shared" si="10"/>
        <v>116644.32376140308</v>
      </c>
      <c r="CB31" s="54">
        <f t="shared" si="26"/>
        <v>233001.42706733546</v>
      </c>
      <c r="CC31" s="53"/>
      <c r="CD31" s="52">
        <f t="shared" si="27"/>
        <v>0</v>
      </c>
      <c r="CE31" s="52">
        <f t="shared" si="28"/>
        <v>0</v>
      </c>
      <c r="CF31" s="52">
        <f t="shared" si="29"/>
        <v>0</v>
      </c>
      <c r="CG31" s="52">
        <f t="shared" si="30"/>
        <v>0</v>
      </c>
      <c r="CH31" s="52">
        <f t="shared" si="31"/>
        <v>0</v>
      </c>
      <c r="CI31" s="54">
        <f t="shared" si="32"/>
        <v>0</v>
      </c>
    </row>
    <row r="32" spans="1:87" s="4" customFormat="1" x14ac:dyDescent="0.3">
      <c r="A32" s="56">
        <v>22</v>
      </c>
      <c r="B32" s="48" t="str">
        <f>IF('I | Capex forecast'!B32="","",'I | Capex forecast'!B32)</f>
        <v>SDV at Condamine</v>
      </c>
      <c r="C32" s="48" t="str">
        <f>IF('I | Capex forecast'!C32="","",'I | Capex forecast'!C32)</f>
        <v>SIB</v>
      </c>
      <c r="D32" s="48" t="str">
        <f>IF('I | Capex forecast'!D32="","",'I | Capex forecast'!D32)</f>
        <v>SIB</v>
      </c>
      <c r="E32" s="48" t="str">
        <f>IF('I | Capex forecast'!E32="","",'I | Capex forecast'!E32)</f>
        <v>SIB capex</v>
      </c>
      <c r="F32" s="48" t="str">
        <f>IF('I | Capex forecast'!F32="","",'I | Capex forecast'!F32)</f>
        <v>Replacement</v>
      </c>
      <c r="G32" s="48" t="str">
        <f>IF('I | Capex forecast'!G32="","",'I | Capex forecast'!G32)</f>
        <v>As incurred</v>
      </c>
      <c r="H32" s="48" t="str">
        <f>IF('I | Capex forecast'!H32="","",'I | Capex forecast'!H32)</f>
        <v>FY 26</v>
      </c>
      <c r="I32" s="48" t="str">
        <f>IF('I | Capex forecast'!I32="","",'I | Capex forecast'!I32)</f>
        <v>Mid-year</v>
      </c>
      <c r="J32" s="48" t="str">
        <f>IF('I | Capex forecast'!J32="","",'I | Capex forecast'!J32)</f>
        <v>No</v>
      </c>
      <c r="K32" s="50"/>
      <c r="L32" s="52">
        <f>IFERROR(VLOOKUP($A32,'I | Capex forecast'!$A$11:$AA$160,L$8,0)*INDEX('I | Inflation'!$F$46:$G$49,MATCH($I32,'I | Inflation'!$E$46:$E$49,0),MATCH($H32,'I | Inflation'!$F$45:$G$45,0)),0)</f>
        <v>0</v>
      </c>
      <c r="M32" s="52">
        <f>IFERROR(VLOOKUP($A32,'I | Capex forecast'!$A$11:$AA$160,M$8,0)*INDEX('I | Inflation'!$F$46:$G$49,MATCH($I32,'I | Inflation'!$E$46:$E$49,0),MATCH($H32,'I | Inflation'!$F$45:$G$45,0)),0)</f>
        <v>0</v>
      </c>
      <c r="N32" s="52">
        <f>IFERROR(VLOOKUP($A32,'I | Capex forecast'!$A$11:$AA$160,N$8,0)*INDEX('I | Inflation'!$F$46:$G$49,MATCH($I32,'I | Inflation'!$E$46:$E$49,0),MATCH($H32,'I | Inflation'!$F$45:$G$45,0)),0)</f>
        <v>105293.41244019142</v>
      </c>
      <c r="O32" s="52">
        <f>IFERROR(VLOOKUP($A32,'I | Capex forecast'!$A$11:$AA$160,O$8,0)*INDEX('I | Inflation'!$F$46:$G$49,MATCH($I32,'I | Inflation'!$E$46:$E$49,0),MATCH($H32,'I | Inflation'!$F$45:$G$45,0)),0)</f>
        <v>0</v>
      </c>
      <c r="P32" s="52">
        <f>IFERROR(VLOOKUP($A32,'I | Capex forecast'!$A$11:$AA$160,P$8,0)*INDEX('I | Inflation'!$F$46:$G$49,MATCH($I32,'I | Inflation'!$E$46:$E$49,0),MATCH($H32,'I | Inflation'!$F$45:$G$45,0)),0)</f>
        <v>0</v>
      </c>
      <c r="Q32" s="54">
        <f t="shared" si="33"/>
        <v>105293.41244019142</v>
      </c>
      <c r="R32" s="53"/>
      <c r="S32" s="226">
        <f>L32*VLOOKUP($A32,'I | Capex forecast'!$A$11:$AA$160,S$8,0)</f>
        <v>0</v>
      </c>
      <c r="T32" s="226">
        <f>M32*VLOOKUP($A32,'I | Capex forecast'!$A$11:$AA$160,T$8,0)</f>
        <v>0</v>
      </c>
      <c r="U32" s="226">
        <f>N32*VLOOKUP($A32,'I | Capex forecast'!$A$11:$AA$160,U$8,0)</f>
        <v>40460.277174384086</v>
      </c>
      <c r="V32" s="226">
        <f>O32*VLOOKUP($A32,'I | Capex forecast'!$A$11:$AA$160,V$8,0)</f>
        <v>0</v>
      </c>
      <c r="W32" s="226">
        <f>P32*VLOOKUP($A32,'I | Capex forecast'!$A$11:$AA$160,W$8,0)</f>
        <v>0</v>
      </c>
      <c r="X32" s="54">
        <f t="shared" si="13"/>
        <v>40460.277174384086</v>
      </c>
      <c r="Y32" s="53"/>
      <c r="Z32" s="52">
        <f>S32*(HLOOKUP(Z$10,'I | Inflation'!$E$57:$J$59,3,0)-1)</f>
        <v>0</v>
      </c>
      <c r="AA32" s="52">
        <f>T32*(HLOOKUP(AA$10,'I | Inflation'!$E$57:$J$59,3,0)-1)</f>
        <v>0</v>
      </c>
      <c r="AB32" s="52">
        <f>U32*(HLOOKUP(AB$10,'I | Inflation'!$E$57:$J$59,3,0)-1)</f>
        <v>1113.4964099465667</v>
      </c>
      <c r="AC32" s="52">
        <f>V32*(HLOOKUP(AC$10,'I | Inflation'!$E$57:$J$59,3,0)-1)</f>
        <v>0</v>
      </c>
      <c r="AD32" s="52">
        <f>W32*(HLOOKUP(AD$10,'I | Inflation'!$E$57:$J$59,3,0)-1)</f>
        <v>0</v>
      </c>
      <c r="AE32" s="54">
        <f t="shared" si="14"/>
        <v>1113.4964099465667</v>
      </c>
      <c r="AF32" s="53"/>
      <c r="AG32" s="226">
        <f t="shared" si="15"/>
        <v>0</v>
      </c>
      <c r="AH32" s="226">
        <f t="shared" si="16"/>
        <v>0</v>
      </c>
      <c r="AI32" s="226">
        <f t="shared" si="17"/>
        <v>41573.773584330651</v>
      </c>
      <c r="AJ32" s="226">
        <f t="shared" si="18"/>
        <v>0</v>
      </c>
      <c r="AK32" s="226">
        <f t="shared" si="19"/>
        <v>0</v>
      </c>
      <c r="AL32" s="54">
        <f t="shared" si="20"/>
        <v>41573.773584330651</v>
      </c>
      <c r="AM32" s="53"/>
      <c r="AN32" s="52"/>
      <c r="AO32" s="52"/>
      <c r="AP32" s="52"/>
      <c r="AQ32" s="52"/>
      <c r="AR32" s="52"/>
      <c r="AS32" s="54">
        <f t="shared" si="21"/>
        <v>0</v>
      </c>
      <c r="AT32" s="53"/>
      <c r="AU32" s="52"/>
      <c r="AV32" s="52"/>
      <c r="AW32" s="52"/>
      <c r="AX32" s="52"/>
      <c r="AY32" s="52"/>
      <c r="AZ32" s="54">
        <f t="shared" si="22"/>
        <v>0</v>
      </c>
      <c r="BA32" s="53"/>
      <c r="BB32" s="52"/>
      <c r="BC32" s="52"/>
      <c r="BD32" s="52"/>
      <c r="BE32" s="52"/>
      <c r="BF32" s="52"/>
      <c r="BG32" s="54">
        <f t="shared" si="23"/>
        <v>0</v>
      </c>
      <c r="BH32" s="53"/>
      <c r="BI32" s="52">
        <f>L32*VLOOKUP($A32,'I | Capex forecast'!$A$11:$AA$160,BI$8,0)</f>
        <v>0</v>
      </c>
      <c r="BJ32" s="52">
        <f>M32*VLOOKUP($A32,'I | Capex forecast'!$A$11:$AA$160,BJ$8,0)</f>
        <v>0</v>
      </c>
      <c r="BK32" s="52">
        <f>N32*VLOOKUP($A32,'I | Capex forecast'!$A$11:$AA$160,BK$8,0)</f>
        <v>9476.4071196172263</v>
      </c>
      <c r="BL32" s="52">
        <f>O32*VLOOKUP($A32,'I | Capex forecast'!$A$11:$AA$160,BL$8,0)</f>
        <v>0</v>
      </c>
      <c r="BM32" s="52">
        <f>P32*VLOOKUP($A32,'I | Capex forecast'!$A$11:$AA$160,BM$8,0)</f>
        <v>0</v>
      </c>
      <c r="BN32" s="54">
        <f t="shared" si="24"/>
        <v>9476.4071196172263</v>
      </c>
      <c r="BO32" s="53"/>
      <c r="BP32" s="52">
        <f t="shared" si="1"/>
        <v>0</v>
      </c>
      <c r="BQ32" s="52">
        <f t="shared" si="2"/>
        <v>0</v>
      </c>
      <c r="BR32" s="52">
        <f t="shared" si="3"/>
        <v>115883.31596975522</v>
      </c>
      <c r="BS32" s="52">
        <f t="shared" si="4"/>
        <v>0</v>
      </c>
      <c r="BT32" s="52">
        <f t="shared" si="5"/>
        <v>0</v>
      </c>
      <c r="BU32" s="54">
        <f t="shared" si="25"/>
        <v>115883.31596975522</v>
      </c>
      <c r="BW32" s="52">
        <f t="shared" si="6"/>
        <v>0</v>
      </c>
      <c r="BX32" s="52">
        <f t="shared" si="7"/>
        <v>0</v>
      </c>
      <c r="BY32" s="52">
        <f t="shared" si="8"/>
        <v>115883.31596975522</v>
      </c>
      <c r="BZ32" s="52">
        <f t="shared" si="9"/>
        <v>0</v>
      </c>
      <c r="CA32" s="52">
        <f t="shared" si="10"/>
        <v>0</v>
      </c>
      <c r="CB32" s="54">
        <f t="shared" si="26"/>
        <v>115883.31596975522</v>
      </c>
      <c r="CC32" s="53"/>
      <c r="CD32" s="52">
        <f t="shared" si="27"/>
        <v>0</v>
      </c>
      <c r="CE32" s="52">
        <f t="shared" si="28"/>
        <v>0</v>
      </c>
      <c r="CF32" s="52">
        <f t="shared" si="29"/>
        <v>0</v>
      </c>
      <c r="CG32" s="52">
        <f t="shared" si="30"/>
        <v>0</v>
      </c>
      <c r="CH32" s="52">
        <f t="shared" si="31"/>
        <v>0</v>
      </c>
      <c r="CI32" s="54">
        <f t="shared" si="32"/>
        <v>0</v>
      </c>
    </row>
    <row r="33" spans="1:87" s="4" customFormat="1" x14ac:dyDescent="0.3">
      <c r="A33" s="56">
        <v>23</v>
      </c>
      <c r="B33" s="48" t="str">
        <f>IF('I | Capex forecast'!B33="","",'I | Capex forecast'!B33)</f>
        <v>Woodroy, Arubial &amp; Scotia Actuators</v>
      </c>
      <c r="C33" s="48" t="str">
        <f>IF('I | Capex forecast'!C33="","",'I | Capex forecast'!C33)</f>
        <v>SIB</v>
      </c>
      <c r="D33" s="48" t="str">
        <f>IF('I | Capex forecast'!D33="","",'I | Capex forecast'!D33)</f>
        <v>SIB</v>
      </c>
      <c r="E33" s="48" t="str">
        <f>IF('I | Capex forecast'!E33="","",'I | Capex forecast'!E33)</f>
        <v>SIB capex</v>
      </c>
      <c r="F33" s="48" t="str">
        <f>IF('I | Capex forecast'!F33="","",'I | Capex forecast'!F33)</f>
        <v>Replacement</v>
      </c>
      <c r="G33" s="48" t="str">
        <f>IF('I | Capex forecast'!G33="","",'I | Capex forecast'!G33)</f>
        <v>As incurred</v>
      </c>
      <c r="H33" s="48" t="str">
        <f>IF('I | Capex forecast'!H33="","",'I | Capex forecast'!H33)</f>
        <v>FY 26</v>
      </c>
      <c r="I33" s="48" t="str">
        <f>IF('I | Capex forecast'!I33="","",'I | Capex forecast'!I33)</f>
        <v>Mid-year</v>
      </c>
      <c r="J33" s="48" t="str">
        <f>IF('I | Capex forecast'!J33="","",'I | Capex forecast'!J33)</f>
        <v>No</v>
      </c>
      <c r="K33" s="50"/>
      <c r="L33" s="52">
        <f>IFERROR(VLOOKUP($A33,'I | Capex forecast'!$A$11:$AA$160,L$8,0)*INDEX('I | Inflation'!$F$46:$G$49,MATCH($I33,'I | Inflation'!$E$46:$E$49,0),MATCH($H33,'I | Inflation'!$F$45:$G$45,0)),0)</f>
        <v>0</v>
      </c>
      <c r="M33" s="52">
        <f>IFERROR(VLOOKUP($A33,'I | Capex forecast'!$A$11:$AA$160,M$8,0)*INDEX('I | Inflation'!$F$46:$G$49,MATCH($I33,'I | Inflation'!$E$46:$E$49,0),MATCH($H33,'I | Inflation'!$F$45:$G$45,0)),0)</f>
        <v>0</v>
      </c>
      <c r="N33" s="52">
        <f>IFERROR(VLOOKUP($A33,'I | Capex forecast'!$A$11:$AA$160,N$8,0)*INDEX('I | Inflation'!$F$46:$G$49,MATCH($I33,'I | Inflation'!$E$46:$E$49,0),MATCH($H33,'I | Inflation'!$F$45:$G$45,0)),0)</f>
        <v>52646.706220095708</v>
      </c>
      <c r="O33" s="52">
        <f>IFERROR(VLOOKUP($A33,'I | Capex forecast'!$A$11:$AA$160,O$8,0)*INDEX('I | Inflation'!$F$46:$G$49,MATCH($I33,'I | Inflation'!$E$46:$E$49,0),MATCH($H33,'I | Inflation'!$F$45:$G$45,0)),0)</f>
        <v>52646.706220095708</v>
      </c>
      <c r="P33" s="52">
        <f>IFERROR(VLOOKUP($A33,'I | Capex forecast'!$A$11:$AA$160,P$8,0)*INDEX('I | Inflation'!$F$46:$G$49,MATCH($I33,'I | Inflation'!$E$46:$E$49,0),MATCH($H33,'I | Inflation'!$F$45:$G$45,0)),0)</f>
        <v>52646.706220095708</v>
      </c>
      <c r="Q33" s="54">
        <f t="shared" si="33"/>
        <v>157940.11866028712</v>
      </c>
      <c r="R33" s="53"/>
      <c r="S33" s="226">
        <f>L33*VLOOKUP($A33,'I | Capex forecast'!$A$11:$AA$160,S$8,0)</f>
        <v>0</v>
      </c>
      <c r="T33" s="226">
        <f>M33*VLOOKUP($A33,'I | Capex forecast'!$A$11:$AA$160,T$8,0)</f>
        <v>0</v>
      </c>
      <c r="U33" s="226">
        <f>N33*VLOOKUP($A33,'I | Capex forecast'!$A$11:$AA$160,U$8,0)</f>
        <v>20230.138587192043</v>
      </c>
      <c r="V33" s="226">
        <f>O33*VLOOKUP($A33,'I | Capex forecast'!$A$11:$AA$160,V$8,0)</f>
        <v>20230.138587192043</v>
      </c>
      <c r="W33" s="226">
        <f>P33*VLOOKUP($A33,'I | Capex forecast'!$A$11:$AA$160,W$8,0)</f>
        <v>20230.138587192043</v>
      </c>
      <c r="X33" s="54">
        <f t="shared" si="13"/>
        <v>60690.415761576129</v>
      </c>
      <c r="Y33" s="53"/>
      <c r="Z33" s="52">
        <f>S33*(HLOOKUP(Z$10,'I | Inflation'!$E$57:$J$59,3,0)-1)</f>
        <v>0</v>
      </c>
      <c r="AA33" s="52">
        <f>T33*(HLOOKUP(AA$10,'I | Inflation'!$E$57:$J$59,3,0)-1)</f>
        <v>0</v>
      </c>
      <c r="AB33" s="52">
        <f>U33*(HLOOKUP(AB$10,'I | Inflation'!$E$57:$J$59,3,0)-1)</f>
        <v>556.74820497328335</v>
      </c>
      <c r="AC33" s="52">
        <f>V33*(HLOOKUP(AC$10,'I | Inflation'!$E$57:$J$59,3,0)-1)</f>
        <v>793.6418730618667</v>
      </c>
      <c r="AD33" s="52">
        <f>W33*(HLOOKUP(AD$10,'I | Inflation'!$E$57:$J$59,3,0)-1)</f>
        <v>937.25210079721762</v>
      </c>
      <c r="AE33" s="54">
        <f t="shared" si="14"/>
        <v>2287.6421788323678</v>
      </c>
      <c r="AF33" s="53"/>
      <c r="AG33" s="226">
        <f t="shared" si="15"/>
        <v>0</v>
      </c>
      <c r="AH33" s="226">
        <f t="shared" si="16"/>
        <v>0</v>
      </c>
      <c r="AI33" s="226">
        <f t="shared" si="17"/>
        <v>20786.886792165325</v>
      </c>
      <c r="AJ33" s="226">
        <f t="shared" si="18"/>
        <v>21023.780460253911</v>
      </c>
      <c r="AK33" s="226">
        <f t="shared" si="19"/>
        <v>21167.39068798926</v>
      </c>
      <c r="AL33" s="54">
        <f t="shared" si="20"/>
        <v>62978.0579404085</v>
      </c>
      <c r="AM33" s="53"/>
      <c r="AN33" s="52"/>
      <c r="AO33" s="52"/>
      <c r="AP33" s="52"/>
      <c r="AQ33" s="52"/>
      <c r="AR33" s="52"/>
      <c r="AS33" s="54">
        <f t="shared" si="21"/>
        <v>0</v>
      </c>
      <c r="AT33" s="53"/>
      <c r="AU33" s="52"/>
      <c r="AV33" s="52"/>
      <c r="AW33" s="52"/>
      <c r="AX33" s="52"/>
      <c r="AY33" s="52"/>
      <c r="AZ33" s="54">
        <f t="shared" si="22"/>
        <v>0</v>
      </c>
      <c r="BA33" s="53"/>
      <c r="BB33" s="52"/>
      <c r="BC33" s="52"/>
      <c r="BD33" s="52"/>
      <c r="BE33" s="52"/>
      <c r="BF33" s="52"/>
      <c r="BG33" s="54">
        <f t="shared" si="23"/>
        <v>0</v>
      </c>
      <c r="BH33" s="53"/>
      <c r="BI33" s="52">
        <f>L33*VLOOKUP($A33,'I | Capex forecast'!$A$11:$AA$160,BI$8,0)</f>
        <v>0</v>
      </c>
      <c r="BJ33" s="52">
        <f>M33*VLOOKUP($A33,'I | Capex forecast'!$A$11:$AA$160,BJ$8,0)</f>
        <v>0</v>
      </c>
      <c r="BK33" s="52">
        <f>N33*VLOOKUP($A33,'I | Capex forecast'!$A$11:$AA$160,BK$8,0)</f>
        <v>4738.2035598086131</v>
      </c>
      <c r="BL33" s="52">
        <f>O33*VLOOKUP($A33,'I | Capex forecast'!$A$11:$AA$160,BL$8,0)</f>
        <v>4738.2035598086131</v>
      </c>
      <c r="BM33" s="52">
        <f>P33*VLOOKUP($A33,'I | Capex forecast'!$A$11:$AA$160,BM$8,0)</f>
        <v>4738.2035598086131</v>
      </c>
      <c r="BN33" s="54">
        <f t="shared" si="24"/>
        <v>14214.610679425839</v>
      </c>
      <c r="BO33" s="53"/>
      <c r="BP33" s="52">
        <f t="shared" si="1"/>
        <v>0</v>
      </c>
      <c r="BQ33" s="52">
        <f t="shared" si="2"/>
        <v>0</v>
      </c>
      <c r="BR33" s="52">
        <f t="shared" si="3"/>
        <v>57941.657984877609</v>
      </c>
      <c r="BS33" s="52">
        <f t="shared" si="4"/>
        <v>58178.551652966191</v>
      </c>
      <c r="BT33" s="52">
        <f t="shared" si="5"/>
        <v>58322.16188070154</v>
      </c>
      <c r="BU33" s="54">
        <f t="shared" si="25"/>
        <v>174442.37151854535</v>
      </c>
      <c r="BW33" s="52">
        <f t="shared" si="6"/>
        <v>0</v>
      </c>
      <c r="BX33" s="52">
        <f t="shared" si="7"/>
        <v>0</v>
      </c>
      <c r="BY33" s="52">
        <f t="shared" si="8"/>
        <v>57941.657984877609</v>
      </c>
      <c r="BZ33" s="52">
        <f t="shared" si="9"/>
        <v>58178.551652966191</v>
      </c>
      <c r="CA33" s="52">
        <f t="shared" si="10"/>
        <v>58322.16188070154</v>
      </c>
      <c r="CB33" s="54">
        <f t="shared" si="26"/>
        <v>174442.37151854535</v>
      </c>
      <c r="CC33" s="53"/>
      <c r="CD33" s="52">
        <f t="shared" si="27"/>
        <v>0</v>
      </c>
      <c r="CE33" s="52">
        <f t="shared" si="28"/>
        <v>0</v>
      </c>
      <c r="CF33" s="52">
        <f t="shared" si="29"/>
        <v>0</v>
      </c>
      <c r="CG33" s="52">
        <f t="shared" si="30"/>
        <v>0</v>
      </c>
      <c r="CH33" s="52">
        <f t="shared" si="31"/>
        <v>0</v>
      </c>
      <c r="CI33" s="54">
        <f t="shared" si="32"/>
        <v>0</v>
      </c>
    </row>
    <row r="34" spans="1:87" s="4" customFormat="1" x14ac:dyDescent="0.3">
      <c r="A34" s="56">
        <v>24</v>
      </c>
      <c r="B34" s="48" t="str">
        <f>IF('I | Capex forecast'!B34="","",'I | Capex forecast'!B34)</f>
        <v>Controlwave Micro RTUs &amp; Flow Computer end of Life replacement</v>
      </c>
      <c r="C34" s="48" t="str">
        <f>IF('I | Capex forecast'!C34="","",'I | Capex forecast'!C34)</f>
        <v>Gas Instruments</v>
      </c>
      <c r="D34" s="48" t="str">
        <f>IF('I | Capex forecast'!D34="","",'I | Capex forecast'!D34)</f>
        <v>Flow computer &amp; RTU upgrades</v>
      </c>
      <c r="E34" s="48" t="str">
        <f>IF('I | Capex forecast'!E34="","",'I | Capex forecast'!E34)</f>
        <v>Regulators and meters</v>
      </c>
      <c r="F34" s="48" t="str">
        <f>IF('I | Capex forecast'!F34="","",'I | Capex forecast'!F34)</f>
        <v>Replacement</v>
      </c>
      <c r="G34" s="48" t="str">
        <f>IF('I | Capex forecast'!G34="","",'I | Capex forecast'!G34)</f>
        <v>As incurred</v>
      </c>
      <c r="H34" s="48" t="str">
        <f>IF('I | Capex forecast'!H34="","",'I | Capex forecast'!H34)</f>
        <v>FY 26</v>
      </c>
      <c r="I34" s="48" t="str">
        <f>IF('I | Capex forecast'!I34="","",'I | Capex forecast'!I34)</f>
        <v>Mid-year</v>
      </c>
      <c r="J34" s="48" t="str">
        <f>IF('I | Capex forecast'!J34="","",'I | Capex forecast'!J34)</f>
        <v>No</v>
      </c>
      <c r="K34" s="50"/>
      <c r="L34" s="52">
        <f>IFERROR(VLOOKUP($A34,'I | Capex forecast'!$A$11:$AA$160,L$8,0)*INDEX('I | Inflation'!$F$46:$G$49,MATCH($I34,'I | Inflation'!$E$46:$E$49,0),MATCH($H34,'I | Inflation'!$F$45:$G$45,0)),0)</f>
        <v>368526.94354066998</v>
      </c>
      <c r="M34" s="52">
        <f>IFERROR(VLOOKUP($A34,'I | Capex forecast'!$A$11:$AA$160,M$8,0)*INDEX('I | Inflation'!$F$46:$G$49,MATCH($I34,'I | Inflation'!$E$46:$E$49,0),MATCH($H34,'I | Inflation'!$F$45:$G$45,0)),0)</f>
        <v>368526.94354066998</v>
      </c>
      <c r="N34" s="52">
        <f>IFERROR(VLOOKUP($A34,'I | Capex forecast'!$A$11:$AA$160,N$8,0)*INDEX('I | Inflation'!$F$46:$G$49,MATCH($I34,'I | Inflation'!$E$46:$E$49,0),MATCH($H34,'I | Inflation'!$F$45:$G$45,0)),0)</f>
        <v>368526.94354066998</v>
      </c>
      <c r="O34" s="52">
        <f>IFERROR(VLOOKUP($A34,'I | Capex forecast'!$A$11:$AA$160,O$8,0)*INDEX('I | Inflation'!$F$46:$G$49,MATCH($I34,'I | Inflation'!$E$46:$E$49,0),MATCH($H34,'I | Inflation'!$F$45:$G$45,0)),0)</f>
        <v>368526.94354066998</v>
      </c>
      <c r="P34" s="52">
        <f>IFERROR(VLOOKUP($A34,'I | Capex forecast'!$A$11:$AA$160,P$8,0)*INDEX('I | Inflation'!$F$46:$G$49,MATCH($I34,'I | Inflation'!$E$46:$E$49,0),MATCH($H34,'I | Inflation'!$F$45:$G$45,0)),0)</f>
        <v>368526.94354066998</v>
      </c>
      <c r="Q34" s="54">
        <f t="shared" si="33"/>
        <v>1842634.7177033499</v>
      </c>
      <c r="R34" s="53"/>
      <c r="S34" s="226">
        <f>L34*VLOOKUP($A34,'I | Capex forecast'!$A$11:$AA$160,S$8,0)</f>
        <v>141610.97011034432</v>
      </c>
      <c r="T34" s="226">
        <f>M34*VLOOKUP($A34,'I | Capex forecast'!$A$11:$AA$160,T$8,0)</f>
        <v>141610.97011034432</v>
      </c>
      <c r="U34" s="226">
        <f>N34*VLOOKUP($A34,'I | Capex forecast'!$A$11:$AA$160,U$8,0)</f>
        <v>141610.97011034432</v>
      </c>
      <c r="V34" s="226">
        <f>O34*VLOOKUP($A34,'I | Capex forecast'!$A$11:$AA$160,V$8,0)</f>
        <v>141610.97011034432</v>
      </c>
      <c r="W34" s="226">
        <f>P34*VLOOKUP($A34,'I | Capex forecast'!$A$11:$AA$160,W$8,0)</f>
        <v>141610.97011034432</v>
      </c>
      <c r="X34" s="54">
        <f t="shared" si="13"/>
        <v>708054.85055172164</v>
      </c>
      <c r="Y34" s="53"/>
      <c r="Z34" s="52">
        <f>S34*(HLOOKUP(Z$10,'I | Inflation'!$E$57:$J$59,3,0)-1)</f>
        <v>1933.8950070018</v>
      </c>
      <c r="AA34" s="52">
        <f>T34*(HLOOKUP(AA$10,'I | Inflation'!$E$57:$J$59,3,0)-1)</f>
        <v>2670.128148697042</v>
      </c>
      <c r="AB34" s="52">
        <f>U34*(HLOOKUP(AB$10,'I | Inflation'!$E$57:$J$59,3,0)-1)</f>
        <v>3897.2374348129842</v>
      </c>
      <c r="AC34" s="52">
        <f>V34*(HLOOKUP(AC$10,'I | Inflation'!$E$57:$J$59,3,0)-1)</f>
        <v>5555.4931114330675</v>
      </c>
      <c r="AD34" s="52">
        <f>W34*(HLOOKUP(AD$10,'I | Inflation'!$E$57:$J$59,3,0)-1)</f>
        <v>6560.7647055805246</v>
      </c>
      <c r="AE34" s="54">
        <f t="shared" si="14"/>
        <v>20617.518407525418</v>
      </c>
      <c r="AF34" s="53"/>
      <c r="AG34" s="226">
        <f t="shared" si="15"/>
        <v>143544.86511734611</v>
      </c>
      <c r="AH34" s="226">
        <f t="shared" si="16"/>
        <v>144281.09825904138</v>
      </c>
      <c r="AI34" s="226">
        <f t="shared" si="17"/>
        <v>145508.20754515732</v>
      </c>
      <c r="AJ34" s="226">
        <f t="shared" si="18"/>
        <v>147166.46322177738</v>
      </c>
      <c r="AK34" s="226">
        <f t="shared" si="19"/>
        <v>148171.73481592484</v>
      </c>
      <c r="AL34" s="54">
        <f t="shared" si="20"/>
        <v>728672.3689592469</v>
      </c>
      <c r="AM34" s="53"/>
      <c r="AN34" s="52"/>
      <c r="AO34" s="52"/>
      <c r="AP34" s="52"/>
      <c r="AQ34" s="52"/>
      <c r="AR34" s="52"/>
      <c r="AS34" s="54">
        <f t="shared" si="21"/>
        <v>0</v>
      </c>
      <c r="AT34" s="53"/>
      <c r="AU34" s="52"/>
      <c r="AV34" s="52"/>
      <c r="AW34" s="52"/>
      <c r="AX34" s="52"/>
      <c r="AY34" s="52"/>
      <c r="AZ34" s="54">
        <f t="shared" si="22"/>
        <v>0</v>
      </c>
      <c r="BA34" s="53"/>
      <c r="BB34" s="52"/>
      <c r="BC34" s="52"/>
      <c r="BD34" s="52"/>
      <c r="BE34" s="52"/>
      <c r="BF34" s="52"/>
      <c r="BG34" s="54">
        <f t="shared" si="23"/>
        <v>0</v>
      </c>
      <c r="BH34" s="53"/>
      <c r="BI34" s="52">
        <f>L34*VLOOKUP($A34,'I | Capex forecast'!$A$11:$AA$160,BI$8,0)</f>
        <v>33167.424918660297</v>
      </c>
      <c r="BJ34" s="52">
        <f>M34*VLOOKUP($A34,'I | Capex forecast'!$A$11:$AA$160,BJ$8,0)</f>
        <v>33167.424918660297</v>
      </c>
      <c r="BK34" s="52">
        <f>N34*VLOOKUP($A34,'I | Capex forecast'!$A$11:$AA$160,BK$8,0)</f>
        <v>33167.424918660297</v>
      </c>
      <c r="BL34" s="52">
        <f>O34*VLOOKUP($A34,'I | Capex forecast'!$A$11:$AA$160,BL$8,0)</f>
        <v>33167.424918660297</v>
      </c>
      <c r="BM34" s="52">
        <f>P34*VLOOKUP($A34,'I | Capex forecast'!$A$11:$AA$160,BM$8,0)</f>
        <v>33167.424918660297</v>
      </c>
      <c r="BN34" s="54">
        <f t="shared" si="24"/>
        <v>165837.1245933015</v>
      </c>
      <c r="BO34" s="53"/>
      <c r="BP34" s="52">
        <f t="shared" si="1"/>
        <v>403628.26346633211</v>
      </c>
      <c r="BQ34" s="52">
        <f t="shared" si="2"/>
        <v>404364.49660802732</v>
      </c>
      <c r="BR34" s="52">
        <f t="shared" si="3"/>
        <v>405591.60589414329</v>
      </c>
      <c r="BS34" s="52">
        <f t="shared" si="4"/>
        <v>407249.86157076334</v>
      </c>
      <c r="BT34" s="52">
        <f t="shared" si="5"/>
        <v>408255.13316491083</v>
      </c>
      <c r="BU34" s="54">
        <f t="shared" si="25"/>
        <v>2029089.3607041768</v>
      </c>
      <c r="BW34" s="52">
        <f t="shared" si="6"/>
        <v>403628.26346633211</v>
      </c>
      <c r="BX34" s="52">
        <f t="shared" si="7"/>
        <v>404364.49660802732</v>
      </c>
      <c r="BY34" s="52">
        <f t="shared" si="8"/>
        <v>405591.60589414329</v>
      </c>
      <c r="BZ34" s="52">
        <f t="shared" si="9"/>
        <v>407249.86157076334</v>
      </c>
      <c r="CA34" s="52">
        <f t="shared" si="10"/>
        <v>408255.13316491083</v>
      </c>
      <c r="CB34" s="54">
        <f t="shared" si="26"/>
        <v>2029089.3607041768</v>
      </c>
      <c r="CC34" s="53"/>
      <c r="CD34" s="52">
        <f t="shared" si="27"/>
        <v>0</v>
      </c>
      <c r="CE34" s="52">
        <f t="shared" si="28"/>
        <v>0</v>
      </c>
      <c r="CF34" s="52">
        <f t="shared" si="29"/>
        <v>0</v>
      </c>
      <c r="CG34" s="52">
        <f t="shared" si="30"/>
        <v>0</v>
      </c>
      <c r="CH34" s="52">
        <f t="shared" si="31"/>
        <v>0</v>
      </c>
      <c r="CI34" s="54">
        <f t="shared" si="32"/>
        <v>0</v>
      </c>
    </row>
    <row r="35" spans="1:87" s="4" customFormat="1" x14ac:dyDescent="0.3">
      <c r="A35" s="56">
        <v>25</v>
      </c>
      <c r="B35" s="48" t="str">
        <f>IF('I | Capex forecast'!B35="","",'I | Capex forecast'!B35)</f>
        <v>Dalby CS Control Room footings</v>
      </c>
      <c r="C35" s="48" t="str">
        <f>IF('I | Capex forecast'!C35="","",'I | Capex forecast'!C35)</f>
        <v>SIB</v>
      </c>
      <c r="D35" s="48" t="str">
        <f>IF('I | Capex forecast'!D35="","",'I | Capex forecast'!D35)</f>
        <v>SIB</v>
      </c>
      <c r="E35" s="48" t="str">
        <f>IF('I | Capex forecast'!E35="","",'I | Capex forecast'!E35)</f>
        <v>Compressors</v>
      </c>
      <c r="F35" s="48" t="str">
        <f>IF('I | Capex forecast'!F35="","",'I | Capex forecast'!F35)</f>
        <v>Replacement</v>
      </c>
      <c r="G35" s="48" t="str">
        <f>IF('I | Capex forecast'!G35="","",'I | Capex forecast'!G35)</f>
        <v>As incurred</v>
      </c>
      <c r="H35" s="48" t="str">
        <f>IF('I | Capex forecast'!H35="","",'I | Capex forecast'!H35)</f>
        <v>FY 26</v>
      </c>
      <c r="I35" s="48" t="str">
        <f>IF('I | Capex forecast'!I35="","",'I | Capex forecast'!I35)</f>
        <v>Mid-year</v>
      </c>
      <c r="J35" s="48" t="str">
        <f>IF('I | Capex forecast'!J35="","",'I | Capex forecast'!J35)</f>
        <v>No</v>
      </c>
      <c r="K35" s="50"/>
      <c r="L35" s="52">
        <f>IFERROR(VLOOKUP($A35,'I | Capex forecast'!$A$11:$AA$160,L$8,0)*INDEX('I | Inflation'!$F$46:$G$49,MATCH($I35,'I | Inflation'!$E$46:$E$49,0),MATCH($H35,'I | Inflation'!$F$45:$G$45,0)),0)</f>
        <v>0</v>
      </c>
      <c r="M35" s="52">
        <f>IFERROR(VLOOKUP($A35,'I | Capex forecast'!$A$11:$AA$160,M$8,0)*INDEX('I | Inflation'!$F$46:$G$49,MATCH($I35,'I | Inflation'!$E$46:$E$49,0),MATCH($H35,'I | Inflation'!$F$45:$G$45,0)),0)</f>
        <v>105293.41244019142</v>
      </c>
      <c r="N35" s="52">
        <f>IFERROR(VLOOKUP($A35,'I | Capex forecast'!$A$11:$AA$160,N$8,0)*INDEX('I | Inflation'!$F$46:$G$49,MATCH($I35,'I | Inflation'!$E$46:$E$49,0),MATCH($H35,'I | Inflation'!$F$45:$G$45,0)),0)</f>
        <v>0</v>
      </c>
      <c r="O35" s="52">
        <f>IFERROR(VLOOKUP($A35,'I | Capex forecast'!$A$11:$AA$160,O$8,0)*INDEX('I | Inflation'!$F$46:$G$49,MATCH($I35,'I | Inflation'!$E$46:$E$49,0),MATCH($H35,'I | Inflation'!$F$45:$G$45,0)),0)</f>
        <v>0</v>
      </c>
      <c r="P35" s="52">
        <f>IFERROR(VLOOKUP($A35,'I | Capex forecast'!$A$11:$AA$160,P$8,0)*INDEX('I | Inflation'!$F$46:$G$49,MATCH($I35,'I | Inflation'!$E$46:$E$49,0),MATCH($H35,'I | Inflation'!$F$45:$G$45,0)),0)</f>
        <v>0</v>
      </c>
      <c r="Q35" s="54">
        <f t="shared" si="33"/>
        <v>105293.41244019142</v>
      </c>
      <c r="R35" s="53"/>
      <c r="S35" s="226">
        <f>L35*VLOOKUP($A35,'I | Capex forecast'!$A$11:$AA$160,S$8,0)</f>
        <v>0</v>
      </c>
      <c r="T35" s="226">
        <f>M35*VLOOKUP($A35,'I | Capex forecast'!$A$11:$AA$160,T$8,0)</f>
        <v>40460.277174384086</v>
      </c>
      <c r="U35" s="226">
        <f>N35*VLOOKUP($A35,'I | Capex forecast'!$A$11:$AA$160,U$8,0)</f>
        <v>0</v>
      </c>
      <c r="V35" s="226">
        <f>O35*VLOOKUP($A35,'I | Capex forecast'!$A$11:$AA$160,V$8,0)</f>
        <v>0</v>
      </c>
      <c r="W35" s="226">
        <f>P35*VLOOKUP($A35,'I | Capex forecast'!$A$11:$AA$160,W$8,0)</f>
        <v>0</v>
      </c>
      <c r="X35" s="54">
        <f t="shared" si="13"/>
        <v>40460.277174384086</v>
      </c>
      <c r="Y35" s="53"/>
      <c r="Z35" s="52">
        <f>S35*(HLOOKUP(Z$10,'I | Inflation'!$E$57:$J$59,3,0)-1)</f>
        <v>0</v>
      </c>
      <c r="AA35" s="52">
        <f>T35*(HLOOKUP(AA$10,'I | Inflation'!$E$57:$J$59,3,0)-1)</f>
        <v>762.89375677058331</v>
      </c>
      <c r="AB35" s="52">
        <f>U35*(HLOOKUP(AB$10,'I | Inflation'!$E$57:$J$59,3,0)-1)</f>
        <v>0</v>
      </c>
      <c r="AC35" s="52">
        <f>V35*(HLOOKUP(AC$10,'I | Inflation'!$E$57:$J$59,3,0)-1)</f>
        <v>0</v>
      </c>
      <c r="AD35" s="52">
        <f>W35*(HLOOKUP(AD$10,'I | Inflation'!$E$57:$J$59,3,0)-1)</f>
        <v>0</v>
      </c>
      <c r="AE35" s="54">
        <f t="shared" si="14"/>
        <v>762.89375677058331</v>
      </c>
      <c r="AF35" s="53"/>
      <c r="AG35" s="226">
        <f t="shared" si="15"/>
        <v>0</v>
      </c>
      <c r="AH35" s="226">
        <f t="shared" si="16"/>
        <v>41223.170931154666</v>
      </c>
      <c r="AI35" s="226">
        <f t="shared" si="17"/>
        <v>0</v>
      </c>
      <c r="AJ35" s="226">
        <f t="shared" si="18"/>
        <v>0</v>
      </c>
      <c r="AK35" s="226">
        <f t="shared" si="19"/>
        <v>0</v>
      </c>
      <c r="AL35" s="54">
        <f t="shared" si="20"/>
        <v>41223.170931154666</v>
      </c>
      <c r="AM35" s="53"/>
      <c r="AN35" s="52"/>
      <c r="AO35" s="52"/>
      <c r="AP35" s="52"/>
      <c r="AQ35" s="52"/>
      <c r="AR35" s="52"/>
      <c r="AS35" s="54">
        <f t="shared" si="21"/>
        <v>0</v>
      </c>
      <c r="AT35" s="53"/>
      <c r="AU35" s="52"/>
      <c r="AV35" s="52"/>
      <c r="AW35" s="52"/>
      <c r="AX35" s="52"/>
      <c r="AY35" s="52"/>
      <c r="AZ35" s="54">
        <f t="shared" si="22"/>
        <v>0</v>
      </c>
      <c r="BA35" s="53"/>
      <c r="BB35" s="52"/>
      <c r="BC35" s="52"/>
      <c r="BD35" s="52"/>
      <c r="BE35" s="52"/>
      <c r="BF35" s="52"/>
      <c r="BG35" s="54">
        <f t="shared" si="23"/>
        <v>0</v>
      </c>
      <c r="BH35" s="53"/>
      <c r="BI35" s="52">
        <f>L35*VLOOKUP($A35,'I | Capex forecast'!$A$11:$AA$160,BI$8,0)</f>
        <v>0</v>
      </c>
      <c r="BJ35" s="52">
        <f>M35*VLOOKUP($A35,'I | Capex forecast'!$A$11:$AA$160,BJ$8,0)</f>
        <v>9476.4071196172263</v>
      </c>
      <c r="BK35" s="52">
        <f>N35*VLOOKUP($A35,'I | Capex forecast'!$A$11:$AA$160,BK$8,0)</f>
        <v>0</v>
      </c>
      <c r="BL35" s="52">
        <f>O35*VLOOKUP($A35,'I | Capex forecast'!$A$11:$AA$160,BL$8,0)</f>
        <v>0</v>
      </c>
      <c r="BM35" s="52">
        <f>P35*VLOOKUP($A35,'I | Capex forecast'!$A$11:$AA$160,BM$8,0)</f>
        <v>0</v>
      </c>
      <c r="BN35" s="54">
        <f t="shared" si="24"/>
        <v>9476.4071196172263</v>
      </c>
      <c r="BO35" s="53"/>
      <c r="BP35" s="52">
        <f t="shared" si="1"/>
        <v>0</v>
      </c>
      <c r="BQ35" s="52">
        <f t="shared" si="2"/>
        <v>115532.71331657923</v>
      </c>
      <c r="BR35" s="52">
        <f t="shared" si="3"/>
        <v>0</v>
      </c>
      <c r="BS35" s="52">
        <f t="shared" si="4"/>
        <v>0</v>
      </c>
      <c r="BT35" s="52">
        <f t="shared" si="5"/>
        <v>0</v>
      </c>
      <c r="BU35" s="54">
        <f t="shared" si="25"/>
        <v>115532.71331657923</v>
      </c>
      <c r="BW35" s="52">
        <f t="shared" si="6"/>
        <v>0</v>
      </c>
      <c r="BX35" s="52">
        <f t="shared" si="7"/>
        <v>115532.71331657923</v>
      </c>
      <c r="BY35" s="52">
        <f t="shared" si="8"/>
        <v>0</v>
      </c>
      <c r="BZ35" s="52">
        <f t="shared" si="9"/>
        <v>0</v>
      </c>
      <c r="CA35" s="52">
        <f t="shared" si="10"/>
        <v>0</v>
      </c>
      <c r="CB35" s="54">
        <f t="shared" si="26"/>
        <v>115532.71331657923</v>
      </c>
      <c r="CC35" s="53"/>
      <c r="CD35" s="52">
        <f t="shared" si="27"/>
        <v>0</v>
      </c>
      <c r="CE35" s="52">
        <f t="shared" si="28"/>
        <v>0</v>
      </c>
      <c r="CF35" s="52">
        <f t="shared" si="29"/>
        <v>0</v>
      </c>
      <c r="CG35" s="52">
        <f t="shared" si="30"/>
        <v>0</v>
      </c>
      <c r="CH35" s="52">
        <f t="shared" si="31"/>
        <v>0</v>
      </c>
      <c r="CI35" s="54">
        <f t="shared" si="32"/>
        <v>0</v>
      </c>
    </row>
    <row r="36" spans="1:87" s="4" customFormat="1" x14ac:dyDescent="0.3">
      <c r="A36" s="56">
        <v>26</v>
      </c>
      <c r="B36" s="48" t="str">
        <f>IF('I | Capex forecast'!B36="","",'I | Capex forecast'!B36)</f>
        <v>Earthing upgrades</v>
      </c>
      <c r="C36" s="48" t="str">
        <f>IF('I | Capex forecast'!C36="","",'I | Capex forecast'!C36)</f>
        <v>Site equipment</v>
      </c>
      <c r="D36" s="48" t="str">
        <f>IF('I | Capex forecast'!D36="","",'I | Capex forecast'!D36)</f>
        <v>Earthing upgrades</v>
      </c>
      <c r="E36" s="48" t="str">
        <f>IF('I | Capex forecast'!E36="","",'I | Capex forecast'!E36)</f>
        <v>SIB capex</v>
      </c>
      <c r="F36" s="48" t="str">
        <f>IF('I | Capex forecast'!F36="","",'I | Capex forecast'!F36)</f>
        <v>Replacement</v>
      </c>
      <c r="G36" s="48" t="str">
        <f>IF('I | Capex forecast'!G36="","",'I | Capex forecast'!G36)</f>
        <v>As incurred</v>
      </c>
      <c r="H36" s="48" t="str">
        <f>IF('I | Capex forecast'!H36="","",'I | Capex forecast'!H36)</f>
        <v>FY 26</v>
      </c>
      <c r="I36" s="48" t="str">
        <f>IF('I | Capex forecast'!I36="","",'I | Capex forecast'!I36)</f>
        <v>Mid-year</v>
      </c>
      <c r="J36" s="48" t="str">
        <f>IF('I | Capex forecast'!J36="","",'I | Capex forecast'!J36)</f>
        <v>No</v>
      </c>
      <c r="K36" s="50"/>
      <c r="L36" s="52">
        <f>IFERROR(VLOOKUP($A36,'I | Capex forecast'!$A$11:$AA$160,L$8,0)*INDEX('I | Inflation'!$F$46:$G$49,MATCH($I36,'I | Inflation'!$E$46:$E$49,0),MATCH($H36,'I | Inflation'!$F$45:$G$45,0)),0)</f>
        <v>210586.82488038283</v>
      </c>
      <c r="M36" s="52">
        <f>IFERROR(VLOOKUP($A36,'I | Capex forecast'!$A$11:$AA$160,M$8,0)*INDEX('I | Inflation'!$F$46:$G$49,MATCH($I36,'I | Inflation'!$E$46:$E$49,0),MATCH($H36,'I | Inflation'!$F$45:$G$45,0)),0)</f>
        <v>210586.82488038283</v>
      </c>
      <c r="N36" s="52">
        <f>IFERROR(VLOOKUP($A36,'I | Capex forecast'!$A$11:$AA$160,N$8,0)*INDEX('I | Inflation'!$F$46:$G$49,MATCH($I36,'I | Inflation'!$E$46:$E$49,0),MATCH($H36,'I | Inflation'!$F$45:$G$45,0)),0)</f>
        <v>210586.82488038283</v>
      </c>
      <c r="O36" s="52">
        <f>IFERROR(VLOOKUP($A36,'I | Capex forecast'!$A$11:$AA$160,O$8,0)*INDEX('I | Inflation'!$F$46:$G$49,MATCH($I36,'I | Inflation'!$E$46:$E$49,0),MATCH($H36,'I | Inflation'!$F$45:$G$45,0)),0)</f>
        <v>210586.82488038283</v>
      </c>
      <c r="P36" s="52">
        <f>IFERROR(VLOOKUP($A36,'I | Capex forecast'!$A$11:$AA$160,P$8,0)*INDEX('I | Inflation'!$F$46:$G$49,MATCH($I36,'I | Inflation'!$E$46:$E$49,0),MATCH($H36,'I | Inflation'!$F$45:$G$45,0)),0)</f>
        <v>210586.82488038283</v>
      </c>
      <c r="Q36" s="54">
        <f t="shared" si="33"/>
        <v>1052934.1244019142</v>
      </c>
      <c r="R36" s="53"/>
      <c r="S36" s="226">
        <f>L36*VLOOKUP($A36,'I | Capex forecast'!$A$11:$AA$160,S$8,0)</f>
        <v>80920.554348768172</v>
      </c>
      <c r="T36" s="226">
        <f>M36*VLOOKUP($A36,'I | Capex forecast'!$A$11:$AA$160,T$8,0)</f>
        <v>80920.554348768172</v>
      </c>
      <c r="U36" s="226">
        <f>N36*VLOOKUP($A36,'I | Capex forecast'!$A$11:$AA$160,U$8,0)</f>
        <v>80920.554348768172</v>
      </c>
      <c r="V36" s="226">
        <f>O36*VLOOKUP($A36,'I | Capex forecast'!$A$11:$AA$160,V$8,0)</f>
        <v>80920.554348768172</v>
      </c>
      <c r="W36" s="226">
        <f>P36*VLOOKUP($A36,'I | Capex forecast'!$A$11:$AA$160,W$8,0)</f>
        <v>80920.554348768172</v>
      </c>
      <c r="X36" s="54">
        <f t="shared" si="13"/>
        <v>404602.77174384089</v>
      </c>
      <c r="Y36" s="53"/>
      <c r="Z36" s="52">
        <f>S36*(HLOOKUP(Z$10,'I | Inflation'!$E$57:$J$59,3,0)-1)</f>
        <v>1105.0828611438856</v>
      </c>
      <c r="AA36" s="52">
        <f>T36*(HLOOKUP(AA$10,'I | Inflation'!$E$57:$J$59,3,0)-1)</f>
        <v>1525.7875135411666</v>
      </c>
      <c r="AB36" s="52">
        <f>U36*(HLOOKUP(AB$10,'I | Inflation'!$E$57:$J$59,3,0)-1)</f>
        <v>2226.9928198931334</v>
      </c>
      <c r="AC36" s="52">
        <f>V36*(HLOOKUP(AC$10,'I | Inflation'!$E$57:$J$59,3,0)-1)</f>
        <v>3174.5674922474668</v>
      </c>
      <c r="AD36" s="52">
        <f>W36*(HLOOKUP(AD$10,'I | Inflation'!$E$57:$J$59,3,0)-1)</f>
        <v>3749.0084031888705</v>
      </c>
      <c r="AE36" s="54">
        <f t="shared" si="14"/>
        <v>11781.439090014523</v>
      </c>
      <c r="AF36" s="53"/>
      <c r="AG36" s="226">
        <f t="shared" si="15"/>
        <v>82025.637209912064</v>
      </c>
      <c r="AH36" s="226">
        <f t="shared" si="16"/>
        <v>82446.341862309331</v>
      </c>
      <c r="AI36" s="226">
        <f t="shared" si="17"/>
        <v>83147.547168661302</v>
      </c>
      <c r="AJ36" s="226">
        <f t="shared" si="18"/>
        <v>84095.121841015643</v>
      </c>
      <c r="AK36" s="226">
        <f t="shared" si="19"/>
        <v>84669.562751957041</v>
      </c>
      <c r="AL36" s="54">
        <f t="shared" si="20"/>
        <v>416384.21083385538</v>
      </c>
      <c r="AM36" s="53"/>
      <c r="AN36" s="52"/>
      <c r="AO36" s="52"/>
      <c r="AP36" s="52"/>
      <c r="AQ36" s="52"/>
      <c r="AR36" s="52"/>
      <c r="AS36" s="54">
        <f t="shared" si="21"/>
        <v>0</v>
      </c>
      <c r="AT36" s="53"/>
      <c r="AU36" s="52"/>
      <c r="AV36" s="52"/>
      <c r="AW36" s="52"/>
      <c r="AX36" s="52"/>
      <c r="AY36" s="52"/>
      <c r="AZ36" s="54">
        <f t="shared" si="22"/>
        <v>0</v>
      </c>
      <c r="BA36" s="53"/>
      <c r="BB36" s="52"/>
      <c r="BC36" s="52"/>
      <c r="BD36" s="52"/>
      <c r="BE36" s="52"/>
      <c r="BF36" s="52"/>
      <c r="BG36" s="54">
        <f t="shared" si="23"/>
        <v>0</v>
      </c>
      <c r="BH36" s="53"/>
      <c r="BI36" s="52">
        <f>L36*VLOOKUP($A36,'I | Capex forecast'!$A$11:$AA$160,BI$8,0)</f>
        <v>18952.814239234453</v>
      </c>
      <c r="BJ36" s="52">
        <f>M36*VLOOKUP($A36,'I | Capex forecast'!$A$11:$AA$160,BJ$8,0)</f>
        <v>18952.814239234453</v>
      </c>
      <c r="BK36" s="52">
        <f>N36*VLOOKUP($A36,'I | Capex forecast'!$A$11:$AA$160,BK$8,0)</f>
        <v>18952.814239234453</v>
      </c>
      <c r="BL36" s="52">
        <f>O36*VLOOKUP($A36,'I | Capex forecast'!$A$11:$AA$160,BL$8,0)</f>
        <v>18952.814239234453</v>
      </c>
      <c r="BM36" s="52">
        <f>P36*VLOOKUP($A36,'I | Capex forecast'!$A$11:$AA$160,BM$8,0)</f>
        <v>18952.814239234453</v>
      </c>
      <c r="BN36" s="54">
        <f t="shared" si="24"/>
        <v>94764.07119617227</v>
      </c>
      <c r="BO36" s="53"/>
      <c r="BP36" s="52">
        <f t="shared" si="1"/>
        <v>230644.72198076118</v>
      </c>
      <c r="BQ36" s="52">
        <f t="shared" si="2"/>
        <v>231065.42663315847</v>
      </c>
      <c r="BR36" s="52">
        <f t="shared" si="3"/>
        <v>231766.63193951044</v>
      </c>
      <c r="BS36" s="52">
        <f t="shared" si="4"/>
        <v>232714.20661186476</v>
      </c>
      <c r="BT36" s="52">
        <f t="shared" si="5"/>
        <v>233288.64752280616</v>
      </c>
      <c r="BU36" s="54">
        <f t="shared" si="25"/>
        <v>1159479.634688101</v>
      </c>
      <c r="BW36" s="52">
        <f t="shared" si="6"/>
        <v>230644.72198076118</v>
      </c>
      <c r="BX36" s="52">
        <f t="shared" si="7"/>
        <v>231065.42663315847</v>
      </c>
      <c r="BY36" s="52">
        <f t="shared" si="8"/>
        <v>231766.63193951044</v>
      </c>
      <c r="BZ36" s="52">
        <f t="shared" si="9"/>
        <v>232714.20661186476</v>
      </c>
      <c r="CA36" s="52">
        <f t="shared" si="10"/>
        <v>233288.64752280616</v>
      </c>
      <c r="CB36" s="54">
        <f t="shared" si="26"/>
        <v>1159479.634688101</v>
      </c>
      <c r="CC36" s="53"/>
      <c r="CD36" s="52">
        <f t="shared" si="27"/>
        <v>0</v>
      </c>
      <c r="CE36" s="52">
        <f t="shared" si="28"/>
        <v>0</v>
      </c>
      <c r="CF36" s="52">
        <f t="shared" si="29"/>
        <v>0</v>
      </c>
      <c r="CG36" s="52">
        <f t="shared" si="30"/>
        <v>0</v>
      </c>
      <c r="CH36" s="52">
        <f t="shared" si="31"/>
        <v>0</v>
      </c>
      <c r="CI36" s="54">
        <f t="shared" si="32"/>
        <v>0</v>
      </c>
    </row>
    <row r="37" spans="1:87" s="4" customFormat="1" x14ac:dyDescent="0.3">
      <c r="A37" s="56">
        <v>27</v>
      </c>
      <c r="B37" s="48" t="str">
        <f>IF('I | Capex forecast'!B37="","",'I | Capex forecast'!B37)</f>
        <v>Woodroyd - GC &amp; Moisture Analyser</v>
      </c>
      <c r="C37" s="48" t="str">
        <f>IF('I | Capex forecast'!C37="","",'I | Capex forecast'!C37)</f>
        <v>Gas Instruments</v>
      </c>
      <c r="D37" s="48" t="str">
        <f>IF('I | Capex forecast'!D37="","",'I | Capex forecast'!D37)</f>
        <v>Gas specification metering</v>
      </c>
      <c r="E37" s="48" t="str">
        <f>IF('I | Capex forecast'!E37="","",'I | Capex forecast'!E37)</f>
        <v>Regulators and meters</v>
      </c>
      <c r="F37" s="48" t="str">
        <f>IF('I | Capex forecast'!F37="","",'I | Capex forecast'!F37)</f>
        <v>Replacement</v>
      </c>
      <c r="G37" s="48" t="str">
        <f>IF('I | Capex forecast'!G37="","",'I | Capex forecast'!G37)</f>
        <v>As incurred</v>
      </c>
      <c r="H37" s="48" t="str">
        <f>IF('I | Capex forecast'!H37="","",'I | Capex forecast'!H37)</f>
        <v>FY 26</v>
      </c>
      <c r="I37" s="48" t="str">
        <f>IF('I | Capex forecast'!I37="","",'I | Capex forecast'!I37)</f>
        <v>Mid-year</v>
      </c>
      <c r="J37" s="48" t="str">
        <f>IF('I | Capex forecast'!J37="","",'I | Capex forecast'!J37)</f>
        <v>No</v>
      </c>
      <c r="K37" s="50"/>
      <c r="L37" s="52">
        <f>IFERROR(VLOOKUP($A37,'I | Capex forecast'!$A$11:$AA$160,L$8,0)*INDEX('I | Inflation'!$F$46:$G$49,MATCH($I37,'I | Inflation'!$E$46:$E$49,0),MATCH($H37,'I | Inflation'!$F$45:$G$45,0)),0)</f>
        <v>421173.64976076566</v>
      </c>
      <c r="M37" s="52">
        <f>IFERROR(VLOOKUP($A37,'I | Capex forecast'!$A$11:$AA$160,M$8,0)*INDEX('I | Inflation'!$F$46:$G$49,MATCH($I37,'I | Inflation'!$E$46:$E$49,0),MATCH($H37,'I | Inflation'!$F$45:$G$45,0)),0)</f>
        <v>0</v>
      </c>
      <c r="N37" s="52">
        <f>IFERROR(VLOOKUP($A37,'I | Capex forecast'!$A$11:$AA$160,N$8,0)*INDEX('I | Inflation'!$F$46:$G$49,MATCH($I37,'I | Inflation'!$E$46:$E$49,0),MATCH($H37,'I | Inflation'!$F$45:$G$45,0)),0)</f>
        <v>0</v>
      </c>
      <c r="O37" s="52">
        <f>IFERROR(VLOOKUP($A37,'I | Capex forecast'!$A$11:$AA$160,O$8,0)*INDEX('I | Inflation'!$F$46:$G$49,MATCH($I37,'I | Inflation'!$E$46:$E$49,0),MATCH($H37,'I | Inflation'!$F$45:$G$45,0)),0)</f>
        <v>0</v>
      </c>
      <c r="P37" s="52">
        <f>IFERROR(VLOOKUP($A37,'I | Capex forecast'!$A$11:$AA$160,P$8,0)*INDEX('I | Inflation'!$F$46:$G$49,MATCH($I37,'I | Inflation'!$E$46:$E$49,0),MATCH($H37,'I | Inflation'!$F$45:$G$45,0)),0)</f>
        <v>0</v>
      </c>
      <c r="Q37" s="54">
        <f t="shared" si="33"/>
        <v>421173.64976076566</v>
      </c>
      <c r="R37" s="53"/>
      <c r="S37" s="226">
        <f>L37*VLOOKUP($A37,'I | Capex forecast'!$A$11:$AA$160,S$8,0)</f>
        <v>161841.10869753634</v>
      </c>
      <c r="T37" s="226">
        <f>M37*VLOOKUP($A37,'I | Capex forecast'!$A$11:$AA$160,T$8,0)</f>
        <v>0</v>
      </c>
      <c r="U37" s="226">
        <f>N37*VLOOKUP($A37,'I | Capex forecast'!$A$11:$AA$160,U$8,0)</f>
        <v>0</v>
      </c>
      <c r="V37" s="226">
        <f>O37*VLOOKUP($A37,'I | Capex forecast'!$A$11:$AA$160,V$8,0)</f>
        <v>0</v>
      </c>
      <c r="W37" s="226">
        <f>P37*VLOOKUP($A37,'I | Capex forecast'!$A$11:$AA$160,W$8,0)</f>
        <v>0</v>
      </c>
      <c r="X37" s="54">
        <f t="shared" si="13"/>
        <v>161841.10869753634</v>
      </c>
      <c r="Y37" s="53"/>
      <c r="Z37" s="52">
        <f>S37*(HLOOKUP(Z$10,'I | Inflation'!$E$57:$J$59,3,0)-1)</f>
        <v>2210.1657222877711</v>
      </c>
      <c r="AA37" s="52">
        <f>T37*(HLOOKUP(AA$10,'I | Inflation'!$E$57:$J$59,3,0)-1)</f>
        <v>0</v>
      </c>
      <c r="AB37" s="52">
        <f>U37*(HLOOKUP(AB$10,'I | Inflation'!$E$57:$J$59,3,0)-1)</f>
        <v>0</v>
      </c>
      <c r="AC37" s="52">
        <f>V37*(HLOOKUP(AC$10,'I | Inflation'!$E$57:$J$59,3,0)-1)</f>
        <v>0</v>
      </c>
      <c r="AD37" s="52">
        <f>W37*(HLOOKUP(AD$10,'I | Inflation'!$E$57:$J$59,3,0)-1)</f>
        <v>0</v>
      </c>
      <c r="AE37" s="54">
        <f t="shared" si="14"/>
        <v>2210.1657222877711</v>
      </c>
      <c r="AF37" s="53"/>
      <c r="AG37" s="226">
        <f t="shared" si="15"/>
        <v>164051.27441982413</v>
      </c>
      <c r="AH37" s="226">
        <f t="shared" si="16"/>
        <v>0</v>
      </c>
      <c r="AI37" s="226">
        <f t="shared" si="17"/>
        <v>0</v>
      </c>
      <c r="AJ37" s="226">
        <f t="shared" si="18"/>
        <v>0</v>
      </c>
      <c r="AK37" s="226">
        <f t="shared" si="19"/>
        <v>0</v>
      </c>
      <c r="AL37" s="54">
        <f t="shared" si="20"/>
        <v>164051.27441982413</v>
      </c>
      <c r="AM37" s="53"/>
      <c r="AN37" s="52"/>
      <c r="AO37" s="52"/>
      <c r="AP37" s="52"/>
      <c r="AQ37" s="52"/>
      <c r="AR37" s="52"/>
      <c r="AS37" s="54">
        <f t="shared" si="21"/>
        <v>0</v>
      </c>
      <c r="AT37" s="53"/>
      <c r="AU37" s="52"/>
      <c r="AV37" s="52"/>
      <c r="AW37" s="52"/>
      <c r="AX37" s="52"/>
      <c r="AY37" s="52"/>
      <c r="AZ37" s="54">
        <f t="shared" si="22"/>
        <v>0</v>
      </c>
      <c r="BA37" s="53"/>
      <c r="BB37" s="52"/>
      <c r="BC37" s="52"/>
      <c r="BD37" s="52"/>
      <c r="BE37" s="52"/>
      <c r="BF37" s="52"/>
      <c r="BG37" s="54">
        <f t="shared" si="23"/>
        <v>0</v>
      </c>
      <c r="BH37" s="53"/>
      <c r="BI37" s="52">
        <f>L37*VLOOKUP($A37,'I | Capex forecast'!$A$11:$AA$160,BI$8,0)</f>
        <v>37905.628478468905</v>
      </c>
      <c r="BJ37" s="52">
        <f>M37*VLOOKUP($A37,'I | Capex forecast'!$A$11:$AA$160,BJ$8,0)</f>
        <v>0</v>
      </c>
      <c r="BK37" s="52">
        <f>N37*VLOOKUP($A37,'I | Capex forecast'!$A$11:$AA$160,BK$8,0)</f>
        <v>0</v>
      </c>
      <c r="BL37" s="52">
        <f>O37*VLOOKUP($A37,'I | Capex forecast'!$A$11:$AA$160,BL$8,0)</f>
        <v>0</v>
      </c>
      <c r="BM37" s="52">
        <f>P37*VLOOKUP($A37,'I | Capex forecast'!$A$11:$AA$160,BM$8,0)</f>
        <v>0</v>
      </c>
      <c r="BN37" s="54">
        <f t="shared" si="24"/>
        <v>37905.628478468905</v>
      </c>
      <c r="BO37" s="53"/>
      <c r="BP37" s="52">
        <f t="shared" si="1"/>
        <v>461289.44396152237</v>
      </c>
      <c r="BQ37" s="52">
        <f t="shared" si="2"/>
        <v>0</v>
      </c>
      <c r="BR37" s="52">
        <f t="shared" si="3"/>
        <v>0</v>
      </c>
      <c r="BS37" s="52">
        <f t="shared" si="4"/>
        <v>0</v>
      </c>
      <c r="BT37" s="52">
        <f t="shared" si="5"/>
        <v>0</v>
      </c>
      <c r="BU37" s="54">
        <f t="shared" si="25"/>
        <v>461289.44396152237</v>
      </c>
      <c r="BW37" s="52">
        <f t="shared" si="6"/>
        <v>461289.44396152237</v>
      </c>
      <c r="BX37" s="52">
        <f t="shared" si="7"/>
        <v>0</v>
      </c>
      <c r="BY37" s="52">
        <f t="shared" si="8"/>
        <v>0</v>
      </c>
      <c r="BZ37" s="52">
        <f t="shared" si="9"/>
        <v>0</v>
      </c>
      <c r="CA37" s="52">
        <f t="shared" si="10"/>
        <v>0</v>
      </c>
      <c r="CB37" s="54">
        <f t="shared" si="26"/>
        <v>461289.44396152237</v>
      </c>
      <c r="CC37" s="53"/>
      <c r="CD37" s="52">
        <f t="shared" si="27"/>
        <v>0</v>
      </c>
      <c r="CE37" s="52">
        <f t="shared" si="28"/>
        <v>0</v>
      </c>
      <c r="CF37" s="52">
        <f t="shared" si="29"/>
        <v>0</v>
      </c>
      <c r="CG37" s="52">
        <f t="shared" si="30"/>
        <v>0</v>
      </c>
      <c r="CH37" s="52">
        <f t="shared" si="31"/>
        <v>0</v>
      </c>
      <c r="CI37" s="54">
        <f t="shared" si="32"/>
        <v>0</v>
      </c>
    </row>
    <row r="38" spans="1:87" s="4" customFormat="1" x14ac:dyDescent="0.3">
      <c r="A38" s="56">
        <v>28</v>
      </c>
      <c r="B38" s="48" t="str">
        <f>IF('I | Capex forecast'!B38="","",'I | Capex forecast'!B38)</f>
        <v>Scotia - GC &amp; Moisture Analyser</v>
      </c>
      <c r="C38" s="48" t="str">
        <f>IF('I | Capex forecast'!C38="","",'I | Capex forecast'!C38)</f>
        <v>Gas Instruments</v>
      </c>
      <c r="D38" s="48" t="str">
        <f>IF('I | Capex forecast'!D38="","",'I | Capex forecast'!D38)</f>
        <v>Gas specification metering</v>
      </c>
      <c r="E38" s="48" t="str">
        <f>IF('I | Capex forecast'!E38="","",'I | Capex forecast'!E38)</f>
        <v>Regulators and meters</v>
      </c>
      <c r="F38" s="48" t="str">
        <f>IF('I | Capex forecast'!F38="","",'I | Capex forecast'!F38)</f>
        <v>Replacement</v>
      </c>
      <c r="G38" s="48" t="str">
        <f>IF('I | Capex forecast'!G38="","",'I | Capex forecast'!G38)</f>
        <v>As incurred</v>
      </c>
      <c r="H38" s="48" t="str">
        <f>IF('I | Capex forecast'!H38="","",'I | Capex forecast'!H38)</f>
        <v>FY 26</v>
      </c>
      <c r="I38" s="48" t="str">
        <f>IF('I | Capex forecast'!I38="","",'I | Capex forecast'!I38)</f>
        <v>Mid-year</v>
      </c>
      <c r="J38" s="48" t="str">
        <f>IF('I | Capex forecast'!J38="","",'I | Capex forecast'!J38)</f>
        <v>No</v>
      </c>
      <c r="K38" s="50"/>
      <c r="L38" s="52">
        <f>IFERROR(VLOOKUP($A38,'I | Capex forecast'!$A$11:$AA$160,L$8,0)*INDEX('I | Inflation'!$F$46:$G$49,MATCH($I38,'I | Inflation'!$E$46:$E$49,0),MATCH($H38,'I | Inflation'!$F$45:$G$45,0)),0)</f>
        <v>0</v>
      </c>
      <c r="M38" s="52">
        <f>IFERROR(VLOOKUP($A38,'I | Capex forecast'!$A$11:$AA$160,M$8,0)*INDEX('I | Inflation'!$F$46:$G$49,MATCH($I38,'I | Inflation'!$E$46:$E$49,0),MATCH($H38,'I | Inflation'!$F$45:$G$45,0)),0)</f>
        <v>421173.64976076566</v>
      </c>
      <c r="N38" s="52">
        <f>IFERROR(VLOOKUP($A38,'I | Capex forecast'!$A$11:$AA$160,N$8,0)*INDEX('I | Inflation'!$F$46:$G$49,MATCH($I38,'I | Inflation'!$E$46:$E$49,0),MATCH($H38,'I | Inflation'!$F$45:$G$45,0)),0)</f>
        <v>0</v>
      </c>
      <c r="O38" s="52">
        <f>IFERROR(VLOOKUP($A38,'I | Capex forecast'!$A$11:$AA$160,O$8,0)*INDEX('I | Inflation'!$F$46:$G$49,MATCH($I38,'I | Inflation'!$E$46:$E$49,0),MATCH($H38,'I | Inflation'!$F$45:$G$45,0)),0)</f>
        <v>0</v>
      </c>
      <c r="P38" s="52">
        <f>IFERROR(VLOOKUP($A38,'I | Capex forecast'!$A$11:$AA$160,P$8,0)*INDEX('I | Inflation'!$F$46:$G$49,MATCH($I38,'I | Inflation'!$E$46:$E$49,0),MATCH($H38,'I | Inflation'!$F$45:$G$45,0)),0)</f>
        <v>0</v>
      </c>
      <c r="Q38" s="54">
        <f t="shared" si="33"/>
        <v>421173.64976076566</v>
      </c>
      <c r="R38" s="53"/>
      <c r="S38" s="226">
        <f>L38*VLOOKUP($A38,'I | Capex forecast'!$A$11:$AA$160,S$8,0)</f>
        <v>0</v>
      </c>
      <c r="T38" s="226">
        <f>M38*VLOOKUP($A38,'I | Capex forecast'!$A$11:$AA$160,T$8,0)</f>
        <v>161841.10869753634</v>
      </c>
      <c r="U38" s="226">
        <f>N38*VLOOKUP($A38,'I | Capex forecast'!$A$11:$AA$160,U$8,0)</f>
        <v>0</v>
      </c>
      <c r="V38" s="226">
        <f>O38*VLOOKUP($A38,'I | Capex forecast'!$A$11:$AA$160,V$8,0)</f>
        <v>0</v>
      </c>
      <c r="W38" s="226">
        <f>P38*VLOOKUP($A38,'I | Capex forecast'!$A$11:$AA$160,W$8,0)</f>
        <v>0</v>
      </c>
      <c r="X38" s="54">
        <f t="shared" si="13"/>
        <v>161841.10869753634</v>
      </c>
      <c r="Y38" s="53"/>
      <c r="Z38" s="52">
        <f>S38*(HLOOKUP(Z$10,'I | Inflation'!$E$57:$J$59,3,0)-1)</f>
        <v>0</v>
      </c>
      <c r="AA38" s="52">
        <f>T38*(HLOOKUP(AA$10,'I | Inflation'!$E$57:$J$59,3,0)-1)</f>
        <v>3051.5750270823332</v>
      </c>
      <c r="AB38" s="52">
        <f>U38*(HLOOKUP(AB$10,'I | Inflation'!$E$57:$J$59,3,0)-1)</f>
        <v>0</v>
      </c>
      <c r="AC38" s="52">
        <f>V38*(HLOOKUP(AC$10,'I | Inflation'!$E$57:$J$59,3,0)-1)</f>
        <v>0</v>
      </c>
      <c r="AD38" s="52">
        <f>W38*(HLOOKUP(AD$10,'I | Inflation'!$E$57:$J$59,3,0)-1)</f>
        <v>0</v>
      </c>
      <c r="AE38" s="54">
        <f t="shared" si="14"/>
        <v>3051.5750270823332</v>
      </c>
      <c r="AF38" s="53"/>
      <c r="AG38" s="226">
        <f t="shared" si="15"/>
        <v>0</v>
      </c>
      <c r="AH38" s="226">
        <f t="shared" si="16"/>
        <v>164892.68372461866</v>
      </c>
      <c r="AI38" s="226">
        <f t="shared" si="17"/>
        <v>0</v>
      </c>
      <c r="AJ38" s="226">
        <f t="shared" si="18"/>
        <v>0</v>
      </c>
      <c r="AK38" s="226">
        <f t="shared" si="19"/>
        <v>0</v>
      </c>
      <c r="AL38" s="54">
        <f t="shared" si="20"/>
        <v>164892.68372461866</v>
      </c>
      <c r="AM38" s="53"/>
      <c r="AN38" s="52"/>
      <c r="AO38" s="52"/>
      <c r="AP38" s="52"/>
      <c r="AQ38" s="52"/>
      <c r="AR38" s="52"/>
      <c r="AS38" s="54">
        <f t="shared" si="21"/>
        <v>0</v>
      </c>
      <c r="AT38" s="53"/>
      <c r="AU38" s="52"/>
      <c r="AV38" s="52"/>
      <c r="AW38" s="52"/>
      <c r="AX38" s="52"/>
      <c r="AY38" s="52"/>
      <c r="AZ38" s="54">
        <f t="shared" si="22"/>
        <v>0</v>
      </c>
      <c r="BA38" s="53"/>
      <c r="BB38" s="52"/>
      <c r="BC38" s="52"/>
      <c r="BD38" s="52"/>
      <c r="BE38" s="52"/>
      <c r="BF38" s="52"/>
      <c r="BG38" s="54">
        <f t="shared" si="23"/>
        <v>0</v>
      </c>
      <c r="BH38" s="53"/>
      <c r="BI38" s="52">
        <f>L38*VLOOKUP($A38,'I | Capex forecast'!$A$11:$AA$160,BI$8,0)</f>
        <v>0</v>
      </c>
      <c r="BJ38" s="52">
        <f>M38*VLOOKUP($A38,'I | Capex forecast'!$A$11:$AA$160,BJ$8,0)</f>
        <v>37905.628478468905</v>
      </c>
      <c r="BK38" s="52">
        <f>N38*VLOOKUP($A38,'I | Capex forecast'!$A$11:$AA$160,BK$8,0)</f>
        <v>0</v>
      </c>
      <c r="BL38" s="52">
        <f>O38*VLOOKUP($A38,'I | Capex forecast'!$A$11:$AA$160,BL$8,0)</f>
        <v>0</v>
      </c>
      <c r="BM38" s="52">
        <f>P38*VLOOKUP($A38,'I | Capex forecast'!$A$11:$AA$160,BM$8,0)</f>
        <v>0</v>
      </c>
      <c r="BN38" s="54">
        <f t="shared" si="24"/>
        <v>37905.628478468905</v>
      </c>
      <c r="BO38" s="53"/>
      <c r="BP38" s="52">
        <f t="shared" si="1"/>
        <v>0</v>
      </c>
      <c r="BQ38" s="52">
        <f t="shared" si="2"/>
        <v>462130.85326631693</v>
      </c>
      <c r="BR38" s="52">
        <f t="shared" si="3"/>
        <v>0</v>
      </c>
      <c r="BS38" s="52">
        <f t="shared" si="4"/>
        <v>0</v>
      </c>
      <c r="BT38" s="52">
        <f t="shared" si="5"/>
        <v>0</v>
      </c>
      <c r="BU38" s="54">
        <f t="shared" si="25"/>
        <v>462130.85326631693</v>
      </c>
      <c r="BW38" s="52">
        <f t="shared" si="6"/>
        <v>0</v>
      </c>
      <c r="BX38" s="52">
        <f t="shared" si="7"/>
        <v>462130.85326631693</v>
      </c>
      <c r="BY38" s="52">
        <f t="shared" si="8"/>
        <v>0</v>
      </c>
      <c r="BZ38" s="52">
        <f t="shared" si="9"/>
        <v>0</v>
      </c>
      <c r="CA38" s="52">
        <f t="shared" si="10"/>
        <v>0</v>
      </c>
      <c r="CB38" s="54">
        <f t="shared" si="26"/>
        <v>462130.85326631693</v>
      </c>
      <c r="CC38" s="53"/>
      <c r="CD38" s="52">
        <f t="shared" si="27"/>
        <v>0</v>
      </c>
      <c r="CE38" s="52">
        <f t="shared" si="28"/>
        <v>0</v>
      </c>
      <c r="CF38" s="52">
        <f t="shared" si="29"/>
        <v>0</v>
      </c>
      <c r="CG38" s="52">
        <f t="shared" si="30"/>
        <v>0</v>
      </c>
      <c r="CH38" s="52">
        <f t="shared" si="31"/>
        <v>0</v>
      </c>
      <c r="CI38" s="54">
        <f t="shared" si="32"/>
        <v>0</v>
      </c>
    </row>
    <row r="39" spans="1:87" s="4" customFormat="1" x14ac:dyDescent="0.3">
      <c r="A39" s="56">
        <v>29</v>
      </c>
      <c r="B39" s="48" t="str">
        <f>IF('I | Capex forecast'!B39="","",'I | Capex forecast'!B39)</f>
        <v>Ellengrove GC Upgrade</v>
      </c>
      <c r="C39" s="48" t="str">
        <f>IF('I | Capex forecast'!C39="","",'I | Capex forecast'!C39)</f>
        <v>Gas Instruments</v>
      </c>
      <c r="D39" s="48" t="str">
        <f>IF('I | Capex forecast'!D39="","",'I | Capex forecast'!D39)</f>
        <v>Gas specification metering</v>
      </c>
      <c r="E39" s="48" t="str">
        <f>IF('I | Capex forecast'!E39="","",'I | Capex forecast'!E39)</f>
        <v>Regulators and meters</v>
      </c>
      <c r="F39" s="48" t="str">
        <f>IF('I | Capex forecast'!F39="","",'I | Capex forecast'!F39)</f>
        <v>Replacement</v>
      </c>
      <c r="G39" s="48" t="str">
        <f>IF('I | Capex forecast'!G39="","",'I | Capex forecast'!G39)</f>
        <v>As incurred</v>
      </c>
      <c r="H39" s="48" t="str">
        <f>IF('I | Capex forecast'!H39="","",'I | Capex forecast'!H39)</f>
        <v>FY 26</v>
      </c>
      <c r="I39" s="48" t="str">
        <f>IF('I | Capex forecast'!I39="","",'I | Capex forecast'!I39)</f>
        <v>Mid-year</v>
      </c>
      <c r="J39" s="48" t="str">
        <f>IF('I | Capex forecast'!J39="","",'I | Capex forecast'!J39)</f>
        <v>No</v>
      </c>
      <c r="K39" s="50"/>
      <c r="L39" s="52">
        <f>IFERROR(VLOOKUP($A39,'I | Capex forecast'!$A$11:$AA$160,L$8,0)*INDEX('I | Inflation'!$F$46:$G$49,MATCH($I39,'I | Inflation'!$E$46:$E$49,0),MATCH($H39,'I | Inflation'!$F$45:$G$45,0)),0)</f>
        <v>0</v>
      </c>
      <c r="M39" s="52">
        <f>IFERROR(VLOOKUP($A39,'I | Capex forecast'!$A$11:$AA$160,M$8,0)*INDEX('I | Inflation'!$F$46:$G$49,MATCH($I39,'I | Inflation'!$E$46:$E$49,0),MATCH($H39,'I | Inflation'!$F$45:$G$45,0)),0)</f>
        <v>0</v>
      </c>
      <c r="N39" s="52">
        <f>IFERROR(VLOOKUP($A39,'I | Capex forecast'!$A$11:$AA$160,N$8,0)*INDEX('I | Inflation'!$F$46:$G$49,MATCH($I39,'I | Inflation'!$E$46:$E$49,0),MATCH($H39,'I | Inflation'!$F$45:$G$45,0)),0)</f>
        <v>263233.53110047855</v>
      </c>
      <c r="O39" s="52">
        <f>IFERROR(VLOOKUP($A39,'I | Capex forecast'!$A$11:$AA$160,O$8,0)*INDEX('I | Inflation'!$F$46:$G$49,MATCH($I39,'I | Inflation'!$E$46:$E$49,0),MATCH($H39,'I | Inflation'!$F$45:$G$45,0)),0)</f>
        <v>0</v>
      </c>
      <c r="P39" s="52">
        <f>IFERROR(VLOOKUP($A39,'I | Capex forecast'!$A$11:$AA$160,P$8,0)*INDEX('I | Inflation'!$F$46:$G$49,MATCH($I39,'I | Inflation'!$E$46:$E$49,0),MATCH($H39,'I | Inflation'!$F$45:$G$45,0)),0)</f>
        <v>0</v>
      </c>
      <c r="Q39" s="54">
        <f t="shared" si="33"/>
        <v>263233.53110047855</v>
      </c>
      <c r="R39" s="53"/>
      <c r="S39" s="226">
        <f>L39*VLOOKUP($A39,'I | Capex forecast'!$A$11:$AA$160,S$8,0)</f>
        <v>0</v>
      </c>
      <c r="T39" s="226">
        <f>M39*VLOOKUP($A39,'I | Capex forecast'!$A$11:$AA$160,T$8,0)</f>
        <v>0</v>
      </c>
      <c r="U39" s="226">
        <f>N39*VLOOKUP($A39,'I | Capex forecast'!$A$11:$AA$160,U$8,0)</f>
        <v>101150.69293596022</v>
      </c>
      <c r="V39" s="226">
        <f>O39*VLOOKUP($A39,'I | Capex forecast'!$A$11:$AA$160,V$8,0)</f>
        <v>0</v>
      </c>
      <c r="W39" s="226">
        <f>P39*VLOOKUP($A39,'I | Capex forecast'!$A$11:$AA$160,W$8,0)</f>
        <v>0</v>
      </c>
      <c r="X39" s="54">
        <f t="shared" si="13"/>
        <v>101150.69293596022</v>
      </c>
      <c r="Y39" s="53"/>
      <c r="Z39" s="52">
        <f>S39*(HLOOKUP(Z$10,'I | Inflation'!$E$57:$J$59,3,0)-1)</f>
        <v>0</v>
      </c>
      <c r="AA39" s="52">
        <f>T39*(HLOOKUP(AA$10,'I | Inflation'!$E$57:$J$59,3,0)-1)</f>
        <v>0</v>
      </c>
      <c r="AB39" s="52">
        <f>U39*(HLOOKUP(AB$10,'I | Inflation'!$E$57:$J$59,3,0)-1)</f>
        <v>2783.7410248664169</v>
      </c>
      <c r="AC39" s="52">
        <f>V39*(HLOOKUP(AC$10,'I | Inflation'!$E$57:$J$59,3,0)-1)</f>
        <v>0</v>
      </c>
      <c r="AD39" s="52">
        <f>W39*(HLOOKUP(AD$10,'I | Inflation'!$E$57:$J$59,3,0)-1)</f>
        <v>0</v>
      </c>
      <c r="AE39" s="54">
        <f t="shared" si="14"/>
        <v>2783.7410248664169</v>
      </c>
      <c r="AF39" s="53"/>
      <c r="AG39" s="226">
        <f t="shared" si="15"/>
        <v>0</v>
      </c>
      <c r="AH39" s="226">
        <f t="shared" si="16"/>
        <v>0</v>
      </c>
      <c r="AI39" s="226">
        <f t="shared" si="17"/>
        <v>103934.43396082665</v>
      </c>
      <c r="AJ39" s="226">
        <f t="shared" si="18"/>
        <v>0</v>
      </c>
      <c r="AK39" s="226">
        <f t="shared" si="19"/>
        <v>0</v>
      </c>
      <c r="AL39" s="54">
        <f t="shared" si="20"/>
        <v>103934.43396082665</v>
      </c>
      <c r="AM39" s="53"/>
      <c r="AN39" s="52"/>
      <c r="AO39" s="52"/>
      <c r="AP39" s="52"/>
      <c r="AQ39" s="52"/>
      <c r="AR39" s="52"/>
      <c r="AS39" s="54">
        <f t="shared" si="21"/>
        <v>0</v>
      </c>
      <c r="AT39" s="53"/>
      <c r="AU39" s="52"/>
      <c r="AV39" s="52"/>
      <c r="AW39" s="52"/>
      <c r="AX39" s="52"/>
      <c r="AY39" s="52"/>
      <c r="AZ39" s="54">
        <f t="shared" si="22"/>
        <v>0</v>
      </c>
      <c r="BA39" s="53"/>
      <c r="BB39" s="52"/>
      <c r="BC39" s="52"/>
      <c r="BD39" s="52"/>
      <c r="BE39" s="52"/>
      <c r="BF39" s="52"/>
      <c r="BG39" s="54">
        <f t="shared" si="23"/>
        <v>0</v>
      </c>
      <c r="BH39" s="53"/>
      <c r="BI39" s="52">
        <f>L39*VLOOKUP($A39,'I | Capex forecast'!$A$11:$AA$160,BI$8,0)</f>
        <v>0</v>
      </c>
      <c r="BJ39" s="52">
        <f>M39*VLOOKUP($A39,'I | Capex forecast'!$A$11:$AA$160,BJ$8,0)</f>
        <v>0</v>
      </c>
      <c r="BK39" s="52">
        <f>N39*VLOOKUP($A39,'I | Capex forecast'!$A$11:$AA$160,BK$8,0)</f>
        <v>23691.017799043067</v>
      </c>
      <c r="BL39" s="52">
        <f>O39*VLOOKUP($A39,'I | Capex forecast'!$A$11:$AA$160,BL$8,0)</f>
        <v>0</v>
      </c>
      <c r="BM39" s="52">
        <f>P39*VLOOKUP($A39,'I | Capex forecast'!$A$11:$AA$160,BM$8,0)</f>
        <v>0</v>
      </c>
      <c r="BN39" s="54">
        <f t="shared" si="24"/>
        <v>23691.017799043067</v>
      </c>
      <c r="BO39" s="53"/>
      <c r="BP39" s="52">
        <f t="shared" si="1"/>
        <v>0</v>
      </c>
      <c r="BQ39" s="52">
        <f t="shared" si="2"/>
        <v>0</v>
      </c>
      <c r="BR39" s="52">
        <f t="shared" si="3"/>
        <v>289708.28992438805</v>
      </c>
      <c r="BS39" s="52">
        <f t="shared" si="4"/>
        <v>0</v>
      </c>
      <c r="BT39" s="52">
        <f t="shared" si="5"/>
        <v>0</v>
      </c>
      <c r="BU39" s="54">
        <f t="shared" si="25"/>
        <v>289708.28992438805</v>
      </c>
      <c r="BW39" s="52">
        <f t="shared" si="6"/>
        <v>0</v>
      </c>
      <c r="BX39" s="52">
        <f t="shared" si="7"/>
        <v>0</v>
      </c>
      <c r="BY39" s="52">
        <f t="shared" si="8"/>
        <v>289708.28992438805</v>
      </c>
      <c r="BZ39" s="52">
        <f t="shared" si="9"/>
        <v>0</v>
      </c>
      <c r="CA39" s="52">
        <f t="shared" si="10"/>
        <v>0</v>
      </c>
      <c r="CB39" s="54">
        <f t="shared" si="26"/>
        <v>289708.28992438805</v>
      </c>
      <c r="CC39" s="53"/>
      <c r="CD39" s="52">
        <f t="shared" si="27"/>
        <v>0</v>
      </c>
      <c r="CE39" s="52">
        <f t="shared" si="28"/>
        <v>0</v>
      </c>
      <c r="CF39" s="52">
        <f t="shared" si="29"/>
        <v>0</v>
      </c>
      <c r="CG39" s="52">
        <f t="shared" si="30"/>
        <v>0</v>
      </c>
      <c r="CH39" s="52">
        <f t="shared" si="31"/>
        <v>0</v>
      </c>
      <c r="CI39" s="54">
        <f t="shared" si="32"/>
        <v>0</v>
      </c>
    </row>
    <row r="40" spans="1:87" s="4" customFormat="1" x14ac:dyDescent="0.3">
      <c r="A40" s="56">
        <v>30</v>
      </c>
      <c r="B40" s="48" t="str">
        <f>IF('I | Capex forecast'!B40="","",'I | Capex forecast'!B40)</f>
        <v>Brightview GC Upgrade</v>
      </c>
      <c r="C40" s="48" t="str">
        <f>IF('I | Capex forecast'!C40="","",'I | Capex forecast'!C40)</f>
        <v>Gas Instruments</v>
      </c>
      <c r="D40" s="48" t="str">
        <f>IF('I | Capex forecast'!D40="","",'I | Capex forecast'!D40)</f>
        <v>Gas specification metering</v>
      </c>
      <c r="E40" s="48" t="str">
        <f>IF('I | Capex forecast'!E40="","",'I | Capex forecast'!E40)</f>
        <v>Regulators and meters</v>
      </c>
      <c r="F40" s="48" t="str">
        <f>IF('I | Capex forecast'!F40="","",'I | Capex forecast'!F40)</f>
        <v>Replacement</v>
      </c>
      <c r="G40" s="48" t="str">
        <f>IF('I | Capex forecast'!G40="","",'I | Capex forecast'!G40)</f>
        <v>As incurred</v>
      </c>
      <c r="H40" s="48" t="str">
        <f>IF('I | Capex forecast'!H40="","",'I | Capex forecast'!H40)</f>
        <v>FY 26</v>
      </c>
      <c r="I40" s="48" t="str">
        <f>IF('I | Capex forecast'!I40="","",'I | Capex forecast'!I40)</f>
        <v>Mid-year</v>
      </c>
      <c r="J40" s="48" t="str">
        <f>IF('I | Capex forecast'!J40="","",'I | Capex forecast'!J40)</f>
        <v>No</v>
      </c>
      <c r="K40" s="50"/>
      <c r="L40" s="52">
        <f>IFERROR(VLOOKUP($A40,'I | Capex forecast'!$A$11:$AA$160,L$8,0)*INDEX('I | Inflation'!$F$46:$G$49,MATCH($I40,'I | Inflation'!$E$46:$E$49,0),MATCH($H40,'I | Inflation'!$F$45:$G$45,0)),0)</f>
        <v>0</v>
      </c>
      <c r="M40" s="52">
        <f>IFERROR(VLOOKUP($A40,'I | Capex forecast'!$A$11:$AA$160,M$8,0)*INDEX('I | Inflation'!$F$46:$G$49,MATCH($I40,'I | Inflation'!$E$46:$E$49,0),MATCH($H40,'I | Inflation'!$F$45:$G$45,0)),0)</f>
        <v>0</v>
      </c>
      <c r="N40" s="52">
        <f>IFERROR(VLOOKUP($A40,'I | Capex forecast'!$A$11:$AA$160,N$8,0)*INDEX('I | Inflation'!$F$46:$G$49,MATCH($I40,'I | Inflation'!$E$46:$E$49,0),MATCH($H40,'I | Inflation'!$F$45:$G$45,0)),0)</f>
        <v>0</v>
      </c>
      <c r="O40" s="52">
        <f>IFERROR(VLOOKUP($A40,'I | Capex forecast'!$A$11:$AA$160,O$8,0)*INDEX('I | Inflation'!$F$46:$G$49,MATCH($I40,'I | Inflation'!$E$46:$E$49,0),MATCH($H40,'I | Inflation'!$F$45:$G$45,0)),0)</f>
        <v>210586.82488038283</v>
      </c>
      <c r="P40" s="52">
        <f>IFERROR(VLOOKUP($A40,'I | Capex forecast'!$A$11:$AA$160,P$8,0)*INDEX('I | Inflation'!$F$46:$G$49,MATCH($I40,'I | Inflation'!$E$46:$E$49,0),MATCH($H40,'I | Inflation'!$F$45:$G$45,0)),0)</f>
        <v>0</v>
      </c>
      <c r="Q40" s="54">
        <f t="shared" si="33"/>
        <v>210586.82488038283</v>
      </c>
      <c r="R40" s="53"/>
      <c r="S40" s="226">
        <f>L40*VLOOKUP($A40,'I | Capex forecast'!$A$11:$AA$160,S$8,0)</f>
        <v>0</v>
      </c>
      <c r="T40" s="226">
        <f>M40*VLOOKUP($A40,'I | Capex forecast'!$A$11:$AA$160,T$8,0)</f>
        <v>0</v>
      </c>
      <c r="U40" s="226">
        <f>N40*VLOOKUP($A40,'I | Capex forecast'!$A$11:$AA$160,U$8,0)</f>
        <v>0</v>
      </c>
      <c r="V40" s="226">
        <f>O40*VLOOKUP($A40,'I | Capex forecast'!$A$11:$AA$160,V$8,0)</f>
        <v>80920.554348768172</v>
      </c>
      <c r="W40" s="226">
        <f>P40*VLOOKUP($A40,'I | Capex forecast'!$A$11:$AA$160,W$8,0)</f>
        <v>0</v>
      </c>
      <c r="X40" s="54">
        <f t="shared" si="13"/>
        <v>80920.554348768172</v>
      </c>
      <c r="Y40" s="53"/>
      <c r="Z40" s="52">
        <f>S40*(HLOOKUP(Z$10,'I | Inflation'!$E$57:$J$59,3,0)-1)</f>
        <v>0</v>
      </c>
      <c r="AA40" s="52">
        <f>T40*(HLOOKUP(AA$10,'I | Inflation'!$E$57:$J$59,3,0)-1)</f>
        <v>0</v>
      </c>
      <c r="AB40" s="52">
        <f>U40*(HLOOKUP(AB$10,'I | Inflation'!$E$57:$J$59,3,0)-1)</f>
        <v>0</v>
      </c>
      <c r="AC40" s="52">
        <f>V40*(HLOOKUP(AC$10,'I | Inflation'!$E$57:$J$59,3,0)-1)</f>
        <v>3174.5674922474668</v>
      </c>
      <c r="AD40" s="52">
        <f>W40*(HLOOKUP(AD$10,'I | Inflation'!$E$57:$J$59,3,0)-1)</f>
        <v>0</v>
      </c>
      <c r="AE40" s="54">
        <f t="shared" si="14"/>
        <v>3174.5674922474668</v>
      </c>
      <c r="AF40" s="53"/>
      <c r="AG40" s="226">
        <f t="shared" si="15"/>
        <v>0</v>
      </c>
      <c r="AH40" s="226">
        <f t="shared" si="16"/>
        <v>0</v>
      </c>
      <c r="AI40" s="226">
        <f t="shared" si="17"/>
        <v>0</v>
      </c>
      <c r="AJ40" s="226">
        <f t="shared" si="18"/>
        <v>84095.121841015643</v>
      </c>
      <c r="AK40" s="226">
        <f t="shared" si="19"/>
        <v>0</v>
      </c>
      <c r="AL40" s="54">
        <f t="shared" si="20"/>
        <v>84095.121841015643</v>
      </c>
      <c r="AM40" s="53"/>
      <c r="AN40" s="52"/>
      <c r="AO40" s="52"/>
      <c r="AP40" s="52"/>
      <c r="AQ40" s="52"/>
      <c r="AR40" s="52"/>
      <c r="AS40" s="54">
        <f t="shared" si="21"/>
        <v>0</v>
      </c>
      <c r="AT40" s="53"/>
      <c r="AU40" s="52"/>
      <c r="AV40" s="52"/>
      <c r="AW40" s="52"/>
      <c r="AX40" s="52"/>
      <c r="AY40" s="52"/>
      <c r="AZ40" s="54">
        <f t="shared" si="22"/>
        <v>0</v>
      </c>
      <c r="BA40" s="53"/>
      <c r="BB40" s="52"/>
      <c r="BC40" s="52"/>
      <c r="BD40" s="52"/>
      <c r="BE40" s="52"/>
      <c r="BF40" s="52"/>
      <c r="BG40" s="54">
        <f t="shared" si="23"/>
        <v>0</v>
      </c>
      <c r="BH40" s="53"/>
      <c r="BI40" s="52">
        <f>L40*VLOOKUP($A40,'I | Capex forecast'!$A$11:$AA$160,BI$8,0)</f>
        <v>0</v>
      </c>
      <c r="BJ40" s="52">
        <f>M40*VLOOKUP($A40,'I | Capex forecast'!$A$11:$AA$160,BJ$8,0)</f>
        <v>0</v>
      </c>
      <c r="BK40" s="52">
        <f>N40*VLOOKUP($A40,'I | Capex forecast'!$A$11:$AA$160,BK$8,0)</f>
        <v>0</v>
      </c>
      <c r="BL40" s="52">
        <f>O40*VLOOKUP($A40,'I | Capex forecast'!$A$11:$AA$160,BL$8,0)</f>
        <v>18952.814239234453</v>
      </c>
      <c r="BM40" s="52">
        <f>P40*VLOOKUP($A40,'I | Capex forecast'!$A$11:$AA$160,BM$8,0)</f>
        <v>0</v>
      </c>
      <c r="BN40" s="54">
        <f t="shared" si="24"/>
        <v>18952.814239234453</v>
      </c>
      <c r="BO40" s="53"/>
      <c r="BP40" s="52">
        <f t="shared" si="1"/>
        <v>0</v>
      </c>
      <c r="BQ40" s="52">
        <f t="shared" si="2"/>
        <v>0</v>
      </c>
      <c r="BR40" s="52">
        <f t="shared" si="3"/>
        <v>0</v>
      </c>
      <c r="BS40" s="52">
        <f t="shared" si="4"/>
        <v>232714.20661186476</v>
      </c>
      <c r="BT40" s="52">
        <f t="shared" si="5"/>
        <v>0</v>
      </c>
      <c r="BU40" s="54">
        <f t="shared" si="25"/>
        <v>232714.20661186476</v>
      </c>
      <c r="BW40" s="52">
        <f t="shared" si="6"/>
        <v>0</v>
      </c>
      <c r="BX40" s="52">
        <f t="shared" si="7"/>
        <v>0</v>
      </c>
      <c r="BY40" s="52">
        <f t="shared" si="8"/>
        <v>0</v>
      </c>
      <c r="BZ40" s="52">
        <f t="shared" si="9"/>
        <v>232714.20661186476</v>
      </c>
      <c r="CA40" s="52">
        <f t="shared" si="10"/>
        <v>0</v>
      </c>
      <c r="CB40" s="54">
        <f t="shared" si="26"/>
        <v>232714.20661186476</v>
      </c>
      <c r="CC40" s="53"/>
      <c r="CD40" s="52">
        <f t="shared" si="27"/>
        <v>0</v>
      </c>
      <c r="CE40" s="52">
        <f t="shared" si="28"/>
        <v>0</v>
      </c>
      <c r="CF40" s="52">
        <f t="shared" si="29"/>
        <v>0</v>
      </c>
      <c r="CG40" s="52">
        <f t="shared" si="30"/>
        <v>0</v>
      </c>
      <c r="CH40" s="52">
        <f t="shared" si="31"/>
        <v>0</v>
      </c>
      <c r="CI40" s="54">
        <f t="shared" si="32"/>
        <v>0</v>
      </c>
    </row>
    <row r="41" spans="1:87" s="4" customFormat="1" x14ac:dyDescent="0.3">
      <c r="A41" s="56">
        <v>31</v>
      </c>
      <c r="B41" s="48" t="str">
        <f>IF('I | Capex forecast'!B41="","",'I | Capex forecast'!B41)</f>
        <v>Redbank Plains - Turbine Meter Upgrade</v>
      </c>
      <c r="C41" s="48" t="str">
        <f>IF('I | Capex forecast'!C41="","",'I | Capex forecast'!C41)</f>
        <v>Gas Instruments</v>
      </c>
      <c r="D41" s="48" t="str">
        <f>IF('I | Capex forecast'!D41="","",'I | Capex forecast'!D41)</f>
        <v>Turbine meter upgrade</v>
      </c>
      <c r="E41" s="48" t="str">
        <f>IF('I | Capex forecast'!E41="","",'I | Capex forecast'!E41)</f>
        <v>Regulators and meters</v>
      </c>
      <c r="F41" s="48" t="str">
        <f>IF('I | Capex forecast'!F41="","",'I | Capex forecast'!F41)</f>
        <v>Replacement</v>
      </c>
      <c r="G41" s="48" t="str">
        <f>IF('I | Capex forecast'!G41="","",'I | Capex forecast'!G41)</f>
        <v>As incurred</v>
      </c>
      <c r="H41" s="48" t="str">
        <f>IF('I | Capex forecast'!H41="","",'I | Capex forecast'!H41)</f>
        <v>FY 26</v>
      </c>
      <c r="I41" s="48" t="str">
        <f>IF('I | Capex forecast'!I41="","",'I | Capex forecast'!I41)</f>
        <v>Mid-year</v>
      </c>
      <c r="J41" s="48" t="str">
        <f>IF('I | Capex forecast'!J41="","",'I | Capex forecast'!J41)</f>
        <v>No</v>
      </c>
      <c r="K41" s="50"/>
      <c r="L41" s="52">
        <f>IFERROR(VLOOKUP($A41,'I | Capex forecast'!$A$11:$AA$160,L$8,0)*INDEX('I | Inflation'!$F$46:$G$49,MATCH($I41,'I | Inflation'!$E$46:$E$49,0),MATCH($H41,'I | Inflation'!$F$45:$G$45,0)),0)</f>
        <v>0</v>
      </c>
      <c r="M41" s="52">
        <f>IFERROR(VLOOKUP($A41,'I | Capex forecast'!$A$11:$AA$160,M$8,0)*INDEX('I | Inflation'!$F$46:$G$49,MATCH($I41,'I | Inflation'!$E$46:$E$49,0),MATCH($H41,'I | Inflation'!$F$45:$G$45,0)),0)</f>
        <v>0</v>
      </c>
      <c r="N41" s="52">
        <f>IFERROR(VLOOKUP($A41,'I | Capex forecast'!$A$11:$AA$160,N$8,0)*INDEX('I | Inflation'!$F$46:$G$49,MATCH($I41,'I | Inflation'!$E$46:$E$49,0),MATCH($H41,'I | Inflation'!$F$45:$G$45,0)),0)</f>
        <v>0</v>
      </c>
      <c r="O41" s="52">
        <f>IFERROR(VLOOKUP($A41,'I | Capex forecast'!$A$11:$AA$160,O$8,0)*INDEX('I | Inflation'!$F$46:$G$49,MATCH($I41,'I | Inflation'!$E$46:$E$49,0),MATCH($H41,'I | Inflation'!$F$45:$G$45,0)),0)</f>
        <v>0</v>
      </c>
      <c r="P41" s="52">
        <f>IFERROR(VLOOKUP($A41,'I | Capex forecast'!$A$11:$AA$160,P$8,0)*INDEX('I | Inflation'!$F$46:$G$49,MATCH($I41,'I | Inflation'!$E$46:$E$49,0),MATCH($H41,'I | Inflation'!$F$45:$G$45,0)),0)</f>
        <v>147410.77741626799</v>
      </c>
      <c r="Q41" s="54">
        <f t="shared" si="33"/>
        <v>147410.77741626799</v>
      </c>
      <c r="R41" s="53"/>
      <c r="S41" s="226">
        <f>L41*VLOOKUP($A41,'I | Capex forecast'!$A$11:$AA$160,S$8,0)</f>
        <v>0</v>
      </c>
      <c r="T41" s="226">
        <f>M41*VLOOKUP($A41,'I | Capex forecast'!$A$11:$AA$160,T$8,0)</f>
        <v>0</v>
      </c>
      <c r="U41" s="226">
        <f>N41*VLOOKUP($A41,'I | Capex forecast'!$A$11:$AA$160,U$8,0)</f>
        <v>0</v>
      </c>
      <c r="V41" s="226">
        <f>O41*VLOOKUP($A41,'I | Capex forecast'!$A$11:$AA$160,V$8,0)</f>
        <v>0</v>
      </c>
      <c r="W41" s="226">
        <f>P41*VLOOKUP($A41,'I | Capex forecast'!$A$11:$AA$160,W$8,0)</f>
        <v>56644.388044137726</v>
      </c>
      <c r="X41" s="54">
        <f t="shared" si="13"/>
        <v>56644.388044137726</v>
      </c>
      <c r="Y41" s="53"/>
      <c r="Z41" s="52">
        <f>S41*(HLOOKUP(Z$10,'I | Inflation'!$E$57:$J$59,3,0)-1)</f>
        <v>0</v>
      </c>
      <c r="AA41" s="52">
        <f>T41*(HLOOKUP(AA$10,'I | Inflation'!$E$57:$J$59,3,0)-1)</f>
        <v>0</v>
      </c>
      <c r="AB41" s="52">
        <f>U41*(HLOOKUP(AB$10,'I | Inflation'!$E$57:$J$59,3,0)-1)</f>
        <v>0</v>
      </c>
      <c r="AC41" s="52">
        <f>V41*(HLOOKUP(AC$10,'I | Inflation'!$E$57:$J$59,3,0)-1)</f>
        <v>0</v>
      </c>
      <c r="AD41" s="52">
        <f>W41*(HLOOKUP(AD$10,'I | Inflation'!$E$57:$J$59,3,0)-1)</f>
        <v>2624.3058822322096</v>
      </c>
      <c r="AE41" s="54">
        <f t="shared" si="14"/>
        <v>2624.3058822322096</v>
      </c>
      <c r="AF41" s="53"/>
      <c r="AG41" s="226">
        <f t="shared" si="15"/>
        <v>0</v>
      </c>
      <c r="AH41" s="226">
        <f t="shared" si="16"/>
        <v>0</v>
      </c>
      <c r="AI41" s="226">
        <f t="shared" si="17"/>
        <v>0</v>
      </c>
      <c r="AJ41" s="226">
        <f t="shared" si="18"/>
        <v>0</v>
      </c>
      <c r="AK41" s="226">
        <f t="shared" si="19"/>
        <v>59268.693926369939</v>
      </c>
      <c r="AL41" s="54">
        <f t="shared" si="20"/>
        <v>59268.693926369939</v>
      </c>
      <c r="AM41" s="53"/>
      <c r="AN41" s="52"/>
      <c r="AO41" s="52"/>
      <c r="AP41" s="52"/>
      <c r="AQ41" s="52"/>
      <c r="AR41" s="52"/>
      <c r="AS41" s="54">
        <f t="shared" si="21"/>
        <v>0</v>
      </c>
      <c r="AT41" s="53"/>
      <c r="AU41" s="52"/>
      <c r="AV41" s="52"/>
      <c r="AW41" s="52"/>
      <c r="AX41" s="52"/>
      <c r="AY41" s="52"/>
      <c r="AZ41" s="54">
        <f t="shared" si="22"/>
        <v>0</v>
      </c>
      <c r="BA41" s="53"/>
      <c r="BB41" s="52"/>
      <c r="BC41" s="52"/>
      <c r="BD41" s="52"/>
      <c r="BE41" s="52"/>
      <c r="BF41" s="52"/>
      <c r="BG41" s="54">
        <f t="shared" si="23"/>
        <v>0</v>
      </c>
      <c r="BH41" s="53"/>
      <c r="BI41" s="52">
        <f>L41*VLOOKUP($A41,'I | Capex forecast'!$A$11:$AA$160,BI$8,0)</f>
        <v>0</v>
      </c>
      <c r="BJ41" s="52">
        <f>M41*VLOOKUP($A41,'I | Capex forecast'!$A$11:$AA$160,BJ$8,0)</f>
        <v>0</v>
      </c>
      <c r="BK41" s="52">
        <f>N41*VLOOKUP($A41,'I | Capex forecast'!$A$11:$AA$160,BK$8,0)</f>
        <v>0</v>
      </c>
      <c r="BL41" s="52">
        <f>O41*VLOOKUP($A41,'I | Capex forecast'!$A$11:$AA$160,BL$8,0)</f>
        <v>0</v>
      </c>
      <c r="BM41" s="52">
        <f>P41*VLOOKUP($A41,'I | Capex forecast'!$A$11:$AA$160,BM$8,0)</f>
        <v>13266.969967464118</v>
      </c>
      <c r="BN41" s="54">
        <f t="shared" si="24"/>
        <v>13266.969967464118</v>
      </c>
      <c r="BO41" s="53"/>
      <c r="BP41" s="52">
        <f t="shared" si="1"/>
        <v>0</v>
      </c>
      <c r="BQ41" s="52">
        <f t="shared" si="2"/>
        <v>0</v>
      </c>
      <c r="BR41" s="52">
        <f t="shared" si="3"/>
        <v>0</v>
      </c>
      <c r="BS41" s="52">
        <f t="shared" si="4"/>
        <v>0</v>
      </c>
      <c r="BT41" s="52">
        <f t="shared" si="5"/>
        <v>163302.05326596432</v>
      </c>
      <c r="BU41" s="54">
        <f t="shared" si="25"/>
        <v>163302.05326596432</v>
      </c>
      <c r="BW41" s="52">
        <f t="shared" si="6"/>
        <v>0</v>
      </c>
      <c r="BX41" s="52">
        <f t="shared" si="7"/>
        <v>0</v>
      </c>
      <c r="BY41" s="52">
        <f t="shared" si="8"/>
        <v>0</v>
      </c>
      <c r="BZ41" s="52">
        <f t="shared" si="9"/>
        <v>0</v>
      </c>
      <c r="CA41" s="52">
        <f t="shared" si="10"/>
        <v>163302.05326596432</v>
      </c>
      <c r="CB41" s="54">
        <f t="shared" si="26"/>
        <v>163302.05326596432</v>
      </c>
      <c r="CC41" s="53"/>
      <c r="CD41" s="52">
        <f t="shared" si="27"/>
        <v>0</v>
      </c>
      <c r="CE41" s="52">
        <f t="shared" si="28"/>
        <v>0</v>
      </c>
      <c r="CF41" s="52">
        <f t="shared" si="29"/>
        <v>0</v>
      </c>
      <c r="CG41" s="52">
        <f t="shared" si="30"/>
        <v>0</v>
      </c>
      <c r="CH41" s="52">
        <f t="shared" si="31"/>
        <v>0</v>
      </c>
      <c r="CI41" s="54">
        <f t="shared" si="32"/>
        <v>0</v>
      </c>
    </row>
    <row r="42" spans="1:87" s="4" customFormat="1" x14ac:dyDescent="0.3">
      <c r="A42" s="56">
        <v>32</v>
      </c>
      <c r="B42" s="48" t="str">
        <f>IF('I | Capex forecast'!B42="","",'I | Capex forecast'!B42)</f>
        <v>Toowoomba - Turbine Meter Upgrade</v>
      </c>
      <c r="C42" s="48" t="str">
        <f>IF('I | Capex forecast'!C42="","",'I | Capex forecast'!C42)</f>
        <v>Gas Instruments</v>
      </c>
      <c r="D42" s="48" t="str">
        <f>IF('I | Capex forecast'!D42="","",'I | Capex forecast'!D42)</f>
        <v>Turbine meter upgrade</v>
      </c>
      <c r="E42" s="48" t="str">
        <f>IF('I | Capex forecast'!E42="","",'I | Capex forecast'!E42)</f>
        <v>Regulators and meters</v>
      </c>
      <c r="F42" s="48" t="str">
        <f>IF('I | Capex forecast'!F42="","",'I | Capex forecast'!F42)</f>
        <v>Replacement</v>
      </c>
      <c r="G42" s="48" t="str">
        <f>IF('I | Capex forecast'!G42="","",'I | Capex forecast'!G42)</f>
        <v>As incurred</v>
      </c>
      <c r="H42" s="48" t="str">
        <f>IF('I | Capex forecast'!H42="","",'I | Capex forecast'!H42)</f>
        <v>FY 26</v>
      </c>
      <c r="I42" s="48" t="str">
        <f>IF('I | Capex forecast'!I42="","",'I | Capex forecast'!I42)</f>
        <v>Mid-year</v>
      </c>
      <c r="J42" s="48" t="str">
        <f>IF('I | Capex forecast'!J42="","",'I | Capex forecast'!J42)</f>
        <v>No</v>
      </c>
      <c r="K42" s="50"/>
      <c r="L42" s="52">
        <f>IFERROR(VLOOKUP($A42,'I | Capex forecast'!$A$11:$AA$160,L$8,0)*INDEX('I | Inflation'!$F$46:$G$49,MATCH($I42,'I | Inflation'!$E$46:$E$49,0),MATCH($H42,'I | Inflation'!$F$45:$G$45,0)),0)</f>
        <v>0</v>
      </c>
      <c r="M42" s="52">
        <f>IFERROR(VLOOKUP($A42,'I | Capex forecast'!$A$11:$AA$160,M$8,0)*INDEX('I | Inflation'!$F$46:$G$49,MATCH($I42,'I | Inflation'!$E$46:$E$49,0),MATCH($H42,'I | Inflation'!$F$45:$G$45,0)),0)</f>
        <v>0</v>
      </c>
      <c r="N42" s="52">
        <f>IFERROR(VLOOKUP($A42,'I | Capex forecast'!$A$11:$AA$160,N$8,0)*INDEX('I | Inflation'!$F$46:$G$49,MATCH($I42,'I | Inflation'!$E$46:$E$49,0),MATCH($H42,'I | Inflation'!$F$45:$G$45,0)),0)</f>
        <v>0</v>
      </c>
      <c r="O42" s="52">
        <f>IFERROR(VLOOKUP($A42,'I | Capex forecast'!$A$11:$AA$160,O$8,0)*INDEX('I | Inflation'!$F$46:$G$49,MATCH($I42,'I | Inflation'!$E$46:$E$49,0),MATCH($H42,'I | Inflation'!$F$45:$G$45,0)),0)</f>
        <v>0</v>
      </c>
      <c r="P42" s="52">
        <f>IFERROR(VLOOKUP($A42,'I | Capex forecast'!$A$11:$AA$160,P$8,0)*INDEX('I | Inflation'!$F$46:$G$49,MATCH($I42,'I | Inflation'!$E$46:$E$49,0),MATCH($H42,'I | Inflation'!$F$45:$G$45,0)),0)</f>
        <v>210586.82488038283</v>
      </c>
      <c r="Q42" s="54">
        <f t="shared" si="33"/>
        <v>210586.82488038283</v>
      </c>
      <c r="R42" s="53"/>
      <c r="S42" s="226">
        <f>L42*VLOOKUP($A42,'I | Capex forecast'!$A$11:$AA$160,S$8,0)</f>
        <v>0</v>
      </c>
      <c r="T42" s="226">
        <f>M42*VLOOKUP($A42,'I | Capex forecast'!$A$11:$AA$160,T$8,0)</f>
        <v>0</v>
      </c>
      <c r="U42" s="226">
        <f>N42*VLOOKUP($A42,'I | Capex forecast'!$A$11:$AA$160,U$8,0)</f>
        <v>0</v>
      </c>
      <c r="V42" s="226">
        <f>O42*VLOOKUP($A42,'I | Capex forecast'!$A$11:$AA$160,V$8,0)</f>
        <v>0</v>
      </c>
      <c r="W42" s="226">
        <f>P42*VLOOKUP($A42,'I | Capex forecast'!$A$11:$AA$160,W$8,0)</f>
        <v>80920.554348768172</v>
      </c>
      <c r="X42" s="54">
        <f t="shared" si="13"/>
        <v>80920.554348768172</v>
      </c>
      <c r="Y42" s="53"/>
      <c r="Z42" s="52">
        <f>S42*(HLOOKUP(Z$10,'I | Inflation'!$E$57:$J$59,3,0)-1)</f>
        <v>0</v>
      </c>
      <c r="AA42" s="52">
        <f>T42*(HLOOKUP(AA$10,'I | Inflation'!$E$57:$J$59,3,0)-1)</f>
        <v>0</v>
      </c>
      <c r="AB42" s="52">
        <f>U42*(HLOOKUP(AB$10,'I | Inflation'!$E$57:$J$59,3,0)-1)</f>
        <v>0</v>
      </c>
      <c r="AC42" s="52">
        <f>V42*(HLOOKUP(AC$10,'I | Inflation'!$E$57:$J$59,3,0)-1)</f>
        <v>0</v>
      </c>
      <c r="AD42" s="52">
        <f>W42*(HLOOKUP(AD$10,'I | Inflation'!$E$57:$J$59,3,0)-1)</f>
        <v>3749.0084031888705</v>
      </c>
      <c r="AE42" s="54">
        <f t="shared" si="14"/>
        <v>3749.0084031888705</v>
      </c>
      <c r="AF42" s="53"/>
      <c r="AG42" s="226">
        <f t="shared" si="15"/>
        <v>0</v>
      </c>
      <c r="AH42" s="226">
        <f t="shared" si="16"/>
        <v>0</v>
      </c>
      <c r="AI42" s="226">
        <f t="shared" si="17"/>
        <v>0</v>
      </c>
      <c r="AJ42" s="226">
        <f t="shared" si="18"/>
        <v>0</v>
      </c>
      <c r="AK42" s="226">
        <f t="shared" si="19"/>
        <v>84669.562751957041</v>
      </c>
      <c r="AL42" s="54">
        <f t="shared" si="20"/>
        <v>84669.562751957041</v>
      </c>
      <c r="AM42" s="53"/>
      <c r="AN42" s="52"/>
      <c r="AO42" s="52"/>
      <c r="AP42" s="52"/>
      <c r="AQ42" s="52"/>
      <c r="AR42" s="52"/>
      <c r="AS42" s="54">
        <f t="shared" si="21"/>
        <v>0</v>
      </c>
      <c r="AT42" s="53"/>
      <c r="AU42" s="52"/>
      <c r="AV42" s="52"/>
      <c r="AW42" s="52"/>
      <c r="AX42" s="52"/>
      <c r="AY42" s="52"/>
      <c r="AZ42" s="54">
        <f t="shared" si="22"/>
        <v>0</v>
      </c>
      <c r="BA42" s="53"/>
      <c r="BB42" s="52"/>
      <c r="BC42" s="52"/>
      <c r="BD42" s="52"/>
      <c r="BE42" s="52"/>
      <c r="BF42" s="52"/>
      <c r="BG42" s="54">
        <f t="shared" si="23"/>
        <v>0</v>
      </c>
      <c r="BH42" s="53"/>
      <c r="BI42" s="52">
        <f>L42*VLOOKUP($A42,'I | Capex forecast'!$A$11:$AA$160,BI$8,0)</f>
        <v>0</v>
      </c>
      <c r="BJ42" s="52">
        <f>M42*VLOOKUP($A42,'I | Capex forecast'!$A$11:$AA$160,BJ$8,0)</f>
        <v>0</v>
      </c>
      <c r="BK42" s="52">
        <f>N42*VLOOKUP($A42,'I | Capex forecast'!$A$11:$AA$160,BK$8,0)</f>
        <v>0</v>
      </c>
      <c r="BL42" s="52">
        <f>O42*VLOOKUP($A42,'I | Capex forecast'!$A$11:$AA$160,BL$8,0)</f>
        <v>0</v>
      </c>
      <c r="BM42" s="52">
        <f>P42*VLOOKUP($A42,'I | Capex forecast'!$A$11:$AA$160,BM$8,0)</f>
        <v>18952.814239234453</v>
      </c>
      <c r="BN42" s="54">
        <f t="shared" si="24"/>
        <v>18952.814239234453</v>
      </c>
      <c r="BO42" s="53"/>
      <c r="BP42" s="52">
        <f t="shared" si="1"/>
        <v>0</v>
      </c>
      <c r="BQ42" s="52">
        <f t="shared" si="2"/>
        <v>0</v>
      </c>
      <c r="BR42" s="52">
        <f t="shared" si="3"/>
        <v>0</v>
      </c>
      <c r="BS42" s="52">
        <f t="shared" si="4"/>
        <v>0</v>
      </c>
      <c r="BT42" s="52">
        <f t="shared" si="5"/>
        <v>233288.64752280616</v>
      </c>
      <c r="BU42" s="54">
        <f t="shared" si="25"/>
        <v>233288.64752280616</v>
      </c>
      <c r="BW42" s="52">
        <f t="shared" si="6"/>
        <v>0</v>
      </c>
      <c r="BX42" s="52">
        <f t="shared" si="7"/>
        <v>0</v>
      </c>
      <c r="BY42" s="52">
        <f t="shared" si="8"/>
        <v>0</v>
      </c>
      <c r="BZ42" s="52">
        <f t="shared" si="9"/>
        <v>0</v>
      </c>
      <c r="CA42" s="52">
        <f t="shared" si="10"/>
        <v>233288.64752280616</v>
      </c>
      <c r="CB42" s="54">
        <f t="shared" si="26"/>
        <v>233288.64752280616</v>
      </c>
      <c r="CC42" s="53"/>
      <c r="CD42" s="52">
        <f t="shared" si="27"/>
        <v>0</v>
      </c>
      <c r="CE42" s="52">
        <f t="shared" si="28"/>
        <v>0</v>
      </c>
      <c r="CF42" s="52">
        <f t="shared" si="29"/>
        <v>0</v>
      </c>
      <c r="CG42" s="52">
        <f t="shared" si="30"/>
        <v>0</v>
      </c>
      <c r="CH42" s="52">
        <f t="shared" si="31"/>
        <v>0</v>
      </c>
      <c r="CI42" s="54">
        <f t="shared" si="32"/>
        <v>0</v>
      </c>
    </row>
    <row r="43" spans="1:87" s="4" customFormat="1" x14ac:dyDescent="0.3">
      <c r="A43" s="56">
        <v>33</v>
      </c>
      <c r="B43" s="48" t="str">
        <f>IF('I | Capex forecast'!B43="","",'I | Capex forecast'!B43)</f>
        <v>Instrument Calibrators</v>
      </c>
      <c r="C43" s="48" t="str">
        <f>IF('I | Capex forecast'!C43="","",'I | Capex forecast'!C43)</f>
        <v>Tools</v>
      </c>
      <c r="D43" s="48" t="str">
        <f>IF('I | Capex forecast'!D43="","",'I | Capex forecast'!D43)</f>
        <v>Calibrators</v>
      </c>
      <c r="E43" s="48" t="str">
        <f>IF('I | Capex forecast'!E43="","",'I | Capex forecast'!E43)</f>
        <v>SIB capex</v>
      </c>
      <c r="F43" s="48" t="str">
        <f>IF('I | Capex forecast'!F43="","",'I | Capex forecast'!F43)</f>
        <v>Replacement</v>
      </c>
      <c r="G43" s="48" t="str">
        <f>IF('I | Capex forecast'!G43="","",'I | Capex forecast'!G43)</f>
        <v>As incurred</v>
      </c>
      <c r="H43" s="48" t="str">
        <f>IF('I | Capex forecast'!H43="","",'I | Capex forecast'!H43)</f>
        <v>FY 26</v>
      </c>
      <c r="I43" s="48" t="str">
        <f>IF('I | Capex forecast'!I43="","",'I | Capex forecast'!I43)</f>
        <v>Mid-year</v>
      </c>
      <c r="J43" s="48" t="str">
        <f>IF('I | Capex forecast'!J43="","",'I | Capex forecast'!J43)</f>
        <v>No</v>
      </c>
      <c r="K43" s="50"/>
      <c r="L43" s="52">
        <f>IFERROR(VLOOKUP($A43,'I | Capex forecast'!$A$11:$AA$160,L$8,0)*INDEX('I | Inflation'!$F$46:$G$49,MATCH($I43,'I | Inflation'!$E$46:$E$49,0),MATCH($H43,'I | Inflation'!$F$45:$G$45,0)),0)</f>
        <v>0</v>
      </c>
      <c r="M43" s="52">
        <f>IFERROR(VLOOKUP($A43,'I | Capex forecast'!$A$11:$AA$160,M$8,0)*INDEX('I | Inflation'!$F$46:$G$49,MATCH($I43,'I | Inflation'!$E$46:$E$49,0),MATCH($H43,'I | Inflation'!$F$45:$G$45,0)),0)</f>
        <v>63176.047464114847</v>
      </c>
      <c r="N43" s="52">
        <f>IFERROR(VLOOKUP($A43,'I | Capex forecast'!$A$11:$AA$160,N$8,0)*INDEX('I | Inflation'!$F$46:$G$49,MATCH($I43,'I | Inflation'!$E$46:$E$49,0),MATCH($H43,'I | Inflation'!$F$45:$G$45,0)),0)</f>
        <v>0</v>
      </c>
      <c r="O43" s="52">
        <f>IFERROR(VLOOKUP($A43,'I | Capex forecast'!$A$11:$AA$160,O$8,0)*INDEX('I | Inflation'!$F$46:$G$49,MATCH($I43,'I | Inflation'!$E$46:$E$49,0),MATCH($H43,'I | Inflation'!$F$45:$G$45,0)),0)</f>
        <v>0</v>
      </c>
      <c r="P43" s="52">
        <f>IFERROR(VLOOKUP($A43,'I | Capex forecast'!$A$11:$AA$160,P$8,0)*INDEX('I | Inflation'!$F$46:$G$49,MATCH($I43,'I | Inflation'!$E$46:$E$49,0),MATCH($H43,'I | Inflation'!$F$45:$G$45,0)),0)</f>
        <v>0</v>
      </c>
      <c r="Q43" s="54">
        <f t="shared" si="33"/>
        <v>63176.047464114847</v>
      </c>
      <c r="R43" s="53"/>
      <c r="S43" s="226">
        <f>L43*VLOOKUP($A43,'I | Capex forecast'!$A$11:$AA$160,S$8,0)</f>
        <v>0</v>
      </c>
      <c r="T43" s="226">
        <f>M43*VLOOKUP($A43,'I | Capex forecast'!$A$11:$AA$160,T$8,0)</f>
        <v>24276.166304630453</v>
      </c>
      <c r="U43" s="226">
        <f>N43*VLOOKUP($A43,'I | Capex forecast'!$A$11:$AA$160,U$8,0)</f>
        <v>0</v>
      </c>
      <c r="V43" s="226">
        <f>O43*VLOOKUP($A43,'I | Capex forecast'!$A$11:$AA$160,V$8,0)</f>
        <v>0</v>
      </c>
      <c r="W43" s="226">
        <f>P43*VLOOKUP($A43,'I | Capex forecast'!$A$11:$AA$160,W$8,0)</f>
        <v>0</v>
      </c>
      <c r="X43" s="54">
        <f t="shared" si="13"/>
        <v>24276.166304630453</v>
      </c>
      <c r="Y43" s="53"/>
      <c r="Z43" s="52">
        <f>S43*(HLOOKUP(Z$10,'I | Inflation'!$E$57:$J$59,3,0)-1)</f>
        <v>0</v>
      </c>
      <c r="AA43" s="52">
        <f>T43*(HLOOKUP(AA$10,'I | Inflation'!$E$57:$J$59,3,0)-1)</f>
        <v>457.73625406234999</v>
      </c>
      <c r="AB43" s="52">
        <f>U43*(HLOOKUP(AB$10,'I | Inflation'!$E$57:$J$59,3,0)-1)</f>
        <v>0</v>
      </c>
      <c r="AC43" s="52">
        <f>V43*(HLOOKUP(AC$10,'I | Inflation'!$E$57:$J$59,3,0)-1)</f>
        <v>0</v>
      </c>
      <c r="AD43" s="52">
        <f>W43*(HLOOKUP(AD$10,'I | Inflation'!$E$57:$J$59,3,0)-1)</f>
        <v>0</v>
      </c>
      <c r="AE43" s="54">
        <f t="shared" si="14"/>
        <v>457.73625406234999</v>
      </c>
      <c r="AF43" s="53"/>
      <c r="AG43" s="226">
        <f t="shared" si="15"/>
        <v>0</v>
      </c>
      <c r="AH43" s="226">
        <f t="shared" si="16"/>
        <v>24733.902558692804</v>
      </c>
      <c r="AI43" s="226">
        <f t="shared" si="17"/>
        <v>0</v>
      </c>
      <c r="AJ43" s="226">
        <f t="shared" si="18"/>
        <v>0</v>
      </c>
      <c r="AK43" s="226">
        <f t="shared" si="19"/>
        <v>0</v>
      </c>
      <c r="AL43" s="54">
        <f t="shared" si="20"/>
        <v>24733.902558692804</v>
      </c>
      <c r="AM43" s="53"/>
      <c r="AN43" s="52"/>
      <c r="AO43" s="52"/>
      <c r="AP43" s="52"/>
      <c r="AQ43" s="52"/>
      <c r="AR43" s="52"/>
      <c r="AS43" s="54">
        <f t="shared" si="21"/>
        <v>0</v>
      </c>
      <c r="AT43" s="53"/>
      <c r="AU43" s="52"/>
      <c r="AV43" s="52"/>
      <c r="AW43" s="52"/>
      <c r="AX43" s="52"/>
      <c r="AY43" s="52"/>
      <c r="AZ43" s="54">
        <f t="shared" si="22"/>
        <v>0</v>
      </c>
      <c r="BA43" s="53"/>
      <c r="BB43" s="52"/>
      <c r="BC43" s="52"/>
      <c r="BD43" s="52"/>
      <c r="BE43" s="52"/>
      <c r="BF43" s="52"/>
      <c r="BG43" s="54">
        <f t="shared" si="23"/>
        <v>0</v>
      </c>
      <c r="BH43" s="53"/>
      <c r="BI43" s="52">
        <f>L43*VLOOKUP($A43,'I | Capex forecast'!$A$11:$AA$160,BI$8,0)</f>
        <v>0</v>
      </c>
      <c r="BJ43" s="52">
        <f>M43*VLOOKUP($A43,'I | Capex forecast'!$A$11:$AA$160,BJ$8,0)</f>
        <v>5685.8442717703356</v>
      </c>
      <c r="BK43" s="52">
        <f>N43*VLOOKUP($A43,'I | Capex forecast'!$A$11:$AA$160,BK$8,0)</f>
        <v>0</v>
      </c>
      <c r="BL43" s="52">
        <f>O43*VLOOKUP($A43,'I | Capex forecast'!$A$11:$AA$160,BL$8,0)</f>
        <v>0</v>
      </c>
      <c r="BM43" s="52">
        <f>P43*VLOOKUP($A43,'I | Capex forecast'!$A$11:$AA$160,BM$8,0)</f>
        <v>0</v>
      </c>
      <c r="BN43" s="54">
        <f t="shared" si="24"/>
        <v>5685.8442717703356</v>
      </c>
      <c r="BO43" s="53"/>
      <c r="BP43" s="52">
        <f t="shared" ref="BP43:BP74" si="34">L43+Z43+AN43+AU43+BB43+BI43</f>
        <v>0</v>
      </c>
      <c r="BQ43" s="52">
        <f t="shared" ref="BQ43:BQ74" si="35">M43+AA43+AO43+AV43+BC43+BJ43</f>
        <v>69319.627989947534</v>
      </c>
      <c r="BR43" s="52">
        <f t="shared" ref="BR43:BR74" si="36">N43+AB43+AP43+AW43+BD43+BK43</f>
        <v>0</v>
      </c>
      <c r="BS43" s="52">
        <f t="shared" ref="BS43:BS74" si="37">O43+AC43+AQ43+AX43+BE43+BL43</f>
        <v>0</v>
      </c>
      <c r="BT43" s="52">
        <f t="shared" ref="BT43:BT74" si="38">P43+AD43+AR43+AY43+BF43+BM43</f>
        <v>0</v>
      </c>
      <c r="BU43" s="54">
        <f t="shared" si="25"/>
        <v>69319.627989947534</v>
      </c>
      <c r="BW43" s="52">
        <f t="shared" ref="BW43:BW74" si="39">IF($G43="As incurred",BP43,IF($G43=BW$10,$BU43,0))</f>
        <v>0</v>
      </c>
      <c r="BX43" s="52">
        <f t="shared" ref="BX43:BX74" si="40">IF($G43="As incurred",BQ43,IF($G43=BX$10,$BU43,0))</f>
        <v>69319.627989947534</v>
      </c>
      <c r="BY43" s="52">
        <f t="shared" ref="BY43:BY74" si="41">IF($G43="As incurred",BR43,IF($G43=BY$10,$BU43,0))</f>
        <v>0</v>
      </c>
      <c r="BZ43" s="52">
        <f t="shared" ref="BZ43:BZ74" si="42">IF($G43="As incurred",BS43,IF($G43=BZ$10,$BU43,0))</f>
        <v>0</v>
      </c>
      <c r="CA43" s="52">
        <f t="shared" ref="CA43:CA74" si="43">IF($G43="As incurred",BT43,IF($G43=CA$10,$BU43,0))</f>
        <v>0</v>
      </c>
      <c r="CB43" s="54">
        <f t="shared" si="26"/>
        <v>69319.627989947534</v>
      </c>
      <c r="CC43" s="53"/>
      <c r="CD43" s="52">
        <f t="shared" si="27"/>
        <v>0</v>
      </c>
      <c r="CE43" s="52">
        <f t="shared" si="28"/>
        <v>0</v>
      </c>
      <c r="CF43" s="52">
        <f t="shared" si="29"/>
        <v>0</v>
      </c>
      <c r="CG43" s="52">
        <f t="shared" si="30"/>
        <v>0</v>
      </c>
      <c r="CH43" s="52">
        <f t="shared" si="31"/>
        <v>0</v>
      </c>
      <c r="CI43" s="54">
        <f t="shared" si="32"/>
        <v>0</v>
      </c>
    </row>
    <row r="44" spans="1:87" s="4" customFormat="1" x14ac:dyDescent="0.3">
      <c r="A44" s="56">
        <v>34</v>
      </c>
      <c r="B44" s="48" t="str">
        <f>IF('I | Capex forecast'!B44="","",'I | Capex forecast'!B44)</f>
        <v>Safety Critical Digs (Complex)</v>
      </c>
      <c r="C44" s="48" t="str">
        <f>IF('I | Capex forecast'!C44="","",'I | Capex forecast'!C44)</f>
        <v>Pipeline Integrity</v>
      </c>
      <c r="D44" s="48" t="str">
        <f>IF('I | Capex forecast'!D44="","",'I | Capex forecast'!D44)</f>
        <v>Safety digs</v>
      </c>
      <c r="E44" s="48" t="str">
        <f>IF('I | Capex forecast'!E44="","",'I | Capex forecast'!E44)</f>
        <v>Pipelines</v>
      </c>
      <c r="F44" s="48" t="str">
        <f>IF('I | Capex forecast'!F44="","",'I | Capex forecast'!F44)</f>
        <v>Replacement</v>
      </c>
      <c r="G44" s="48" t="str">
        <f>IF('I | Capex forecast'!G44="","",'I | Capex forecast'!G44)</f>
        <v>As incurred</v>
      </c>
      <c r="H44" s="48" t="str">
        <f>IF('I | Capex forecast'!H44="","",'I | Capex forecast'!H44)</f>
        <v>FY 26</v>
      </c>
      <c r="I44" s="48" t="str">
        <f>IF('I | Capex forecast'!I44="","",'I | Capex forecast'!I44)</f>
        <v>Mid-year</v>
      </c>
      <c r="J44" s="48" t="str">
        <f>IF('I | Capex forecast'!J44="","",'I | Capex forecast'!J44)</f>
        <v>No</v>
      </c>
      <c r="K44" s="50"/>
      <c r="L44" s="52">
        <f>IFERROR(VLOOKUP($A44,'I | Capex forecast'!$A$11:$AA$160,L$8,0)*INDEX('I | Inflation'!$F$46:$G$49,MATCH($I44,'I | Inflation'!$E$46:$E$49,0),MATCH($H44,'I | Inflation'!$F$45:$G$45,0)),0)</f>
        <v>421173.64976076566</v>
      </c>
      <c r="M44" s="52">
        <f>IFERROR(VLOOKUP($A44,'I | Capex forecast'!$A$11:$AA$160,M$8,0)*INDEX('I | Inflation'!$F$46:$G$49,MATCH($I44,'I | Inflation'!$E$46:$E$49,0),MATCH($H44,'I | Inflation'!$F$45:$G$45,0)),0)</f>
        <v>1263520.9492822969</v>
      </c>
      <c r="N44" s="52">
        <f>IFERROR(VLOOKUP($A44,'I | Capex forecast'!$A$11:$AA$160,N$8,0)*INDEX('I | Inflation'!$F$46:$G$49,MATCH($I44,'I | Inflation'!$E$46:$E$49,0),MATCH($H44,'I | Inflation'!$F$45:$G$45,0)),0)</f>
        <v>421173.64976076566</v>
      </c>
      <c r="O44" s="52">
        <f>IFERROR(VLOOKUP($A44,'I | Capex forecast'!$A$11:$AA$160,O$8,0)*INDEX('I | Inflation'!$F$46:$G$49,MATCH($I44,'I | Inflation'!$E$46:$E$49,0),MATCH($H44,'I | Inflation'!$F$45:$G$45,0)),0)</f>
        <v>1263520.9492822969</v>
      </c>
      <c r="P44" s="52">
        <f>IFERROR(VLOOKUP($A44,'I | Capex forecast'!$A$11:$AA$160,P$8,0)*INDEX('I | Inflation'!$F$46:$G$49,MATCH($I44,'I | Inflation'!$E$46:$E$49,0),MATCH($H44,'I | Inflation'!$F$45:$G$45,0)),0)</f>
        <v>421173.64976076566</v>
      </c>
      <c r="Q44" s="54">
        <f t="shared" si="33"/>
        <v>3790562.8478468908</v>
      </c>
      <c r="R44" s="53"/>
      <c r="S44" s="226">
        <f>L44*VLOOKUP($A44,'I | Capex forecast'!$A$11:$AA$160,S$8,0)</f>
        <v>161841.10869753634</v>
      </c>
      <c r="T44" s="226">
        <f>M44*VLOOKUP($A44,'I | Capex forecast'!$A$11:$AA$160,T$8,0)</f>
        <v>485523.32609260903</v>
      </c>
      <c r="U44" s="226">
        <f>N44*VLOOKUP($A44,'I | Capex forecast'!$A$11:$AA$160,U$8,0)</f>
        <v>161841.10869753634</v>
      </c>
      <c r="V44" s="226">
        <f>O44*VLOOKUP($A44,'I | Capex forecast'!$A$11:$AA$160,V$8,0)</f>
        <v>485523.32609260903</v>
      </c>
      <c r="W44" s="226">
        <f>P44*VLOOKUP($A44,'I | Capex forecast'!$A$11:$AA$160,W$8,0)</f>
        <v>161841.10869753634</v>
      </c>
      <c r="X44" s="54">
        <f t="shared" si="13"/>
        <v>1456569.9782778271</v>
      </c>
      <c r="Y44" s="53"/>
      <c r="Z44" s="52">
        <f>S44*(HLOOKUP(Z$10,'I | Inflation'!$E$57:$J$59,3,0)-1)</f>
        <v>2210.1657222877711</v>
      </c>
      <c r="AA44" s="52">
        <f>T44*(HLOOKUP(AA$10,'I | Inflation'!$E$57:$J$59,3,0)-1)</f>
        <v>9154.7250812469993</v>
      </c>
      <c r="AB44" s="52">
        <f>U44*(HLOOKUP(AB$10,'I | Inflation'!$E$57:$J$59,3,0)-1)</f>
        <v>4453.9856397862668</v>
      </c>
      <c r="AC44" s="52">
        <f>V44*(HLOOKUP(AC$10,'I | Inflation'!$E$57:$J$59,3,0)-1)</f>
        <v>19047.404953484802</v>
      </c>
      <c r="AD44" s="52">
        <f>W44*(HLOOKUP(AD$10,'I | Inflation'!$E$57:$J$59,3,0)-1)</f>
        <v>7498.016806377741</v>
      </c>
      <c r="AE44" s="54">
        <f t="shared" si="14"/>
        <v>42364.298203183578</v>
      </c>
      <c r="AF44" s="53"/>
      <c r="AG44" s="226">
        <f t="shared" si="15"/>
        <v>164051.27441982413</v>
      </c>
      <c r="AH44" s="226">
        <f t="shared" si="16"/>
        <v>494678.05117385602</v>
      </c>
      <c r="AI44" s="226">
        <f t="shared" si="17"/>
        <v>166295.0943373226</v>
      </c>
      <c r="AJ44" s="226">
        <f t="shared" si="18"/>
        <v>504570.73104609386</v>
      </c>
      <c r="AK44" s="226">
        <f t="shared" si="19"/>
        <v>169339.12550391408</v>
      </c>
      <c r="AL44" s="54">
        <f t="shared" si="20"/>
        <v>1498934.2764810105</v>
      </c>
      <c r="AM44" s="53"/>
      <c r="AN44" s="52"/>
      <c r="AO44" s="52"/>
      <c r="AP44" s="52"/>
      <c r="AQ44" s="52"/>
      <c r="AR44" s="52"/>
      <c r="AS44" s="54">
        <f t="shared" si="21"/>
        <v>0</v>
      </c>
      <c r="AT44" s="53"/>
      <c r="AU44" s="52"/>
      <c r="AV44" s="52"/>
      <c r="AW44" s="52"/>
      <c r="AX44" s="52"/>
      <c r="AY44" s="52"/>
      <c r="AZ44" s="54">
        <f t="shared" si="22"/>
        <v>0</v>
      </c>
      <c r="BA44" s="53"/>
      <c r="BB44" s="52"/>
      <c r="BC44" s="52"/>
      <c r="BD44" s="52"/>
      <c r="BE44" s="52"/>
      <c r="BF44" s="52"/>
      <c r="BG44" s="54">
        <f t="shared" si="23"/>
        <v>0</v>
      </c>
      <c r="BH44" s="53"/>
      <c r="BI44" s="52">
        <f>L44*VLOOKUP($A44,'I | Capex forecast'!$A$11:$AA$160,BI$8,0)</f>
        <v>37905.628478468905</v>
      </c>
      <c r="BJ44" s="52">
        <f>M44*VLOOKUP($A44,'I | Capex forecast'!$A$11:$AA$160,BJ$8,0)</f>
        <v>113716.88543540672</v>
      </c>
      <c r="BK44" s="52">
        <f>N44*VLOOKUP($A44,'I | Capex forecast'!$A$11:$AA$160,BK$8,0)</f>
        <v>37905.628478468905</v>
      </c>
      <c r="BL44" s="52">
        <f>O44*VLOOKUP($A44,'I | Capex forecast'!$A$11:$AA$160,BL$8,0)</f>
        <v>113716.88543540672</v>
      </c>
      <c r="BM44" s="52">
        <f>P44*VLOOKUP($A44,'I | Capex forecast'!$A$11:$AA$160,BM$8,0)</f>
        <v>37905.628478468905</v>
      </c>
      <c r="BN44" s="54">
        <f t="shared" si="24"/>
        <v>341150.65630622016</v>
      </c>
      <c r="BO44" s="53"/>
      <c r="BP44" s="52">
        <f t="shared" si="34"/>
        <v>461289.44396152237</v>
      </c>
      <c r="BQ44" s="52">
        <f t="shared" si="35"/>
        <v>1386392.5597989508</v>
      </c>
      <c r="BR44" s="52">
        <f t="shared" si="36"/>
        <v>463533.26387902087</v>
      </c>
      <c r="BS44" s="52">
        <f t="shared" si="37"/>
        <v>1396285.2396711886</v>
      </c>
      <c r="BT44" s="52">
        <f t="shared" si="38"/>
        <v>466577.29504561232</v>
      </c>
      <c r="BU44" s="54">
        <f t="shared" si="25"/>
        <v>4174077.8023562953</v>
      </c>
      <c r="BW44" s="52">
        <f t="shared" si="39"/>
        <v>461289.44396152237</v>
      </c>
      <c r="BX44" s="52">
        <f t="shared" si="40"/>
        <v>1386392.5597989508</v>
      </c>
      <c r="BY44" s="52">
        <f t="shared" si="41"/>
        <v>463533.26387902087</v>
      </c>
      <c r="BZ44" s="52">
        <f t="shared" si="42"/>
        <v>1396285.2396711886</v>
      </c>
      <c r="CA44" s="52">
        <f t="shared" si="43"/>
        <v>466577.29504561232</v>
      </c>
      <c r="CB44" s="54">
        <f t="shared" si="26"/>
        <v>4174077.8023562953</v>
      </c>
      <c r="CC44" s="53"/>
      <c r="CD44" s="52">
        <f t="shared" si="27"/>
        <v>0</v>
      </c>
      <c r="CE44" s="52">
        <f t="shared" si="28"/>
        <v>0</v>
      </c>
      <c r="CF44" s="52">
        <f t="shared" si="29"/>
        <v>0</v>
      </c>
      <c r="CG44" s="52">
        <f t="shared" si="30"/>
        <v>0</v>
      </c>
      <c r="CH44" s="52">
        <f t="shared" si="31"/>
        <v>0</v>
      </c>
      <c r="CI44" s="54">
        <f t="shared" si="32"/>
        <v>0</v>
      </c>
    </row>
    <row r="45" spans="1:87" s="4" customFormat="1" x14ac:dyDescent="0.3">
      <c r="A45" s="56">
        <v>35</v>
      </c>
      <c r="B45" s="48" t="str">
        <f>IF('I | Capex forecast'!B45="","",'I | Capex forecast'!B45)</f>
        <v>Safety Critical Digs (Non-complex)</v>
      </c>
      <c r="C45" s="48" t="str">
        <f>IF('I | Capex forecast'!C45="","",'I | Capex forecast'!C45)</f>
        <v>Pipeline Integrity</v>
      </c>
      <c r="D45" s="48" t="str">
        <f>IF('I | Capex forecast'!D45="","",'I | Capex forecast'!D45)</f>
        <v>Safety digs</v>
      </c>
      <c r="E45" s="48" t="str">
        <f>IF('I | Capex forecast'!E45="","",'I | Capex forecast'!E45)</f>
        <v>Pipelines</v>
      </c>
      <c r="F45" s="48" t="str">
        <f>IF('I | Capex forecast'!F45="","",'I | Capex forecast'!F45)</f>
        <v>Replacement</v>
      </c>
      <c r="G45" s="48" t="str">
        <f>IF('I | Capex forecast'!G45="","",'I | Capex forecast'!G45)</f>
        <v>As incurred</v>
      </c>
      <c r="H45" s="48" t="str">
        <f>IF('I | Capex forecast'!H45="","",'I | Capex forecast'!H45)</f>
        <v>FY 26</v>
      </c>
      <c r="I45" s="48" t="str">
        <f>IF('I | Capex forecast'!I45="","",'I | Capex forecast'!I45)</f>
        <v>Mid-year</v>
      </c>
      <c r="J45" s="48" t="str">
        <f>IF('I | Capex forecast'!J45="","",'I | Capex forecast'!J45)</f>
        <v>No</v>
      </c>
      <c r="K45" s="50"/>
      <c r="L45" s="52">
        <f>IFERROR(VLOOKUP($A45,'I | Capex forecast'!$A$11:$AA$160,L$8,0)*INDEX('I | Inflation'!$F$46:$G$49,MATCH($I45,'I | Inflation'!$E$46:$E$49,0),MATCH($H45,'I | Inflation'!$F$45:$G$45,0)),0)</f>
        <v>236910.17799043067</v>
      </c>
      <c r="M45" s="52">
        <f>IFERROR(VLOOKUP($A45,'I | Capex forecast'!$A$11:$AA$160,M$8,0)*INDEX('I | Inflation'!$F$46:$G$49,MATCH($I45,'I | Inflation'!$E$46:$E$49,0),MATCH($H45,'I | Inflation'!$F$45:$G$45,0)),0)</f>
        <v>1184550.8899521534</v>
      </c>
      <c r="N45" s="52">
        <f>IFERROR(VLOOKUP($A45,'I | Capex forecast'!$A$11:$AA$160,N$8,0)*INDEX('I | Inflation'!$F$46:$G$49,MATCH($I45,'I | Inflation'!$E$46:$E$49,0),MATCH($H45,'I | Inflation'!$F$45:$G$45,0)),0)</f>
        <v>710730.53397129208</v>
      </c>
      <c r="O45" s="52">
        <f>IFERROR(VLOOKUP($A45,'I | Capex forecast'!$A$11:$AA$160,O$8,0)*INDEX('I | Inflation'!$F$46:$G$49,MATCH($I45,'I | Inflation'!$E$46:$E$49,0),MATCH($H45,'I | Inflation'!$F$45:$G$45,0)),0)</f>
        <v>710730.53397129208</v>
      </c>
      <c r="P45" s="52">
        <f>IFERROR(VLOOKUP($A45,'I | Capex forecast'!$A$11:$AA$160,P$8,0)*INDEX('I | Inflation'!$F$46:$G$49,MATCH($I45,'I | Inflation'!$E$46:$E$49,0),MATCH($H45,'I | Inflation'!$F$45:$G$45,0)),0)</f>
        <v>236910.17799043067</v>
      </c>
      <c r="Q45" s="54">
        <f t="shared" si="33"/>
        <v>3079832.3138755988</v>
      </c>
      <c r="R45" s="53"/>
      <c r="S45" s="226">
        <f>L45*VLOOKUP($A45,'I | Capex forecast'!$A$11:$AA$160,S$8,0)</f>
        <v>91035.623642364197</v>
      </c>
      <c r="T45" s="226">
        <f>M45*VLOOKUP($A45,'I | Capex forecast'!$A$11:$AA$160,T$8,0)</f>
        <v>455178.11821182101</v>
      </c>
      <c r="U45" s="226">
        <f>N45*VLOOKUP($A45,'I | Capex forecast'!$A$11:$AA$160,U$8,0)</f>
        <v>273106.87092709262</v>
      </c>
      <c r="V45" s="226">
        <f>O45*VLOOKUP($A45,'I | Capex forecast'!$A$11:$AA$160,V$8,0)</f>
        <v>273106.87092709262</v>
      </c>
      <c r="W45" s="226">
        <f>P45*VLOOKUP($A45,'I | Capex forecast'!$A$11:$AA$160,W$8,0)</f>
        <v>91035.623642364197</v>
      </c>
      <c r="X45" s="54">
        <f t="shared" si="13"/>
        <v>1183463.1073507348</v>
      </c>
      <c r="Y45" s="53"/>
      <c r="Z45" s="52">
        <f>S45*(HLOOKUP(Z$10,'I | Inflation'!$E$57:$J$59,3,0)-1)</f>
        <v>1243.2182187868714</v>
      </c>
      <c r="AA45" s="52">
        <f>T45*(HLOOKUP(AA$10,'I | Inflation'!$E$57:$J$59,3,0)-1)</f>
        <v>8582.5547636690626</v>
      </c>
      <c r="AB45" s="52">
        <f>U45*(HLOOKUP(AB$10,'I | Inflation'!$E$57:$J$59,3,0)-1)</f>
        <v>7516.1007671393263</v>
      </c>
      <c r="AC45" s="52">
        <f>V45*(HLOOKUP(AC$10,'I | Inflation'!$E$57:$J$59,3,0)-1)</f>
        <v>10714.165286335201</v>
      </c>
      <c r="AD45" s="52">
        <f>W45*(HLOOKUP(AD$10,'I | Inflation'!$E$57:$J$59,3,0)-1)</f>
        <v>4217.6344535874796</v>
      </c>
      <c r="AE45" s="54">
        <f t="shared" si="14"/>
        <v>32273.67348951794</v>
      </c>
      <c r="AF45" s="53"/>
      <c r="AG45" s="226">
        <f t="shared" si="15"/>
        <v>92278.841861151071</v>
      </c>
      <c r="AH45" s="226">
        <f t="shared" si="16"/>
        <v>463760.6729754901</v>
      </c>
      <c r="AI45" s="226">
        <f t="shared" si="17"/>
        <v>280622.97169423196</v>
      </c>
      <c r="AJ45" s="226">
        <f t="shared" si="18"/>
        <v>283821.03621342784</v>
      </c>
      <c r="AK45" s="226">
        <f t="shared" si="19"/>
        <v>95253.258095951678</v>
      </c>
      <c r="AL45" s="54">
        <f t="shared" si="20"/>
        <v>1215736.7808402528</v>
      </c>
      <c r="AM45" s="53"/>
      <c r="AN45" s="52"/>
      <c r="AO45" s="52"/>
      <c r="AP45" s="52"/>
      <c r="AQ45" s="52"/>
      <c r="AR45" s="52"/>
      <c r="AS45" s="54">
        <f t="shared" si="21"/>
        <v>0</v>
      </c>
      <c r="AT45" s="53"/>
      <c r="AU45" s="52"/>
      <c r="AV45" s="52"/>
      <c r="AW45" s="52"/>
      <c r="AX45" s="52"/>
      <c r="AY45" s="52"/>
      <c r="AZ45" s="54">
        <f t="shared" si="22"/>
        <v>0</v>
      </c>
      <c r="BA45" s="53"/>
      <c r="BB45" s="52"/>
      <c r="BC45" s="52"/>
      <c r="BD45" s="52"/>
      <c r="BE45" s="52"/>
      <c r="BF45" s="52"/>
      <c r="BG45" s="54">
        <f t="shared" si="23"/>
        <v>0</v>
      </c>
      <c r="BH45" s="53"/>
      <c r="BI45" s="52">
        <f>L45*VLOOKUP($A45,'I | Capex forecast'!$A$11:$AA$160,BI$8,0)</f>
        <v>21321.91601913876</v>
      </c>
      <c r="BJ45" s="52">
        <f>M45*VLOOKUP($A45,'I | Capex forecast'!$A$11:$AA$160,BJ$8,0)</f>
        <v>106609.5800956938</v>
      </c>
      <c r="BK45" s="52">
        <f>N45*VLOOKUP($A45,'I | Capex forecast'!$A$11:$AA$160,BK$8,0)</f>
        <v>63965.748057416284</v>
      </c>
      <c r="BL45" s="52">
        <f>O45*VLOOKUP($A45,'I | Capex forecast'!$A$11:$AA$160,BL$8,0)</f>
        <v>63965.748057416284</v>
      </c>
      <c r="BM45" s="52">
        <f>P45*VLOOKUP($A45,'I | Capex forecast'!$A$11:$AA$160,BM$8,0)</f>
        <v>21321.91601913876</v>
      </c>
      <c r="BN45" s="54">
        <f t="shared" si="24"/>
        <v>277184.90824880387</v>
      </c>
      <c r="BO45" s="53"/>
      <c r="BP45" s="52">
        <f t="shared" si="34"/>
        <v>259475.31222835631</v>
      </c>
      <c r="BQ45" s="52">
        <f t="shared" si="35"/>
        <v>1299743.0248115163</v>
      </c>
      <c r="BR45" s="52">
        <f t="shared" si="36"/>
        <v>782212.38279584772</v>
      </c>
      <c r="BS45" s="52">
        <f t="shared" si="37"/>
        <v>785410.44731504354</v>
      </c>
      <c r="BT45" s="52">
        <f t="shared" si="38"/>
        <v>262449.72846315691</v>
      </c>
      <c r="BU45" s="54">
        <f t="shared" si="25"/>
        <v>3389290.8956139209</v>
      </c>
      <c r="BW45" s="52">
        <f t="shared" si="39"/>
        <v>259475.31222835631</v>
      </c>
      <c r="BX45" s="52">
        <f t="shared" si="40"/>
        <v>1299743.0248115163</v>
      </c>
      <c r="BY45" s="52">
        <f t="shared" si="41"/>
        <v>782212.38279584772</v>
      </c>
      <c r="BZ45" s="52">
        <f t="shared" si="42"/>
        <v>785410.44731504354</v>
      </c>
      <c r="CA45" s="52">
        <f t="shared" si="43"/>
        <v>262449.72846315691</v>
      </c>
      <c r="CB45" s="54">
        <f t="shared" si="26"/>
        <v>3389290.8956139209</v>
      </c>
      <c r="CC45" s="53"/>
      <c r="CD45" s="52">
        <f t="shared" si="27"/>
        <v>0</v>
      </c>
      <c r="CE45" s="52">
        <f t="shared" si="28"/>
        <v>0</v>
      </c>
      <c r="CF45" s="52">
        <f t="shared" si="29"/>
        <v>0</v>
      </c>
      <c r="CG45" s="52">
        <f t="shared" si="30"/>
        <v>0</v>
      </c>
      <c r="CH45" s="52">
        <f t="shared" si="31"/>
        <v>0</v>
      </c>
      <c r="CI45" s="54">
        <f t="shared" si="32"/>
        <v>0</v>
      </c>
    </row>
    <row r="46" spans="1:87" s="4" customFormat="1" x14ac:dyDescent="0.3">
      <c r="A46" s="56">
        <v>36</v>
      </c>
      <c r="B46" s="48" t="str">
        <f>IF('I | Capex forecast'!B46="","",'I | Capex forecast'!B46)</f>
        <v xml:space="preserve">Ellengrove Reliability </v>
      </c>
      <c r="C46" s="48" t="str">
        <f>IF('I | Capex forecast'!C46="","",'I | Capex forecast'!C46)</f>
        <v>SIB</v>
      </c>
      <c r="D46" s="48" t="str">
        <f>IF('I | Capex forecast'!D46="","",'I | Capex forecast'!D46)</f>
        <v>Ellengrove Reliability</v>
      </c>
      <c r="E46" s="48" t="str">
        <f>IF('I | Capex forecast'!E46="","",'I | Capex forecast'!E46)</f>
        <v>Pipelines</v>
      </c>
      <c r="F46" s="48" t="str">
        <f>IF('I | Capex forecast'!F46="","",'I | Capex forecast'!F46)</f>
        <v>Replacement</v>
      </c>
      <c r="G46" s="48" t="str">
        <f>IF('I | Capex forecast'!G46="","",'I | Capex forecast'!G46)</f>
        <v>As incurred</v>
      </c>
      <c r="H46" s="48" t="str">
        <f>IF('I | Capex forecast'!H46="","",'I | Capex forecast'!H46)</f>
        <v>FY 26</v>
      </c>
      <c r="I46" s="48" t="str">
        <f>IF('I | Capex forecast'!I46="","",'I | Capex forecast'!I46)</f>
        <v>Mid-year</v>
      </c>
      <c r="J46" s="48" t="str">
        <f>IF('I | Capex forecast'!J46="","",'I | Capex forecast'!J46)</f>
        <v>No</v>
      </c>
      <c r="K46" s="50"/>
      <c r="L46" s="52">
        <f>IFERROR(VLOOKUP($A46,'I | Capex forecast'!$A$11:$AA$160,L$8,0)*INDEX('I | Inflation'!$F$46:$G$49,MATCH($I46,'I | Inflation'!$E$46:$E$49,0),MATCH($H46,'I | Inflation'!$F$45:$G$45,0)),0)</f>
        <v>0</v>
      </c>
      <c r="M46" s="52">
        <f>IFERROR(VLOOKUP($A46,'I | Capex forecast'!$A$11:$AA$160,M$8,0)*INDEX('I | Inflation'!$F$46:$G$49,MATCH($I46,'I | Inflation'!$E$46:$E$49,0),MATCH($H46,'I | Inflation'!$F$45:$G$45,0)),0)</f>
        <v>0</v>
      </c>
      <c r="N46" s="52">
        <f>IFERROR(VLOOKUP($A46,'I | Capex forecast'!$A$11:$AA$160,N$8,0)*INDEX('I | Inflation'!$F$46:$G$49,MATCH($I46,'I | Inflation'!$E$46:$E$49,0),MATCH($H46,'I | Inflation'!$F$45:$G$45,0)),0)</f>
        <v>0</v>
      </c>
      <c r="O46" s="52">
        <f>IFERROR(VLOOKUP($A46,'I | Capex forecast'!$A$11:$AA$160,O$8,0)*INDEX('I | Inflation'!$F$46:$G$49,MATCH($I46,'I | Inflation'!$E$46:$E$49,0),MATCH($H46,'I | Inflation'!$F$45:$G$45,0)),0)</f>
        <v>2105868.2488038284</v>
      </c>
      <c r="P46" s="52">
        <f>IFERROR(VLOOKUP($A46,'I | Capex forecast'!$A$11:$AA$160,P$8,0)*INDEX('I | Inflation'!$F$46:$G$49,MATCH($I46,'I | Inflation'!$E$46:$E$49,0),MATCH($H46,'I | Inflation'!$F$45:$G$45,0)),0)</f>
        <v>0</v>
      </c>
      <c r="Q46" s="54">
        <f t="shared" si="33"/>
        <v>2105868.2488038284</v>
      </c>
      <c r="R46" s="53"/>
      <c r="S46" s="226">
        <f>L46*VLOOKUP($A46,'I | Capex forecast'!$A$11:$AA$160,S$8,0)</f>
        <v>0</v>
      </c>
      <c r="T46" s="226">
        <f>M46*VLOOKUP($A46,'I | Capex forecast'!$A$11:$AA$160,T$8,0)</f>
        <v>0</v>
      </c>
      <c r="U46" s="226">
        <f>N46*VLOOKUP($A46,'I | Capex forecast'!$A$11:$AA$160,U$8,0)</f>
        <v>0</v>
      </c>
      <c r="V46" s="226">
        <f>O46*VLOOKUP($A46,'I | Capex forecast'!$A$11:$AA$160,V$8,0)</f>
        <v>809205.54348768177</v>
      </c>
      <c r="W46" s="226">
        <f>P46*VLOOKUP($A46,'I | Capex forecast'!$A$11:$AA$160,W$8,0)</f>
        <v>0</v>
      </c>
      <c r="X46" s="54">
        <f t="shared" si="13"/>
        <v>809205.54348768177</v>
      </c>
      <c r="Y46" s="53"/>
      <c r="Z46" s="52">
        <f>S46*(HLOOKUP(Z$10,'I | Inflation'!$E$57:$J$59,3,0)-1)</f>
        <v>0</v>
      </c>
      <c r="AA46" s="52">
        <f>T46*(HLOOKUP(AA$10,'I | Inflation'!$E$57:$J$59,3,0)-1)</f>
        <v>0</v>
      </c>
      <c r="AB46" s="52">
        <f>U46*(HLOOKUP(AB$10,'I | Inflation'!$E$57:$J$59,3,0)-1)</f>
        <v>0</v>
      </c>
      <c r="AC46" s="52">
        <f>V46*(HLOOKUP(AC$10,'I | Inflation'!$E$57:$J$59,3,0)-1)</f>
        <v>31745.674922474671</v>
      </c>
      <c r="AD46" s="52">
        <f>W46*(HLOOKUP(AD$10,'I | Inflation'!$E$57:$J$59,3,0)-1)</f>
        <v>0</v>
      </c>
      <c r="AE46" s="54">
        <f t="shared" si="14"/>
        <v>31745.674922474671</v>
      </c>
      <c r="AF46" s="53"/>
      <c r="AG46" s="226">
        <f t="shared" si="15"/>
        <v>0</v>
      </c>
      <c r="AH46" s="226">
        <f t="shared" si="16"/>
        <v>0</v>
      </c>
      <c r="AI46" s="226">
        <f t="shared" si="17"/>
        <v>0</v>
      </c>
      <c r="AJ46" s="226">
        <f t="shared" si="18"/>
        <v>840951.21841015643</v>
      </c>
      <c r="AK46" s="226">
        <f t="shared" si="19"/>
        <v>0</v>
      </c>
      <c r="AL46" s="54">
        <f t="shared" si="20"/>
        <v>840951.21841015643</v>
      </c>
      <c r="AM46" s="53"/>
      <c r="AN46" s="52"/>
      <c r="AO46" s="52"/>
      <c r="AP46" s="52"/>
      <c r="AQ46" s="52"/>
      <c r="AR46" s="52"/>
      <c r="AS46" s="54">
        <f t="shared" si="21"/>
        <v>0</v>
      </c>
      <c r="AT46" s="53"/>
      <c r="AU46" s="52"/>
      <c r="AV46" s="52"/>
      <c r="AW46" s="52"/>
      <c r="AX46" s="52"/>
      <c r="AY46" s="52"/>
      <c r="AZ46" s="54">
        <f t="shared" si="22"/>
        <v>0</v>
      </c>
      <c r="BA46" s="53"/>
      <c r="BB46" s="52"/>
      <c r="BC46" s="52"/>
      <c r="BD46" s="52"/>
      <c r="BE46" s="52"/>
      <c r="BF46" s="52"/>
      <c r="BG46" s="54">
        <f t="shared" si="23"/>
        <v>0</v>
      </c>
      <c r="BH46" s="53"/>
      <c r="BI46" s="52">
        <f>L46*VLOOKUP($A46,'I | Capex forecast'!$A$11:$AA$160,BI$8,0)</f>
        <v>0</v>
      </c>
      <c r="BJ46" s="52">
        <f>M46*VLOOKUP($A46,'I | Capex forecast'!$A$11:$AA$160,BJ$8,0)</f>
        <v>0</v>
      </c>
      <c r="BK46" s="52">
        <f>N46*VLOOKUP($A46,'I | Capex forecast'!$A$11:$AA$160,BK$8,0)</f>
        <v>0</v>
      </c>
      <c r="BL46" s="52">
        <f>O46*VLOOKUP($A46,'I | Capex forecast'!$A$11:$AA$160,BL$8,0)</f>
        <v>189528.14239234454</v>
      </c>
      <c r="BM46" s="52">
        <f>P46*VLOOKUP($A46,'I | Capex forecast'!$A$11:$AA$160,BM$8,0)</f>
        <v>0</v>
      </c>
      <c r="BN46" s="54">
        <f t="shared" si="24"/>
        <v>189528.14239234454</v>
      </c>
      <c r="BO46" s="53"/>
      <c r="BP46" s="52">
        <f t="shared" si="34"/>
        <v>0</v>
      </c>
      <c r="BQ46" s="52">
        <f t="shared" si="35"/>
        <v>0</v>
      </c>
      <c r="BR46" s="52">
        <f t="shared" si="36"/>
        <v>0</v>
      </c>
      <c r="BS46" s="52">
        <f t="shared" si="37"/>
        <v>2327142.0661186473</v>
      </c>
      <c r="BT46" s="52">
        <f t="shared" si="38"/>
        <v>0</v>
      </c>
      <c r="BU46" s="54">
        <f t="shared" si="25"/>
        <v>2327142.0661186473</v>
      </c>
      <c r="BW46" s="52">
        <f t="shared" si="39"/>
        <v>0</v>
      </c>
      <c r="BX46" s="52">
        <f t="shared" si="40"/>
        <v>0</v>
      </c>
      <c r="BY46" s="52">
        <f t="shared" si="41"/>
        <v>0</v>
      </c>
      <c r="BZ46" s="52">
        <f t="shared" si="42"/>
        <v>2327142.0661186473</v>
      </c>
      <c r="CA46" s="52">
        <f t="shared" si="43"/>
        <v>0</v>
      </c>
      <c r="CB46" s="54">
        <f t="shared" si="26"/>
        <v>2327142.0661186473</v>
      </c>
      <c r="CC46" s="53"/>
      <c r="CD46" s="52">
        <f t="shared" si="27"/>
        <v>0</v>
      </c>
      <c r="CE46" s="52">
        <f t="shared" si="28"/>
        <v>0</v>
      </c>
      <c r="CF46" s="52">
        <f t="shared" si="29"/>
        <v>0</v>
      </c>
      <c r="CG46" s="52">
        <f t="shared" si="30"/>
        <v>0</v>
      </c>
      <c r="CH46" s="52">
        <f t="shared" si="31"/>
        <v>0</v>
      </c>
      <c r="CI46" s="54">
        <f t="shared" si="32"/>
        <v>0</v>
      </c>
    </row>
    <row r="47" spans="1:87" s="4" customFormat="1" x14ac:dyDescent="0.3">
      <c r="A47" s="56">
        <v>37</v>
      </c>
      <c r="B47" s="48" t="str">
        <f>IF('I | Capex forecast'!B47="","",'I | Capex forecast'!B47)</f>
        <v>Calibration Tools Improvement</v>
      </c>
      <c r="C47" s="48" t="str">
        <f>IF('I | Capex forecast'!C47="","",'I | Capex forecast'!C47)</f>
        <v>Tools</v>
      </c>
      <c r="D47" s="48" t="str">
        <f>IF('I | Capex forecast'!D47="","",'I | Capex forecast'!D47)</f>
        <v>Calibrators</v>
      </c>
      <c r="E47" s="48" t="str">
        <f>IF('I | Capex forecast'!E47="","",'I | Capex forecast'!E47)</f>
        <v>SIB capex</v>
      </c>
      <c r="F47" s="48" t="str">
        <f>IF('I | Capex forecast'!F47="","",'I | Capex forecast'!F47)</f>
        <v>Replacement</v>
      </c>
      <c r="G47" s="48" t="str">
        <f>IF('I | Capex forecast'!G47="","",'I | Capex forecast'!G47)</f>
        <v>As incurred</v>
      </c>
      <c r="H47" s="48" t="str">
        <f>IF('I | Capex forecast'!H47="","",'I | Capex forecast'!H47)</f>
        <v>FY 26</v>
      </c>
      <c r="I47" s="48" t="str">
        <f>IF('I | Capex forecast'!I47="","",'I | Capex forecast'!I47)</f>
        <v>Mid-year</v>
      </c>
      <c r="J47" s="48" t="str">
        <f>IF('I | Capex forecast'!J47="","",'I | Capex forecast'!J47)</f>
        <v>No</v>
      </c>
      <c r="K47" s="50"/>
      <c r="L47" s="52">
        <f>IFERROR(VLOOKUP($A47,'I | Capex forecast'!$A$11:$AA$160,L$8,0)*INDEX('I | Inflation'!$F$46:$G$49,MATCH($I47,'I | Inflation'!$E$46:$E$49,0),MATCH($H47,'I | Inflation'!$F$45:$G$45,0)),0)</f>
        <v>52646.706220095708</v>
      </c>
      <c r="M47" s="52">
        <f>IFERROR(VLOOKUP($A47,'I | Capex forecast'!$A$11:$AA$160,M$8,0)*INDEX('I | Inflation'!$F$46:$G$49,MATCH($I47,'I | Inflation'!$E$46:$E$49,0),MATCH($H47,'I | Inflation'!$F$45:$G$45,0)),0)</f>
        <v>52646.706220095708</v>
      </c>
      <c r="N47" s="52">
        <f>IFERROR(VLOOKUP($A47,'I | Capex forecast'!$A$11:$AA$160,N$8,0)*INDEX('I | Inflation'!$F$46:$G$49,MATCH($I47,'I | Inflation'!$E$46:$E$49,0),MATCH($H47,'I | Inflation'!$F$45:$G$45,0)),0)</f>
        <v>52646.706220095708</v>
      </c>
      <c r="O47" s="52">
        <f>IFERROR(VLOOKUP($A47,'I | Capex forecast'!$A$11:$AA$160,O$8,0)*INDEX('I | Inflation'!$F$46:$G$49,MATCH($I47,'I | Inflation'!$E$46:$E$49,0),MATCH($H47,'I | Inflation'!$F$45:$G$45,0)),0)</f>
        <v>52646.706220095708</v>
      </c>
      <c r="P47" s="52">
        <f>IFERROR(VLOOKUP($A47,'I | Capex forecast'!$A$11:$AA$160,P$8,0)*INDEX('I | Inflation'!$F$46:$G$49,MATCH($I47,'I | Inflation'!$E$46:$E$49,0),MATCH($H47,'I | Inflation'!$F$45:$G$45,0)),0)</f>
        <v>52646.706220095708</v>
      </c>
      <c r="Q47" s="54">
        <f t="shared" si="33"/>
        <v>263233.53110047855</v>
      </c>
      <c r="R47" s="53"/>
      <c r="S47" s="226">
        <f>L47*VLOOKUP($A47,'I | Capex forecast'!$A$11:$AA$160,S$8,0)</f>
        <v>20230.138587192043</v>
      </c>
      <c r="T47" s="226">
        <f>M47*VLOOKUP($A47,'I | Capex forecast'!$A$11:$AA$160,T$8,0)</f>
        <v>20230.138587192043</v>
      </c>
      <c r="U47" s="226">
        <f>N47*VLOOKUP($A47,'I | Capex forecast'!$A$11:$AA$160,U$8,0)</f>
        <v>20230.138587192043</v>
      </c>
      <c r="V47" s="226">
        <f>O47*VLOOKUP($A47,'I | Capex forecast'!$A$11:$AA$160,V$8,0)</f>
        <v>20230.138587192043</v>
      </c>
      <c r="W47" s="226">
        <f>P47*VLOOKUP($A47,'I | Capex forecast'!$A$11:$AA$160,W$8,0)</f>
        <v>20230.138587192043</v>
      </c>
      <c r="X47" s="54">
        <f t="shared" si="13"/>
        <v>101150.69293596022</v>
      </c>
      <c r="Y47" s="53"/>
      <c r="Z47" s="52">
        <f>S47*(HLOOKUP(Z$10,'I | Inflation'!$E$57:$J$59,3,0)-1)</f>
        <v>276.27071528597139</v>
      </c>
      <c r="AA47" s="52">
        <f>T47*(HLOOKUP(AA$10,'I | Inflation'!$E$57:$J$59,3,0)-1)</f>
        <v>381.44687838529165</v>
      </c>
      <c r="AB47" s="52">
        <f>U47*(HLOOKUP(AB$10,'I | Inflation'!$E$57:$J$59,3,0)-1)</f>
        <v>556.74820497328335</v>
      </c>
      <c r="AC47" s="52">
        <f>V47*(HLOOKUP(AC$10,'I | Inflation'!$E$57:$J$59,3,0)-1)</f>
        <v>793.6418730618667</v>
      </c>
      <c r="AD47" s="52">
        <f>W47*(HLOOKUP(AD$10,'I | Inflation'!$E$57:$J$59,3,0)-1)</f>
        <v>937.25210079721762</v>
      </c>
      <c r="AE47" s="54">
        <f t="shared" si="14"/>
        <v>2945.3597725036307</v>
      </c>
      <c r="AF47" s="53"/>
      <c r="AG47" s="226">
        <f t="shared" si="15"/>
        <v>20506.409302478016</v>
      </c>
      <c r="AH47" s="226">
        <f t="shared" si="16"/>
        <v>20611.585465577333</v>
      </c>
      <c r="AI47" s="226">
        <f t="shared" si="17"/>
        <v>20786.886792165325</v>
      </c>
      <c r="AJ47" s="226">
        <f t="shared" si="18"/>
        <v>21023.780460253911</v>
      </c>
      <c r="AK47" s="226">
        <f t="shared" si="19"/>
        <v>21167.39068798926</v>
      </c>
      <c r="AL47" s="54">
        <f t="shared" si="20"/>
        <v>104096.05270846385</v>
      </c>
      <c r="AM47" s="53"/>
      <c r="AN47" s="52"/>
      <c r="AO47" s="52"/>
      <c r="AP47" s="52"/>
      <c r="AQ47" s="52"/>
      <c r="AR47" s="52"/>
      <c r="AS47" s="54">
        <f t="shared" si="21"/>
        <v>0</v>
      </c>
      <c r="AT47" s="53"/>
      <c r="AU47" s="52"/>
      <c r="AV47" s="52"/>
      <c r="AW47" s="52"/>
      <c r="AX47" s="52"/>
      <c r="AY47" s="52"/>
      <c r="AZ47" s="54">
        <f t="shared" si="22"/>
        <v>0</v>
      </c>
      <c r="BA47" s="53"/>
      <c r="BB47" s="52"/>
      <c r="BC47" s="52"/>
      <c r="BD47" s="52"/>
      <c r="BE47" s="52"/>
      <c r="BF47" s="52"/>
      <c r="BG47" s="54">
        <f t="shared" si="23"/>
        <v>0</v>
      </c>
      <c r="BH47" s="53"/>
      <c r="BI47" s="52">
        <f>L47*VLOOKUP($A47,'I | Capex forecast'!$A$11:$AA$160,BI$8,0)</f>
        <v>4738.2035598086131</v>
      </c>
      <c r="BJ47" s="52">
        <f>M47*VLOOKUP($A47,'I | Capex forecast'!$A$11:$AA$160,BJ$8,0)</f>
        <v>4738.2035598086131</v>
      </c>
      <c r="BK47" s="52">
        <f>N47*VLOOKUP($A47,'I | Capex forecast'!$A$11:$AA$160,BK$8,0)</f>
        <v>4738.2035598086131</v>
      </c>
      <c r="BL47" s="52">
        <f>O47*VLOOKUP($A47,'I | Capex forecast'!$A$11:$AA$160,BL$8,0)</f>
        <v>4738.2035598086131</v>
      </c>
      <c r="BM47" s="52">
        <f>P47*VLOOKUP($A47,'I | Capex forecast'!$A$11:$AA$160,BM$8,0)</f>
        <v>4738.2035598086131</v>
      </c>
      <c r="BN47" s="54">
        <f t="shared" si="24"/>
        <v>23691.017799043067</v>
      </c>
      <c r="BO47" s="53"/>
      <c r="BP47" s="52">
        <f t="shared" si="34"/>
        <v>57661.180495190296</v>
      </c>
      <c r="BQ47" s="52">
        <f t="shared" si="35"/>
        <v>57766.356658289616</v>
      </c>
      <c r="BR47" s="52">
        <f t="shared" si="36"/>
        <v>57941.657984877609</v>
      </c>
      <c r="BS47" s="52">
        <f t="shared" si="37"/>
        <v>58178.551652966191</v>
      </c>
      <c r="BT47" s="52">
        <f t="shared" si="38"/>
        <v>58322.16188070154</v>
      </c>
      <c r="BU47" s="54">
        <f t="shared" si="25"/>
        <v>289869.90867202525</v>
      </c>
      <c r="BW47" s="52">
        <f t="shared" si="39"/>
        <v>57661.180495190296</v>
      </c>
      <c r="BX47" s="52">
        <f t="shared" si="40"/>
        <v>57766.356658289616</v>
      </c>
      <c r="BY47" s="52">
        <f t="shared" si="41"/>
        <v>57941.657984877609</v>
      </c>
      <c r="BZ47" s="52">
        <f t="shared" si="42"/>
        <v>58178.551652966191</v>
      </c>
      <c r="CA47" s="52">
        <f t="shared" si="43"/>
        <v>58322.16188070154</v>
      </c>
      <c r="CB47" s="54">
        <f t="shared" si="26"/>
        <v>289869.90867202525</v>
      </c>
      <c r="CC47" s="53"/>
      <c r="CD47" s="52">
        <f t="shared" si="27"/>
        <v>0</v>
      </c>
      <c r="CE47" s="52">
        <f t="shared" si="28"/>
        <v>0</v>
      </c>
      <c r="CF47" s="52">
        <f t="shared" si="29"/>
        <v>0</v>
      </c>
      <c r="CG47" s="52">
        <f t="shared" si="30"/>
        <v>0</v>
      </c>
      <c r="CH47" s="52">
        <f t="shared" si="31"/>
        <v>0</v>
      </c>
      <c r="CI47" s="54">
        <f t="shared" si="32"/>
        <v>0</v>
      </c>
    </row>
    <row r="48" spans="1:87" s="4" customFormat="1" x14ac:dyDescent="0.3">
      <c r="A48" s="56">
        <v>38</v>
      </c>
      <c r="B48" s="48" t="str">
        <f>IF('I | Capex forecast'!B48="","",'I | Capex forecast'!B48)</f>
        <v>Enhanced Methane Survey</v>
      </c>
      <c r="C48" s="48" t="str">
        <f>IF('I | Capex forecast'!C48="","",'I | Capex forecast'!C48)</f>
        <v>Pipeline Integrity</v>
      </c>
      <c r="D48" s="48" t="str">
        <f>IF('I | Capex forecast'!D48="","",'I | Capex forecast'!D48)</f>
        <v>Enhanced Methane Survey</v>
      </c>
      <c r="E48" s="48" t="str">
        <f>IF('I | Capex forecast'!E48="","",'I | Capex forecast'!E48)</f>
        <v>Pipelines</v>
      </c>
      <c r="F48" s="48" t="str">
        <f>IF('I | Capex forecast'!F48="","",'I | Capex forecast'!F48)</f>
        <v>Replacement</v>
      </c>
      <c r="G48" s="48" t="str">
        <f>IF('I | Capex forecast'!G48="","",'I | Capex forecast'!G48)</f>
        <v>As incurred</v>
      </c>
      <c r="H48" s="48" t="str">
        <f>IF('I | Capex forecast'!H48="","",'I | Capex forecast'!H48)</f>
        <v>FY 26</v>
      </c>
      <c r="I48" s="48" t="str">
        <f>IF('I | Capex forecast'!I48="","",'I | Capex forecast'!I48)</f>
        <v>Mid-year</v>
      </c>
      <c r="J48" s="48" t="str">
        <f>IF('I | Capex forecast'!J48="","",'I | Capex forecast'!J48)</f>
        <v>No</v>
      </c>
      <c r="K48" s="50"/>
      <c r="L48" s="52">
        <f>IFERROR(VLOOKUP($A48,'I | Capex forecast'!$A$11:$AA$160,L$8,0)*INDEX('I | Inflation'!$F$46:$G$49,MATCH($I48,'I | Inflation'!$E$46:$E$49,0),MATCH($H48,'I | Inflation'!$F$45:$G$45,0)),0)</f>
        <v>0</v>
      </c>
      <c r="M48" s="52">
        <f>IFERROR(VLOOKUP($A48,'I | Capex forecast'!$A$11:$AA$160,M$8,0)*INDEX('I | Inflation'!$F$46:$G$49,MATCH($I48,'I | Inflation'!$E$46:$E$49,0),MATCH($H48,'I | Inflation'!$F$45:$G$45,0)),0)</f>
        <v>0</v>
      </c>
      <c r="N48" s="52">
        <f>IFERROR(VLOOKUP($A48,'I | Capex forecast'!$A$11:$AA$160,N$8,0)*INDEX('I | Inflation'!$F$46:$G$49,MATCH($I48,'I | Inflation'!$E$46:$E$49,0),MATCH($H48,'I | Inflation'!$F$45:$G$45,0)),0)</f>
        <v>2632335.3110047854</v>
      </c>
      <c r="O48" s="52">
        <f>IFERROR(VLOOKUP($A48,'I | Capex forecast'!$A$11:$AA$160,O$8,0)*INDEX('I | Inflation'!$F$46:$G$49,MATCH($I48,'I | Inflation'!$E$46:$E$49,0),MATCH($H48,'I | Inflation'!$F$45:$G$45,0)),0)</f>
        <v>0</v>
      </c>
      <c r="P48" s="52">
        <f>IFERROR(VLOOKUP($A48,'I | Capex forecast'!$A$11:$AA$160,P$8,0)*INDEX('I | Inflation'!$F$46:$G$49,MATCH($I48,'I | Inflation'!$E$46:$E$49,0),MATCH($H48,'I | Inflation'!$F$45:$G$45,0)),0)</f>
        <v>0</v>
      </c>
      <c r="Q48" s="54">
        <f t="shared" si="33"/>
        <v>2632335.3110047854</v>
      </c>
      <c r="R48" s="53"/>
      <c r="S48" s="226">
        <f>L48*VLOOKUP($A48,'I | Capex forecast'!$A$11:$AA$160,S$8,0)</f>
        <v>0</v>
      </c>
      <c r="T48" s="226">
        <f>M48*VLOOKUP($A48,'I | Capex forecast'!$A$11:$AA$160,T$8,0)</f>
        <v>0</v>
      </c>
      <c r="U48" s="226">
        <f>N48*VLOOKUP($A48,'I | Capex forecast'!$A$11:$AA$160,U$8,0)</f>
        <v>1011506.9293596022</v>
      </c>
      <c r="V48" s="226">
        <f>O48*VLOOKUP($A48,'I | Capex forecast'!$A$11:$AA$160,V$8,0)</f>
        <v>0</v>
      </c>
      <c r="W48" s="226">
        <f>P48*VLOOKUP($A48,'I | Capex forecast'!$A$11:$AA$160,W$8,0)</f>
        <v>0</v>
      </c>
      <c r="X48" s="54">
        <f t="shared" si="13"/>
        <v>1011506.9293596022</v>
      </c>
      <c r="Y48" s="53"/>
      <c r="Z48" s="52">
        <f>S48*(HLOOKUP(Z$10,'I | Inflation'!$E$57:$J$59,3,0)-1)</f>
        <v>0</v>
      </c>
      <c r="AA48" s="52">
        <f>T48*(HLOOKUP(AA$10,'I | Inflation'!$E$57:$J$59,3,0)-1)</f>
        <v>0</v>
      </c>
      <c r="AB48" s="52">
        <f>U48*(HLOOKUP(AB$10,'I | Inflation'!$E$57:$J$59,3,0)-1)</f>
        <v>27837.410248664168</v>
      </c>
      <c r="AC48" s="52">
        <f>V48*(HLOOKUP(AC$10,'I | Inflation'!$E$57:$J$59,3,0)-1)</f>
        <v>0</v>
      </c>
      <c r="AD48" s="52">
        <f>W48*(HLOOKUP(AD$10,'I | Inflation'!$E$57:$J$59,3,0)-1)</f>
        <v>0</v>
      </c>
      <c r="AE48" s="54">
        <f t="shared" si="14"/>
        <v>27837.410248664168</v>
      </c>
      <c r="AF48" s="53"/>
      <c r="AG48" s="226">
        <f t="shared" si="15"/>
        <v>0</v>
      </c>
      <c r="AH48" s="226">
        <f t="shared" si="16"/>
        <v>0</v>
      </c>
      <c r="AI48" s="226">
        <f t="shared" si="17"/>
        <v>1039344.3396082664</v>
      </c>
      <c r="AJ48" s="226">
        <f t="shared" si="18"/>
        <v>0</v>
      </c>
      <c r="AK48" s="226">
        <f t="shared" si="19"/>
        <v>0</v>
      </c>
      <c r="AL48" s="54">
        <f t="shared" si="20"/>
        <v>1039344.3396082664</v>
      </c>
      <c r="AM48" s="53"/>
      <c r="AN48" s="52"/>
      <c r="AO48" s="52"/>
      <c r="AP48" s="52"/>
      <c r="AQ48" s="52"/>
      <c r="AR48" s="52"/>
      <c r="AS48" s="54">
        <f t="shared" si="21"/>
        <v>0</v>
      </c>
      <c r="AT48" s="53"/>
      <c r="AU48" s="52"/>
      <c r="AV48" s="52"/>
      <c r="AW48" s="52"/>
      <c r="AX48" s="52"/>
      <c r="AY48" s="52"/>
      <c r="AZ48" s="54">
        <f t="shared" si="22"/>
        <v>0</v>
      </c>
      <c r="BA48" s="53"/>
      <c r="BB48" s="52"/>
      <c r="BC48" s="52"/>
      <c r="BD48" s="52"/>
      <c r="BE48" s="52"/>
      <c r="BF48" s="52"/>
      <c r="BG48" s="54">
        <f t="shared" si="23"/>
        <v>0</v>
      </c>
      <c r="BH48" s="53"/>
      <c r="BI48" s="52">
        <f>L48*VLOOKUP($A48,'I | Capex forecast'!$A$11:$AA$160,BI$8,0)</f>
        <v>0</v>
      </c>
      <c r="BJ48" s="52">
        <f>M48*VLOOKUP($A48,'I | Capex forecast'!$A$11:$AA$160,BJ$8,0)</f>
        <v>0</v>
      </c>
      <c r="BK48" s="52">
        <f>N48*VLOOKUP($A48,'I | Capex forecast'!$A$11:$AA$160,BK$8,0)</f>
        <v>236910.17799043067</v>
      </c>
      <c r="BL48" s="52">
        <f>O48*VLOOKUP($A48,'I | Capex forecast'!$A$11:$AA$160,BL$8,0)</f>
        <v>0</v>
      </c>
      <c r="BM48" s="52">
        <f>P48*VLOOKUP($A48,'I | Capex forecast'!$A$11:$AA$160,BM$8,0)</f>
        <v>0</v>
      </c>
      <c r="BN48" s="54">
        <f t="shared" si="24"/>
        <v>236910.17799043067</v>
      </c>
      <c r="BO48" s="53"/>
      <c r="BP48" s="52">
        <f t="shared" si="34"/>
        <v>0</v>
      </c>
      <c r="BQ48" s="52">
        <f t="shared" si="35"/>
        <v>0</v>
      </c>
      <c r="BR48" s="52">
        <f t="shared" si="36"/>
        <v>2897082.8992438801</v>
      </c>
      <c r="BS48" s="52">
        <f t="shared" si="37"/>
        <v>0</v>
      </c>
      <c r="BT48" s="52">
        <f t="shared" si="38"/>
        <v>0</v>
      </c>
      <c r="BU48" s="54">
        <f t="shared" si="25"/>
        <v>2897082.8992438801</v>
      </c>
      <c r="BW48" s="52">
        <f t="shared" si="39"/>
        <v>0</v>
      </c>
      <c r="BX48" s="52">
        <f t="shared" si="40"/>
        <v>0</v>
      </c>
      <c r="BY48" s="52">
        <f t="shared" si="41"/>
        <v>2897082.8992438801</v>
      </c>
      <c r="BZ48" s="52">
        <f t="shared" si="42"/>
        <v>0</v>
      </c>
      <c r="CA48" s="52">
        <f t="shared" si="43"/>
        <v>0</v>
      </c>
      <c r="CB48" s="54">
        <f t="shared" si="26"/>
        <v>2897082.8992438801</v>
      </c>
      <c r="CC48" s="53"/>
      <c r="CD48" s="52">
        <f t="shared" si="27"/>
        <v>0</v>
      </c>
      <c r="CE48" s="52">
        <f t="shared" si="28"/>
        <v>0</v>
      </c>
      <c r="CF48" s="52">
        <f t="shared" si="29"/>
        <v>0</v>
      </c>
      <c r="CG48" s="52">
        <f t="shared" si="30"/>
        <v>0</v>
      </c>
      <c r="CH48" s="52">
        <f t="shared" si="31"/>
        <v>0</v>
      </c>
      <c r="CI48" s="54">
        <f t="shared" si="32"/>
        <v>0</v>
      </c>
    </row>
    <row r="49" spans="1:87" s="4" customFormat="1" x14ac:dyDescent="0.3">
      <c r="A49" s="56">
        <v>39</v>
      </c>
      <c r="B49" s="48" t="str">
        <f>IF('I | Capex forecast'!B49="","",'I | Capex forecast'!B49)</f>
        <v>Minor Projects</v>
      </c>
      <c r="C49" s="48" t="str">
        <f>IF('I | Capex forecast'!C49="","",'I | Capex forecast'!C49)</f>
        <v>SIB</v>
      </c>
      <c r="D49" s="48" t="str">
        <f>IF('I | Capex forecast'!D49="","",'I | Capex forecast'!D49)</f>
        <v>SIB</v>
      </c>
      <c r="E49" s="48" t="str">
        <f>IF('I | Capex forecast'!E49="","",'I | Capex forecast'!E49)</f>
        <v>SIB Capex</v>
      </c>
      <c r="F49" s="48" t="str">
        <f>IF('I | Capex forecast'!F49="","",'I | Capex forecast'!F49)</f>
        <v>Replacement</v>
      </c>
      <c r="G49" s="48" t="str">
        <f>IF('I | Capex forecast'!G49="","",'I | Capex forecast'!G49)</f>
        <v>As incurred</v>
      </c>
      <c r="H49" s="48" t="str">
        <f>IF('I | Capex forecast'!H49="","",'I | Capex forecast'!H49)</f>
        <v>FY 27</v>
      </c>
      <c r="I49" s="48" t="str">
        <f>IF('I | Capex forecast'!I49="","",'I | Capex forecast'!I49)</f>
        <v>Mid-year</v>
      </c>
      <c r="J49" s="48" t="str">
        <f>IF('I | Capex forecast'!J49="","",'I | Capex forecast'!J49)</f>
        <v>No</v>
      </c>
      <c r="K49" s="50"/>
      <c r="L49" s="52">
        <f>IFERROR(VLOOKUP($A49,'I | Capex forecast'!$A$11:$AA$160,L$8,0)*INDEX('I | Inflation'!$F$46:$G$49,MATCH($I49,'I | Inflation'!$E$46:$E$49,0),MATCH($H49,'I | Inflation'!$F$45:$G$45,0)),0)</f>
        <v>338586.91108109639</v>
      </c>
      <c r="M49" s="52">
        <f>IFERROR(VLOOKUP($A49,'I | Capex forecast'!$A$11:$AA$160,M$8,0)*INDEX('I | Inflation'!$F$46:$G$49,MATCH($I49,'I | Inflation'!$E$46:$E$49,0),MATCH($H49,'I | Inflation'!$F$45:$G$45,0)),0)</f>
        <v>338586.91108109639</v>
      </c>
      <c r="N49" s="52">
        <f>IFERROR(VLOOKUP($A49,'I | Capex forecast'!$A$11:$AA$160,N$8,0)*INDEX('I | Inflation'!$F$46:$G$49,MATCH($I49,'I | Inflation'!$E$46:$E$49,0),MATCH($H49,'I | Inflation'!$F$45:$G$45,0)),0)</f>
        <v>338586.91108109639</v>
      </c>
      <c r="O49" s="52">
        <f>IFERROR(VLOOKUP($A49,'I | Capex forecast'!$A$11:$AA$160,O$8,0)*INDEX('I | Inflation'!$F$46:$G$49,MATCH($I49,'I | Inflation'!$E$46:$E$49,0),MATCH($H49,'I | Inflation'!$F$45:$G$45,0)),0)</f>
        <v>338586.91108109639</v>
      </c>
      <c r="P49" s="52">
        <f>IFERROR(VLOOKUP($A49,'I | Capex forecast'!$A$11:$AA$160,P$8,0)*INDEX('I | Inflation'!$F$46:$G$49,MATCH($I49,'I | Inflation'!$E$46:$E$49,0),MATCH($H49,'I | Inflation'!$F$45:$G$45,0)),0)</f>
        <v>338586.91108109639</v>
      </c>
      <c r="Q49" s="54">
        <f t="shared" si="33"/>
        <v>1692934.555405482</v>
      </c>
      <c r="R49" s="53"/>
      <c r="S49" s="226">
        <f>L49*VLOOKUP($A49,'I | Capex forecast'!$A$11:$AA$160,S$8,0)</f>
        <v>0</v>
      </c>
      <c r="T49" s="226">
        <f>M49*VLOOKUP($A49,'I | Capex forecast'!$A$11:$AA$160,T$8,0)</f>
        <v>0</v>
      </c>
      <c r="U49" s="226">
        <f>N49*VLOOKUP($A49,'I | Capex forecast'!$A$11:$AA$160,U$8,0)</f>
        <v>0</v>
      </c>
      <c r="V49" s="226">
        <f>O49*VLOOKUP($A49,'I | Capex forecast'!$A$11:$AA$160,V$8,0)</f>
        <v>0</v>
      </c>
      <c r="W49" s="226">
        <f>P49*VLOOKUP($A49,'I | Capex forecast'!$A$11:$AA$160,W$8,0)</f>
        <v>0</v>
      </c>
      <c r="X49" s="54">
        <f t="shared" si="13"/>
        <v>0</v>
      </c>
      <c r="Y49" s="53"/>
      <c r="Z49" s="52">
        <f>S49*(HLOOKUP(Z$10,'I | Inflation'!$E$57:$J$59,3,0)-1)</f>
        <v>0</v>
      </c>
      <c r="AA49" s="52">
        <f>T49*(HLOOKUP(AA$10,'I | Inflation'!$E$57:$J$59,3,0)-1)</f>
        <v>0</v>
      </c>
      <c r="AB49" s="52">
        <f>U49*(HLOOKUP(AB$10,'I | Inflation'!$E$57:$J$59,3,0)-1)</f>
        <v>0</v>
      </c>
      <c r="AC49" s="52">
        <f>V49*(HLOOKUP(AC$10,'I | Inflation'!$E$57:$J$59,3,0)-1)</f>
        <v>0</v>
      </c>
      <c r="AD49" s="52">
        <f>W49*(HLOOKUP(AD$10,'I | Inflation'!$E$57:$J$59,3,0)-1)</f>
        <v>0</v>
      </c>
      <c r="AE49" s="54">
        <f t="shared" si="14"/>
        <v>0</v>
      </c>
      <c r="AF49" s="53"/>
      <c r="AG49" s="226">
        <f t="shared" si="15"/>
        <v>0</v>
      </c>
      <c r="AH49" s="226">
        <f t="shared" si="16"/>
        <v>0</v>
      </c>
      <c r="AI49" s="226">
        <f t="shared" si="17"/>
        <v>0</v>
      </c>
      <c r="AJ49" s="226">
        <f t="shared" si="18"/>
        <v>0</v>
      </c>
      <c r="AK49" s="226">
        <f t="shared" si="19"/>
        <v>0</v>
      </c>
      <c r="AL49" s="54">
        <f t="shared" si="20"/>
        <v>0</v>
      </c>
      <c r="AM49" s="53"/>
      <c r="AN49" s="52"/>
      <c r="AO49" s="52"/>
      <c r="AP49" s="52"/>
      <c r="AQ49" s="52"/>
      <c r="AR49" s="52"/>
      <c r="AS49" s="54">
        <f t="shared" si="21"/>
        <v>0</v>
      </c>
      <c r="AT49" s="53"/>
      <c r="AU49" s="52"/>
      <c r="AV49" s="52"/>
      <c r="AW49" s="52"/>
      <c r="AX49" s="52"/>
      <c r="AY49" s="52"/>
      <c r="AZ49" s="54">
        <f t="shared" si="22"/>
        <v>0</v>
      </c>
      <c r="BA49" s="53"/>
      <c r="BB49" s="52"/>
      <c r="BC49" s="52"/>
      <c r="BD49" s="52"/>
      <c r="BE49" s="52"/>
      <c r="BF49" s="52"/>
      <c r="BG49" s="54">
        <f t="shared" si="23"/>
        <v>0</v>
      </c>
      <c r="BH49" s="53"/>
      <c r="BI49" s="52">
        <f>L49*VLOOKUP($A49,'I | Capex forecast'!$A$11:$AA$160,BI$8,0)</f>
        <v>30472.821997298674</v>
      </c>
      <c r="BJ49" s="52">
        <f>M49*VLOOKUP($A49,'I | Capex forecast'!$A$11:$AA$160,BJ$8,0)</f>
        <v>30472.821997298674</v>
      </c>
      <c r="BK49" s="52">
        <f>N49*VLOOKUP($A49,'I | Capex forecast'!$A$11:$AA$160,BK$8,0)</f>
        <v>30472.821997298674</v>
      </c>
      <c r="BL49" s="52">
        <f>O49*VLOOKUP($A49,'I | Capex forecast'!$A$11:$AA$160,BL$8,0)</f>
        <v>30472.821997298674</v>
      </c>
      <c r="BM49" s="52">
        <f>P49*VLOOKUP($A49,'I | Capex forecast'!$A$11:$AA$160,BM$8,0)</f>
        <v>30472.821997298674</v>
      </c>
      <c r="BN49" s="54">
        <f t="shared" si="24"/>
        <v>152364.10998649336</v>
      </c>
      <c r="BO49" s="53"/>
      <c r="BP49" s="52">
        <f t="shared" si="34"/>
        <v>369059.73307839507</v>
      </c>
      <c r="BQ49" s="52">
        <f t="shared" si="35"/>
        <v>369059.73307839507</v>
      </c>
      <c r="BR49" s="52">
        <f t="shared" si="36"/>
        <v>369059.73307839507</v>
      </c>
      <c r="BS49" s="52">
        <f t="shared" si="37"/>
        <v>369059.73307839507</v>
      </c>
      <c r="BT49" s="52">
        <f t="shared" si="38"/>
        <v>369059.73307839507</v>
      </c>
      <c r="BU49" s="54">
        <f t="shared" si="25"/>
        <v>1845298.6653919753</v>
      </c>
      <c r="BW49" s="52">
        <f t="shared" si="39"/>
        <v>369059.73307839507</v>
      </c>
      <c r="BX49" s="52">
        <f t="shared" si="40"/>
        <v>369059.73307839507</v>
      </c>
      <c r="BY49" s="52">
        <f t="shared" si="41"/>
        <v>369059.73307839507</v>
      </c>
      <c r="BZ49" s="52">
        <f t="shared" si="42"/>
        <v>369059.73307839507</v>
      </c>
      <c r="CA49" s="52">
        <f t="shared" si="43"/>
        <v>369059.73307839507</v>
      </c>
      <c r="CB49" s="54">
        <f t="shared" si="26"/>
        <v>1845298.6653919753</v>
      </c>
      <c r="CC49" s="53"/>
      <c r="CD49" s="52">
        <f t="shared" si="27"/>
        <v>0</v>
      </c>
      <c r="CE49" s="52">
        <f t="shared" si="28"/>
        <v>0</v>
      </c>
      <c r="CF49" s="52">
        <f t="shared" si="29"/>
        <v>0</v>
      </c>
      <c r="CG49" s="52">
        <f t="shared" si="30"/>
        <v>0</v>
      </c>
      <c r="CH49" s="52">
        <f t="shared" si="31"/>
        <v>0</v>
      </c>
      <c r="CI49" s="54">
        <f t="shared" si="32"/>
        <v>0</v>
      </c>
    </row>
    <row r="50" spans="1:87" s="4" customFormat="1" x14ac:dyDescent="0.3">
      <c r="A50" s="56">
        <v>40</v>
      </c>
      <c r="B50" s="48" t="str">
        <f>IF('I | Capex forecast'!B50="","",'I | Capex forecast'!B50)</f>
        <v>Corporate</v>
      </c>
      <c r="C50" s="48" t="str">
        <f>IF('I | Capex forecast'!C50="","",'I | Capex forecast'!C50)</f>
        <v>Corporate</v>
      </c>
      <c r="D50" s="48" t="str">
        <f>IF('I | Capex forecast'!D50="","",'I | Capex forecast'!D50)</f>
        <v>Corporate</v>
      </c>
      <c r="E50" s="48" t="str">
        <f>IF('I | Capex forecast'!E50="","",'I | Capex forecast'!E50)</f>
        <v>SIB Capex</v>
      </c>
      <c r="F50" s="48" t="str">
        <f>IF('I | Capex forecast'!F50="","",'I | Capex forecast'!F50)</f>
        <v>Non-network</v>
      </c>
      <c r="G50" s="48" t="str">
        <f>IF('I | Capex forecast'!G50="","",'I | Capex forecast'!G50)</f>
        <v>As incurred</v>
      </c>
      <c r="H50" s="48" t="str">
        <f>IF('I | Capex forecast'!H50="","",'I | Capex forecast'!H50)</f>
        <v>FY 27</v>
      </c>
      <c r="I50" s="48" t="str">
        <f>IF('I | Capex forecast'!I50="","",'I | Capex forecast'!I50)</f>
        <v>Mid-year</v>
      </c>
      <c r="J50" s="48" t="str">
        <f>IF('I | Capex forecast'!J50="","",'I | Capex forecast'!J50)</f>
        <v>Yes</v>
      </c>
      <c r="K50" s="50"/>
      <c r="L50" s="52">
        <f>IFERROR(VLOOKUP($A50,'I | Capex forecast'!$A$11:$AA$160,L$8,0)*INDEX('I | Inflation'!$F$46:$G$49,MATCH($I50,'I | Inflation'!$E$46:$E$49,0),MATCH($H50,'I | Inflation'!$F$45:$G$45,0)),0)</f>
        <v>148266.15332976056</v>
      </c>
      <c r="M50" s="52">
        <f>IFERROR(VLOOKUP($A50,'I | Capex forecast'!$A$11:$AA$160,M$8,0)*INDEX('I | Inflation'!$F$46:$G$49,MATCH($I50,'I | Inflation'!$E$46:$E$49,0),MATCH($H50,'I | Inflation'!$F$45:$G$45,0)),0)</f>
        <v>148266.15332976056</v>
      </c>
      <c r="N50" s="52">
        <f>IFERROR(VLOOKUP($A50,'I | Capex forecast'!$A$11:$AA$160,N$8,0)*INDEX('I | Inflation'!$F$46:$G$49,MATCH($I50,'I | Inflation'!$E$46:$E$49,0),MATCH($H50,'I | Inflation'!$F$45:$G$45,0)),0)</f>
        <v>148266.15332976056</v>
      </c>
      <c r="O50" s="52">
        <f>IFERROR(VLOOKUP($A50,'I | Capex forecast'!$A$11:$AA$160,O$8,0)*INDEX('I | Inflation'!$F$46:$G$49,MATCH($I50,'I | Inflation'!$E$46:$E$49,0),MATCH($H50,'I | Inflation'!$F$45:$G$45,0)),0)</f>
        <v>148266.15332976056</v>
      </c>
      <c r="P50" s="52">
        <f>IFERROR(VLOOKUP($A50,'I | Capex forecast'!$A$11:$AA$160,P$8,0)*INDEX('I | Inflation'!$F$46:$G$49,MATCH($I50,'I | Inflation'!$E$46:$E$49,0),MATCH($H50,'I | Inflation'!$F$45:$G$45,0)),0)</f>
        <v>148266.15332976056</v>
      </c>
      <c r="Q50" s="54">
        <f t="shared" si="33"/>
        <v>741330.76664880279</v>
      </c>
      <c r="R50" s="53"/>
      <c r="S50" s="226">
        <f>L50*VLOOKUP($A50,'I | Capex forecast'!$A$11:$AA$160,S$8,0)</f>
        <v>0</v>
      </c>
      <c r="T50" s="226">
        <f>M50*VLOOKUP($A50,'I | Capex forecast'!$A$11:$AA$160,T$8,0)</f>
        <v>0</v>
      </c>
      <c r="U50" s="226">
        <f>N50*VLOOKUP($A50,'I | Capex forecast'!$A$11:$AA$160,U$8,0)</f>
        <v>0</v>
      </c>
      <c r="V50" s="226">
        <f>O50*VLOOKUP($A50,'I | Capex forecast'!$A$11:$AA$160,V$8,0)</f>
        <v>0</v>
      </c>
      <c r="W50" s="226">
        <f>P50*VLOOKUP($A50,'I | Capex forecast'!$A$11:$AA$160,W$8,0)</f>
        <v>0</v>
      </c>
      <c r="X50" s="54">
        <f t="shared" si="13"/>
        <v>0</v>
      </c>
      <c r="Y50" s="53"/>
      <c r="Z50" s="52">
        <f>S50*(HLOOKUP(Z$10,'I | Inflation'!$E$57:$J$59,3,0)-1)</f>
        <v>0</v>
      </c>
      <c r="AA50" s="52">
        <f>T50*(HLOOKUP(AA$10,'I | Inflation'!$E$57:$J$59,3,0)-1)</f>
        <v>0</v>
      </c>
      <c r="AB50" s="52">
        <f>U50*(HLOOKUP(AB$10,'I | Inflation'!$E$57:$J$59,3,0)-1)</f>
        <v>0</v>
      </c>
      <c r="AC50" s="52">
        <f>V50*(HLOOKUP(AC$10,'I | Inflation'!$E$57:$J$59,3,0)-1)</f>
        <v>0</v>
      </c>
      <c r="AD50" s="52">
        <f>W50*(HLOOKUP(AD$10,'I | Inflation'!$E$57:$J$59,3,0)-1)</f>
        <v>0</v>
      </c>
      <c r="AE50" s="54">
        <f t="shared" si="14"/>
        <v>0</v>
      </c>
      <c r="AF50" s="53"/>
      <c r="AG50" s="226">
        <f t="shared" si="15"/>
        <v>0</v>
      </c>
      <c r="AH50" s="226">
        <f t="shared" si="16"/>
        <v>0</v>
      </c>
      <c r="AI50" s="226">
        <f t="shared" si="17"/>
        <v>0</v>
      </c>
      <c r="AJ50" s="226">
        <f t="shared" si="18"/>
        <v>0</v>
      </c>
      <c r="AK50" s="226">
        <f t="shared" si="19"/>
        <v>0</v>
      </c>
      <c r="AL50" s="54">
        <f t="shared" si="20"/>
        <v>0</v>
      </c>
      <c r="AM50" s="53"/>
      <c r="AN50" s="52"/>
      <c r="AO50" s="52"/>
      <c r="AP50" s="52"/>
      <c r="AQ50" s="52"/>
      <c r="AR50" s="52"/>
      <c r="AS50" s="54">
        <f t="shared" si="21"/>
        <v>0</v>
      </c>
      <c r="AT50" s="53"/>
      <c r="AU50" s="52"/>
      <c r="AV50" s="52"/>
      <c r="AW50" s="52"/>
      <c r="AX50" s="52"/>
      <c r="AY50" s="52"/>
      <c r="AZ50" s="54">
        <f t="shared" si="22"/>
        <v>0</v>
      </c>
      <c r="BA50" s="53"/>
      <c r="BB50" s="52"/>
      <c r="BC50" s="52"/>
      <c r="BD50" s="52"/>
      <c r="BE50" s="52"/>
      <c r="BF50" s="52"/>
      <c r="BG50" s="54">
        <f t="shared" si="23"/>
        <v>0</v>
      </c>
      <c r="BH50" s="53"/>
      <c r="BI50" s="52">
        <f>L50*VLOOKUP($A50,'I | Capex forecast'!$A$11:$AA$160,BI$8,0)</f>
        <v>13343.953799678451</v>
      </c>
      <c r="BJ50" s="52">
        <f>M50*VLOOKUP($A50,'I | Capex forecast'!$A$11:$AA$160,BJ$8,0)</f>
        <v>13343.953799678451</v>
      </c>
      <c r="BK50" s="52">
        <f>N50*VLOOKUP($A50,'I | Capex forecast'!$A$11:$AA$160,BK$8,0)</f>
        <v>13343.953799678451</v>
      </c>
      <c r="BL50" s="52">
        <f>O50*VLOOKUP($A50,'I | Capex forecast'!$A$11:$AA$160,BL$8,0)</f>
        <v>13343.953799678451</v>
      </c>
      <c r="BM50" s="52">
        <f>P50*VLOOKUP($A50,'I | Capex forecast'!$A$11:$AA$160,BM$8,0)</f>
        <v>13343.953799678451</v>
      </c>
      <c r="BN50" s="54">
        <f t="shared" si="24"/>
        <v>66719.768998392261</v>
      </c>
      <c r="BO50" s="53"/>
      <c r="BP50" s="52">
        <f t="shared" si="34"/>
        <v>161610.10712943901</v>
      </c>
      <c r="BQ50" s="52">
        <f t="shared" si="35"/>
        <v>161610.10712943901</v>
      </c>
      <c r="BR50" s="52">
        <f t="shared" si="36"/>
        <v>161610.10712943901</v>
      </c>
      <c r="BS50" s="52">
        <f t="shared" si="37"/>
        <v>161610.10712943901</v>
      </c>
      <c r="BT50" s="52">
        <f t="shared" si="38"/>
        <v>161610.10712943901</v>
      </c>
      <c r="BU50" s="54">
        <f t="shared" si="25"/>
        <v>808050.53564719507</v>
      </c>
      <c r="BW50" s="52">
        <f t="shared" si="39"/>
        <v>161610.10712943901</v>
      </c>
      <c r="BX50" s="52">
        <f t="shared" si="40"/>
        <v>161610.10712943901</v>
      </c>
      <c r="BY50" s="52">
        <f t="shared" si="41"/>
        <v>161610.10712943901</v>
      </c>
      <c r="BZ50" s="52">
        <f t="shared" si="42"/>
        <v>161610.10712943901</v>
      </c>
      <c r="CA50" s="52">
        <f t="shared" si="43"/>
        <v>161610.10712943901</v>
      </c>
      <c r="CB50" s="54">
        <f t="shared" si="26"/>
        <v>808050.53564719507</v>
      </c>
      <c r="CC50" s="53"/>
      <c r="CD50" s="52">
        <f t="shared" si="27"/>
        <v>161610.10712943901</v>
      </c>
      <c r="CE50" s="52">
        <f t="shared" si="28"/>
        <v>161610.10712943901</v>
      </c>
      <c r="CF50" s="52">
        <f t="shared" si="29"/>
        <v>161610.10712943901</v>
      </c>
      <c r="CG50" s="52">
        <f t="shared" si="30"/>
        <v>161610.10712943901</v>
      </c>
      <c r="CH50" s="52">
        <f t="shared" si="31"/>
        <v>161610.10712943901</v>
      </c>
      <c r="CI50" s="54">
        <f t="shared" si="32"/>
        <v>808050.53564719507</v>
      </c>
    </row>
    <row r="51" spans="1:87" s="4" customFormat="1" x14ac:dyDescent="0.3">
      <c r="A51" s="56">
        <v>41</v>
      </c>
      <c r="B51" s="48" t="str">
        <f>IF('I | Capex forecast'!B51="","",'I | Capex forecast'!B51)</f>
        <v>Group IT</v>
      </c>
      <c r="C51" s="48" t="str">
        <f>IF('I | Capex forecast'!C51="","",'I | Capex forecast'!C51)</f>
        <v>Group IT</v>
      </c>
      <c r="D51" s="48" t="str">
        <f>IF('I | Capex forecast'!D51="","",'I | Capex forecast'!D51)</f>
        <v>Group IT</v>
      </c>
      <c r="E51" s="48" t="str">
        <f>IF('I | Capex forecast'!E51="","",'I | Capex forecast'!E51)</f>
        <v>Group IT</v>
      </c>
      <c r="F51" s="48" t="str">
        <f>IF('I | Capex forecast'!F51="","",'I | Capex forecast'!F51)</f>
        <v>Non-network</v>
      </c>
      <c r="G51" s="48" t="str">
        <f>IF('I | Capex forecast'!G51="","",'I | Capex forecast'!G51)</f>
        <v>As incurred</v>
      </c>
      <c r="H51" s="48" t="str">
        <f>IF('I | Capex forecast'!H51="","",'I | Capex forecast'!H51)</f>
        <v>FY 27</v>
      </c>
      <c r="I51" s="48" t="str">
        <f>IF('I | Capex forecast'!I51="","",'I | Capex forecast'!I51)</f>
        <v>Mid-year</v>
      </c>
      <c r="J51" s="48" t="str">
        <f>IF('I | Capex forecast'!J51="","",'I | Capex forecast'!J51)</f>
        <v>Yes</v>
      </c>
      <c r="K51" s="50"/>
      <c r="L51" s="52">
        <f>IFERROR(VLOOKUP($A51,'I | Capex forecast'!$A$11:$AA$160,L$8,0)*INDEX('I | Inflation'!$F$46:$G$49,MATCH($I51,'I | Inflation'!$E$46:$E$49,0),MATCH($H51,'I | Inflation'!$F$45:$G$45,0)),0)</f>
        <v>606419.88040198013</v>
      </c>
      <c r="M51" s="52">
        <f>IFERROR(VLOOKUP($A51,'I | Capex forecast'!$A$11:$AA$160,M$8,0)*INDEX('I | Inflation'!$F$46:$G$49,MATCH($I51,'I | Inflation'!$E$46:$E$49,0),MATCH($H51,'I | Inflation'!$F$45:$G$45,0)),0)</f>
        <v>606419.88040198013</v>
      </c>
      <c r="N51" s="52">
        <f>IFERROR(VLOOKUP($A51,'I | Capex forecast'!$A$11:$AA$160,N$8,0)*INDEX('I | Inflation'!$F$46:$G$49,MATCH($I51,'I | Inflation'!$E$46:$E$49,0),MATCH($H51,'I | Inflation'!$F$45:$G$45,0)),0)</f>
        <v>606419.88040198013</v>
      </c>
      <c r="O51" s="52">
        <f>IFERROR(VLOOKUP($A51,'I | Capex forecast'!$A$11:$AA$160,O$8,0)*INDEX('I | Inflation'!$F$46:$G$49,MATCH($I51,'I | Inflation'!$E$46:$E$49,0),MATCH($H51,'I | Inflation'!$F$45:$G$45,0)),0)</f>
        <v>606419.88040198013</v>
      </c>
      <c r="P51" s="52">
        <f>IFERROR(VLOOKUP($A51,'I | Capex forecast'!$A$11:$AA$160,P$8,0)*INDEX('I | Inflation'!$F$46:$G$49,MATCH($I51,'I | Inflation'!$E$46:$E$49,0),MATCH($H51,'I | Inflation'!$F$45:$G$45,0)),0)</f>
        <v>606419.88040198013</v>
      </c>
      <c r="Q51" s="54">
        <f t="shared" si="33"/>
        <v>3032099.4020099007</v>
      </c>
      <c r="R51" s="53"/>
      <c r="S51" s="226">
        <f>L51*VLOOKUP($A51,'I | Capex forecast'!$A$11:$AA$160,S$8,0)</f>
        <v>0</v>
      </c>
      <c r="T51" s="226">
        <f>M51*VLOOKUP($A51,'I | Capex forecast'!$A$11:$AA$160,T$8,0)</f>
        <v>0</v>
      </c>
      <c r="U51" s="226">
        <f>N51*VLOOKUP($A51,'I | Capex forecast'!$A$11:$AA$160,U$8,0)</f>
        <v>0</v>
      </c>
      <c r="V51" s="226">
        <f>O51*VLOOKUP($A51,'I | Capex forecast'!$A$11:$AA$160,V$8,0)</f>
        <v>0</v>
      </c>
      <c r="W51" s="226">
        <f>P51*VLOOKUP($A51,'I | Capex forecast'!$A$11:$AA$160,W$8,0)</f>
        <v>0</v>
      </c>
      <c r="X51" s="54">
        <f t="shared" si="13"/>
        <v>0</v>
      </c>
      <c r="Y51" s="53"/>
      <c r="Z51" s="52">
        <f>S51*(HLOOKUP(Z$10,'I | Inflation'!$E$57:$J$59,3,0)-1)</f>
        <v>0</v>
      </c>
      <c r="AA51" s="52">
        <f>T51*(HLOOKUP(AA$10,'I | Inflation'!$E$57:$J$59,3,0)-1)</f>
        <v>0</v>
      </c>
      <c r="AB51" s="52">
        <f>U51*(HLOOKUP(AB$10,'I | Inflation'!$E$57:$J$59,3,0)-1)</f>
        <v>0</v>
      </c>
      <c r="AC51" s="52">
        <f>V51*(HLOOKUP(AC$10,'I | Inflation'!$E$57:$J$59,3,0)-1)</f>
        <v>0</v>
      </c>
      <c r="AD51" s="52">
        <f>W51*(HLOOKUP(AD$10,'I | Inflation'!$E$57:$J$59,3,0)-1)</f>
        <v>0</v>
      </c>
      <c r="AE51" s="54">
        <f t="shared" si="14"/>
        <v>0</v>
      </c>
      <c r="AF51" s="53"/>
      <c r="AG51" s="226">
        <f t="shared" si="15"/>
        <v>0</v>
      </c>
      <c r="AH51" s="226">
        <f t="shared" si="16"/>
        <v>0</v>
      </c>
      <c r="AI51" s="226">
        <f t="shared" si="17"/>
        <v>0</v>
      </c>
      <c r="AJ51" s="226">
        <f t="shared" si="18"/>
        <v>0</v>
      </c>
      <c r="AK51" s="226">
        <f t="shared" si="19"/>
        <v>0</v>
      </c>
      <c r="AL51" s="54">
        <f t="shared" si="20"/>
        <v>0</v>
      </c>
      <c r="AM51" s="53"/>
      <c r="AN51" s="52"/>
      <c r="AO51" s="52"/>
      <c r="AP51" s="52"/>
      <c r="AQ51" s="52"/>
      <c r="AR51" s="52"/>
      <c r="AS51" s="54">
        <f t="shared" si="21"/>
        <v>0</v>
      </c>
      <c r="AT51" s="53"/>
      <c r="AU51" s="52"/>
      <c r="AV51" s="52"/>
      <c r="AW51" s="52"/>
      <c r="AX51" s="52"/>
      <c r="AY51" s="52"/>
      <c r="AZ51" s="54">
        <f t="shared" si="22"/>
        <v>0</v>
      </c>
      <c r="BA51" s="53"/>
      <c r="BB51" s="52"/>
      <c r="BC51" s="52"/>
      <c r="BD51" s="52"/>
      <c r="BE51" s="52"/>
      <c r="BF51" s="52"/>
      <c r="BG51" s="54">
        <f t="shared" si="23"/>
        <v>0</v>
      </c>
      <c r="BH51" s="53"/>
      <c r="BI51" s="52">
        <f>L51*VLOOKUP($A51,'I | Capex forecast'!$A$11:$AA$160,BI$8,0)</f>
        <v>54577.789236178207</v>
      </c>
      <c r="BJ51" s="52">
        <f>M51*VLOOKUP($A51,'I | Capex forecast'!$A$11:$AA$160,BJ$8,0)</f>
        <v>54577.789236178207</v>
      </c>
      <c r="BK51" s="52">
        <f>N51*VLOOKUP($A51,'I | Capex forecast'!$A$11:$AA$160,BK$8,0)</f>
        <v>54577.789236178207</v>
      </c>
      <c r="BL51" s="52">
        <f>O51*VLOOKUP($A51,'I | Capex forecast'!$A$11:$AA$160,BL$8,0)</f>
        <v>54577.789236178207</v>
      </c>
      <c r="BM51" s="52">
        <f>P51*VLOOKUP($A51,'I | Capex forecast'!$A$11:$AA$160,BM$8,0)</f>
        <v>54577.789236178207</v>
      </c>
      <c r="BN51" s="54">
        <f t="shared" si="24"/>
        <v>272888.94618089101</v>
      </c>
      <c r="BO51" s="53"/>
      <c r="BP51" s="52">
        <f t="shared" si="34"/>
        <v>660997.66963815829</v>
      </c>
      <c r="BQ51" s="52">
        <f t="shared" si="35"/>
        <v>660997.66963815829</v>
      </c>
      <c r="BR51" s="52">
        <f t="shared" si="36"/>
        <v>660997.66963815829</v>
      </c>
      <c r="BS51" s="52">
        <f t="shared" si="37"/>
        <v>660997.66963815829</v>
      </c>
      <c r="BT51" s="52">
        <f t="shared" si="38"/>
        <v>660997.66963815829</v>
      </c>
      <c r="BU51" s="54">
        <f t="shared" si="25"/>
        <v>3304988.3481907914</v>
      </c>
      <c r="BW51" s="52">
        <f t="shared" si="39"/>
        <v>660997.66963815829</v>
      </c>
      <c r="BX51" s="52">
        <f t="shared" si="40"/>
        <v>660997.66963815829</v>
      </c>
      <c r="BY51" s="52">
        <f t="shared" si="41"/>
        <v>660997.66963815829</v>
      </c>
      <c r="BZ51" s="52">
        <f t="shared" si="42"/>
        <v>660997.66963815829</v>
      </c>
      <c r="CA51" s="52">
        <f t="shared" si="43"/>
        <v>660997.66963815829</v>
      </c>
      <c r="CB51" s="54">
        <f t="shared" si="26"/>
        <v>3304988.3481907914</v>
      </c>
      <c r="CC51" s="53"/>
      <c r="CD51" s="52">
        <f t="shared" si="27"/>
        <v>660997.66963815829</v>
      </c>
      <c r="CE51" s="52">
        <f t="shared" si="28"/>
        <v>660997.66963815829</v>
      </c>
      <c r="CF51" s="52">
        <f t="shared" si="29"/>
        <v>660997.66963815829</v>
      </c>
      <c r="CG51" s="52">
        <f t="shared" si="30"/>
        <v>660997.66963815829</v>
      </c>
      <c r="CH51" s="52">
        <f t="shared" si="31"/>
        <v>660997.66963815829</v>
      </c>
      <c r="CI51" s="54">
        <f t="shared" si="32"/>
        <v>3304988.3481907914</v>
      </c>
    </row>
    <row r="52" spans="1:87" s="4" customFormat="1" x14ac:dyDescent="0.3">
      <c r="A52" s="56">
        <v>42</v>
      </c>
      <c r="B52" s="48" t="str">
        <f>IF('I | Capex forecast'!B52="","",'I | Capex forecast'!B52)</f>
        <v>Property Leases</v>
      </c>
      <c r="C52" s="48" t="str">
        <f>IF('I | Capex forecast'!C52="","",'I | Capex forecast'!C52)</f>
        <v>Property Leases</v>
      </c>
      <c r="D52" s="48" t="str">
        <f>IF('I | Capex forecast'!D52="","",'I | Capex forecast'!D52)</f>
        <v>Property Leases</v>
      </c>
      <c r="E52" s="48" t="str">
        <f>IF('I | Capex forecast'!E52="","",'I | Capex forecast'!E52)</f>
        <v>SIB Capex</v>
      </c>
      <c r="F52" s="48" t="str">
        <f>IF('I | Capex forecast'!F52="","",'I | Capex forecast'!F52)</f>
        <v>Non-network</v>
      </c>
      <c r="G52" s="48" t="str">
        <f>IF('I | Capex forecast'!G52="","",'I | Capex forecast'!G52)</f>
        <v>As incurred</v>
      </c>
      <c r="H52" s="48" t="str">
        <f>IF('I | Capex forecast'!H52="","",'I | Capex forecast'!H52)</f>
        <v>FY 27</v>
      </c>
      <c r="I52" s="48" t="str">
        <f>IF('I | Capex forecast'!I52="","",'I | Capex forecast'!I52)</f>
        <v>Mid-year</v>
      </c>
      <c r="J52" s="48" t="str">
        <f>IF('I | Capex forecast'!J52="","",'I | Capex forecast'!J52)</f>
        <v>Yes</v>
      </c>
      <c r="K52" s="50"/>
      <c r="L52" s="52">
        <f>IFERROR(VLOOKUP($A52,'I | Capex forecast'!$A$11:$AA$160,L$8,0)*INDEX('I | Inflation'!$F$46:$G$49,MATCH($I52,'I | Inflation'!$E$46:$E$49,0),MATCH($H52,'I | Inflation'!$F$45:$G$45,0)),0)</f>
        <v>195660.338071773</v>
      </c>
      <c r="M52" s="52">
        <f>IFERROR(VLOOKUP($A52,'I | Capex forecast'!$A$11:$AA$160,M$8,0)*INDEX('I | Inflation'!$F$46:$G$49,MATCH($I52,'I | Inflation'!$E$46:$E$49,0),MATCH($H52,'I | Inflation'!$F$45:$G$45,0)),0)</f>
        <v>195660.338071773</v>
      </c>
      <c r="N52" s="52">
        <f>IFERROR(VLOOKUP($A52,'I | Capex forecast'!$A$11:$AA$160,N$8,0)*INDEX('I | Inflation'!$F$46:$G$49,MATCH($I52,'I | Inflation'!$E$46:$E$49,0),MATCH($H52,'I | Inflation'!$F$45:$G$45,0)),0)</f>
        <v>195660.338071773</v>
      </c>
      <c r="O52" s="52">
        <f>IFERROR(VLOOKUP($A52,'I | Capex forecast'!$A$11:$AA$160,O$8,0)*INDEX('I | Inflation'!$F$46:$G$49,MATCH($I52,'I | Inflation'!$E$46:$E$49,0),MATCH($H52,'I | Inflation'!$F$45:$G$45,0)),0)</f>
        <v>195660.338071773</v>
      </c>
      <c r="P52" s="52">
        <f>IFERROR(VLOOKUP($A52,'I | Capex forecast'!$A$11:$AA$160,P$8,0)*INDEX('I | Inflation'!$F$46:$G$49,MATCH($I52,'I | Inflation'!$E$46:$E$49,0),MATCH($H52,'I | Inflation'!$F$45:$G$45,0)),0)</f>
        <v>195660.338071773</v>
      </c>
      <c r="Q52" s="54">
        <f t="shared" si="33"/>
        <v>978301.69035886507</v>
      </c>
      <c r="R52" s="53"/>
      <c r="S52" s="226">
        <f>L52*VLOOKUP($A52,'I | Capex forecast'!$A$11:$AA$160,S$8,0)</f>
        <v>0</v>
      </c>
      <c r="T52" s="226">
        <f>M52*VLOOKUP($A52,'I | Capex forecast'!$A$11:$AA$160,T$8,0)</f>
        <v>0</v>
      </c>
      <c r="U52" s="226">
        <f>N52*VLOOKUP($A52,'I | Capex forecast'!$A$11:$AA$160,U$8,0)</f>
        <v>0</v>
      </c>
      <c r="V52" s="226">
        <f>O52*VLOOKUP($A52,'I | Capex forecast'!$A$11:$AA$160,V$8,0)</f>
        <v>0</v>
      </c>
      <c r="W52" s="226">
        <f>P52*VLOOKUP($A52,'I | Capex forecast'!$A$11:$AA$160,W$8,0)</f>
        <v>0</v>
      </c>
      <c r="X52" s="54">
        <f t="shared" si="13"/>
        <v>0</v>
      </c>
      <c r="Y52" s="53"/>
      <c r="Z52" s="52">
        <f>S52*(HLOOKUP(Z$10,'I | Inflation'!$E$57:$J$59,3,0)-1)</f>
        <v>0</v>
      </c>
      <c r="AA52" s="52">
        <f>T52*(HLOOKUP(AA$10,'I | Inflation'!$E$57:$J$59,3,0)-1)</f>
        <v>0</v>
      </c>
      <c r="AB52" s="52">
        <f>U52*(HLOOKUP(AB$10,'I | Inflation'!$E$57:$J$59,3,0)-1)</f>
        <v>0</v>
      </c>
      <c r="AC52" s="52">
        <f>V52*(HLOOKUP(AC$10,'I | Inflation'!$E$57:$J$59,3,0)-1)</f>
        <v>0</v>
      </c>
      <c r="AD52" s="52">
        <f>W52*(HLOOKUP(AD$10,'I | Inflation'!$E$57:$J$59,3,0)-1)</f>
        <v>0</v>
      </c>
      <c r="AE52" s="54">
        <f t="shared" si="14"/>
        <v>0</v>
      </c>
      <c r="AF52" s="53"/>
      <c r="AG52" s="226">
        <f t="shared" si="15"/>
        <v>0</v>
      </c>
      <c r="AH52" s="226">
        <f t="shared" si="16"/>
        <v>0</v>
      </c>
      <c r="AI52" s="226">
        <f t="shared" si="17"/>
        <v>0</v>
      </c>
      <c r="AJ52" s="226">
        <f t="shared" si="18"/>
        <v>0</v>
      </c>
      <c r="AK52" s="226">
        <f t="shared" si="19"/>
        <v>0</v>
      </c>
      <c r="AL52" s="54">
        <f t="shared" si="20"/>
        <v>0</v>
      </c>
      <c r="AM52" s="53"/>
      <c r="AN52" s="52"/>
      <c r="AO52" s="52"/>
      <c r="AP52" s="52"/>
      <c r="AQ52" s="52"/>
      <c r="AR52" s="52"/>
      <c r="AS52" s="54">
        <f t="shared" si="21"/>
        <v>0</v>
      </c>
      <c r="AT52" s="53"/>
      <c r="AU52" s="52"/>
      <c r="AV52" s="52"/>
      <c r="AW52" s="52"/>
      <c r="AX52" s="52"/>
      <c r="AY52" s="52"/>
      <c r="AZ52" s="54">
        <f t="shared" si="22"/>
        <v>0</v>
      </c>
      <c r="BA52" s="53"/>
      <c r="BB52" s="52"/>
      <c r="BC52" s="52"/>
      <c r="BD52" s="52"/>
      <c r="BE52" s="52"/>
      <c r="BF52" s="52"/>
      <c r="BG52" s="54">
        <f t="shared" si="23"/>
        <v>0</v>
      </c>
      <c r="BH52" s="53"/>
      <c r="BI52" s="52">
        <f>L52*VLOOKUP($A52,'I | Capex forecast'!$A$11:$AA$160,BI$8,0)</f>
        <v>17609.43042645957</v>
      </c>
      <c r="BJ52" s="52">
        <f>M52*VLOOKUP($A52,'I | Capex forecast'!$A$11:$AA$160,BJ$8,0)</f>
        <v>17609.43042645957</v>
      </c>
      <c r="BK52" s="52">
        <f>N52*VLOOKUP($A52,'I | Capex forecast'!$A$11:$AA$160,BK$8,0)</f>
        <v>17609.43042645957</v>
      </c>
      <c r="BL52" s="52">
        <f>O52*VLOOKUP($A52,'I | Capex forecast'!$A$11:$AA$160,BL$8,0)</f>
        <v>17609.43042645957</v>
      </c>
      <c r="BM52" s="52">
        <f>P52*VLOOKUP($A52,'I | Capex forecast'!$A$11:$AA$160,BM$8,0)</f>
        <v>17609.43042645957</v>
      </c>
      <c r="BN52" s="54">
        <f t="shared" si="24"/>
        <v>88047.152132297851</v>
      </c>
      <c r="BO52" s="53"/>
      <c r="BP52" s="52">
        <f t="shared" si="34"/>
        <v>213269.76849823259</v>
      </c>
      <c r="BQ52" s="52">
        <f t="shared" si="35"/>
        <v>213269.76849823259</v>
      </c>
      <c r="BR52" s="52">
        <f t="shared" si="36"/>
        <v>213269.76849823259</v>
      </c>
      <c r="BS52" s="52">
        <f t="shared" si="37"/>
        <v>213269.76849823259</v>
      </c>
      <c r="BT52" s="52">
        <f t="shared" si="38"/>
        <v>213269.76849823259</v>
      </c>
      <c r="BU52" s="54">
        <f t="shared" si="25"/>
        <v>1066348.8424911629</v>
      </c>
      <c r="BW52" s="52">
        <f t="shared" si="39"/>
        <v>213269.76849823259</v>
      </c>
      <c r="BX52" s="52">
        <f t="shared" si="40"/>
        <v>213269.76849823259</v>
      </c>
      <c r="BY52" s="52">
        <f t="shared" si="41"/>
        <v>213269.76849823259</v>
      </c>
      <c r="BZ52" s="52">
        <f t="shared" si="42"/>
        <v>213269.76849823259</v>
      </c>
      <c r="CA52" s="52">
        <f t="shared" si="43"/>
        <v>213269.76849823259</v>
      </c>
      <c r="CB52" s="54">
        <f t="shared" si="26"/>
        <v>1066348.8424911629</v>
      </c>
      <c r="CC52" s="53"/>
      <c r="CD52" s="52">
        <f t="shared" si="27"/>
        <v>213269.76849823259</v>
      </c>
      <c r="CE52" s="52">
        <f t="shared" si="28"/>
        <v>213269.76849823259</v>
      </c>
      <c r="CF52" s="52">
        <f t="shared" si="29"/>
        <v>213269.76849823259</v>
      </c>
      <c r="CG52" s="52">
        <f t="shared" si="30"/>
        <v>213269.76849823259</v>
      </c>
      <c r="CH52" s="52">
        <f t="shared" si="31"/>
        <v>213269.76849823259</v>
      </c>
      <c r="CI52" s="54">
        <f t="shared" si="32"/>
        <v>1066348.8424911629</v>
      </c>
    </row>
    <row r="53" spans="1:87" s="4" customFormat="1" x14ac:dyDescent="0.3">
      <c r="A53" s="56">
        <v>43</v>
      </c>
      <c r="B53" s="48" t="str">
        <f>IF('I | Capex forecast'!B53="","",'I | Capex forecast'!B53)</f>
        <v>Vehicle Leases</v>
      </c>
      <c r="C53" s="48" t="str">
        <f>IF('I | Capex forecast'!C53="","",'I | Capex forecast'!C53)</f>
        <v>Vehicle Leases</v>
      </c>
      <c r="D53" s="48" t="str">
        <f>IF('I | Capex forecast'!D53="","",'I | Capex forecast'!D53)</f>
        <v>Vehicle Leases</v>
      </c>
      <c r="E53" s="48" t="str">
        <f>IF('I | Capex forecast'!E53="","",'I | Capex forecast'!E53)</f>
        <v>SIB Capex</v>
      </c>
      <c r="F53" s="48" t="str">
        <f>IF('I | Capex forecast'!F53="","",'I | Capex forecast'!F53)</f>
        <v>Non-network</v>
      </c>
      <c r="G53" s="48" t="str">
        <f>IF('I | Capex forecast'!G53="","",'I | Capex forecast'!G53)</f>
        <v>As incurred</v>
      </c>
      <c r="H53" s="48" t="str">
        <f>IF('I | Capex forecast'!H53="","",'I | Capex forecast'!H53)</f>
        <v>FY 27</v>
      </c>
      <c r="I53" s="48" t="str">
        <f>IF('I | Capex forecast'!I53="","",'I | Capex forecast'!I53)</f>
        <v>Mid-year</v>
      </c>
      <c r="J53" s="48" t="str">
        <f>IF('I | Capex forecast'!J53="","",'I | Capex forecast'!J53)</f>
        <v>Yes</v>
      </c>
      <c r="K53" s="50"/>
      <c r="L53" s="52">
        <f>IFERROR(VLOOKUP($A53,'I | Capex forecast'!$A$11:$AA$160,L$8,0)*INDEX('I | Inflation'!$F$46:$G$49,MATCH($I53,'I | Inflation'!$E$46:$E$49,0),MATCH($H53,'I | Inflation'!$F$45:$G$45,0)),0)</f>
        <v>209464.47315992488</v>
      </c>
      <c r="M53" s="52">
        <f>IFERROR(VLOOKUP($A53,'I | Capex forecast'!$A$11:$AA$160,M$8,0)*INDEX('I | Inflation'!$F$46:$G$49,MATCH($I53,'I | Inflation'!$E$46:$E$49,0),MATCH($H53,'I | Inflation'!$F$45:$G$45,0)),0)</f>
        <v>209464.47315992488</v>
      </c>
      <c r="N53" s="52">
        <f>IFERROR(VLOOKUP($A53,'I | Capex forecast'!$A$11:$AA$160,N$8,0)*INDEX('I | Inflation'!$F$46:$G$49,MATCH($I53,'I | Inflation'!$E$46:$E$49,0),MATCH($H53,'I | Inflation'!$F$45:$G$45,0)),0)</f>
        <v>209464.47315992488</v>
      </c>
      <c r="O53" s="52">
        <f>IFERROR(VLOOKUP($A53,'I | Capex forecast'!$A$11:$AA$160,O$8,0)*INDEX('I | Inflation'!$F$46:$G$49,MATCH($I53,'I | Inflation'!$E$46:$E$49,0),MATCH($H53,'I | Inflation'!$F$45:$G$45,0)),0)</f>
        <v>209464.47315992488</v>
      </c>
      <c r="P53" s="52">
        <f>IFERROR(VLOOKUP($A53,'I | Capex forecast'!$A$11:$AA$160,P$8,0)*INDEX('I | Inflation'!$F$46:$G$49,MATCH($I53,'I | Inflation'!$E$46:$E$49,0),MATCH($H53,'I | Inflation'!$F$45:$G$45,0)),0)</f>
        <v>209464.47315992488</v>
      </c>
      <c r="Q53" s="54">
        <f t="shared" ref="Q53:Q116" si="44">SUM(L53:P53)</f>
        <v>1047322.3657996244</v>
      </c>
      <c r="R53" s="53"/>
      <c r="S53" s="226">
        <f>L53*VLOOKUP($A53,'I | Capex forecast'!$A$11:$AA$160,S$8,0)</f>
        <v>0</v>
      </c>
      <c r="T53" s="226">
        <f>M53*VLOOKUP($A53,'I | Capex forecast'!$A$11:$AA$160,T$8,0)</f>
        <v>0</v>
      </c>
      <c r="U53" s="226">
        <f>N53*VLOOKUP($A53,'I | Capex forecast'!$A$11:$AA$160,U$8,0)</f>
        <v>0</v>
      </c>
      <c r="V53" s="226">
        <f>O53*VLOOKUP($A53,'I | Capex forecast'!$A$11:$AA$160,V$8,0)</f>
        <v>0</v>
      </c>
      <c r="W53" s="226">
        <f>P53*VLOOKUP($A53,'I | Capex forecast'!$A$11:$AA$160,W$8,0)</f>
        <v>0</v>
      </c>
      <c r="X53" s="54">
        <f t="shared" si="13"/>
        <v>0</v>
      </c>
      <c r="Y53" s="53"/>
      <c r="Z53" s="52">
        <f>S53*(HLOOKUP(Z$10,'I | Inflation'!$E$57:$J$59,3,0)-1)</f>
        <v>0</v>
      </c>
      <c r="AA53" s="52">
        <f>T53*(HLOOKUP(AA$10,'I | Inflation'!$E$57:$J$59,3,0)-1)</f>
        <v>0</v>
      </c>
      <c r="AB53" s="52">
        <f>U53*(HLOOKUP(AB$10,'I | Inflation'!$E$57:$J$59,3,0)-1)</f>
        <v>0</v>
      </c>
      <c r="AC53" s="52">
        <f>V53*(HLOOKUP(AC$10,'I | Inflation'!$E$57:$J$59,3,0)-1)</f>
        <v>0</v>
      </c>
      <c r="AD53" s="52">
        <f>W53*(HLOOKUP(AD$10,'I | Inflation'!$E$57:$J$59,3,0)-1)</f>
        <v>0</v>
      </c>
      <c r="AE53" s="54">
        <f t="shared" si="14"/>
        <v>0</v>
      </c>
      <c r="AF53" s="53"/>
      <c r="AG53" s="226">
        <f t="shared" si="15"/>
        <v>0</v>
      </c>
      <c r="AH53" s="226">
        <f t="shared" si="16"/>
        <v>0</v>
      </c>
      <c r="AI53" s="226">
        <f t="shared" si="17"/>
        <v>0</v>
      </c>
      <c r="AJ53" s="226">
        <f t="shared" si="18"/>
        <v>0</v>
      </c>
      <c r="AK53" s="226">
        <f t="shared" si="19"/>
        <v>0</v>
      </c>
      <c r="AL53" s="54">
        <f t="shared" si="20"/>
        <v>0</v>
      </c>
      <c r="AM53" s="53"/>
      <c r="AN53" s="52"/>
      <c r="AO53" s="52"/>
      <c r="AP53" s="52"/>
      <c r="AQ53" s="52"/>
      <c r="AR53" s="52"/>
      <c r="AS53" s="54">
        <f t="shared" si="21"/>
        <v>0</v>
      </c>
      <c r="AT53" s="53"/>
      <c r="AU53" s="52"/>
      <c r="AV53" s="52"/>
      <c r="AW53" s="52"/>
      <c r="AX53" s="52"/>
      <c r="AY53" s="52"/>
      <c r="AZ53" s="54">
        <f t="shared" si="22"/>
        <v>0</v>
      </c>
      <c r="BA53" s="53"/>
      <c r="BB53" s="52"/>
      <c r="BC53" s="52"/>
      <c r="BD53" s="52"/>
      <c r="BE53" s="52"/>
      <c r="BF53" s="52"/>
      <c r="BG53" s="54">
        <f t="shared" si="23"/>
        <v>0</v>
      </c>
      <c r="BH53" s="53"/>
      <c r="BI53" s="52">
        <f>L53*VLOOKUP($A53,'I | Capex forecast'!$A$11:$AA$160,BI$8,0)</f>
        <v>18851.802584393237</v>
      </c>
      <c r="BJ53" s="52">
        <f>M53*VLOOKUP($A53,'I | Capex forecast'!$A$11:$AA$160,BJ$8,0)</f>
        <v>18851.802584393237</v>
      </c>
      <c r="BK53" s="52">
        <f>N53*VLOOKUP($A53,'I | Capex forecast'!$A$11:$AA$160,BK$8,0)</f>
        <v>18851.802584393237</v>
      </c>
      <c r="BL53" s="52">
        <f>O53*VLOOKUP($A53,'I | Capex forecast'!$A$11:$AA$160,BL$8,0)</f>
        <v>18851.802584393237</v>
      </c>
      <c r="BM53" s="52">
        <f>P53*VLOOKUP($A53,'I | Capex forecast'!$A$11:$AA$160,BM$8,0)</f>
        <v>18851.802584393237</v>
      </c>
      <c r="BN53" s="54">
        <f t="shared" si="24"/>
        <v>94259.01292196619</v>
      </c>
      <c r="BO53" s="53"/>
      <c r="BP53" s="52">
        <f t="shared" si="34"/>
        <v>228316.27574431812</v>
      </c>
      <c r="BQ53" s="52">
        <f t="shared" si="35"/>
        <v>228316.27574431812</v>
      </c>
      <c r="BR53" s="52">
        <f t="shared" si="36"/>
        <v>228316.27574431812</v>
      </c>
      <c r="BS53" s="52">
        <f t="shared" si="37"/>
        <v>228316.27574431812</v>
      </c>
      <c r="BT53" s="52">
        <f t="shared" si="38"/>
        <v>228316.27574431812</v>
      </c>
      <c r="BU53" s="54">
        <f t="shared" si="25"/>
        <v>1141581.3787215906</v>
      </c>
      <c r="BW53" s="52">
        <f t="shared" si="39"/>
        <v>228316.27574431812</v>
      </c>
      <c r="BX53" s="52">
        <f t="shared" si="40"/>
        <v>228316.27574431812</v>
      </c>
      <c r="BY53" s="52">
        <f t="shared" si="41"/>
        <v>228316.27574431812</v>
      </c>
      <c r="BZ53" s="52">
        <f t="shared" si="42"/>
        <v>228316.27574431812</v>
      </c>
      <c r="CA53" s="52">
        <f t="shared" si="43"/>
        <v>228316.27574431812</v>
      </c>
      <c r="CB53" s="54">
        <f t="shared" si="26"/>
        <v>1141581.3787215906</v>
      </c>
      <c r="CC53" s="53"/>
      <c r="CD53" s="52">
        <f t="shared" si="27"/>
        <v>228316.27574431812</v>
      </c>
      <c r="CE53" s="52">
        <f t="shared" si="28"/>
        <v>228316.27574431812</v>
      </c>
      <c r="CF53" s="52">
        <f t="shared" si="29"/>
        <v>228316.27574431812</v>
      </c>
      <c r="CG53" s="52">
        <f t="shared" si="30"/>
        <v>228316.27574431812</v>
      </c>
      <c r="CH53" s="52">
        <f t="shared" si="31"/>
        <v>228316.27574431812</v>
      </c>
      <c r="CI53" s="54">
        <f t="shared" si="32"/>
        <v>1141581.3787215906</v>
      </c>
    </row>
    <row r="54" spans="1:87" s="4" customFormat="1" x14ac:dyDescent="0.3">
      <c r="A54" s="56">
        <v>44</v>
      </c>
      <c r="B54" s="48" t="str">
        <f>IF('I | Capex forecast'!B54="","",'I | Capex forecast'!B54)</f>
        <v>Access Arrangement</v>
      </c>
      <c r="C54" s="48" t="str">
        <f>IF('I | Capex forecast'!C54="","",'I | Capex forecast'!C54)</f>
        <v>Access Arrangement</v>
      </c>
      <c r="D54" s="48" t="str">
        <f>IF('I | Capex forecast'!D54="","",'I | Capex forecast'!D54)</f>
        <v>Access Arrangement</v>
      </c>
      <c r="E54" s="48" t="str">
        <f>IF('I | Capex forecast'!E54="","",'I | Capex forecast'!E54)</f>
        <v>Capitalised AA costs</v>
      </c>
      <c r="F54" s="48" t="str">
        <f>IF('I | Capex forecast'!F54="","",'I | Capex forecast'!F54)</f>
        <v>Non-network</v>
      </c>
      <c r="G54" s="48" t="str">
        <f>IF('I | Capex forecast'!G54="","",'I | Capex forecast'!G54)</f>
        <v>As incurred</v>
      </c>
      <c r="H54" s="48" t="str">
        <f>IF('I | Capex forecast'!H54="","",'I | Capex forecast'!H54)</f>
        <v>FY 27</v>
      </c>
      <c r="I54" s="48" t="str">
        <f>IF('I | Capex forecast'!I54="","",'I | Capex forecast'!I54)</f>
        <v>Mid-year</v>
      </c>
      <c r="J54" s="48" t="str">
        <f>IF('I | Capex forecast'!J54="","",'I | Capex forecast'!J54)</f>
        <v>No</v>
      </c>
      <c r="K54" s="50"/>
      <c r="L54" s="52">
        <f>IFERROR(VLOOKUP($A54,'I | Capex forecast'!$A$11:$AA$160,L$8,0)*INDEX('I | Inflation'!$F$46:$G$49,MATCH($I54,'I | Inflation'!$E$46:$E$49,0),MATCH($H54,'I | Inflation'!$F$45:$G$45,0)),0)</f>
        <v>0</v>
      </c>
      <c r="M54" s="52">
        <f>IFERROR(VLOOKUP($A54,'I | Capex forecast'!$A$11:$AA$160,M$8,0)*INDEX('I | Inflation'!$F$46:$G$49,MATCH($I54,'I | Inflation'!$E$46:$E$49,0),MATCH($H54,'I | Inflation'!$F$45:$G$45,0)),0)</f>
        <v>0</v>
      </c>
      <c r="N54" s="52">
        <f>IFERROR(VLOOKUP($A54,'I | Capex forecast'!$A$11:$AA$160,N$8,0)*INDEX('I | Inflation'!$F$46:$G$49,MATCH($I54,'I | Inflation'!$E$46:$E$49,0),MATCH($H54,'I | Inflation'!$F$45:$G$45,0)),0)</f>
        <v>80576.514163197775</v>
      </c>
      <c r="O54" s="52">
        <f>IFERROR(VLOOKUP($A54,'I | Capex forecast'!$A$11:$AA$160,O$8,0)*INDEX('I | Inflation'!$F$46:$G$49,MATCH($I54,'I | Inflation'!$E$46:$E$49,0),MATCH($H54,'I | Inflation'!$F$45:$G$45,0)),0)</f>
        <v>419086.64964968053</v>
      </c>
      <c r="P54" s="52">
        <f>IFERROR(VLOOKUP($A54,'I | Capex forecast'!$A$11:$AA$160,P$8,0)*INDEX('I | Inflation'!$F$46:$G$49,MATCH($I54,'I | Inflation'!$E$46:$E$49,0),MATCH($H54,'I | Inflation'!$F$45:$G$45,0)),0)</f>
        <v>75932.749355907275</v>
      </c>
      <c r="Q54" s="54">
        <f t="shared" si="44"/>
        <v>575595.91316878563</v>
      </c>
      <c r="R54" s="53"/>
      <c r="S54" s="226">
        <f>L54*VLOOKUP($A54,'I | Capex forecast'!$A$11:$AA$160,S$8,0)</f>
        <v>0</v>
      </c>
      <c r="T54" s="226">
        <f>M54*VLOOKUP($A54,'I | Capex forecast'!$A$11:$AA$160,T$8,0)</f>
        <v>0</v>
      </c>
      <c r="U54" s="226">
        <f>N54*VLOOKUP($A54,'I | Capex forecast'!$A$11:$AA$160,U$8,0)</f>
        <v>80576.514163197775</v>
      </c>
      <c r="V54" s="226">
        <f>O54*VLOOKUP($A54,'I | Capex forecast'!$A$11:$AA$160,V$8,0)</f>
        <v>419086.64964968053</v>
      </c>
      <c r="W54" s="226">
        <f>P54*VLOOKUP($A54,'I | Capex forecast'!$A$11:$AA$160,W$8,0)</f>
        <v>75932.749355907275</v>
      </c>
      <c r="X54" s="54">
        <f t="shared" si="13"/>
        <v>575595.91316878563</v>
      </c>
      <c r="Y54" s="53"/>
      <c r="Z54" s="52">
        <f>S54*(HLOOKUP(Z$10,'I | Inflation'!$E$57:$J$59,3,0)-1)</f>
        <v>0</v>
      </c>
      <c r="AA54" s="52">
        <f>T54*(HLOOKUP(AA$10,'I | Inflation'!$E$57:$J$59,3,0)-1)</f>
        <v>0</v>
      </c>
      <c r="AB54" s="52">
        <f>U54*(HLOOKUP(AB$10,'I | Inflation'!$E$57:$J$59,3,0)-1)</f>
        <v>2217.5245824448607</v>
      </c>
      <c r="AC54" s="52">
        <f>V54*(HLOOKUP(AC$10,'I | Inflation'!$E$57:$J$59,3,0)-1)</f>
        <v>16441.049682861343</v>
      </c>
      <c r="AD54" s="52">
        <f>W54*(HLOOKUP(AD$10,'I | Inflation'!$E$57:$J$59,3,0)-1)</f>
        <v>3517.9259176301498</v>
      </c>
      <c r="AE54" s="54">
        <f t="shared" ref="AE54:AE65" si="45">SUM(Z54:AD54)</f>
        <v>22176.500182936354</v>
      </c>
      <c r="AF54" s="53"/>
      <c r="AG54" s="226">
        <f t="shared" si="15"/>
        <v>0</v>
      </c>
      <c r="AH54" s="226">
        <f t="shared" si="16"/>
        <v>0</v>
      </c>
      <c r="AI54" s="226">
        <f t="shared" si="17"/>
        <v>82794.03874564264</v>
      </c>
      <c r="AJ54" s="226">
        <f t="shared" si="18"/>
        <v>435527.6993325419</v>
      </c>
      <c r="AK54" s="226">
        <f t="shared" si="19"/>
        <v>79450.675273537432</v>
      </c>
      <c r="AL54" s="54">
        <f t="shared" si="20"/>
        <v>597772.41335172195</v>
      </c>
      <c r="AM54" s="53"/>
      <c r="AN54" s="52"/>
      <c r="AO54" s="52"/>
      <c r="AP54" s="52"/>
      <c r="AQ54" s="52"/>
      <c r="AR54" s="52"/>
      <c r="AS54" s="54">
        <f t="shared" si="21"/>
        <v>0</v>
      </c>
      <c r="AT54" s="53"/>
      <c r="AU54" s="52"/>
      <c r="AV54" s="52"/>
      <c r="AW54" s="52"/>
      <c r="AX54" s="52"/>
      <c r="AY54" s="52"/>
      <c r="AZ54" s="54">
        <f t="shared" si="22"/>
        <v>0</v>
      </c>
      <c r="BA54" s="53"/>
      <c r="BB54" s="52"/>
      <c r="BC54" s="52"/>
      <c r="BD54" s="52"/>
      <c r="BE54" s="52"/>
      <c r="BF54" s="52"/>
      <c r="BG54" s="54">
        <f t="shared" si="23"/>
        <v>0</v>
      </c>
      <c r="BH54" s="53"/>
      <c r="BI54" s="52">
        <f>L54*VLOOKUP($A54,'I | Capex forecast'!$A$11:$AA$160,BI$8,0)</f>
        <v>0</v>
      </c>
      <c r="BJ54" s="52">
        <f>M54*VLOOKUP($A54,'I | Capex forecast'!$A$11:$AA$160,BJ$8,0)</f>
        <v>0</v>
      </c>
      <c r="BK54" s="52">
        <f>N54*VLOOKUP($A54,'I | Capex forecast'!$A$11:$AA$160,BK$8,0)</f>
        <v>7251.8862746877994</v>
      </c>
      <c r="BL54" s="52">
        <f>O54*VLOOKUP($A54,'I | Capex forecast'!$A$11:$AA$160,BL$8,0)</f>
        <v>37717.79846847125</v>
      </c>
      <c r="BM54" s="52">
        <f>P54*VLOOKUP($A54,'I | Capex forecast'!$A$11:$AA$160,BM$8,0)</f>
        <v>6833.9474420316546</v>
      </c>
      <c r="BN54" s="54">
        <f t="shared" si="24"/>
        <v>51803.632185190705</v>
      </c>
      <c r="BO54" s="53"/>
      <c r="BP54" s="52">
        <f t="shared" si="34"/>
        <v>0</v>
      </c>
      <c r="BQ54" s="52">
        <f t="shared" si="35"/>
        <v>0</v>
      </c>
      <c r="BR54" s="52">
        <f t="shared" si="36"/>
        <v>90045.92502033044</v>
      </c>
      <c r="BS54" s="52">
        <f t="shared" si="37"/>
        <v>473245.49780101317</v>
      </c>
      <c r="BT54" s="52">
        <f t="shared" si="38"/>
        <v>86284.622715569087</v>
      </c>
      <c r="BU54" s="54">
        <f t="shared" si="25"/>
        <v>649576.04553691274</v>
      </c>
      <c r="BW54" s="52">
        <f t="shared" si="39"/>
        <v>0</v>
      </c>
      <c r="BX54" s="52">
        <f t="shared" si="40"/>
        <v>0</v>
      </c>
      <c r="BY54" s="52">
        <f t="shared" si="41"/>
        <v>90045.92502033044</v>
      </c>
      <c r="BZ54" s="52">
        <f t="shared" si="42"/>
        <v>473245.49780101317</v>
      </c>
      <c r="CA54" s="52">
        <f t="shared" si="43"/>
        <v>86284.622715569087</v>
      </c>
      <c r="CB54" s="54">
        <f t="shared" si="26"/>
        <v>649576.04553691274</v>
      </c>
      <c r="CC54" s="53"/>
      <c r="CD54" s="52">
        <f t="shared" si="27"/>
        <v>0</v>
      </c>
      <c r="CE54" s="52">
        <f t="shared" si="28"/>
        <v>0</v>
      </c>
      <c r="CF54" s="52">
        <f t="shared" si="29"/>
        <v>0</v>
      </c>
      <c r="CG54" s="52">
        <f t="shared" si="30"/>
        <v>0</v>
      </c>
      <c r="CH54" s="52">
        <f t="shared" si="31"/>
        <v>0</v>
      </c>
      <c r="CI54" s="54">
        <f t="shared" si="32"/>
        <v>0</v>
      </c>
    </row>
    <row r="55" spans="1:87" s="4" customFormat="1" x14ac:dyDescent="0.3">
      <c r="A55" s="56">
        <v>45</v>
      </c>
      <c r="B55" s="48" t="str">
        <f>IF('I | Capex forecast'!B55="","",'I | Capex forecast'!B55)</f>
        <v>DN300 Metro ILI - EMAT + C-MFL</v>
      </c>
      <c r="C55" s="48" t="str">
        <f>IF('I | Capex forecast'!C55="","",'I | Capex forecast'!C55)</f>
        <v>Pipeline Integrity</v>
      </c>
      <c r="D55" s="48" t="str">
        <f>IF('I | Capex forecast'!D55="","",'I | Capex forecast'!D55)</f>
        <v/>
      </c>
      <c r="E55" s="48" t="str">
        <f>IF('I | Capex forecast'!E55="","",'I | Capex forecast'!E55)</f>
        <v>Pipelines</v>
      </c>
      <c r="F55" s="48" t="str">
        <f>IF('I | Capex forecast'!F55="","",'I | Capex forecast'!F55)</f>
        <v>Replacement</v>
      </c>
      <c r="G55" s="48" t="str">
        <f>IF('I | Capex forecast'!G55="","",'I | Capex forecast'!G55)</f>
        <v>As incurred</v>
      </c>
      <c r="H55" s="48" t="str">
        <f>IF('I | Capex forecast'!H55="","",'I | Capex forecast'!H55)</f>
        <v>FY 26</v>
      </c>
      <c r="I55" s="48" t="str">
        <f>IF('I | Capex forecast'!I55="","",'I | Capex forecast'!I55)</f>
        <v>End-year</v>
      </c>
      <c r="J55" s="48" t="str">
        <f>IF('I | Capex forecast'!J55="","",'I | Capex forecast'!J55)</f>
        <v>No</v>
      </c>
      <c r="K55" s="50"/>
      <c r="L55" s="52">
        <f>IFERROR(VLOOKUP($A55,'I | Capex forecast'!$A$11:$AA$160,L$8,0)*INDEX('I | Inflation'!$F$46:$G$49,MATCH($I55,'I | Inflation'!$E$46:$E$49,0),MATCH($H55,'I | Inflation'!$F$45:$G$45,0)),0)</f>
        <v>0</v>
      </c>
      <c r="M55" s="52">
        <f>IFERROR(VLOOKUP($A55,'I | Capex forecast'!$A$11:$AA$160,M$8,0)*INDEX('I | Inflation'!$F$46:$G$49,MATCH($I55,'I | Inflation'!$E$46:$E$49,0),MATCH($H55,'I | Inflation'!$F$45:$G$45,0)),0)</f>
        <v>0</v>
      </c>
      <c r="N55" s="52">
        <f>IFERROR(VLOOKUP($A55,'I | Capex forecast'!$A$11:$AA$160,N$8,0)*INDEX('I | Inflation'!$F$46:$G$49,MATCH($I55,'I | Inflation'!$E$46:$E$49,0),MATCH($H55,'I | Inflation'!$F$45:$G$45,0)),0)</f>
        <v>0</v>
      </c>
      <c r="O55" s="52">
        <f>IFERROR(VLOOKUP($A55,'I | Capex forecast'!$A$11:$AA$160,O$8,0)*INDEX('I | Inflation'!$F$46:$G$49,MATCH($I55,'I | Inflation'!$E$46:$E$49,0),MATCH($H55,'I | Inflation'!$F$45:$G$45,0)),0)</f>
        <v>0</v>
      </c>
      <c r="P55" s="52">
        <f>IFERROR(VLOOKUP($A55,'I | Capex forecast'!$A$11:$AA$160,P$8,0)*INDEX('I | Inflation'!$F$46:$G$49,MATCH($I55,'I | Inflation'!$E$46:$E$49,0),MATCH($H55,'I | Inflation'!$F$45:$G$45,0)),0)</f>
        <v>0</v>
      </c>
      <c r="Q55" s="54">
        <f t="shared" si="44"/>
        <v>0</v>
      </c>
      <c r="R55" s="53"/>
      <c r="S55" s="226">
        <f>L55*VLOOKUP($A55,'I | Capex forecast'!$A$11:$AA$160,S$8,0)</f>
        <v>0</v>
      </c>
      <c r="T55" s="226">
        <f>M55*VLOOKUP($A55,'I | Capex forecast'!$A$11:$AA$160,T$8,0)</f>
        <v>0</v>
      </c>
      <c r="U55" s="226">
        <f>N55*VLOOKUP($A55,'I | Capex forecast'!$A$11:$AA$160,U$8,0)</f>
        <v>0</v>
      </c>
      <c r="V55" s="226">
        <f>O55*VLOOKUP($A55,'I | Capex forecast'!$A$11:$AA$160,V$8,0)</f>
        <v>0</v>
      </c>
      <c r="W55" s="226">
        <f>P55*VLOOKUP($A55,'I | Capex forecast'!$A$11:$AA$160,W$8,0)</f>
        <v>0</v>
      </c>
      <c r="X55" s="54">
        <f t="shared" si="13"/>
        <v>0</v>
      </c>
      <c r="Y55" s="53"/>
      <c r="Z55" s="52">
        <f>S55*(HLOOKUP(Z$10,'I | Inflation'!$E$57:$J$59,3,0)-1)</f>
        <v>0</v>
      </c>
      <c r="AA55" s="52">
        <f>T55*(HLOOKUP(AA$10,'I | Inflation'!$E$57:$J$59,3,0)-1)</f>
        <v>0</v>
      </c>
      <c r="AB55" s="52">
        <f>U55*(HLOOKUP(AB$10,'I | Inflation'!$E$57:$J$59,3,0)-1)</f>
        <v>0</v>
      </c>
      <c r="AC55" s="52">
        <f>V55*(HLOOKUP(AC$10,'I | Inflation'!$E$57:$J$59,3,0)-1)</f>
        <v>0</v>
      </c>
      <c r="AD55" s="52">
        <f>W55*(HLOOKUP(AD$10,'I | Inflation'!$E$57:$J$59,3,0)-1)</f>
        <v>0</v>
      </c>
      <c r="AE55" s="54">
        <f t="shared" si="45"/>
        <v>0</v>
      </c>
      <c r="AF55" s="53"/>
      <c r="AG55" s="226">
        <f t="shared" si="15"/>
        <v>0</v>
      </c>
      <c r="AH55" s="226">
        <f t="shared" si="16"/>
        <v>0</v>
      </c>
      <c r="AI55" s="226">
        <f t="shared" si="17"/>
        <v>0</v>
      </c>
      <c r="AJ55" s="226">
        <f t="shared" si="18"/>
        <v>0</v>
      </c>
      <c r="AK55" s="226">
        <f t="shared" si="19"/>
        <v>0</v>
      </c>
      <c r="AL55" s="54">
        <f t="shared" si="20"/>
        <v>0</v>
      </c>
      <c r="AM55" s="53"/>
      <c r="AN55" s="52"/>
      <c r="AO55" s="52"/>
      <c r="AP55" s="52"/>
      <c r="AQ55" s="52"/>
      <c r="AR55" s="52"/>
      <c r="AS55" s="54">
        <f t="shared" si="21"/>
        <v>0</v>
      </c>
      <c r="AT55" s="53"/>
      <c r="AU55" s="52"/>
      <c r="AV55" s="52"/>
      <c r="AW55" s="52"/>
      <c r="AX55" s="52"/>
      <c r="AY55" s="52"/>
      <c r="AZ55" s="54">
        <f t="shared" si="22"/>
        <v>0</v>
      </c>
      <c r="BA55" s="53"/>
      <c r="BB55" s="52"/>
      <c r="BC55" s="52"/>
      <c r="BD55" s="52"/>
      <c r="BE55" s="52"/>
      <c r="BF55" s="52"/>
      <c r="BG55" s="54">
        <f t="shared" si="23"/>
        <v>0</v>
      </c>
      <c r="BH55" s="53"/>
      <c r="BI55" s="52">
        <f>L55*VLOOKUP($A55,'I | Capex forecast'!$A$11:$AA$160,BI$8,0)</f>
        <v>0</v>
      </c>
      <c r="BJ55" s="52">
        <f>M55*VLOOKUP($A55,'I | Capex forecast'!$A$11:$AA$160,BJ$8,0)</f>
        <v>0</v>
      </c>
      <c r="BK55" s="52">
        <f>N55*VLOOKUP($A55,'I | Capex forecast'!$A$11:$AA$160,BK$8,0)</f>
        <v>0</v>
      </c>
      <c r="BL55" s="52">
        <f>O55*VLOOKUP($A55,'I | Capex forecast'!$A$11:$AA$160,BL$8,0)</f>
        <v>0</v>
      </c>
      <c r="BM55" s="52">
        <f>P55*VLOOKUP($A55,'I | Capex forecast'!$A$11:$AA$160,BM$8,0)</f>
        <v>0</v>
      </c>
      <c r="BN55" s="54">
        <f t="shared" si="24"/>
        <v>0</v>
      </c>
      <c r="BO55" s="53"/>
      <c r="BP55" s="52">
        <f t="shared" si="34"/>
        <v>0</v>
      </c>
      <c r="BQ55" s="52">
        <f t="shared" si="35"/>
        <v>0</v>
      </c>
      <c r="BR55" s="52">
        <f t="shared" si="36"/>
        <v>0</v>
      </c>
      <c r="BS55" s="52">
        <f t="shared" si="37"/>
        <v>0</v>
      </c>
      <c r="BT55" s="52">
        <f t="shared" si="38"/>
        <v>0</v>
      </c>
      <c r="BU55" s="54">
        <f t="shared" si="25"/>
        <v>0</v>
      </c>
      <c r="BW55" s="52">
        <f t="shared" si="39"/>
        <v>0</v>
      </c>
      <c r="BX55" s="52">
        <f t="shared" si="40"/>
        <v>0</v>
      </c>
      <c r="BY55" s="52">
        <f t="shared" si="41"/>
        <v>0</v>
      </c>
      <c r="BZ55" s="52">
        <f t="shared" si="42"/>
        <v>0</v>
      </c>
      <c r="CA55" s="52">
        <f t="shared" si="43"/>
        <v>0</v>
      </c>
      <c r="CB55" s="54">
        <f t="shared" si="26"/>
        <v>0</v>
      </c>
      <c r="CC55" s="53"/>
      <c r="CD55" s="52">
        <f t="shared" si="27"/>
        <v>0</v>
      </c>
      <c r="CE55" s="52">
        <f t="shared" si="28"/>
        <v>0</v>
      </c>
      <c r="CF55" s="52">
        <f t="shared" si="29"/>
        <v>0</v>
      </c>
      <c r="CG55" s="52">
        <f t="shared" si="30"/>
        <v>0</v>
      </c>
      <c r="CH55" s="52">
        <f t="shared" si="31"/>
        <v>0</v>
      </c>
      <c r="CI55" s="54">
        <f t="shared" si="32"/>
        <v>0</v>
      </c>
    </row>
    <row r="56" spans="1:87" s="4" customFormat="1" x14ac:dyDescent="0.3">
      <c r="A56" s="56">
        <v>46</v>
      </c>
      <c r="B56" s="48" t="str">
        <f>IF('I | Capex forecast'!B56="","",'I | Capex forecast'!B56)</f>
        <v>DN250 Supply Security - Phase 2a Current AA</v>
      </c>
      <c r="C56" s="48" t="str">
        <f>IF('I | Capex forecast'!C56="","",'I | Capex forecast'!C56)</f>
        <v>DN250 Supply Security Project</v>
      </c>
      <c r="D56" s="48" t="str">
        <f>IF('I | Capex forecast'!D56="","",'I | Capex forecast'!D56)</f>
        <v/>
      </c>
      <c r="E56" s="48" t="str">
        <f>IF('I | Capex forecast'!E56="","",'I | Capex forecast'!E56)</f>
        <v>Pipelines</v>
      </c>
      <c r="F56" s="48" t="str">
        <f>IF('I | Capex forecast'!F56="","",'I | Capex forecast'!F56)</f>
        <v>Replacement</v>
      </c>
      <c r="G56" s="48" t="str">
        <f>IF('I | Capex forecast'!G56="","",'I | Capex forecast'!G56)</f>
        <v>As incurred</v>
      </c>
      <c r="H56" s="48" t="str">
        <f>IF('I | Capex forecast'!H56="","",'I | Capex forecast'!H56)</f>
        <v>FY 26</v>
      </c>
      <c r="I56" s="48" t="str">
        <f>IF('I | Capex forecast'!I56="","",'I | Capex forecast'!I56)</f>
        <v>End-year</v>
      </c>
      <c r="J56" s="48" t="str">
        <f>IF('I | Capex forecast'!J56="","",'I | Capex forecast'!J56)</f>
        <v>No</v>
      </c>
      <c r="K56" s="50"/>
      <c r="L56" s="52">
        <f>IFERROR(VLOOKUP($A56,'I | Capex forecast'!$A$11:$AA$160,L$8,0)*INDEX('I | Inflation'!$F$46:$G$49,MATCH($I56,'I | Inflation'!$E$46:$E$49,0),MATCH($H56,'I | Inflation'!$F$45:$G$45,0)),0)</f>
        <v>0</v>
      </c>
      <c r="M56" s="52">
        <f>IFERROR(VLOOKUP($A56,'I | Capex forecast'!$A$11:$AA$160,M$8,0)*INDEX('I | Inflation'!$F$46:$G$49,MATCH($I56,'I | Inflation'!$E$46:$E$49,0),MATCH($H56,'I | Inflation'!$F$45:$G$45,0)),0)</f>
        <v>0</v>
      </c>
      <c r="N56" s="52">
        <f>IFERROR(VLOOKUP($A56,'I | Capex forecast'!$A$11:$AA$160,N$8,0)*INDEX('I | Inflation'!$F$46:$G$49,MATCH($I56,'I | Inflation'!$E$46:$E$49,0),MATCH($H56,'I | Inflation'!$F$45:$G$45,0)),0)</f>
        <v>0</v>
      </c>
      <c r="O56" s="52">
        <f>IFERROR(VLOOKUP($A56,'I | Capex forecast'!$A$11:$AA$160,O$8,0)*INDEX('I | Inflation'!$F$46:$G$49,MATCH($I56,'I | Inflation'!$E$46:$E$49,0),MATCH($H56,'I | Inflation'!$F$45:$G$45,0)),0)</f>
        <v>0</v>
      </c>
      <c r="P56" s="52">
        <f>IFERROR(VLOOKUP($A56,'I | Capex forecast'!$A$11:$AA$160,P$8,0)*INDEX('I | Inflation'!$F$46:$G$49,MATCH($I56,'I | Inflation'!$E$46:$E$49,0),MATCH($H56,'I | Inflation'!$F$45:$G$45,0)),0)</f>
        <v>0</v>
      </c>
      <c r="Q56" s="54">
        <f t="shared" si="44"/>
        <v>0</v>
      </c>
      <c r="R56" s="53"/>
      <c r="S56" s="226">
        <f>L56*VLOOKUP($A56,'I | Capex forecast'!$A$11:$AA$160,S$8,0)</f>
        <v>0</v>
      </c>
      <c r="T56" s="226">
        <f>M56*VLOOKUP($A56,'I | Capex forecast'!$A$11:$AA$160,T$8,0)</f>
        <v>0</v>
      </c>
      <c r="U56" s="226">
        <f>N56*VLOOKUP($A56,'I | Capex forecast'!$A$11:$AA$160,U$8,0)</f>
        <v>0</v>
      </c>
      <c r="V56" s="226">
        <f>O56*VLOOKUP($A56,'I | Capex forecast'!$A$11:$AA$160,V$8,0)</f>
        <v>0</v>
      </c>
      <c r="W56" s="226">
        <f>P56*VLOOKUP($A56,'I | Capex forecast'!$A$11:$AA$160,W$8,0)</f>
        <v>0</v>
      </c>
      <c r="X56" s="54">
        <f t="shared" si="13"/>
        <v>0</v>
      </c>
      <c r="Y56" s="53"/>
      <c r="Z56" s="52">
        <f>S56*(HLOOKUP(Z$10,'I | Inflation'!$E$57:$J$59,3,0)-1)</f>
        <v>0</v>
      </c>
      <c r="AA56" s="52">
        <f>T56*(HLOOKUP(AA$10,'I | Inflation'!$E$57:$J$59,3,0)-1)</f>
        <v>0</v>
      </c>
      <c r="AB56" s="52">
        <f>U56*(HLOOKUP(AB$10,'I | Inflation'!$E$57:$J$59,3,0)-1)</f>
        <v>0</v>
      </c>
      <c r="AC56" s="52">
        <f>V56*(HLOOKUP(AC$10,'I | Inflation'!$E$57:$J$59,3,0)-1)</f>
        <v>0</v>
      </c>
      <c r="AD56" s="52">
        <f>W56*(HLOOKUP(AD$10,'I | Inflation'!$E$57:$J$59,3,0)-1)</f>
        <v>0</v>
      </c>
      <c r="AE56" s="54">
        <f t="shared" si="45"/>
        <v>0</v>
      </c>
      <c r="AF56" s="53"/>
      <c r="AG56" s="226">
        <f t="shared" si="15"/>
        <v>0</v>
      </c>
      <c r="AH56" s="226">
        <f t="shared" si="16"/>
        <v>0</v>
      </c>
      <c r="AI56" s="226">
        <f t="shared" si="17"/>
        <v>0</v>
      </c>
      <c r="AJ56" s="226">
        <f t="shared" si="18"/>
        <v>0</v>
      </c>
      <c r="AK56" s="226">
        <f t="shared" si="19"/>
        <v>0</v>
      </c>
      <c r="AL56" s="54">
        <f t="shared" si="20"/>
        <v>0</v>
      </c>
      <c r="AM56" s="53"/>
      <c r="AN56" s="52"/>
      <c r="AO56" s="52"/>
      <c r="AP56" s="52"/>
      <c r="AQ56" s="52"/>
      <c r="AR56" s="52"/>
      <c r="AS56" s="54">
        <f t="shared" si="21"/>
        <v>0</v>
      </c>
      <c r="AT56" s="53"/>
      <c r="AU56" s="52"/>
      <c r="AV56" s="52"/>
      <c r="AW56" s="52"/>
      <c r="AX56" s="52"/>
      <c r="AY56" s="52"/>
      <c r="AZ56" s="54">
        <f t="shared" si="22"/>
        <v>0</v>
      </c>
      <c r="BA56" s="53"/>
      <c r="BB56" s="52"/>
      <c r="BC56" s="52"/>
      <c r="BD56" s="52"/>
      <c r="BE56" s="52"/>
      <c r="BF56" s="52"/>
      <c r="BG56" s="54">
        <f t="shared" si="23"/>
        <v>0</v>
      </c>
      <c r="BH56" s="53"/>
      <c r="BI56" s="52">
        <f>L56*VLOOKUP($A56,'I | Capex forecast'!$A$11:$AA$160,BI$8,0)</f>
        <v>0</v>
      </c>
      <c r="BJ56" s="52">
        <f>M56*VLOOKUP($A56,'I | Capex forecast'!$A$11:$AA$160,BJ$8,0)</f>
        <v>0</v>
      </c>
      <c r="BK56" s="52">
        <f>N56*VLOOKUP($A56,'I | Capex forecast'!$A$11:$AA$160,BK$8,0)</f>
        <v>0</v>
      </c>
      <c r="BL56" s="52">
        <f>O56*VLOOKUP($A56,'I | Capex forecast'!$A$11:$AA$160,BL$8,0)</f>
        <v>0</v>
      </c>
      <c r="BM56" s="52">
        <f>P56*VLOOKUP($A56,'I | Capex forecast'!$A$11:$AA$160,BM$8,0)</f>
        <v>0</v>
      </c>
      <c r="BN56" s="54">
        <f t="shared" si="24"/>
        <v>0</v>
      </c>
      <c r="BO56" s="53"/>
      <c r="BP56" s="52">
        <f t="shared" si="34"/>
        <v>0</v>
      </c>
      <c r="BQ56" s="52">
        <f t="shared" si="35"/>
        <v>0</v>
      </c>
      <c r="BR56" s="52">
        <f t="shared" si="36"/>
        <v>0</v>
      </c>
      <c r="BS56" s="52">
        <f t="shared" si="37"/>
        <v>0</v>
      </c>
      <c r="BT56" s="52">
        <f t="shared" si="38"/>
        <v>0</v>
      </c>
      <c r="BU56" s="54">
        <f t="shared" si="25"/>
        <v>0</v>
      </c>
      <c r="BW56" s="52">
        <f t="shared" si="39"/>
        <v>0</v>
      </c>
      <c r="BX56" s="52">
        <f t="shared" si="40"/>
        <v>0</v>
      </c>
      <c r="BY56" s="52">
        <f t="shared" si="41"/>
        <v>0</v>
      </c>
      <c r="BZ56" s="52">
        <f t="shared" si="42"/>
        <v>0</v>
      </c>
      <c r="CA56" s="52">
        <f t="shared" si="43"/>
        <v>0</v>
      </c>
      <c r="CB56" s="54">
        <f t="shared" si="26"/>
        <v>0</v>
      </c>
      <c r="CC56" s="53"/>
      <c r="CD56" s="52">
        <f t="shared" si="27"/>
        <v>0</v>
      </c>
      <c r="CE56" s="52">
        <f t="shared" si="28"/>
        <v>0</v>
      </c>
      <c r="CF56" s="52">
        <f t="shared" si="29"/>
        <v>0</v>
      </c>
      <c r="CG56" s="52">
        <f t="shared" si="30"/>
        <v>0</v>
      </c>
      <c r="CH56" s="52">
        <f t="shared" si="31"/>
        <v>0</v>
      </c>
      <c r="CI56" s="54">
        <f t="shared" si="32"/>
        <v>0</v>
      </c>
    </row>
    <row r="57" spans="1:87" s="4" customFormat="1" x14ac:dyDescent="0.3">
      <c r="A57" s="56">
        <v>47</v>
      </c>
      <c r="B57" s="48" t="str">
        <f>IF('I | Capex forecast'!B57="","",'I | Capex forecast'!B57)</f>
        <v>DN400 - MFL Campaign (5 sections) FY2026-28</v>
      </c>
      <c r="C57" s="48" t="str">
        <f>IF('I | Capex forecast'!C57="","",'I | Capex forecast'!C57)</f>
        <v>Pipeline Integrity</v>
      </c>
      <c r="D57" s="48" t="str">
        <f>IF('I | Capex forecast'!D57="","",'I | Capex forecast'!D57)</f>
        <v/>
      </c>
      <c r="E57" s="48" t="str">
        <f>IF('I | Capex forecast'!E57="","",'I | Capex forecast'!E57)</f>
        <v>Pipelines</v>
      </c>
      <c r="F57" s="48" t="str">
        <f>IF('I | Capex forecast'!F57="","",'I | Capex forecast'!F57)</f>
        <v>Replacement</v>
      </c>
      <c r="G57" s="48" t="str">
        <f>IF('I | Capex forecast'!G57="","",'I | Capex forecast'!G57)</f>
        <v>As incurred</v>
      </c>
      <c r="H57" s="48" t="str">
        <f>IF('I | Capex forecast'!H57="","",'I | Capex forecast'!H57)</f>
        <v>FY 26</v>
      </c>
      <c r="I57" s="48" t="str">
        <f>IF('I | Capex forecast'!I57="","",'I | Capex forecast'!I57)</f>
        <v>End-year</v>
      </c>
      <c r="J57" s="48" t="str">
        <f>IF('I | Capex forecast'!J57="","",'I | Capex forecast'!J57)</f>
        <v>No</v>
      </c>
      <c r="K57" s="50"/>
      <c r="L57" s="52">
        <f>IFERROR(VLOOKUP($A57,'I | Capex forecast'!$A$11:$AA$160,L$8,0)*INDEX('I | Inflation'!$F$46:$G$49,MATCH($I57,'I | Inflation'!$E$46:$E$49,0),MATCH($H57,'I | Inflation'!$F$45:$G$45,0)),0)</f>
        <v>0</v>
      </c>
      <c r="M57" s="52">
        <f>IFERROR(VLOOKUP($A57,'I | Capex forecast'!$A$11:$AA$160,M$8,0)*INDEX('I | Inflation'!$F$46:$G$49,MATCH($I57,'I | Inflation'!$E$46:$E$49,0),MATCH($H57,'I | Inflation'!$F$45:$G$45,0)),0)</f>
        <v>0</v>
      </c>
      <c r="N57" s="52">
        <f>IFERROR(VLOOKUP($A57,'I | Capex forecast'!$A$11:$AA$160,N$8,0)*INDEX('I | Inflation'!$F$46:$G$49,MATCH($I57,'I | Inflation'!$E$46:$E$49,0),MATCH($H57,'I | Inflation'!$F$45:$G$45,0)),0)</f>
        <v>0</v>
      </c>
      <c r="O57" s="52">
        <f>IFERROR(VLOOKUP($A57,'I | Capex forecast'!$A$11:$AA$160,O$8,0)*INDEX('I | Inflation'!$F$46:$G$49,MATCH($I57,'I | Inflation'!$E$46:$E$49,0),MATCH($H57,'I | Inflation'!$F$45:$G$45,0)),0)</f>
        <v>0</v>
      </c>
      <c r="P57" s="52">
        <f>IFERROR(VLOOKUP($A57,'I | Capex forecast'!$A$11:$AA$160,P$8,0)*INDEX('I | Inflation'!$F$46:$G$49,MATCH($I57,'I | Inflation'!$E$46:$E$49,0),MATCH($H57,'I | Inflation'!$F$45:$G$45,0)),0)</f>
        <v>0</v>
      </c>
      <c r="Q57" s="54">
        <f t="shared" si="44"/>
        <v>0</v>
      </c>
      <c r="R57" s="53"/>
      <c r="S57" s="226">
        <f>L57*VLOOKUP($A57,'I | Capex forecast'!$A$11:$AA$160,S$8,0)</f>
        <v>0</v>
      </c>
      <c r="T57" s="226">
        <f>M57*VLOOKUP($A57,'I | Capex forecast'!$A$11:$AA$160,T$8,0)</f>
        <v>0</v>
      </c>
      <c r="U57" s="226">
        <f>N57*VLOOKUP($A57,'I | Capex forecast'!$A$11:$AA$160,U$8,0)</f>
        <v>0</v>
      </c>
      <c r="V57" s="226">
        <f>O57*VLOOKUP($A57,'I | Capex forecast'!$A$11:$AA$160,V$8,0)</f>
        <v>0</v>
      </c>
      <c r="W57" s="226">
        <f>P57*VLOOKUP($A57,'I | Capex forecast'!$A$11:$AA$160,W$8,0)</f>
        <v>0</v>
      </c>
      <c r="X57" s="54">
        <f t="shared" si="13"/>
        <v>0</v>
      </c>
      <c r="Y57" s="53"/>
      <c r="Z57" s="52">
        <f>S57*(HLOOKUP(Z$10,'I | Inflation'!$E$57:$J$59,3,0)-1)</f>
        <v>0</v>
      </c>
      <c r="AA57" s="52">
        <f>T57*(HLOOKUP(AA$10,'I | Inflation'!$E$57:$J$59,3,0)-1)</f>
        <v>0</v>
      </c>
      <c r="AB57" s="52">
        <f>U57*(HLOOKUP(AB$10,'I | Inflation'!$E$57:$J$59,3,0)-1)</f>
        <v>0</v>
      </c>
      <c r="AC57" s="52">
        <f>V57*(HLOOKUP(AC$10,'I | Inflation'!$E$57:$J$59,3,0)-1)</f>
        <v>0</v>
      </c>
      <c r="AD57" s="52">
        <f>W57*(HLOOKUP(AD$10,'I | Inflation'!$E$57:$J$59,3,0)-1)</f>
        <v>0</v>
      </c>
      <c r="AE57" s="54">
        <f t="shared" si="45"/>
        <v>0</v>
      </c>
      <c r="AF57" s="53"/>
      <c r="AG57" s="226">
        <f t="shared" si="15"/>
        <v>0</v>
      </c>
      <c r="AH57" s="226">
        <f t="shared" si="16"/>
        <v>0</v>
      </c>
      <c r="AI57" s="226">
        <f t="shared" si="17"/>
        <v>0</v>
      </c>
      <c r="AJ57" s="226">
        <f t="shared" si="18"/>
        <v>0</v>
      </c>
      <c r="AK57" s="226">
        <f t="shared" si="19"/>
        <v>0</v>
      </c>
      <c r="AL57" s="54">
        <f t="shared" si="20"/>
        <v>0</v>
      </c>
      <c r="AM57" s="53"/>
      <c r="AN57" s="52"/>
      <c r="AO57" s="52"/>
      <c r="AP57" s="52"/>
      <c r="AQ57" s="52"/>
      <c r="AR57" s="52"/>
      <c r="AS57" s="54">
        <f t="shared" si="21"/>
        <v>0</v>
      </c>
      <c r="AT57" s="53"/>
      <c r="AU57" s="52"/>
      <c r="AV57" s="52"/>
      <c r="AW57" s="52"/>
      <c r="AX57" s="52"/>
      <c r="AY57" s="52"/>
      <c r="AZ57" s="54">
        <f t="shared" si="22"/>
        <v>0</v>
      </c>
      <c r="BA57" s="53"/>
      <c r="BB57" s="52"/>
      <c r="BC57" s="52"/>
      <c r="BD57" s="52"/>
      <c r="BE57" s="52"/>
      <c r="BF57" s="52"/>
      <c r="BG57" s="54">
        <f t="shared" si="23"/>
        <v>0</v>
      </c>
      <c r="BH57" s="53"/>
      <c r="BI57" s="52">
        <f>L57*VLOOKUP($A57,'I | Capex forecast'!$A$11:$AA$160,BI$8,0)</f>
        <v>0</v>
      </c>
      <c r="BJ57" s="52">
        <f>M57*VLOOKUP($A57,'I | Capex forecast'!$A$11:$AA$160,BJ$8,0)</f>
        <v>0</v>
      </c>
      <c r="BK57" s="52">
        <f>N57*VLOOKUP($A57,'I | Capex forecast'!$A$11:$AA$160,BK$8,0)</f>
        <v>0</v>
      </c>
      <c r="BL57" s="52">
        <f>O57*VLOOKUP($A57,'I | Capex forecast'!$A$11:$AA$160,BL$8,0)</f>
        <v>0</v>
      </c>
      <c r="BM57" s="52">
        <f>P57*VLOOKUP($A57,'I | Capex forecast'!$A$11:$AA$160,BM$8,0)</f>
        <v>0</v>
      </c>
      <c r="BN57" s="54">
        <f t="shared" si="24"/>
        <v>0</v>
      </c>
      <c r="BO57" s="53"/>
      <c r="BP57" s="52">
        <f t="shared" si="34"/>
        <v>0</v>
      </c>
      <c r="BQ57" s="52">
        <f t="shared" si="35"/>
        <v>0</v>
      </c>
      <c r="BR57" s="52">
        <f t="shared" si="36"/>
        <v>0</v>
      </c>
      <c r="BS57" s="52">
        <f t="shared" si="37"/>
        <v>0</v>
      </c>
      <c r="BT57" s="52">
        <f t="shared" si="38"/>
        <v>0</v>
      </c>
      <c r="BU57" s="54">
        <f t="shared" si="25"/>
        <v>0</v>
      </c>
      <c r="BW57" s="52">
        <f t="shared" si="39"/>
        <v>0</v>
      </c>
      <c r="BX57" s="52">
        <f t="shared" si="40"/>
        <v>0</v>
      </c>
      <c r="BY57" s="52">
        <f t="shared" si="41"/>
        <v>0</v>
      </c>
      <c r="BZ57" s="52">
        <f t="shared" si="42"/>
        <v>0</v>
      </c>
      <c r="CA57" s="52">
        <f t="shared" si="43"/>
        <v>0</v>
      </c>
      <c r="CB57" s="54">
        <f t="shared" si="26"/>
        <v>0</v>
      </c>
      <c r="CC57" s="53"/>
      <c r="CD57" s="52">
        <f t="shared" si="27"/>
        <v>0</v>
      </c>
      <c r="CE57" s="52">
        <f t="shared" si="28"/>
        <v>0</v>
      </c>
      <c r="CF57" s="52">
        <f t="shared" si="29"/>
        <v>0</v>
      </c>
      <c r="CG57" s="52">
        <f t="shared" si="30"/>
        <v>0</v>
      </c>
      <c r="CH57" s="52">
        <f t="shared" si="31"/>
        <v>0</v>
      </c>
      <c r="CI57" s="54">
        <f t="shared" si="32"/>
        <v>0</v>
      </c>
    </row>
    <row r="58" spans="1:87" s="4" customFormat="1" x14ac:dyDescent="0.3">
      <c r="A58" s="56">
        <v>48</v>
      </c>
      <c r="B58" s="48" t="str">
        <f>IF('I | Capex forecast'!B58="","",'I | Capex forecast'!B58)</f>
        <v>DN300 Metro MFL Validation Digs - FY26</v>
      </c>
      <c r="C58" s="48" t="str">
        <f>IF('I | Capex forecast'!C58="","",'I | Capex forecast'!C58)</f>
        <v>Pipeline Integrity</v>
      </c>
      <c r="D58" s="48" t="str">
        <f>IF('I | Capex forecast'!D58="","",'I | Capex forecast'!D58)</f>
        <v/>
      </c>
      <c r="E58" s="48" t="str">
        <f>IF('I | Capex forecast'!E58="","",'I | Capex forecast'!E58)</f>
        <v>Pipelines</v>
      </c>
      <c r="F58" s="48" t="str">
        <f>IF('I | Capex forecast'!F58="","",'I | Capex forecast'!F58)</f>
        <v>Replacement</v>
      </c>
      <c r="G58" s="48" t="str">
        <f>IF('I | Capex forecast'!G58="","",'I | Capex forecast'!G58)</f>
        <v>As incurred</v>
      </c>
      <c r="H58" s="48" t="str">
        <f>IF('I | Capex forecast'!H58="","",'I | Capex forecast'!H58)</f>
        <v>FY 26</v>
      </c>
      <c r="I58" s="48" t="str">
        <f>IF('I | Capex forecast'!I58="","",'I | Capex forecast'!I58)</f>
        <v>End-year</v>
      </c>
      <c r="J58" s="48" t="str">
        <f>IF('I | Capex forecast'!J58="","",'I | Capex forecast'!J58)</f>
        <v>No</v>
      </c>
      <c r="K58" s="50"/>
      <c r="L58" s="52">
        <f>IFERROR(VLOOKUP($A58,'I | Capex forecast'!$A$11:$AA$160,L$8,0)*INDEX('I | Inflation'!$F$46:$G$49,MATCH($I58,'I | Inflation'!$E$46:$E$49,0),MATCH($H58,'I | Inflation'!$F$45:$G$45,0)),0)</f>
        <v>0</v>
      </c>
      <c r="M58" s="52">
        <f>IFERROR(VLOOKUP($A58,'I | Capex forecast'!$A$11:$AA$160,M$8,0)*INDEX('I | Inflation'!$F$46:$G$49,MATCH($I58,'I | Inflation'!$E$46:$E$49,0),MATCH($H58,'I | Inflation'!$F$45:$G$45,0)),0)</f>
        <v>0</v>
      </c>
      <c r="N58" s="52">
        <f>IFERROR(VLOOKUP($A58,'I | Capex forecast'!$A$11:$AA$160,N$8,0)*INDEX('I | Inflation'!$F$46:$G$49,MATCH($I58,'I | Inflation'!$E$46:$E$49,0),MATCH($H58,'I | Inflation'!$F$45:$G$45,0)),0)</f>
        <v>0</v>
      </c>
      <c r="O58" s="52">
        <f>IFERROR(VLOOKUP($A58,'I | Capex forecast'!$A$11:$AA$160,O$8,0)*INDEX('I | Inflation'!$F$46:$G$49,MATCH($I58,'I | Inflation'!$E$46:$E$49,0),MATCH($H58,'I | Inflation'!$F$45:$G$45,0)),0)</f>
        <v>0</v>
      </c>
      <c r="P58" s="52">
        <f>IFERROR(VLOOKUP($A58,'I | Capex forecast'!$A$11:$AA$160,P$8,0)*INDEX('I | Inflation'!$F$46:$G$49,MATCH($I58,'I | Inflation'!$E$46:$E$49,0),MATCH($H58,'I | Inflation'!$F$45:$G$45,0)),0)</f>
        <v>0</v>
      </c>
      <c r="Q58" s="54">
        <f t="shared" si="44"/>
        <v>0</v>
      </c>
      <c r="R58" s="53"/>
      <c r="S58" s="226">
        <f>L58*VLOOKUP($A58,'I | Capex forecast'!$A$11:$AA$160,S$8,0)</f>
        <v>0</v>
      </c>
      <c r="T58" s="226">
        <f>M58*VLOOKUP($A58,'I | Capex forecast'!$A$11:$AA$160,T$8,0)</f>
        <v>0</v>
      </c>
      <c r="U58" s="226">
        <f>N58*VLOOKUP($A58,'I | Capex forecast'!$A$11:$AA$160,U$8,0)</f>
        <v>0</v>
      </c>
      <c r="V58" s="226">
        <f>O58*VLOOKUP($A58,'I | Capex forecast'!$A$11:$AA$160,V$8,0)</f>
        <v>0</v>
      </c>
      <c r="W58" s="226">
        <f>P58*VLOOKUP($A58,'I | Capex forecast'!$A$11:$AA$160,W$8,0)</f>
        <v>0</v>
      </c>
      <c r="X58" s="54">
        <f t="shared" si="13"/>
        <v>0</v>
      </c>
      <c r="Y58" s="53"/>
      <c r="Z58" s="52">
        <f>S58*(HLOOKUP(Z$10,'I | Inflation'!$E$57:$J$59,3,0)-1)</f>
        <v>0</v>
      </c>
      <c r="AA58" s="52">
        <f>T58*(HLOOKUP(AA$10,'I | Inflation'!$E$57:$J$59,3,0)-1)</f>
        <v>0</v>
      </c>
      <c r="AB58" s="52">
        <f>U58*(HLOOKUP(AB$10,'I | Inflation'!$E$57:$J$59,3,0)-1)</f>
        <v>0</v>
      </c>
      <c r="AC58" s="52">
        <f>V58*(HLOOKUP(AC$10,'I | Inflation'!$E$57:$J$59,3,0)-1)</f>
        <v>0</v>
      </c>
      <c r="AD58" s="52">
        <f>W58*(HLOOKUP(AD$10,'I | Inflation'!$E$57:$J$59,3,0)-1)</f>
        <v>0</v>
      </c>
      <c r="AE58" s="54">
        <f t="shared" si="45"/>
        <v>0</v>
      </c>
      <c r="AF58" s="53"/>
      <c r="AG58" s="226">
        <f t="shared" si="15"/>
        <v>0</v>
      </c>
      <c r="AH58" s="226">
        <f t="shared" si="16"/>
        <v>0</v>
      </c>
      <c r="AI58" s="226">
        <f t="shared" si="17"/>
        <v>0</v>
      </c>
      <c r="AJ58" s="226">
        <f t="shared" si="18"/>
        <v>0</v>
      </c>
      <c r="AK58" s="226">
        <f t="shared" si="19"/>
        <v>0</v>
      </c>
      <c r="AL58" s="54">
        <f t="shared" si="20"/>
        <v>0</v>
      </c>
      <c r="AM58" s="53"/>
      <c r="AN58" s="52"/>
      <c r="AO58" s="52"/>
      <c r="AP58" s="52"/>
      <c r="AQ58" s="52"/>
      <c r="AR58" s="52"/>
      <c r="AS58" s="54">
        <f t="shared" si="21"/>
        <v>0</v>
      </c>
      <c r="AT58" s="53"/>
      <c r="AU58" s="52"/>
      <c r="AV58" s="52"/>
      <c r="AW58" s="52"/>
      <c r="AX58" s="52"/>
      <c r="AY58" s="52"/>
      <c r="AZ58" s="54">
        <f t="shared" si="22"/>
        <v>0</v>
      </c>
      <c r="BA58" s="53"/>
      <c r="BB58" s="52"/>
      <c r="BC58" s="52"/>
      <c r="BD58" s="52"/>
      <c r="BE58" s="52"/>
      <c r="BF58" s="52"/>
      <c r="BG58" s="54">
        <f t="shared" si="23"/>
        <v>0</v>
      </c>
      <c r="BH58" s="53"/>
      <c r="BI58" s="52">
        <f>L58*VLOOKUP($A58,'I | Capex forecast'!$A$11:$AA$160,BI$8,0)</f>
        <v>0</v>
      </c>
      <c r="BJ58" s="52">
        <f>M58*VLOOKUP($A58,'I | Capex forecast'!$A$11:$AA$160,BJ$8,0)</f>
        <v>0</v>
      </c>
      <c r="BK58" s="52">
        <f>N58*VLOOKUP($A58,'I | Capex forecast'!$A$11:$AA$160,BK$8,0)</f>
        <v>0</v>
      </c>
      <c r="BL58" s="52">
        <f>O58*VLOOKUP($A58,'I | Capex forecast'!$A$11:$AA$160,BL$8,0)</f>
        <v>0</v>
      </c>
      <c r="BM58" s="52">
        <f>P58*VLOOKUP($A58,'I | Capex forecast'!$A$11:$AA$160,BM$8,0)</f>
        <v>0</v>
      </c>
      <c r="BN58" s="54">
        <f t="shared" si="24"/>
        <v>0</v>
      </c>
      <c r="BO58" s="53"/>
      <c r="BP58" s="52">
        <f t="shared" si="34"/>
        <v>0</v>
      </c>
      <c r="BQ58" s="52">
        <f t="shared" si="35"/>
        <v>0</v>
      </c>
      <c r="BR58" s="52">
        <f t="shared" si="36"/>
        <v>0</v>
      </c>
      <c r="BS58" s="52">
        <f t="shared" si="37"/>
        <v>0</v>
      </c>
      <c r="BT58" s="52">
        <f t="shared" si="38"/>
        <v>0</v>
      </c>
      <c r="BU58" s="54">
        <f t="shared" si="25"/>
        <v>0</v>
      </c>
      <c r="BW58" s="52">
        <f t="shared" si="39"/>
        <v>0</v>
      </c>
      <c r="BX58" s="52">
        <f t="shared" si="40"/>
        <v>0</v>
      </c>
      <c r="BY58" s="52">
        <f t="shared" si="41"/>
        <v>0</v>
      </c>
      <c r="BZ58" s="52">
        <f t="shared" si="42"/>
        <v>0</v>
      </c>
      <c r="CA58" s="52">
        <f t="shared" si="43"/>
        <v>0</v>
      </c>
      <c r="CB58" s="54">
        <f t="shared" si="26"/>
        <v>0</v>
      </c>
      <c r="CC58" s="53"/>
      <c r="CD58" s="52">
        <f t="shared" si="27"/>
        <v>0</v>
      </c>
      <c r="CE58" s="52">
        <f t="shared" si="28"/>
        <v>0</v>
      </c>
      <c r="CF58" s="52">
        <f t="shared" si="29"/>
        <v>0</v>
      </c>
      <c r="CG58" s="52">
        <f t="shared" si="30"/>
        <v>0</v>
      </c>
      <c r="CH58" s="52">
        <f t="shared" si="31"/>
        <v>0</v>
      </c>
      <c r="CI58" s="54">
        <f t="shared" si="32"/>
        <v>0</v>
      </c>
    </row>
    <row r="59" spans="1:87" s="4" customFormat="1" x14ac:dyDescent="0.3">
      <c r="A59" s="56">
        <v>49</v>
      </c>
      <c r="B59" s="48" t="str">
        <f>IF('I | Capex forecast'!B59="","",'I | Capex forecast'!B59)</f>
        <v>Main Switchboard Replacement (Condamine &amp; Gatton)</v>
      </c>
      <c r="C59" s="48" t="str">
        <f>IF('I | Capex forecast'!C59="","",'I | Capex forecast'!C59)</f>
        <v>Main Switchboard Replacement</v>
      </c>
      <c r="D59" s="48" t="str">
        <f>IF('I | Capex forecast'!D59="","",'I | Capex forecast'!D59)</f>
        <v/>
      </c>
      <c r="E59" s="48" t="str">
        <f>IF('I | Capex forecast'!E59="","",'I | Capex forecast'!E59)</f>
        <v>SIB capex</v>
      </c>
      <c r="F59" s="48" t="str">
        <f>IF('I | Capex forecast'!F59="","",'I | Capex forecast'!F59)</f>
        <v>Replacement</v>
      </c>
      <c r="G59" s="48" t="str">
        <f>IF('I | Capex forecast'!G59="","",'I | Capex forecast'!G59)</f>
        <v>As incurred</v>
      </c>
      <c r="H59" s="48" t="str">
        <f>IF('I | Capex forecast'!H59="","",'I | Capex forecast'!H59)</f>
        <v>FY 26</v>
      </c>
      <c r="I59" s="48" t="str">
        <f>IF('I | Capex forecast'!I59="","",'I | Capex forecast'!I59)</f>
        <v>End-year</v>
      </c>
      <c r="J59" s="48" t="str">
        <f>IF('I | Capex forecast'!J59="","",'I | Capex forecast'!J59)</f>
        <v>No</v>
      </c>
      <c r="K59" s="50"/>
      <c r="L59" s="52">
        <f>IFERROR(VLOOKUP($A59,'I | Capex forecast'!$A$11:$AA$160,L$8,0)*INDEX('I | Inflation'!$F$46:$G$49,MATCH($I59,'I | Inflation'!$E$46:$E$49,0),MATCH($H59,'I | Inflation'!$F$45:$G$45,0)),0)</f>
        <v>0</v>
      </c>
      <c r="M59" s="52">
        <f>IFERROR(VLOOKUP($A59,'I | Capex forecast'!$A$11:$AA$160,M$8,0)*INDEX('I | Inflation'!$F$46:$G$49,MATCH($I59,'I | Inflation'!$E$46:$E$49,0),MATCH($H59,'I | Inflation'!$F$45:$G$45,0)),0)</f>
        <v>0</v>
      </c>
      <c r="N59" s="52">
        <f>IFERROR(VLOOKUP($A59,'I | Capex forecast'!$A$11:$AA$160,N$8,0)*INDEX('I | Inflation'!$F$46:$G$49,MATCH($I59,'I | Inflation'!$E$46:$E$49,0),MATCH($H59,'I | Inflation'!$F$45:$G$45,0)),0)</f>
        <v>0</v>
      </c>
      <c r="O59" s="52">
        <f>IFERROR(VLOOKUP($A59,'I | Capex forecast'!$A$11:$AA$160,O$8,0)*INDEX('I | Inflation'!$F$46:$G$49,MATCH($I59,'I | Inflation'!$E$46:$E$49,0),MATCH($H59,'I | Inflation'!$F$45:$G$45,0)),0)</f>
        <v>0</v>
      </c>
      <c r="P59" s="52">
        <f>IFERROR(VLOOKUP($A59,'I | Capex forecast'!$A$11:$AA$160,P$8,0)*INDEX('I | Inflation'!$F$46:$G$49,MATCH($I59,'I | Inflation'!$E$46:$E$49,0),MATCH($H59,'I | Inflation'!$F$45:$G$45,0)),0)</f>
        <v>0</v>
      </c>
      <c r="Q59" s="54">
        <f t="shared" si="44"/>
        <v>0</v>
      </c>
      <c r="R59" s="53"/>
      <c r="S59" s="226">
        <f>L59*VLOOKUP($A59,'I | Capex forecast'!$A$11:$AA$160,S$8,0)</f>
        <v>0</v>
      </c>
      <c r="T59" s="226">
        <f>M59*VLOOKUP($A59,'I | Capex forecast'!$A$11:$AA$160,T$8,0)</f>
        <v>0</v>
      </c>
      <c r="U59" s="226">
        <f>N59*VLOOKUP($A59,'I | Capex forecast'!$A$11:$AA$160,U$8,0)</f>
        <v>0</v>
      </c>
      <c r="V59" s="226">
        <f>O59*VLOOKUP($A59,'I | Capex forecast'!$A$11:$AA$160,V$8,0)</f>
        <v>0</v>
      </c>
      <c r="W59" s="226">
        <f>P59*VLOOKUP($A59,'I | Capex forecast'!$A$11:$AA$160,W$8,0)</f>
        <v>0</v>
      </c>
      <c r="X59" s="54">
        <f t="shared" si="13"/>
        <v>0</v>
      </c>
      <c r="Y59" s="53"/>
      <c r="Z59" s="52">
        <f>S59*(HLOOKUP(Z$10,'I | Inflation'!$E$57:$J$59,3,0)-1)</f>
        <v>0</v>
      </c>
      <c r="AA59" s="52">
        <f>T59*(HLOOKUP(AA$10,'I | Inflation'!$E$57:$J$59,3,0)-1)</f>
        <v>0</v>
      </c>
      <c r="AB59" s="52">
        <f>U59*(HLOOKUP(AB$10,'I | Inflation'!$E$57:$J$59,3,0)-1)</f>
        <v>0</v>
      </c>
      <c r="AC59" s="52">
        <f>V59*(HLOOKUP(AC$10,'I | Inflation'!$E$57:$J$59,3,0)-1)</f>
        <v>0</v>
      </c>
      <c r="AD59" s="52">
        <f>W59*(HLOOKUP(AD$10,'I | Inflation'!$E$57:$J$59,3,0)-1)</f>
        <v>0</v>
      </c>
      <c r="AE59" s="54">
        <f t="shared" si="45"/>
        <v>0</v>
      </c>
      <c r="AF59" s="53"/>
      <c r="AG59" s="226">
        <f t="shared" si="15"/>
        <v>0</v>
      </c>
      <c r="AH59" s="226">
        <f t="shared" si="16"/>
        <v>0</v>
      </c>
      <c r="AI59" s="226">
        <f t="shared" si="17"/>
        <v>0</v>
      </c>
      <c r="AJ59" s="226">
        <f t="shared" si="18"/>
        <v>0</v>
      </c>
      <c r="AK59" s="226">
        <f t="shared" si="19"/>
        <v>0</v>
      </c>
      <c r="AL59" s="54">
        <f t="shared" si="20"/>
        <v>0</v>
      </c>
      <c r="AM59" s="53"/>
      <c r="AN59" s="52"/>
      <c r="AO59" s="52"/>
      <c r="AP59" s="52"/>
      <c r="AQ59" s="52"/>
      <c r="AR59" s="52"/>
      <c r="AS59" s="54">
        <f t="shared" si="21"/>
        <v>0</v>
      </c>
      <c r="AT59" s="53"/>
      <c r="AU59" s="52"/>
      <c r="AV59" s="52"/>
      <c r="AW59" s="52"/>
      <c r="AX59" s="52"/>
      <c r="AY59" s="52"/>
      <c r="AZ59" s="54">
        <f t="shared" si="22"/>
        <v>0</v>
      </c>
      <c r="BA59" s="53"/>
      <c r="BB59" s="52"/>
      <c r="BC59" s="52"/>
      <c r="BD59" s="52"/>
      <c r="BE59" s="52"/>
      <c r="BF59" s="52"/>
      <c r="BG59" s="54">
        <f t="shared" si="23"/>
        <v>0</v>
      </c>
      <c r="BH59" s="53"/>
      <c r="BI59" s="52">
        <f>L59*VLOOKUP($A59,'I | Capex forecast'!$A$11:$AA$160,BI$8,0)</f>
        <v>0</v>
      </c>
      <c r="BJ59" s="52">
        <f>M59*VLOOKUP($A59,'I | Capex forecast'!$A$11:$AA$160,BJ$8,0)</f>
        <v>0</v>
      </c>
      <c r="BK59" s="52">
        <f>N59*VLOOKUP($A59,'I | Capex forecast'!$A$11:$AA$160,BK$8,0)</f>
        <v>0</v>
      </c>
      <c r="BL59" s="52">
        <f>O59*VLOOKUP($A59,'I | Capex forecast'!$A$11:$AA$160,BL$8,0)</f>
        <v>0</v>
      </c>
      <c r="BM59" s="52">
        <f>P59*VLOOKUP($A59,'I | Capex forecast'!$A$11:$AA$160,BM$8,0)</f>
        <v>0</v>
      </c>
      <c r="BN59" s="54">
        <f t="shared" si="24"/>
        <v>0</v>
      </c>
      <c r="BO59" s="53"/>
      <c r="BP59" s="52">
        <f t="shared" si="34"/>
        <v>0</v>
      </c>
      <c r="BQ59" s="52">
        <f t="shared" si="35"/>
        <v>0</v>
      </c>
      <c r="BR59" s="52">
        <f t="shared" si="36"/>
        <v>0</v>
      </c>
      <c r="BS59" s="52">
        <f t="shared" si="37"/>
        <v>0</v>
      </c>
      <c r="BT59" s="52">
        <f t="shared" si="38"/>
        <v>0</v>
      </c>
      <c r="BU59" s="54">
        <f t="shared" si="25"/>
        <v>0</v>
      </c>
      <c r="BW59" s="52">
        <f t="shared" si="39"/>
        <v>0</v>
      </c>
      <c r="BX59" s="52">
        <f t="shared" si="40"/>
        <v>0</v>
      </c>
      <c r="BY59" s="52">
        <f t="shared" si="41"/>
        <v>0</v>
      </c>
      <c r="BZ59" s="52">
        <f t="shared" si="42"/>
        <v>0</v>
      </c>
      <c r="CA59" s="52">
        <f t="shared" si="43"/>
        <v>0</v>
      </c>
      <c r="CB59" s="54">
        <f t="shared" si="26"/>
        <v>0</v>
      </c>
      <c r="CC59" s="53"/>
      <c r="CD59" s="52">
        <f t="shared" si="27"/>
        <v>0</v>
      </c>
      <c r="CE59" s="52">
        <f t="shared" si="28"/>
        <v>0</v>
      </c>
      <c r="CF59" s="52">
        <f t="shared" si="29"/>
        <v>0</v>
      </c>
      <c r="CG59" s="52">
        <f t="shared" si="30"/>
        <v>0</v>
      </c>
      <c r="CH59" s="52">
        <f t="shared" si="31"/>
        <v>0</v>
      </c>
      <c r="CI59" s="54">
        <f t="shared" si="32"/>
        <v>0</v>
      </c>
    </row>
    <row r="60" spans="1:87" s="4" customFormat="1" x14ac:dyDescent="0.3">
      <c r="A60" s="56">
        <v>50</v>
      </c>
      <c r="B60" s="48" t="str">
        <f>IF('I | Capex forecast'!B60="","",'I | Capex forecast'!B60)</f>
        <v>Net Zero - Valve Upgrades - RBP</v>
      </c>
      <c r="C60" s="48" t="str">
        <f>IF('I | Capex forecast'!C60="","",'I | Capex forecast'!C60)</f>
        <v>Environment</v>
      </c>
      <c r="D60" s="48" t="str">
        <f>IF('I | Capex forecast'!D60="","",'I | Capex forecast'!D60)</f>
        <v/>
      </c>
      <c r="E60" s="48" t="str">
        <f>IF('I | Capex forecast'!E60="","",'I | Capex forecast'!E60)</f>
        <v>Pipelines</v>
      </c>
      <c r="F60" s="48" t="str">
        <f>IF('I | Capex forecast'!F60="","",'I | Capex forecast'!F60)</f>
        <v>Replacement</v>
      </c>
      <c r="G60" s="48" t="str">
        <f>IF('I | Capex forecast'!G60="","",'I | Capex forecast'!G60)</f>
        <v>As incurred</v>
      </c>
      <c r="H60" s="48" t="str">
        <f>IF('I | Capex forecast'!H60="","",'I | Capex forecast'!H60)</f>
        <v>FY 26</v>
      </c>
      <c r="I60" s="48" t="str">
        <f>IF('I | Capex forecast'!I60="","",'I | Capex forecast'!I60)</f>
        <v>End-year</v>
      </c>
      <c r="J60" s="48" t="str">
        <f>IF('I | Capex forecast'!J60="","",'I | Capex forecast'!J60)</f>
        <v>No</v>
      </c>
      <c r="K60" s="50"/>
      <c r="L60" s="52">
        <f>IFERROR(VLOOKUP($A60,'I | Capex forecast'!$A$11:$AA$160,L$8,0)*INDEX('I | Inflation'!$F$46:$G$49,MATCH($I60,'I | Inflation'!$E$46:$E$49,0),MATCH($H60,'I | Inflation'!$F$45:$G$45,0)),0)</f>
        <v>0</v>
      </c>
      <c r="M60" s="52">
        <f>IFERROR(VLOOKUP($A60,'I | Capex forecast'!$A$11:$AA$160,M$8,0)*INDEX('I | Inflation'!$F$46:$G$49,MATCH($I60,'I | Inflation'!$E$46:$E$49,0),MATCH($H60,'I | Inflation'!$F$45:$G$45,0)),0)</f>
        <v>0</v>
      </c>
      <c r="N60" s="52">
        <f>IFERROR(VLOOKUP($A60,'I | Capex forecast'!$A$11:$AA$160,N$8,0)*INDEX('I | Inflation'!$F$46:$G$49,MATCH($I60,'I | Inflation'!$E$46:$E$49,0),MATCH($H60,'I | Inflation'!$F$45:$G$45,0)),0)</f>
        <v>0</v>
      </c>
      <c r="O60" s="52">
        <f>IFERROR(VLOOKUP($A60,'I | Capex forecast'!$A$11:$AA$160,O$8,0)*INDEX('I | Inflation'!$F$46:$G$49,MATCH($I60,'I | Inflation'!$E$46:$E$49,0),MATCH($H60,'I | Inflation'!$F$45:$G$45,0)),0)</f>
        <v>0</v>
      </c>
      <c r="P60" s="52">
        <f>IFERROR(VLOOKUP($A60,'I | Capex forecast'!$A$11:$AA$160,P$8,0)*INDEX('I | Inflation'!$F$46:$G$49,MATCH($I60,'I | Inflation'!$E$46:$E$49,0),MATCH($H60,'I | Inflation'!$F$45:$G$45,0)),0)</f>
        <v>0</v>
      </c>
      <c r="Q60" s="54">
        <f t="shared" si="44"/>
        <v>0</v>
      </c>
      <c r="R60" s="53"/>
      <c r="S60" s="226">
        <f>L60*VLOOKUP($A60,'I | Capex forecast'!$A$11:$AA$160,S$8,0)</f>
        <v>0</v>
      </c>
      <c r="T60" s="226">
        <f>M60*VLOOKUP($A60,'I | Capex forecast'!$A$11:$AA$160,T$8,0)</f>
        <v>0</v>
      </c>
      <c r="U60" s="226">
        <f>N60*VLOOKUP($A60,'I | Capex forecast'!$A$11:$AA$160,U$8,0)</f>
        <v>0</v>
      </c>
      <c r="V60" s="226">
        <f>O60*VLOOKUP($A60,'I | Capex forecast'!$A$11:$AA$160,V$8,0)</f>
        <v>0</v>
      </c>
      <c r="W60" s="226">
        <f>P60*VLOOKUP($A60,'I | Capex forecast'!$A$11:$AA$160,W$8,0)</f>
        <v>0</v>
      </c>
      <c r="X60" s="54">
        <f t="shared" si="13"/>
        <v>0</v>
      </c>
      <c r="Y60" s="53"/>
      <c r="Z60" s="52">
        <f>S60*(HLOOKUP(Z$10,'I | Inflation'!$E$57:$J$59,3,0)-1)</f>
        <v>0</v>
      </c>
      <c r="AA60" s="52">
        <f>T60*(HLOOKUP(AA$10,'I | Inflation'!$E$57:$J$59,3,0)-1)</f>
        <v>0</v>
      </c>
      <c r="AB60" s="52">
        <f>U60*(HLOOKUP(AB$10,'I | Inflation'!$E$57:$J$59,3,0)-1)</f>
        <v>0</v>
      </c>
      <c r="AC60" s="52">
        <f>V60*(HLOOKUP(AC$10,'I | Inflation'!$E$57:$J$59,3,0)-1)</f>
        <v>0</v>
      </c>
      <c r="AD60" s="52">
        <f>W60*(HLOOKUP(AD$10,'I | Inflation'!$E$57:$J$59,3,0)-1)</f>
        <v>0</v>
      </c>
      <c r="AE60" s="54">
        <f t="shared" si="45"/>
        <v>0</v>
      </c>
      <c r="AF60" s="53"/>
      <c r="AG60" s="226">
        <f t="shared" si="15"/>
        <v>0</v>
      </c>
      <c r="AH60" s="226">
        <f t="shared" si="16"/>
        <v>0</v>
      </c>
      <c r="AI60" s="226">
        <f t="shared" si="17"/>
        <v>0</v>
      </c>
      <c r="AJ60" s="226">
        <f t="shared" si="18"/>
        <v>0</v>
      </c>
      <c r="AK60" s="226">
        <f t="shared" si="19"/>
        <v>0</v>
      </c>
      <c r="AL60" s="54">
        <f t="shared" si="20"/>
        <v>0</v>
      </c>
      <c r="AM60" s="53"/>
      <c r="AN60" s="52"/>
      <c r="AO60" s="52"/>
      <c r="AP60" s="52"/>
      <c r="AQ60" s="52"/>
      <c r="AR60" s="52"/>
      <c r="AS60" s="54">
        <f t="shared" si="21"/>
        <v>0</v>
      </c>
      <c r="AT60" s="53"/>
      <c r="AU60" s="52"/>
      <c r="AV60" s="52"/>
      <c r="AW60" s="52"/>
      <c r="AX60" s="52"/>
      <c r="AY60" s="52"/>
      <c r="AZ60" s="54">
        <f t="shared" si="22"/>
        <v>0</v>
      </c>
      <c r="BA60" s="53"/>
      <c r="BB60" s="52"/>
      <c r="BC60" s="52"/>
      <c r="BD60" s="52"/>
      <c r="BE60" s="52"/>
      <c r="BF60" s="52"/>
      <c r="BG60" s="54">
        <f t="shared" si="23"/>
        <v>0</v>
      </c>
      <c r="BH60" s="53"/>
      <c r="BI60" s="52">
        <f>L60*VLOOKUP($A60,'I | Capex forecast'!$A$11:$AA$160,BI$8,0)</f>
        <v>0</v>
      </c>
      <c r="BJ60" s="52">
        <f>M60*VLOOKUP($A60,'I | Capex forecast'!$A$11:$AA$160,BJ$8,0)</f>
        <v>0</v>
      </c>
      <c r="BK60" s="52">
        <f>N60*VLOOKUP($A60,'I | Capex forecast'!$A$11:$AA$160,BK$8,0)</f>
        <v>0</v>
      </c>
      <c r="BL60" s="52">
        <f>O60*VLOOKUP($A60,'I | Capex forecast'!$A$11:$AA$160,BL$8,0)</f>
        <v>0</v>
      </c>
      <c r="BM60" s="52">
        <f>P60*VLOOKUP($A60,'I | Capex forecast'!$A$11:$AA$160,BM$8,0)</f>
        <v>0</v>
      </c>
      <c r="BN60" s="54">
        <f t="shared" si="24"/>
        <v>0</v>
      </c>
      <c r="BO60" s="53"/>
      <c r="BP60" s="52">
        <f t="shared" si="34"/>
        <v>0</v>
      </c>
      <c r="BQ60" s="52">
        <f t="shared" si="35"/>
        <v>0</v>
      </c>
      <c r="BR60" s="52">
        <f t="shared" si="36"/>
        <v>0</v>
      </c>
      <c r="BS60" s="52">
        <f t="shared" si="37"/>
        <v>0</v>
      </c>
      <c r="BT60" s="52">
        <f t="shared" si="38"/>
        <v>0</v>
      </c>
      <c r="BU60" s="54">
        <f t="shared" si="25"/>
        <v>0</v>
      </c>
      <c r="BW60" s="52">
        <f t="shared" si="39"/>
        <v>0</v>
      </c>
      <c r="BX60" s="52">
        <f t="shared" si="40"/>
        <v>0</v>
      </c>
      <c r="BY60" s="52">
        <f t="shared" si="41"/>
        <v>0</v>
      </c>
      <c r="BZ60" s="52">
        <f t="shared" si="42"/>
        <v>0</v>
      </c>
      <c r="CA60" s="52">
        <f t="shared" si="43"/>
        <v>0</v>
      </c>
      <c r="CB60" s="54">
        <f t="shared" si="26"/>
        <v>0</v>
      </c>
      <c r="CC60" s="53"/>
      <c r="CD60" s="52">
        <f t="shared" si="27"/>
        <v>0</v>
      </c>
      <c r="CE60" s="52">
        <f t="shared" si="28"/>
        <v>0</v>
      </c>
      <c r="CF60" s="52">
        <f t="shared" si="29"/>
        <v>0</v>
      </c>
      <c r="CG60" s="52">
        <f t="shared" si="30"/>
        <v>0</v>
      </c>
      <c r="CH60" s="52">
        <f t="shared" si="31"/>
        <v>0</v>
      </c>
      <c r="CI60" s="54">
        <f t="shared" si="32"/>
        <v>0</v>
      </c>
    </row>
    <row r="61" spans="1:87" s="4" customFormat="1" x14ac:dyDescent="0.3">
      <c r="A61" s="56">
        <v>51</v>
      </c>
      <c r="B61" s="48" t="str">
        <f>IF('I | Capex forecast'!B61="","",'I | Capex forecast'!B61)</f>
        <v>CP - Upgrade AC Connection (Claus Rd)</v>
      </c>
      <c r="C61" s="48" t="str">
        <f>IF('I | Capex forecast'!C61="","",'I | Capex forecast'!C61)</f>
        <v>Pipeline Integrity</v>
      </c>
      <c r="D61" s="48" t="str">
        <f>IF('I | Capex forecast'!D61="","",'I | Capex forecast'!D61)</f>
        <v/>
      </c>
      <c r="E61" s="48" t="str">
        <f>IF('I | Capex forecast'!E61="","",'I | Capex forecast'!E61)</f>
        <v>Pipelines</v>
      </c>
      <c r="F61" s="48" t="str">
        <f>IF('I | Capex forecast'!F61="","",'I | Capex forecast'!F61)</f>
        <v>Replacement</v>
      </c>
      <c r="G61" s="48" t="str">
        <f>IF('I | Capex forecast'!G61="","",'I | Capex forecast'!G61)</f>
        <v>As incurred</v>
      </c>
      <c r="H61" s="48" t="str">
        <f>IF('I | Capex forecast'!H61="","",'I | Capex forecast'!H61)</f>
        <v>FY 26</v>
      </c>
      <c r="I61" s="48" t="str">
        <f>IF('I | Capex forecast'!I61="","",'I | Capex forecast'!I61)</f>
        <v>End-year</v>
      </c>
      <c r="J61" s="48" t="str">
        <f>IF('I | Capex forecast'!J61="","",'I | Capex forecast'!J61)</f>
        <v>No</v>
      </c>
      <c r="K61" s="50"/>
      <c r="L61" s="52">
        <f>IFERROR(VLOOKUP($A61,'I | Capex forecast'!$A$11:$AA$160,L$8,0)*INDEX('I | Inflation'!$F$46:$G$49,MATCH($I61,'I | Inflation'!$E$46:$E$49,0),MATCH($H61,'I | Inflation'!$F$45:$G$45,0)),0)</f>
        <v>0</v>
      </c>
      <c r="M61" s="52">
        <f>IFERROR(VLOOKUP($A61,'I | Capex forecast'!$A$11:$AA$160,M$8,0)*INDEX('I | Inflation'!$F$46:$G$49,MATCH($I61,'I | Inflation'!$E$46:$E$49,0),MATCH($H61,'I | Inflation'!$F$45:$G$45,0)),0)</f>
        <v>0</v>
      </c>
      <c r="N61" s="52">
        <f>IFERROR(VLOOKUP($A61,'I | Capex forecast'!$A$11:$AA$160,N$8,0)*INDEX('I | Inflation'!$F$46:$G$49,MATCH($I61,'I | Inflation'!$E$46:$E$49,0),MATCH($H61,'I | Inflation'!$F$45:$G$45,0)),0)</f>
        <v>0</v>
      </c>
      <c r="O61" s="52">
        <f>IFERROR(VLOOKUP($A61,'I | Capex forecast'!$A$11:$AA$160,O$8,0)*INDEX('I | Inflation'!$F$46:$G$49,MATCH($I61,'I | Inflation'!$E$46:$E$49,0),MATCH($H61,'I | Inflation'!$F$45:$G$45,0)),0)</f>
        <v>0</v>
      </c>
      <c r="P61" s="52">
        <f>IFERROR(VLOOKUP($A61,'I | Capex forecast'!$A$11:$AA$160,P$8,0)*INDEX('I | Inflation'!$F$46:$G$49,MATCH($I61,'I | Inflation'!$E$46:$E$49,0),MATCH($H61,'I | Inflation'!$F$45:$G$45,0)),0)</f>
        <v>0</v>
      </c>
      <c r="Q61" s="54">
        <f t="shared" si="44"/>
        <v>0</v>
      </c>
      <c r="R61" s="53"/>
      <c r="S61" s="226">
        <f>L61*VLOOKUP($A61,'I | Capex forecast'!$A$11:$AA$160,S$8,0)</f>
        <v>0</v>
      </c>
      <c r="T61" s="226">
        <f>M61*VLOOKUP($A61,'I | Capex forecast'!$A$11:$AA$160,T$8,0)</f>
        <v>0</v>
      </c>
      <c r="U61" s="226">
        <f>N61*VLOOKUP($A61,'I | Capex forecast'!$A$11:$AA$160,U$8,0)</f>
        <v>0</v>
      </c>
      <c r="V61" s="226">
        <f>O61*VLOOKUP($A61,'I | Capex forecast'!$A$11:$AA$160,V$8,0)</f>
        <v>0</v>
      </c>
      <c r="W61" s="226">
        <f>P61*VLOOKUP($A61,'I | Capex forecast'!$A$11:$AA$160,W$8,0)</f>
        <v>0</v>
      </c>
      <c r="X61" s="54">
        <f t="shared" si="13"/>
        <v>0</v>
      </c>
      <c r="Y61" s="53"/>
      <c r="Z61" s="52">
        <f>S61*(HLOOKUP(Z$10,'I | Inflation'!$E$57:$J$59,3,0)-1)</f>
        <v>0</v>
      </c>
      <c r="AA61" s="52">
        <f>T61*(HLOOKUP(AA$10,'I | Inflation'!$E$57:$J$59,3,0)-1)</f>
        <v>0</v>
      </c>
      <c r="AB61" s="52">
        <f>U61*(HLOOKUP(AB$10,'I | Inflation'!$E$57:$J$59,3,0)-1)</f>
        <v>0</v>
      </c>
      <c r="AC61" s="52">
        <f>V61*(HLOOKUP(AC$10,'I | Inflation'!$E$57:$J$59,3,0)-1)</f>
        <v>0</v>
      </c>
      <c r="AD61" s="52">
        <f>W61*(HLOOKUP(AD$10,'I | Inflation'!$E$57:$J$59,3,0)-1)</f>
        <v>0</v>
      </c>
      <c r="AE61" s="54">
        <f t="shared" si="45"/>
        <v>0</v>
      </c>
      <c r="AF61" s="53"/>
      <c r="AG61" s="226">
        <f t="shared" si="15"/>
        <v>0</v>
      </c>
      <c r="AH61" s="226">
        <f t="shared" si="16"/>
        <v>0</v>
      </c>
      <c r="AI61" s="226">
        <f t="shared" si="17"/>
        <v>0</v>
      </c>
      <c r="AJ61" s="226">
        <f t="shared" si="18"/>
        <v>0</v>
      </c>
      <c r="AK61" s="226">
        <f t="shared" si="19"/>
        <v>0</v>
      </c>
      <c r="AL61" s="54">
        <f t="shared" si="20"/>
        <v>0</v>
      </c>
      <c r="AM61" s="53"/>
      <c r="AN61" s="52"/>
      <c r="AO61" s="52"/>
      <c r="AP61" s="52"/>
      <c r="AQ61" s="52"/>
      <c r="AR61" s="52"/>
      <c r="AS61" s="54">
        <f t="shared" si="21"/>
        <v>0</v>
      </c>
      <c r="AT61" s="53"/>
      <c r="AU61" s="52"/>
      <c r="AV61" s="52"/>
      <c r="AW61" s="52"/>
      <c r="AX61" s="52"/>
      <c r="AY61" s="52"/>
      <c r="AZ61" s="54">
        <f t="shared" si="22"/>
        <v>0</v>
      </c>
      <c r="BA61" s="53"/>
      <c r="BB61" s="52"/>
      <c r="BC61" s="52"/>
      <c r="BD61" s="52"/>
      <c r="BE61" s="52"/>
      <c r="BF61" s="52"/>
      <c r="BG61" s="54">
        <f t="shared" si="23"/>
        <v>0</v>
      </c>
      <c r="BH61" s="53"/>
      <c r="BI61" s="52">
        <f>L61*VLOOKUP($A61,'I | Capex forecast'!$A$11:$AA$160,BI$8,0)</f>
        <v>0</v>
      </c>
      <c r="BJ61" s="52">
        <f>M61*VLOOKUP($A61,'I | Capex forecast'!$A$11:$AA$160,BJ$8,0)</f>
        <v>0</v>
      </c>
      <c r="BK61" s="52">
        <f>N61*VLOOKUP($A61,'I | Capex forecast'!$A$11:$AA$160,BK$8,0)</f>
        <v>0</v>
      </c>
      <c r="BL61" s="52">
        <f>O61*VLOOKUP($A61,'I | Capex forecast'!$A$11:$AA$160,BL$8,0)</f>
        <v>0</v>
      </c>
      <c r="BM61" s="52">
        <f>P61*VLOOKUP($A61,'I | Capex forecast'!$A$11:$AA$160,BM$8,0)</f>
        <v>0</v>
      </c>
      <c r="BN61" s="54">
        <f t="shared" si="24"/>
        <v>0</v>
      </c>
      <c r="BO61" s="53"/>
      <c r="BP61" s="52">
        <f t="shared" si="34"/>
        <v>0</v>
      </c>
      <c r="BQ61" s="52">
        <f t="shared" si="35"/>
        <v>0</v>
      </c>
      <c r="BR61" s="52">
        <f t="shared" si="36"/>
        <v>0</v>
      </c>
      <c r="BS61" s="52">
        <f t="shared" si="37"/>
        <v>0</v>
      </c>
      <c r="BT61" s="52">
        <f t="shared" si="38"/>
        <v>0</v>
      </c>
      <c r="BU61" s="54">
        <f t="shared" si="25"/>
        <v>0</v>
      </c>
      <c r="BW61" s="52">
        <f t="shared" si="39"/>
        <v>0</v>
      </c>
      <c r="BX61" s="52">
        <f t="shared" si="40"/>
        <v>0</v>
      </c>
      <c r="BY61" s="52">
        <f t="shared" si="41"/>
        <v>0</v>
      </c>
      <c r="BZ61" s="52">
        <f t="shared" si="42"/>
        <v>0</v>
      </c>
      <c r="CA61" s="52">
        <f t="shared" si="43"/>
        <v>0</v>
      </c>
      <c r="CB61" s="54">
        <f t="shared" si="26"/>
        <v>0</v>
      </c>
      <c r="CC61" s="53"/>
      <c r="CD61" s="52">
        <f t="shared" si="27"/>
        <v>0</v>
      </c>
      <c r="CE61" s="52">
        <f t="shared" si="28"/>
        <v>0</v>
      </c>
      <c r="CF61" s="52">
        <f t="shared" si="29"/>
        <v>0</v>
      </c>
      <c r="CG61" s="52">
        <f t="shared" si="30"/>
        <v>0</v>
      </c>
      <c r="CH61" s="52">
        <f t="shared" si="31"/>
        <v>0</v>
      </c>
      <c r="CI61" s="54">
        <f t="shared" si="32"/>
        <v>0</v>
      </c>
    </row>
    <row r="62" spans="1:87" s="4" customFormat="1" x14ac:dyDescent="0.3">
      <c r="A62" s="56">
        <v>52</v>
      </c>
      <c r="B62" s="48" t="str">
        <f>IF('I | Capex forecast'!B62="","",'I | Capex forecast'!B62)</f>
        <v>CP - DN400 AC Mitigation</v>
      </c>
      <c r="C62" s="48" t="str">
        <f>IF('I | Capex forecast'!C62="","",'I | Capex forecast'!C62)</f>
        <v>Pipeline Integrity</v>
      </c>
      <c r="D62" s="48" t="str">
        <f>IF('I | Capex forecast'!D62="","",'I | Capex forecast'!D62)</f>
        <v/>
      </c>
      <c r="E62" s="48" t="str">
        <f>IF('I | Capex forecast'!E62="","",'I | Capex forecast'!E62)</f>
        <v>Pipelines</v>
      </c>
      <c r="F62" s="48" t="str">
        <f>IF('I | Capex forecast'!F62="","",'I | Capex forecast'!F62)</f>
        <v>Replacement</v>
      </c>
      <c r="G62" s="48" t="str">
        <f>IF('I | Capex forecast'!G62="","",'I | Capex forecast'!G62)</f>
        <v>As incurred</v>
      </c>
      <c r="H62" s="48" t="str">
        <f>IF('I | Capex forecast'!H62="","",'I | Capex forecast'!H62)</f>
        <v>FY 26</v>
      </c>
      <c r="I62" s="48" t="str">
        <f>IF('I | Capex forecast'!I62="","",'I | Capex forecast'!I62)</f>
        <v>End-year</v>
      </c>
      <c r="J62" s="48" t="str">
        <f>IF('I | Capex forecast'!J62="","",'I | Capex forecast'!J62)</f>
        <v>No</v>
      </c>
      <c r="K62" s="50"/>
      <c r="L62" s="52">
        <f>IFERROR(VLOOKUP($A62,'I | Capex forecast'!$A$11:$AA$160,L$8,0)*INDEX('I | Inflation'!$F$46:$G$49,MATCH($I62,'I | Inflation'!$E$46:$E$49,0),MATCH($H62,'I | Inflation'!$F$45:$G$45,0)),0)</f>
        <v>0</v>
      </c>
      <c r="M62" s="52">
        <f>IFERROR(VLOOKUP($A62,'I | Capex forecast'!$A$11:$AA$160,M$8,0)*INDEX('I | Inflation'!$F$46:$G$49,MATCH($I62,'I | Inflation'!$E$46:$E$49,0),MATCH($H62,'I | Inflation'!$F$45:$G$45,0)),0)</f>
        <v>0</v>
      </c>
      <c r="N62" s="52">
        <f>IFERROR(VLOOKUP($A62,'I | Capex forecast'!$A$11:$AA$160,N$8,0)*INDEX('I | Inflation'!$F$46:$G$49,MATCH($I62,'I | Inflation'!$E$46:$E$49,0),MATCH($H62,'I | Inflation'!$F$45:$G$45,0)),0)</f>
        <v>0</v>
      </c>
      <c r="O62" s="52">
        <f>IFERROR(VLOOKUP($A62,'I | Capex forecast'!$A$11:$AA$160,O$8,0)*INDEX('I | Inflation'!$F$46:$G$49,MATCH($I62,'I | Inflation'!$E$46:$E$49,0),MATCH($H62,'I | Inflation'!$F$45:$G$45,0)),0)</f>
        <v>0</v>
      </c>
      <c r="P62" s="52">
        <f>IFERROR(VLOOKUP($A62,'I | Capex forecast'!$A$11:$AA$160,P$8,0)*INDEX('I | Inflation'!$F$46:$G$49,MATCH($I62,'I | Inflation'!$E$46:$E$49,0),MATCH($H62,'I | Inflation'!$F$45:$G$45,0)),0)</f>
        <v>0</v>
      </c>
      <c r="Q62" s="54">
        <f t="shared" si="44"/>
        <v>0</v>
      </c>
      <c r="R62" s="53"/>
      <c r="S62" s="226">
        <f>L62*VLOOKUP($A62,'I | Capex forecast'!$A$11:$AA$160,S$8,0)</f>
        <v>0</v>
      </c>
      <c r="T62" s="226">
        <f>M62*VLOOKUP($A62,'I | Capex forecast'!$A$11:$AA$160,T$8,0)</f>
        <v>0</v>
      </c>
      <c r="U62" s="226">
        <f>N62*VLOOKUP($A62,'I | Capex forecast'!$A$11:$AA$160,U$8,0)</f>
        <v>0</v>
      </c>
      <c r="V62" s="226">
        <f>O62*VLOOKUP($A62,'I | Capex forecast'!$A$11:$AA$160,V$8,0)</f>
        <v>0</v>
      </c>
      <c r="W62" s="226">
        <f>P62*VLOOKUP($A62,'I | Capex forecast'!$A$11:$AA$160,W$8,0)</f>
        <v>0</v>
      </c>
      <c r="X62" s="54">
        <f t="shared" si="13"/>
        <v>0</v>
      </c>
      <c r="Y62" s="53"/>
      <c r="Z62" s="52">
        <f>S62*(HLOOKUP(Z$10,'I | Inflation'!$E$57:$J$59,3,0)-1)</f>
        <v>0</v>
      </c>
      <c r="AA62" s="52">
        <f>T62*(HLOOKUP(AA$10,'I | Inflation'!$E$57:$J$59,3,0)-1)</f>
        <v>0</v>
      </c>
      <c r="AB62" s="52">
        <f>U62*(HLOOKUP(AB$10,'I | Inflation'!$E$57:$J$59,3,0)-1)</f>
        <v>0</v>
      </c>
      <c r="AC62" s="52">
        <f>V62*(HLOOKUP(AC$10,'I | Inflation'!$E$57:$J$59,3,0)-1)</f>
        <v>0</v>
      </c>
      <c r="AD62" s="52">
        <f>W62*(HLOOKUP(AD$10,'I | Inflation'!$E$57:$J$59,3,0)-1)</f>
        <v>0</v>
      </c>
      <c r="AE62" s="54">
        <f t="shared" si="45"/>
        <v>0</v>
      </c>
      <c r="AF62" s="53"/>
      <c r="AG62" s="226">
        <f t="shared" si="15"/>
        <v>0</v>
      </c>
      <c r="AH62" s="226">
        <f t="shared" si="16"/>
        <v>0</v>
      </c>
      <c r="AI62" s="226">
        <f t="shared" si="17"/>
        <v>0</v>
      </c>
      <c r="AJ62" s="226">
        <f t="shared" si="18"/>
        <v>0</v>
      </c>
      <c r="AK62" s="226">
        <f t="shared" si="19"/>
        <v>0</v>
      </c>
      <c r="AL62" s="54">
        <f t="shared" si="20"/>
        <v>0</v>
      </c>
      <c r="AM62" s="53"/>
      <c r="AN62" s="52"/>
      <c r="AO62" s="52"/>
      <c r="AP62" s="52"/>
      <c r="AQ62" s="52"/>
      <c r="AR62" s="52"/>
      <c r="AS62" s="54">
        <f t="shared" si="21"/>
        <v>0</v>
      </c>
      <c r="AT62" s="53"/>
      <c r="AU62" s="52"/>
      <c r="AV62" s="52"/>
      <c r="AW62" s="52"/>
      <c r="AX62" s="52"/>
      <c r="AY62" s="52"/>
      <c r="AZ62" s="54">
        <f t="shared" si="22"/>
        <v>0</v>
      </c>
      <c r="BA62" s="53"/>
      <c r="BB62" s="52"/>
      <c r="BC62" s="52"/>
      <c r="BD62" s="52"/>
      <c r="BE62" s="52"/>
      <c r="BF62" s="52"/>
      <c r="BG62" s="54">
        <f t="shared" si="23"/>
        <v>0</v>
      </c>
      <c r="BH62" s="53"/>
      <c r="BI62" s="52">
        <f>L62*VLOOKUP($A62,'I | Capex forecast'!$A$11:$AA$160,BI$8,0)</f>
        <v>0</v>
      </c>
      <c r="BJ62" s="52">
        <f>M62*VLOOKUP($A62,'I | Capex forecast'!$A$11:$AA$160,BJ$8,0)</f>
        <v>0</v>
      </c>
      <c r="BK62" s="52">
        <f>N62*VLOOKUP($A62,'I | Capex forecast'!$A$11:$AA$160,BK$8,0)</f>
        <v>0</v>
      </c>
      <c r="BL62" s="52">
        <f>O62*VLOOKUP($A62,'I | Capex forecast'!$A$11:$AA$160,BL$8,0)</f>
        <v>0</v>
      </c>
      <c r="BM62" s="52">
        <f>P62*VLOOKUP($A62,'I | Capex forecast'!$A$11:$AA$160,BM$8,0)</f>
        <v>0</v>
      </c>
      <c r="BN62" s="54">
        <f t="shared" si="24"/>
        <v>0</v>
      </c>
      <c r="BO62" s="53"/>
      <c r="BP62" s="52">
        <f t="shared" si="34"/>
        <v>0</v>
      </c>
      <c r="BQ62" s="52">
        <f t="shared" si="35"/>
        <v>0</v>
      </c>
      <c r="BR62" s="52">
        <f t="shared" si="36"/>
        <v>0</v>
      </c>
      <c r="BS62" s="52">
        <f t="shared" si="37"/>
        <v>0</v>
      </c>
      <c r="BT62" s="52">
        <f t="shared" si="38"/>
        <v>0</v>
      </c>
      <c r="BU62" s="54">
        <f t="shared" si="25"/>
        <v>0</v>
      </c>
      <c r="BW62" s="52">
        <f t="shared" si="39"/>
        <v>0</v>
      </c>
      <c r="BX62" s="52">
        <f t="shared" si="40"/>
        <v>0</v>
      </c>
      <c r="BY62" s="52">
        <f t="shared" si="41"/>
        <v>0</v>
      </c>
      <c r="BZ62" s="52">
        <f t="shared" si="42"/>
        <v>0</v>
      </c>
      <c r="CA62" s="52">
        <f t="shared" si="43"/>
        <v>0</v>
      </c>
      <c r="CB62" s="54">
        <f t="shared" si="26"/>
        <v>0</v>
      </c>
      <c r="CC62" s="53"/>
      <c r="CD62" s="52">
        <f t="shared" si="27"/>
        <v>0</v>
      </c>
      <c r="CE62" s="52">
        <f t="shared" si="28"/>
        <v>0</v>
      </c>
      <c r="CF62" s="52">
        <f t="shared" si="29"/>
        <v>0</v>
      </c>
      <c r="CG62" s="52">
        <f t="shared" si="30"/>
        <v>0</v>
      </c>
      <c r="CH62" s="52">
        <f t="shared" si="31"/>
        <v>0</v>
      </c>
      <c r="CI62" s="54">
        <f t="shared" si="32"/>
        <v>0</v>
      </c>
    </row>
    <row r="63" spans="1:87" s="4" customFormat="1" x14ac:dyDescent="0.3">
      <c r="A63" s="56">
        <v>53</v>
      </c>
      <c r="B63" s="48" t="str">
        <f>IF('I | Capex forecast'!B63="","",'I | Capex forecast'!B63)</f>
        <v>DN250 Safety Critical Dig-Ups (Brassall - Bellbird)</v>
      </c>
      <c r="C63" s="48" t="str">
        <f>IF('I | Capex forecast'!C63="","",'I | Capex forecast'!C63)</f>
        <v>DN250 Supply Security Project</v>
      </c>
      <c r="D63" s="48" t="str">
        <f>IF('I | Capex forecast'!D63="","",'I | Capex forecast'!D63)</f>
        <v/>
      </c>
      <c r="E63" s="48" t="str">
        <f>IF('I | Capex forecast'!E63="","",'I | Capex forecast'!E63)</f>
        <v>Pipelines</v>
      </c>
      <c r="F63" s="48" t="str">
        <f>IF('I | Capex forecast'!F63="","",'I | Capex forecast'!F63)</f>
        <v>Replacement</v>
      </c>
      <c r="G63" s="48" t="str">
        <f>IF('I | Capex forecast'!G63="","",'I | Capex forecast'!G63)</f>
        <v>As incurred</v>
      </c>
      <c r="H63" s="48" t="str">
        <f>IF('I | Capex forecast'!H63="","",'I | Capex forecast'!H63)</f>
        <v>FY 26</v>
      </c>
      <c r="I63" s="48" t="str">
        <f>IF('I | Capex forecast'!I63="","",'I | Capex forecast'!I63)</f>
        <v>End-year</v>
      </c>
      <c r="J63" s="48" t="str">
        <f>IF('I | Capex forecast'!J63="","",'I | Capex forecast'!J63)</f>
        <v>No</v>
      </c>
      <c r="K63" s="50"/>
      <c r="L63" s="52">
        <f>IFERROR(VLOOKUP($A63,'I | Capex forecast'!$A$11:$AA$160,L$8,0)*INDEX('I | Inflation'!$F$46:$G$49,MATCH($I63,'I | Inflation'!$E$46:$E$49,0),MATCH($H63,'I | Inflation'!$F$45:$G$45,0)),0)</f>
        <v>0</v>
      </c>
      <c r="M63" s="52">
        <f>IFERROR(VLOOKUP($A63,'I | Capex forecast'!$A$11:$AA$160,M$8,0)*INDEX('I | Inflation'!$F$46:$G$49,MATCH($I63,'I | Inflation'!$E$46:$E$49,0),MATCH($H63,'I | Inflation'!$F$45:$G$45,0)),0)</f>
        <v>0</v>
      </c>
      <c r="N63" s="52">
        <f>IFERROR(VLOOKUP($A63,'I | Capex forecast'!$A$11:$AA$160,N$8,0)*INDEX('I | Inflation'!$F$46:$G$49,MATCH($I63,'I | Inflation'!$E$46:$E$49,0),MATCH($H63,'I | Inflation'!$F$45:$G$45,0)),0)</f>
        <v>0</v>
      </c>
      <c r="O63" s="52">
        <f>IFERROR(VLOOKUP($A63,'I | Capex forecast'!$A$11:$AA$160,O$8,0)*INDEX('I | Inflation'!$F$46:$G$49,MATCH($I63,'I | Inflation'!$E$46:$E$49,0),MATCH($H63,'I | Inflation'!$F$45:$G$45,0)),0)</f>
        <v>0</v>
      </c>
      <c r="P63" s="52">
        <f>IFERROR(VLOOKUP($A63,'I | Capex forecast'!$A$11:$AA$160,P$8,0)*INDEX('I | Inflation'!$F$46:$G$49,MATCH($I63,'I | Inflation'!$E$46:$E$49,0),MATCH($H63,'I | Inflation'!$F$45:$G$45,0)),0)</f>
        <v>0</v>
      </c>
      <c r="Q63" s="54">
        <f t="shared" si="44"/>
        <v>0</v>
      </c>
      <c r="R63" s="53"/>
      <c r="S63" s="226">
        <f>L63*VLOOKUP($A63,'I | Capex forecast'!$A$11:$AA$160,S$8,0)</f>
        <v>0</v>
      </c>
      <c r="T63" s="226">
        <f>M63*VLOOKUP($A63,'I | Capex forecast'!$A$11:$AA$160,T$8,0)</f>
        <v>0</v>
      </c>
      <c r="U63" s="226">
        <f>N63*VLOOKUP($A63,'I | Capex forecast'!$A$11:$AA$160,U$8,0)</f>
        <v>0</v>
      </c>
      <c r="V63" s="226">
        <f>O63*VLOOKUP($A63,'I | Capex forecast'!$A$11:$AA$160,V$8,0)</f>
        <v>0</v>
      </c>
      <c r="W63" s="226">
        <f>P63*VLOOKUP($A63,'I | Capex forecast'!$A$11:$AA$160,W$8,0)</f>
        <v>0</v>
      </c>
      <c r="X63" s="54">
        <f t="shared" si="13"/>
        <v>0</v>
      </c>
      <c r="Y63" s="53"/>
      <c r="Z63" s="52">
        <f>S63*(HLOOKUP(Z$10,'I | Inflation'!$E$57:$J$59,3,0)-1)</f>
        <v>0</v>
      </c>
      <c r="AA63" s="52">
        <f>T63*(HLOOKUP(AA$10,'I | Inflation'!$E$57:$J$59,3,0)-1)</f>
        <v>0</v>
      </c>
      <c r="AB63" s="52">
        <f>U63*(HLOOKUP(AB$10,'I | Inflation'!$E$57:$J$59,3,0)-1)</f>
        <v>0</v>
      </c>
      <c r="AC63" s="52">
        <f>V63*(HLOOKUP(AC$10,'I | Inflation'!$E$57:$J$59,3,0)-1)</f>
        <v>0</v>
      </c>
      <c r="AD63" s="52">
        <f>W63*(HLOOKUP(AD$10,'I | Inflation'!$E$57:$J$59,3,0)-1)</f>
        <v>0</v>
      </c>
      <c r="AE63" s="54">
        <f t="shared" si="45"/>
        <v>0</v>
      </c>
      <c r="AF63" s="53"/>
      <c r="AG63" s="226">
        <f t="shared" si="15"/>
        <v>0</v>
      </c>
      <c r="AH63" s="226">
        <f t="shared" si="16"/>
        <v>0</v>
      </c>
      <c r="AI63" s="226">
        <f t="shared" si="17"/>
        <v>0</v>
      </c>
      <c r="AJ63" s="226">
        <f t="shared" si="18"/>
        <v>0</v>
      </c>
      <c r="AK63" s="226">
        <f t="shared" si="19"/>
        <v>0</v>
      </c>
      <c r="AL63" s="54">
        <f t="shared" si="20"/>
        <v>0</v>
      </c>
      <c r="AM63" s="53"/>
      <c r="AN63" s="52"/>
      <c r="AO63" s="52"/>
      <c r="AP63" s="52"/>
      <c r="AQ63" s="52"/>
      <c r="AR63" s="52"/>
      <c r="AS63" s="54">
        <f t="shared" si="21"/>
        <v>0</v>
      </c>
      <c r="AT63" s="53"/>
      <c r="AU63" s="52"/>
      <c r="AV63" s="52"/>
      <c r="AW63" s="52"/>
      <c r="AX63" s="52"/>
      <c r="AY63" s="52"/>
      <c r="AZ63" s="54">
        <f t="shared" si="22"/>
        <v>0</v>
      </c>
      <c r="BA63" s="53"/>
      <c r="BB63" s="52"/>
      <c r="BC63" s="52"/>
      <c r="BD63" s="52"/>
      <c r="BE63" s="52"/>
      <c r="BF63" s="52"/>
      <c r="BG63" s="54">
        <f t="shared" si="23"/>
        <v>0</v>
      </c>
      <c r="BH63" s="53"/>
      <c r="BI63" s="52">
        <f>L63*VLOOKUP($A63,'I | Capex forecast'!$A$11:$AA$160,BI$8,0)</f>
        <v>0</v>
      </c>
      <c r="BJ63" s="52">
        <f>M63*VLOOKUP($A63,'I | Capex forecast'!$A$11:$AA$160,BJ$8,0)</f>
        <v>0</v>
      </c>
      <c r="BK63" s="52">
        <f>N63*VLOOKUP($A63,'I | Capex forecast'!$A$11:$AA$160,BK$8,0)</f>
        <v>0</v>
      </c>
      <c r="BL63" s="52">
        <f>O63*VLOOKUP($A63,'I | Capex forecast'!$A$11:$AA$160,BL$8,0)</f>
        <v>0</v>
      </c>
      <c r="BM63" s="52">
        <f>P63*VLOOKUP($A63,'I | Capex forecast'!$A$11:$AA$160,BM$8,0)</f>
        <v>0</v>
      </c>
      <c r="BN63" s="54">
        <f t="shared" si="24"/>
        <v>0</v>
      </c>
      <c r="BO63" s="53"/>
      <c r="BP63" s="52">
        <f t="shared" si="34"/>
        <v>0</v>
      </c>
      <c r="BQ63" s="52">
        <f t="shared" si="35"/>
        <v>0</v>
      </c>
      <c r="BR63" s="52">
        <f t="shared" si="36"/>
        <v>0</v>
      </c>
      <c r="BS63" s="52">
        <f t="shared" si="37"/>
        <v>0</v>
      </c>
      <c r="BT63" s="52">
        <f t="shared" si="38"/>
        <v>0</v>
      </c>
      <c r="BU63" s="54">
        <f t="shared" si="25"/>
        <v>0</v>
      </c>
      <c r="BW63" s="52">
        <f t="shared" si="39"/>
        <v>0</v>
      </c>
      <c r="BX63" s="52">
        <f t="shared" si="40"/>
        <v>0</v>
      </c>
      <c r="BY63" s="52">
        <f t="shared" si="41"/>
        <v>0</v>
      </c>
      <c r="BZ63" s="52">
        <f t="shared" si="42"/>
        <v>0</v>
      </c>
      <c r="CA63" s="52">
        <f t="shared" si="43"/>
        <v>0</v>
      </c>
      <c r="CB63" s="54">
        <f t="shared" si="26"/>
        <v>0</v>
      </c>
      <c r="CC63" s="53"/>
      <c r="CD63" s="52">
        <f t="shared" si="27"/>
        <v>0</v>
      </c>
      <c r="CE63" s="52">
        <f t="shared" si="28"/>
        <v>0</v>
      </c>
      <c r="CF63" s="52">
        <f t="shared" si="29"/>
        <v>0</v>
      </c>
      <c r="CG63" s="52">
        <f t="shared" si="30"/>
        <v>0</v>
      </c>
      <c r="CH63" s="52">
        <f t="shared" si="31"/>
        <v>0</v>
      </c>
      <c r="CI63" s="54">
        <f t="shared" si="32"/>
        <v>0</v>
      </c>
    </row>
    <row r="64" spans="1:87" s="4" customFormat="1" x14ac:dyDescent="0.3">
      <c r="A64" s="56">
        <v>54</v>
      </c>
      <c r="B64" s="48" t="str">
        <f>IF('I | Capex forecast'!B64="","",'I | Capex forecast'!B64)</f>
        <v>Ellengrove Reliability - Valve Replacements and Reliability</v>
      </c>
      <c r="C64" s="48" t="str">
        <f>IF('I | Capex forecast'!C64="","",'I | Capex forecast'!C64)</f>
        <v>DN250 Supply Security Project</v>
      </c>
      <c r="D64" s="48" t="str">
        <f>IF('I | Capex forecast'!D64="","",'I | Capex forecast'!D64)</f>
        <v/>
      </c>
      <c r="E64" s="48" t="str">
        <f>IF('I | Capex forecast'!E64="","",'I | Capex forecast'!E64)</f>
        <v>Pipelines</v>
      </c>
      <c r="F64" s="48" t="str">
        <f>IF('I | Capex forecast'!F64="","",'I | Capex forecast'!F64)</f>
        <v>Replacement</v>
      </c>
      <c r="G64" s="48" t="str">
        <f>IF('I | Capex forecast'!G64="","",'I | Capex forecast'!G64)</f>
        <v>As incurred</v>
      </c>
      <c r="H64" s="48" t="str">
        <f>IF('I | Capex forecast'!H64="","",'I | Capex forecast'!H64)</f>
        <v>FY 26</v>
      </c>
      <c r="I64" s="48" t="str">
        <f>IF('I | Capex forecast'!I64="","",'I | Capex forecast'!I64)</f>
        <v>End-year</v>
      </c>
      <c r="J64" s="48" t="str">
        <f>IF('I | Capex forecast'!J64="","",'I | Capex forecast'!J64)</f>
        <v>No</v>
      </c>
      <c r="K64" s="50"/>
      <c r="L64" s="52">
        <f>IFERROR(VLOOKUP($A64,'I | Capex forecast'!$A$11:$AA$160,L$8,0)*INDEX('I | Inflation'!$F$46:$G$49,MATCH($I64,'I | Inflation'!$E$46:$E$49,0),MATCH($H64,'I | Inflation'!$F$45:$G$45,0)),0)</f>
        <v>0</v>
      </c>
      <c r="M64" s="52">
        <f>IFERROR(VLOOKUP($A64,'I | Capex forecast'!$A$11:$AA$160,M$8,0)*INDEX('I | Inflation'!$F$46:$G$49,MATCH($I64,'I | Inflation'!$E$46:$E$49,0),MATCH($H64,'I | Inflation'!$F$45:$G$45,0)),0)</f>
        <v>0</v>
      </c>
      <c r="N64" s="52">
        <f>IFERROR(VLOOKUP($A64,'I | Capex forecast'!$A$11:$AA$160,N$8,0)*INDEX('I | Inflation'!$F$46:$G$49,MATCH($I64,'I | Inflation'!$E$46:$E$49,0),MATCH($H64,'I | Inflation'!$F$45:$G$45,0)),0)</f>
        <v>0</v>
      </c>
      <c r="O64" s="52">
        <f>IFERROR(VLOOKUP($A64,'I | Capex forecast'!$A$11:$AA$160,O$8,0)*INDEX('I | Inflation'!$F$46:$G$49,MATCH($I64,'I | Inflation'!$E$46:$E$49,0),MATCH($H64,'I | Inflation'!$F$45:$G$45,0)),0)</f>
        <v>0</v>
      </c>
      <c r="P64" s="52">
        <f>IFERROR(VLOOKUP($A64,'I | Capex forecast'!$A$11:$AA$160,P$8,0)*INDEX('I | Inflation'!$F$46:$G$49,MATCH($I64,'I | Inflation'!$E$46:$E$49,0),MATCH($H64,'I | Inflation'!$F$45:$G$45,0)),0)</f>
        <v>0</v>
      </c>
      <c r="Q64" s="54">
        <f t="shared" si="44"/>
        <v>0</v>
      </c>
      <c r="R64" s="53"/>
      <c r="S64" s="226">
        <f>L64*VLOOKUP($A64,'I | Capex forecast'!$A$11:$AA$160,S$8,0)</f>
        <v>0</v>
      </c>
      <c r="T64" s="226">
        <f>M64*VLOOKUP($A64,'I | Capex forecast'!$A$11:$AA$160,T$8,0)</f>
        <v>0</v>
      </c>
      <c r="U64" s="226">
        <f>N64*VLOOKUP($A64,'I | Capex forecast'!$A$11:$AA$160,U$8,0)</f>
        <v>0</v>
      </c>
      <c r="V64" s="226">
        <f>O64*VLOOKUP($A64,'I | Capex forecast'!$A$11:$AA$160,V$8,0)</f>
        <v>0</v>
      </c>
      <c r="W64" s="226">
        <f>P64*VLOOKUP($A64,'I | Capex forecast'!$A$11:$AA$160,W$8,0)</f>
        <v>0</v>
      </c>
      <c r="X64" s="54">
        <f t="shared" si="13"/>
        <v>0</v>
      </c>
      <c r="Y64" s="53"/>
      <c r="Z64" s="52">
        <f>S64*(HLOOKUP(Z$10,'I | Inflation'!$E$57:$J$59,3,0)-1)</f>
        <v>0</v>
      </c>
      <c r="AA64" s="52">
        <f>T64*(HLOOKUP(AA$10,'I | Inflation'!$E$57:$J$59,3,0)-1)</f>
        <v>0</v>
      </c>
      <c r="AB64" s="52">
        <f>U64*(HLOOKUP(AB$10,'I | Inflation'!$E$57:$J$59,3,0)-1)</f>
        <v>0</v>
      </c>
      <c r="AC64" s="52">
        <f>V64*(HLOOKUP(AC$10,'I | Inflation'!$E$57:$J$59,3,0)-1)</f>
        <v>0</v>
      </c>
      <c r="AD64" s="52">
        <f>W64*(HLOOKUP(AD$10,'I | Inflation'!$E$57:$J$59,3,0)-1)</f>
        <v>0</v>
      </c>
      <c r="AE64" s="54">
        <f t="shared" si="45"/>
        <v>0</v>
      </c>
      <c r="AF64" s="53"/>
      <c r="AG64" s="226">
        <f t="shared" si="15"/>
        <v>0</v>
      </c>
      <c r="AH64" s="226">
        <f t="shared" si="16"/>
        <v>0</v>
      </c>
      <c r="AI64" s="226">
        <f t="shared" si="17"/>
        <v>0</v>
      </c>
      <c r="AJ64" s="226">
        <f t="shared" si="18"/>
        <v>0</v>
      </c>
      <c r="AK64" s="226">
        <f t="shared" si="19"/>
        <v>0</v>
      </c>
      <c r="AL64" s="54">
        <f t="shared" si="20"/>
        <v>0</v>
      </c>
      <c r="AM64" s="53"/>
      <c r="AN64" s="52"/>
      <c r="AO64" s="52"/>
      <c r="AP64" s="52"/>
      <c r="AQ64" s="52"/>
      <c r="AR64" s="52"/>
      <c r="AS64" s="54">
        <f t="shared" si="21"/>
        <v>0</v>
      </c>
      <c r="AT64" s="53"/>
      <c r="AU64" s="52"/>
      <c r="AV64" s="52"/>
      <c r="AW64" s="52"/>
      <c r="AX64" s="52"/>
      <c r="AY64" s="52"/>
      <c r="AZ64" s="54">
        <f t="shared" si="22"/>
        <v>0</v>
      </c>
      <c r="BA64" s="53"/>
      <c r="BB64" s="52"/>
      <c r="BC64" s="52"/>
      <c r="BD64" s="52"/>
      <c r="BE64" s="52"/>
      <c r="BF64" s="52"/>
      <c r="BG64" s="54">
        <f t="shared" si="23"/>
        <v>0</v>
      </c>
      <c r="BH64" s="53"/>
      <c r="BI64" s="52">
        <f>L64*VLOOKUP($A64,'I | Capex forecast'!$A$11:$AA$160,BI$8,0)</f>
        <v>0</v>
      </c>
      <c r="BJ64" s="52">
        <f>M64*VLOOKUP($A64,'I | Capex forecast'!$A$11:$AA$160,BJ$8,0)</f>
        <v>0</v>
      </c>
      <c r="BK64" s="52">
        <f>N64*VLOOKUP($A64,'I | Capex forecast'!$A$11:$AA$160,BK$8,0)</f>
        <v>0</v>
      </c>
      <c r="BL64" s="52">
        <f>O64*VLOOKUP($A64,'I | Capex forecast'!$A$11:$AA$160,BL$8,0)</f>
        <v>0</v>
      </c>
      <c r="BM64" s="52">
        <f>P64*VLOOKUP($A64,'I | Capex forecast'!$A$11:$AA$160,BM$8,0)</f>
        <v>0</v>
      </c>
      <c r="BN64" s="54">
        <f t="shared" si="24"/>
        <v>0</v>
      </c>
      <c r="BO64" s="53"/>
      <c r="BP64" s="52">
        <f t="shared" si="34"/>
        <v>0</v>
      </c>
      <c r="BQ64" s="52">
        <f t="shared" si="35"/>
        <v>0</v>
      </c>
      <c r="BR64" s="52">
        <f t="shared" si="36"/>
        <v>0</v>
      </c>
      <c r="BS64" s="52">
        <f t="shared" si="37"/>
        <v>0</v>
      </c>
      <c r="BT64" s="52">
        <f t="shared" si="38"/>
        <v>0</v>
      </c>
      <c r="BU64" s="54">
        <f t="shared" si="25"/>
        <v>0</v>
      </c>
      <c r="BW64" s="52">
        <f t="shared" si="39"/>
        <v>0</v>
      </c>
      <c r="BX64" s="52">
        <f t="shared" si="40"/>
        <v>0</v>
      </c>
      <c r="BY64" s="52">
        <f t="shared" si="41"/>
        <v>0</v>
      </c>
      <c r="BZ64" s="52">
        <f t="shared" si="42"/>
        <v>0</v>
      </c>
      <c r="CA64" s="52">
        <f t="shared" si="43"/>
        <v>0</v>
      </c>
      <c r="CB64" s="54">
        <f t="shared" si="26"/>
        <v>0</v>
      </c>
      <c r="CC64" s="53"/>
      <c r="CD64" s="52">
        <f t="shared" si="27"/>
        <v>0</v>
      </c>
      <c r="CE64" s="52">
        <f t="shared" si="28"/>
        <v>0</v>
      </c>
      <c r="CF64" s="52">
        <f t="shared" si="29"/>
        <v>0</v>
      </c>
      <c r="CG64" s="52">
        <f t="shared" si="30"/>
        <v>0</v>
      </c>
      <c r="CH64" s="52">
        <f t="shared" si="31"/>
        <v>0</v>
      </c>
      <c r="CI64" s="54">
        <f t="shared" si="32"/>
        <v>0</v>
      </c>
    </row>
    <row r="65" spans="1:87" s="4" customFormat="1" x14ac:dyDescent="0.3">
      <c r="A65" s="56">
        <v>55</v>
      </c>
      <c r="B65" s="48" t="str">
        <f>IF('I | Capex forecast'!B65="","",'I | Capex forecast'!B65)</f>
        <v>DN300 Pig Receiver Safety Upgrades (SEA Compound)</v>
      </c>
      <c r="C65" s="48" t="str">
        <f>IF('I | Capex forecast'!C65="","",'I | Capex forecast'!C65)</f>
        <v>PIG Trap</v>
      </c>
      <c r="D65" s="48" t="str">
        <f>IF('I | Capex forecast'!D65="","",'I | Capex forecast'!D65)</f>
        <v/>
      </c>
      <c r="E65" s="48" t="str">
        <f>IF('I | Capex forecast'!E65="","",'I | Capex forecast'!E65)</f>
        <v>Pipelines</v>
      </c>
      <c r="F65" s="48" t="str">
        <f>IF('I | Capex forecast'!F65="","",'I | Capex forecast'!F65)</f>
        <v>Replacement</v>
      </c>
      <c r="G65" s="48" t="str">
        <f>IF('I | Capex forecast'!G65="","",'I | Capex forecast'!G65)</f>
        <v>As incurred</v>
      </c>
      <c r="H65" s="48" t="str">
        <f>IF('I | Capex forecast'!H65="","",'I | Capex forecast'!H65)</f>
        <v>FY 26</v>
      </c>
      <c r="I65" s="48" t="str">
        <f>IF('I | Capex forecast'!I65="","",'I | Capex forecast'!I65)</f>
        <v>End-year</v>
      </c>
      <c r="J65" s="48" t="str">
        <f>IF('I | Capex forecast'!J65="","",'I | Capex forecast'!J65)</f>
        <v>No</v>
      </c>
      <c r="K65" s="50"/>
      <c r="L65" s="52">
        <f>IFERROR(VLOOKUP($A65,'I | Capex forecast'!$A$11:$AA$160,L$8,0)*INDEX('I | Inflation'!$F$46:$G$49,MATCH($I65,'I | Inflation'!$E$46:$E$49,0),MATCH($H65,'I | Inflation'!$F$45:$G$45,0)),0)</f>
        <v>0</v>
      </c>
      <c r="M65" s="52">
        <f>IFERROR(VLOOKUP($A65,'I | Capex forecast'!$A$11:$AA$160,M$8,0)*INDEX('I | Inflation'!$F$46:$G$49,MATCH($I65,'I | Inflation'!$E$46:$E$49,0),MATCH($H65,'I | Inflation'!$F$45:$G$45,0)),0)</f>
        <v>0</v>
      </c>
      <c r="N65" s="52">
        <f>IFERROR(VLOOKUP($A65,'I | Capex forecast'!$A$11:$AA$160,N$8,0)*INDEX('I | Inflation'!$F$46:$G$49,MATCH($I65,'I | Inflation'!$E$46:$E$49,0),MATCH($H65,'I | Inflation'!$F$45:$G$45,0)),0)</f>
        <v>0</v>
      </c>
      <c r="O65" s="52">
        <f>IFERROR(VLOOKUP($A65,'I | Capex forecast'!$A$11:$AA$160,O$8,0)*INDEX('I | Inflation'!$F$46:$G$49,MATCH($I65,'I | Inflation'!$E$46:$E$49,0),MATCH($H65,'I | Inflation'!$F$45:$G$45,0)),0)</f>
        <v>0</v>
      </c>
      <c r="P65" s="52">
        <f>IFERROR(VLOOKUP($A65,'I | Capex forecast'!$A$11:$AA$160,P$8,0)*INDEX('I | Inflation'!$F$46:$G$49,MATCH($I65,'I | Inflation'!$E$46:$E$49,0),MATCH($H65,'I | Inflation'!$F$45:$G$45,0)),0)</f>
        <v>0</v>
      </c>
      <c r="Q65" s="54">
        <f t="shared" si="44"/>
        <v>0</v>
      </c>
      <c r="R65" s="53"/>
      <c r="S65" s="226">
        <f>L65*VLOOKUP($A65,'I | Capex forecast'!$A$11:$AA$160,S$8,0)</f>
        <v>0</v>
      </c>
      <c r="T65" s="226">
        <f>M65*VLOOKUP($A65,'I | Capex forecast'!$A$11:$AA$160,T$8,0)</f>
        <v>0</v>
      </c>
      <c r="U65" s="226">
        <f>N65*VLOOKUP($A65,'I | Capex forecast'!$A$11:$AA$160,U$8,0)</f>
        <v>0</v>
      </c>
      <c r="V65" s="226">
        <f>O65*VLOOKUP($A65,'I | Capex forecast'!$A$11:$AA$160,V$8,0)</f>
        <v>0</v>
      </c>
      <c r="W65" s="226">
        <f>P65*VLOOKUP($A65,'I | Capex forecast'!$A$11:$AA$160,W$8,0)</f>
        <v>0</v>
      </c>
      <c r="X65" s="54">
        <f t="shared" si="13"/>
        <v>0</v>
      </c>
      <c r="Y65" s="53"/>
      <c r="Z65" s="52">
        <f>S65*(HLOOKUP(Z$10,'I | Inflation'!$E$57:$J$59,3,0)-1)</f>
        <v>0</v>
      </c>
      <c r="AA65" s="52">
        <f>T65*(HLOOKUP(AA$10,'I | Inflation'!$E$57:$J$59,3,0)-1)</f>
        <v>0</v>
      </c>
      <c r="AB65" s="52">
        <f>U65*(HLOOKUP(AB$10,'I | Inflation'!$E$57:$J$59,3,0)-1)</f>
        <v>0</v>
      </c>
      <c r="AC65" s="52">
        <f>V65*(HLOOKUP(AC$10,'I | Inflation'!$E$57:$J$59,3,0)-1)</f>
        <v>0</v>
      </c>
      <c r="AD65" s="52">
        <f>W65*(HLOOKUP(AD$10,'I | Inflation'!$E$57:$J$59,3,0)-1)</f>
        <v>0</v>
      </c>
      <c r="AE65" s="54">
        <f t="shared" si="45"/>
        <v>0</v>
      </c>
      <c r="AF65" s="53"/>
      <c r="AG65" s="226">
        <f t="shared" si="15"/>
        <v>0</v>
      </c>
      <c r="AH65" s="226">
        <f t="shared" si="16"/>
        <v>0</v>
      </c>
      <c r="AI65" s="226">
        <f t="shared" si="17"/>
        <v>0</v>
      </c>
      <c r="AJ65" s="226">
        <f t="shared" si="18"/>
        <v>0</v>
      </c>
      <c r="AK65" s="226">
        <f t="shared" si="19"/>
        <v>0</v>
      </c>
      <c r="AL65" s="54">
        <f t="shared" si="20"/>
        <v>0</v>
      </c>
      <c r="AM65" s="53"/>
      <c r="AN65" s="52"/>
      <c r="AO65" s="52"/>
      <c r="AP65" s="52"/>
      <c r="AQ65" s="52"/>
      <c r="AR65" s="52"/>
      <c r="AS65" s="54">
        <f t="shared" si="21"/>
        <v>0</v>
      </c>
      <c r="AT65" s="53"/>
      <c r="AU65" s="52"/>
      <c r="AV65" s="52"/>
      <c r="AW65" s="52"/>
      <c r="AX65" s="52"/>
      <c r="AY65" s="52"/>
      <c r="AZ65" s="54">
        <f t="shared" si="22"/>
        <v>0</v>
      </c>
      <c r="BA65" s="53"/>
      <c r="BB65" s="52"/>
      <c r="BC65" s="52"/>
      <c r="BD65" s="52"/>
      <c r="BE65" s="52"/>
      <c r="BF65" s="52"/>
      <c r="BG65" s="54">
        <f t="shared" si="23"/>
        <v>0</v>
      </c>
      <c r="BH65" s="53"/>
      <c r="BI65" s="52">
        <f>L65*VLOOKUP($A65,'I | Capex forecast'!$A$11:$AA$160,BI$8,0)</f>
        <v>0</v>
      </c>
      <c r="BJ65" s="52">
        <f>M65*VLOOKUP($A65,'I | Capex forecast'!$A$11:$AA$160,BJ$8,0)</f>
        <v>0</v>
      </c>
      <c r="BK65" s="52">
        <f>N65*VLOOKUP($A65,'I | Capex forecast'!$A$11:$AA$160,BK$8,0)</f>
        <v>0</v>
      </c>
      <c r="BL65" s="52">
        <f>O65*VLOOKUP($A65,'I | Capex forecast'!$A$11:$AA$160,BL$8,0)</f>
        <v>0</v>
      </c>
      <c r="BM65" s="52">
        <f>P65*VLOOKUP($A65,'I | Capex forecast'!$A$11:$AA$160,BM$8,0)</f>
        <v>0</v>
      </c>
      <c r="BN65" s="54">
        <f t="shared" si="24"/>
        <v>0</v>
      </c>
      <c r="BO65" s="53"/>
      <c r="BP65" s="52">
        <f t="shared" si="34"/>
        <v>0</v>
      </c>
      <c r="BQ65" s="52">
        <f t="shared" si="35"/>
        <v>0</v>
      </c>
      <c r="BR65" s="52">
        <f t="shared" si="36"/>
        <v>0</v>
      </c>
      <c r="BS65" s="52">
        <f t="shared" si="37"/>
        <v>0</v>
      </c>
      <c r="BT65" s="52">
        <f t="shared" si="38"/>
        <v>0</v>
      </c>
      <c r="BU65" s="54">
        <f t="shared" si="25"/>
        <v>0</v>
      </c>
      <c r="BW65" s="52">
        <f t="shared" si="39"/>
        <v>0</v>
      </c>
      <c r="BX65" s="52">
        <f t="shared" si="40"/>
        <v>0</v>
      </c>
      <c r="BY65" s="52">
        <f t="shared" si="41"/>
        <v>0</v>
      </c>
      <c r="BZ65" s="52">
        <f t="shared" si="42"/>
        <v>0</v>
      </c>
      <c r="CA65" s="52">
        <f t="shared" si="43"/>
        <v>0</v>
      </c>
      <c r="CB65" s="54">
        <f t="shared" si="26"/>
        <v>0</v>
      </c>
      <c r="CC65" s="53"/>
      <c r="CD65" s="52">
        <f t="shared" si="27"/>
        <v>0</v>
      </c>
      <c r="CE65" s="52">
        <f t="shared" si="28"/>
        <v>0</v>
      </c>
      <c r="CF65" s="52">
        <f t="shared" si="29"/>
        <v>0</v>
      </c>
      <c r="CG65" s="52">
        <f t="shared" si="30"/>
        <v>0</v>
      </c>
      <c r="CH65" s="52">
        <f t="shared" si="31"/>
        <v>0</v>
      </c>
      <c r="CI65" s="54">
        <f t="shared" si="32"/>
        <v>0</v>
      </c>
    </row>
    <row r="66" spans="1:87" s="4" customFormat="1" x14ac:dyDescent="0.3">
      <c r="A66" s="56">
        <v>56</v>
      </c>
      <c r="B66" s="48" t="str">
        <f>IF('I | Capex forecast'!B66="","",'I | Capex forecast'!B66)</f>
        <v>DN300 Metro ILI - MFL Current Period</v>
      </c>
      <c r="C66" s="48" t="str">
        <f>IF('I | Capex forecast'!C66="","",'I | Capex forecast'!C66)</f>
        <v>Pipeline Integrity</v>
      </c>
      <c r="D66" s="48" t="str">
        <f>IF('I | Capex forecast'!D66="","",'I | Capex forecast'!D66)</f>
        <v/>
      </c>
      <c r="E66" s="48" t="str">
        <f>IF('I | Capex forecast'!E66="","",'I | Capex forecast'!E66)</f>
        <v>Pipelines</v>
      </c>
      <c r="F66" s="48" t="str">
        <f>IF('I | Capex forecast'!F66="","",'I | Capex forecast'!F66)</f>
        <v>Replacement</v>
      </c>
      <c r="G66" s="48" t="str">
        <f>IF('I | Capex forecast'!G66="","",'I | Capex forecast'!G66)</f>
        <v>As incurred</v>
      </c>
      <c r="H66" s="48" t="str">
        <f>IF('I | Capex forecast'!H66="","",'I | Capex forecast'!H66)</f>
        <v>FY 26</v>
      </c>
      <c r="I66" s="48" t="str">
        <f>IF('I | Capex forecast'!I66="","",'I | Capex forecast'!I66)</f>
        <v>End-year</v>
      </c>
      <c r="J66" s="48" t="str">
        <f>IF('I | Capex forecast'!J66="","",'I | Capex forecast'!J66)</f>
        <v>No</v>
      </c>
      <c r="K66" s="50"/>
      <c r="L66" s="52">
        <f>IFERROR(VLOOKUP($A66,'I | Capex forecast'!$A$11:$AA$160,L$8,0)*INDEX('I | Inflation'!$F$46:$G$49,MATCH($I66,'I | Inflation'!$E$46:$E$49,0),MATCH($H66,'I | Inflation'!$F$45:$G$45,0)),0)</f>
        <v>0</v>
      </c>
      <c r="M66" s="52">
        <f>IFERROR(VLOOKUP($A66,'I | Capex forecast'!$A$11:$AA$160,M$8,0)*INDEX('I | Inflation'!$F$46:$G$49,MATCH($I66,'I | Inflation'!$E$46:$E$49,0),MATCH($H66,'I | Inflation'!$F$45:$G$45,0)),0)</f>
        <v>0</v>
      </c>
      <c r="N66" s="52">
        <f>IFERROR(VLOOKUP($A66,'I | Capex forecast'!$A$11:$AA$160,N$8,0)*INDEX('I | Inflation'!$F$46:$G$49,MATCH($I66,'I | Inflation'!$E$46:$E$49,0),MATCH($H66,'I | Inflation'!$F$45:$G$45,0)),0)</f>
        <v>0</v>
      </c>
      <c r="O66" s="52">
        <f>IFERROR(VLOOKUP($A66,'I | Capex forecast'!$A$11:$AA$160,O$8,0)*INDEX('I | Inflation'!$F$46:$G$49,MATCH($I66,'I | Inflation'!$E$46:$E$49,0),MATCH($H66,'I | Inflation'!$F$45:$G$45,0)),0)</f>
        <v>0</v>
      </c>
      <c r="P66" s="52">
        <f>IFERROR(VLOOKUP($A66,'I | Capex forecast'!$A$11:$AA$160,P$8,0)*INDEX('I | Inflation'!$F$46:$G$49,MATCH($I66,'I | Inflation'!$E$46:$E$49,0),MATCH($H66,'I | Inflation'!$F$45:$G$45,0)),0)</f>
        <v>0</v>
      </c>
      <c r="Q66" s="54">
        <f t="shared" si="44"/>
        <v>0</v>
      </c>
      <c r="R66" s="53"/>
      <c r="S66" s="226">
        <f>L66*VLOOKUP($A66,'I | Capex forecast'!$A$11:$AA$160,S$8,0)</f>
        <v>0</v>
      </c>
      <c r="T66" s="226">
        <f>M66*VLOOKUP($A66,'I | Capex forecast'!$A$11:$AA$160,T$8,0)</f>
        <v>0</v>
      </c>
      <c r="U66" s="226">
        <f>N66*VLOOKUP($A66,'I | Capex forecast'!$A$11:$AA$160,U$8,0)</f>
        <v>0</v>
      </c>
      <c r="V66" s="226">
        <f>O66*VLOOKUP($A66,'I | Capex forecast'!$A$11:$AA$160,V$8,0)</f>
        <v>0</v>
      </c>
      <c r="W66" s="226">
        <f>P66*VLOOKUP($A66,'I | Capex forecast'!$A$11:$AA$160,W$8,0)</f>
        <v>0</v>
      </c>
      <c r="X66" s="54">
        <f t="shared" si="13"/>
        <v>0</v>
      </c>
      <c r="Y66" s="53"/>
      <c r="Z66" s="52">
        <f>S66*(HLOOKUP(Z$10,'I | Inflation'!$E$57:$J$59,3,0)-1)</f>
        <v>0</v>
      </c>
      <c r="AA66" s="52">
        <f>T66*(HLOOKUP(AA$10,'I | Inflation'!$E$57:$J$59,3,0)-1)</f>
        <v>0</v>
      </c>
      <c r="AB66" s="52">
        <f>U66*(HLOOKUP(AB$10,'I | Inflation'!$E$57:$J$59,3,0)-1)</f>
        <v>0</v>
      </c>
      <c r="AC66" s="52">
        <f>V66*(HLOOKUP(AC$10,'I | Inflation'!$E$57:$J$59,3,0)-1)</f>
        <v>0</v>
      </c>
      <c r="AD66" s="52">
        <f>W66*(HLOOKUP(AD$10,'I | Inflation'!$E$57:$J$59,3,0)-1)</f>
        <v>0</v>
      </c>
      <c r="AE66" s="54">
        <f t="shared" si="14"/>
        <v>0</v>
      </c>
      <c r="AF66" s="53"/>
      <c r="AG66" s="226">
        <f t="shared" si="15"/>
        <v>0</v>
      </c>
      <c r="AH66" s="226">
        <f t="shared" si="16"/>
        <v>0</v>
      </c>
      <c r="AI66" s="226">
        <f t="shared" si="17"/>
        <v>0</v>
      </c>
      <c r="AJ66" s="226">
        <f t="shared" si="18"/>
        <v>0</v>
      </c>
      <c r="AK66" s="226">
        <f t="shared" si="19"/>
        <v>0</v>
      </c>
      <c r="AL66" s="54">
        <f t="shared" si="20"/>
        <v>0</v>
      </c>
      <c r="AM66" s="53"/>
      <c r="AN66" s="52"/>
      <c r="AO66" s="52"/>
      <c r="AP66" s="52"/>
      <c r="AQ66" s="52"/>
      <c r="AR66" s="52"/>
      <c r="AS66" s="54">
        <f t="shared" si="21"/>
        <v>0</v>
      </c>
      <c r="AT66" s="53"/>
      <c r="AU66" s="52"/>
      <c r="AV66" s="52"/>
      <c r="AW66" s="52"/>
      <c r="AX66" s="52"/>
      <c r="AY66" s="52"/>
      <c r="AZ66" s="54">
        <f t="shared" si="22"/>
        <v>0</v>
      </c>
      <c r="BA66" s="53"/>
      <c r="BB66" s="52"/>
      <c r="BC66" s="52"/>
      <c r="BD66" s="52"/>
      <c r="BE66" s="52"/>
      <c r="BF66" s="52"/>
      <c r="BG66" s="54">
        <f t="shared" si="23"/>
        <v>0</v>
      </c>
      <c r="BH66" s="53"/>
      <c r="BI66" s="52">
        <f>L66*VLOOKUP($A66,'I | Capex forecast'!$A$11:$AA$160,BI$8,0)</f>
        <v>0</v>
      </c>
      <c r="BJ66" s="52">
        <f>M66*VLOOKUP($A66,'I | Capex forecast'!$A$11:$AA$160,BJ$8,0)</f>
        <v>0</v>
      </c>
      <c r="BK66" s="52">
        <f>N66*VLOOKUP($A66,'I | Capex forecast'!$A$11:$AA$160,BK$8,0)</f>
        <v>0</v>
      </c>
      <c r="BL66" s="52">
        <f>O66*VLOOKUP($A66,'I | Capex forecast'!$A$11:$AA$160,BL$8,0)</f>
        <v>0</v>
      </c>
      <c r="BM66" s="52">
        <f>P66*VLOOKUP($A66,'I | Capex forecast'!$A$11:$AA$160,BM$8,0)</f>
        <v>0</v>
      </c>
      <c r="BN66" s="54">
        <f t="shared" si="24"/>
        <v>0</v>
      </c>
      <c r="BO66" s="53"/>
      <c r="BP66" s="52">
        <f t="shared" si="34"/>
        <v>0</v>
      </c>
      <c r="BQ66" s="52">
        <f t="shared" si="35"/>
        <v>0</v>
      </c>
      <c r="BR66" s="52">
        <f t="shared" si="36"/>
        <v>0</v>
      </c>
      <c r="BS66" s="52">
        <f t="shared" si="37"/>
        <v>0</v>
      </c>
      <c r="BT66" s="52">
        <f t="shared" si="38"/>
        <v>0</v>
      </c>
      <c r="BU66" s="54">
        <f t="shared" si="25"/>
        <v>0</v>
      </c>
      <c r="BW66" s="52">
        <f t="shared" si="39"/>
        <v>0</v>
      </c>
      <c r="BX66" s="52">
        <f t="shared" si="40"/>
        <v>0</v>
      </c>
      <c r="BY66" s="52">
        <f t="shared" si="41"/>
        <v>0</v>
      </c>
      <c r="BZ66" s="52">
        <f t="shared" si="42"/>
        <v>0</v>
      </c>
      <c r="CA66" s="52">
        <f t="shared" si="43"/>
        <v>0</v>
      </c>
      <c r="CB66" s="54">
        <f t="shared" si="26"/>
        <v>0</v>
      </c>
      <c r="CC66" s="53"/>
      <c r="CD66" s="52">
        <f t="shared" si="27"/>
        <v>0</v>
      </c>
      <c r="CE66" s="52">
        <f t="shared" si="28"/>
        <v>0</v>
      </c>
      <c r="CF66" s="52">
        <f t="shared" si="29"/>
        <v>0</v>
      </c>
      <c r="CG66" s="52">
        <f t="shared" si="30"/>
        <v>0</v>
      </c>
      <c r="CH66" s="52">
        <f t="shared" si="31"/>
        <v>0</v>
      </c>
      <c r="CI66" s="54">
        <f t="shared" si="32"/>
        <v>0</v>
      </c>
    </row>
    <row r="67" spans="1:87" s="4" customFormat="1" x14ac:dyDescent="0.3">
      <c r="A67" s="56">
        <v>57</v>
      </c>
      <c r="B67" s="48" t="str">
        <f>IF('I | Capex forecast'!B67="","",'I | Capex forecast'!B67)</f>
        <v>DN200 Lytton Lateral - ILI - MFL (FY27)</v>
      </c>
      <c r="C67" s="48" t="str">
        <f>IF('I | Capex forecast'!C67="","",'I | Capex forecast'!C67)</f>
        <v>Pipeline Integrity</v>
      </c>
      <c r="D67" s="48" t="str">
        <f>IF('I | Capex forecast'!D67="","",'I | Capex forecast'!D67)</f>
        <v/>
      </c>
      <c r="E67" s="48" t="str">
        <f>IF('I | Capex forecast'!E67="","",'I | Capex forecast'!E67)</f>
        <v>Pipelines</v>
      </c>
      <c r="F67" s="48" t="str">
        <f>IF('I | Capex forecast'!F67="","",'I | Capex forecast'!F67)</f>
        <v>Replacement</v>
      </c>
      <c r="G67" s="48" t="str">
        <f>IF('I | Capex forecast'!G67="","",'I | Capex forecast'!G67)</f>
        <v>As incurred</v>
      </c>
      <c r="H67" s="48" t="str">
        <f>IF('I | Capex forecast'!H67="","",'I | Capex forecast'!H67)</f>
        <v>FY 26</v>
      </c>
      <c r="I67" s="48" t="str">
        <f>IF('I | Capex forecast'!I67="","",'I | Capex forecast'!I67)</f>
        <v>End-year</v>
      </c>
      <c r="J67" s="48" t="str">
        <f>IF('I | Capex forecast'!J67="","",'I | Capex forecast'!J67)</f>
        <v>No</v>
      </c>
      <c r="K67" s="50"/>
      <c r="L67" s="52">
        <f>IFERROR(VLOOKUP($A67,'I | Capex forecast'!$A$11:$AA$160,L$8,0)*INDEX('I | Inflation'!$F$46:$G$49,MATCH($I67,'I | Inflation'!$E$46:$E$49,0),MATCH($H67,'I | Inflation'!$F$45:$G$45,0)),0)</f>
        <v>0</v>
      </c>
      <c r="M67" s="52">
        <f>IFERROR(VLOOKUP($A67,'I | Capex forecast'!$A$11:$AA$160,M$8,0)*INDEX('I | Inflation'!$F$46:$G$49,MATCH($I67,'I | Inflation'!$E$46:$E$49,0),MATCH($H67,'I | Inflation'!$F$45:$G$45,0)),0)</f>
        <v>0</v>
      </c>
      <c r="N67" s="52">
        <f>IFERROR(VLOOKUP($A67,'I | Capex forecast'!$A$11:$AA$160,N$8,0)*INDEX('I | Inflation'!$F$46:$G$49,MATCH($I67,'I | Inflation'!$E$46:$E$49,0),MATCH($H67,'I | Inflation'!$F$45:$G$45,0)),0)</f>
        <v>0</v>
      </c>
      <c r="O67" s="52">
        <f>IFERROR(VLOOKUP($A67,'I | Capex forecast'!$A$11:$AA$160,O$8,0)*INDEX('I | Inflation'!$F$46:$G$49,MATCH($I67,'I | Inflation'!$E$46:$E$49,0),MATCH($H67,'I | Inflation'!$F$45:$G$45,0)),0)</f>
        <v>0</v>
      </c>
      <c r="P67" s="52">
        <f>IFERROR(VLOOKUP($A67,'I | Capex forecast'!$A$11:$AA$160,P$8,0)*INDEX('I | Inflation'!$F$46:$G$49,MATCH($I67,'I | Inflation'!$E$46:$E$49,0),MATCH($H67,'I | Inflation'!$F$45:$G$45,0)),0)</f>
        <v>0</v>
      </c>
      <c r="Q67" s="54">
        <f t="shared" si="44"/>
        <v>0</v>
      </c>
      <c r="R67" s="53"/>
      <c r="S67" s="226">
        <f>L67*VLOOKUP($A67,'I | Capex forecast'!$A$11:$AA$160,S$8,0)</f>
        <v>0</v>
      </c>
      <c r="T67" s="226">
        <f>M67*VLOOKUP($A67,'I | Capex forecast'!$A$11:$AA$160,T$8,0)</f>
        <v>0</v>
      </c>
      <c r="U67" s="226">
        <f>N67*VLOOKUP($A67,'I | Capex forecast'!$A$11:$AA$160,U$8,0)</f>
        <v>0</v>
      </c>
      <c r="V67" s="226">
        <f>O67*VLOOKUP($A67,'I | Capex forecast'!$A$11:$AA$160,V$8,0)</f>
        <v>0</v>
      </c>
      <c r="W67" s="226">
        <f>P67*VLOOKUP($A67,'I | Capex forecast'!$A$11:$AA$160,W$8,0)</f>
        <v>0</v>
      </c>
      <c r="X67" s="54">
        <f t="shared" si="13"/>
        <v>0</v>
      </c>
      <c r="Y67" s="53"/>
      <c r="Z67" s="52">
        <f>S67*(HLOOKUP(Z$10,'I | Inflation'!$E$57:$J$59,3,0)-1)</f>
        <v>0</v>
      </c>
      <c r="AA67" s="52">
        <f>T67*(HLOOKUP(AA$10,'I | Inflation'!$E$57:$J$59,3,0)-1)</f>
        <v>0</v>
      </c>
      <c r="AB67" s="52">
        <f>U67*(HLOOKUP(AB$10,'I | Inflation'!$E$57:$J$59,3,0)-1)</f>
        <v>0</v>
      </c>
      <c r="AC67" s="52">
        <f>V67*(HLOOKUP(AC$10,'I | Inflation'!$E$57:$J$59,3,0)-1)</f>
        <v>0</v>
      </c>
      <c r="AD67" s="52">
        <f>W67*(HLOOKUP(AD$10,'I | Inflation'!$E$57:$J$59,3,0)-1)</f>
        <v>0</v>
      </c>
      <c r="AE67" s="54">
        <f t="shared" si="14"/>
        <v>0</v>
      </c>
      <c r="AF67" s="53"/>
      <c r="AG67" s="226">
        <f t="shared" si="15"/>
        <v>0</v>
      </c>
      <c r="AH67" s="226">
        <f t="shared" si="16"/>
        <v>0</v>
      </c>
      <c r="AI67" s="226">
        <f t="shared" si="17"/>
        <v>0</v>
      </c>
      <c r="AJ67" s="226">
        <f t="shared" si="18"/>
        <v>0</v>
      </c>
      <c r="AK67" s="226">
        <f t="shared" si="19"/>
        <v>0</v>
      </c>
      <c r="AL67" s="54">
        <f t="shared" si="20"/>
        <v>0</v>
      </c>
      <c r="AM67" s="53"/>
      <c r="AN67" s="52"/>
      <c r="AO67" s="52"/>
      <c r="AP67" s="52"/>
      <c r="AQ67" s="52"/>
      <c r="AR67" s="52"/>
      <c r="AS67" s="54">
        <f t="shared" si="21"/>
        <v>0</v>
      </c>
      <c r="AT67" s="53"/>
      <c r="AU67" s="52"/>
      <c r="AV67" s="52"/>
      <c r="AW67" s="52"/>
      <c r="AX67" s="52"/>
      <c r="AY67" s="52"/>
      <c r="AZ67" s="54">
        <f t="shared" si="22"/>
        <v>0</v>
      </c>
      <c r="BA67" s="53"/>
      <c r="BB67" s="52"/>
      <c r="BC67" s="52"/>
      <c r="BD67" s="52"/>
      <c r="BE67" s="52"/>
      <c r="BF67" s="52"/>
      <c r="BG67" s="54">
        <f t="shared" si="23"/>
        <v>0</v>
      </c>
      <c r="BH67" s="53"/>
      <c r="BI67" s="52">
        <f>L67*VLOOKUP($A67,'I | Capex forecast'!$A$11:$AA$160,BI$8,0)</f>
        <v>0</v>
      </c>
      <c r="BJ67" s="52">
        <f>M67*VLOOKUP($A67,'I | Capex forecast'!$A$11:$AA$160,BJ$8,0)</f>
        <v>0</v>
      </c>
      <c r="BK67" s="52">
        <f>N67*VLOOKUP($A67,'I | Capex forecast'!$A$11:$AA$160,BK$8,0)</f>
        <v>0</v>
      </c>
      <c r="BL67" s="52">
        <f>O67*VLOOKUP($A67,'I | Capex forecast'!$A$11:$AA$160,BL$8,0)</f>
        <v>0</v>
      </c>
      <c r="BM67" s="52">
        <f>P67*VLOOKUP($A67,'I | Capex forecast'!$A$11:$AA$160,BM$8,0)</f>
        <v>0</v>
      </c>
      <c r="BN67" s="54">
        <f t="shared" si="24"/>
        <v>0</v>
      </c>
      <c r="BO67" s="53"/>
      <c r="BP67" s="52">
        <f t="shared" si="34"/>
        <v>0</v>
      </c>
      <c r="BQ67" s="52">
        <f t="shared" si="35"/>
        <v>0</v>
      </c>
      <c r="BR67" s="52">
        <f t="shared" si="36"/>
        <v>0</v>
      </c>
      <c r="BS67" s="52">
        <f t="shared" si="37"/>
        <v>0</v>
      </c>
      <c r="BT67" s="52">
        <f t="shared" si="38"/>
        <v>0</v>
      </c>
      <c r="BU67" s="54">
        <f t="shared" si="25"/>
        <v>0</v>
      </c>
      <c r="BW67" s="52">
        <f t="shared" si="39"/>
        <v>0</v>
      </c>
      <c r="BX67" s="52">
        <f t="shared" si="40"/>
        <v>0</v>
      </c>
      <c r="BY67" s="52">
        <f t="shared" si="41"/>
        <v>0</v>
      </c>
      <c r="BZ67" s="52">
        <f t="shared" si="42"/>
        <v>0</v>
      </c>
      <c r="CA67" s="52">
        <f t="shared" si="43"/>
        <v>0</v>
      </c>
      <c r="CB67" s="54">
        <f t="shared" si="26"/>
        <v>0</v>
      </c>
      <c r="CC67" s="53"/>
      <c r="CD67" s="52">
        <f t="shared" si="27"/>
        <v>0</v>
      </c>
      <c r="CE67" s="52">
        <f t="shared" si="28"/>
        <v>0</v>
      </c>
      <c r="CF67" s="52">
        <f t="shared" si="29"/>
        <v>0</v>
      </c>
      <c r="CG67" s="52">
        <f t="shared" si="30"/>
        <v>0</v>
      </c>
      <c r="CH67" s="52">
        <f t="shared" si="31"/>
        <v>0</v>
      </c>
      <c r="CI67" s="54">
        <f t="shared" si="32"/>
        <v>0</v>
      </c>
    </row>
    <row r="68" spans="1:87" s="4" customFormat="1" x14ac:dyDescent="0.3">
      <c r="A68" s="56">
        <v>58</v>
      </c>
      <c r="B68" s="48" t="str">
        <f>IF('I | Capex forecast'!B68="","",'I | Capex forecast'!B68)</f>
        <v>Major Capitalisable Maintenance FY27</v>
      </c>
      <c r="C68" s="48" t="str">
        <f>IF('I | Capex forecast'!C68="","",'I | Capex forecast'!C68)</f>
        <v>Minor Projects</v>
      </c>
      <c r="D68" s="48" t="str">
        <f>IF('I | Capex forecast'!D68="","",'I | Capex forecast'!D68)</f>
        <v/>
      </c>
      <c r="E68" s="48" t="str">
        <f>IF('I | Capex forecast'!E68="","",'I | Capex forecast'!E68)</f>
        <v>SIB capex</v>
      </c>
      <c r="F68" s="48" t="str">
        <f>IF('I | Capex forecast'!F68="","",'I | Capex forecast'!F68)</f>
        <v>Replacement</v>
      </c>
      <c r="G68" s="48" t="str">
        <f>IF('I | Capex forecast'!G68="","",'I | Capex forecast'!G68)</f>
        <v>As incurred</v>
      </c>
      <c r="H68" s="48" t="str">
        <f>IF('I | Capex forecast'!H68="","",'I | Capex forecast'!H68)</f>
        <v>FY 26</v>
      </c>
      <c r="I68" s="48" t="str">
        <f>IF('I | Capex forecast'!I68="","",'I | Capex forecast'!I68)</f>
        <v>End-year</v>
      </c>
      <c r="J68" s="48" t="str">
        <f>IF('I | Capex forecast'!J68="","",'I | Capex forecast'!J68)</f>
        <v>No</v>
      </c>
      <c r="K68" s="50"/>
      <c r="L68" s="52">
        <f>IFERROR(VLOOKUP($A68,'I | Capex forecast'!$A$11:$AA$160,L$8,0)*INDEX('I | Inflation'!$F$46:$G$49,MATCH($I68,'I | Inflation'!$E$46:$E$49,0),MATCH($H68,'I | Inflation'!$F$45:$G$45,0)),0)</f>
        <v>0</v>
      </c>
      <c r="M68" s="52">
        <f>IFERROR(VLOOKUP($A68,'I | Capex forecast'!$A$11:$AA$160,M$8,0)*INDEX('I | Inflation'!$F$46:$G$49,MATCH($I68,'I | Inflation'!$E$46:$E$49,0),MATCH($H68,'I | Inflation'!$F$45:$G$45,0)),0)</f>
        <v>0</v>
      </c>
      <c r="N68" s="52">
        <f>IFERROR(VLOOKUP($A68,'I | Capex forecast'!$A$11:$AA$160,N$8,0)*INDEX('I | Inflation'!$F$46:$G$49,MATCH($I68,'I | Inflation'!$E$46:$E$49,0),MATCH($H68,'I | Inflation'!$F$45:$G$45,0)),0)</f>
        <v>0</v>
      </c>
      <c r="O68" s="52">
        <f>IFERROR(VLOOKUP($A68,'I | Capex forecast'!$A$11:$AA$160,O$8,0)*INDEX('I | Inflation'!$F$46:$G$49,MATCH($I68,'I | Inflation'!$E$46:$E$49,0),MATCH($H68,'I | Inflation'!$F$45:$G$45,0)),0)</f>
        <v>0</v>
      </c>
      <c r="P68" s="52">
        <f>IFERROR(VLOOKUP($A68,'I | Capex forecast'!$A$11:$AA$160,P$8,0)*INDEX('I | Inflation'!$F$46:$G$49,MATCH($I68,'I | Inflation'!$E$46:$E$49,0),MATCH($H68,'I | Inflation'!$F$45:$G$45,0)),0)</f>
        <v>0</v>
      </c>
      <c r="Q68" s="54">
        <f t="shared" si="44"/>
        <v>0</v>
      </c>
      <c r="R68" s="53"/>
      <c r="S68" s="226">
        <f>L68*VLOOKUP($A68,'I | Capex forecast'!$A$11:$AA$160,S$8,0)</f>
        <v>0</v>
      </c>
      <c r="T68" s="226">
        <f>M68*VLOOKUP($A68,'I | Capex forecast'!$A$11:$AA$160,T$8,0)</f>
        <v>0</v>
      </c>
      <c r="U68" s="226">
        <f>N68*VLOOKUP($A68,'I | Capex forecast'!$A$11:$AA$160,U$8,0)</f>
        <v>0</v>
      </c>
      <c r="V68" s="226">
        <f>O68*VLOOKUP($A68,'I | Capex forecast'!$A$11:$AA$160,V$8,0)</f>
        <v>0</v>
      </c>
      <c r="W68" s="226">
        <f>P68*VLOOKUP($A68,'I | Capex forecast'!$A$11:$AA$160,W$8,0)</f>
        <v>0</v>
      </c>
      <c r="X68" s="54">
        <f t="shared" si="13"/>
        <v>0</v>
      </c>
      <c r="Y68" s="53"/>
      <c r="Z68" s="52">
        <f>S68*(HLOOKUP(Z$10,'I | Inflation'!$E$57:$J$59,3,0)-1)</f>
        <v>0</v>
      </c>
      <c r="AA68" s="52">
        <f>T68*(HLOOKUP(AA$10,'I | Inflation'!$E$57:$J$59,3,0)-1)</f>
        <v>0</v>
      </c>
      <c r="AB68" s="52">
        <f>U68*(HLOOKUP(AB$10,'I | Inflation'!$E$57:$J$59,3,0)-1)</f>
        <v>0</v>
      </c>
      <c r="AC68" s="52">
        <f>V68*(HLOOKUP(AC$10,'I | Inflation'!$E$57:$J$59,3,0)-1)</f>
        <v>0</v>
      </c>
      <c r="AD68" s="52">
        <f>W68*(HLOOKUP(AD$10,'I | Inflation'!$E$57:$J$59,3,0)-1)</f>
        <v>0</v>
      </c>
      <c r="AE68" s="54">
        <f t="shared" si="14"/>
        <v>0</v>
      </c>
      <c r="AF68" s="53"/>
      <c r="AG68" s="226">
        <f t="shared" si="15"/>
        <v>0</v>
      </c>
      <c r="AH68" s="226">
        <f t="shared" si="16"/>
        <v>0</v>
      </c>
      <c r="AI68" s="226">
        <f t="shared" si="17"/>
        <v>0</v>
      </c>
      <c r="AJ68" s="226">
        <f t="shared" si="18"/>
        <v>0</v>
      </c>
      <c r="AK68" s="226">
        <f t="shared" si="19"/>
        <v>0</v>
      </c>
      <c r="AL68" s="54">
        <f t="shared" si="20"/>
        <v>0</v>
      </c>
      <c r="AM68" s="53"/>
      <c r="AN68" s="52"/>
      <c r="AO68" s="52"/>
      <c r="AP68" s="52"/>
      <c r="AQ68" s="52"/>
      <c r="AR68" s="52"/>
      <c r="AS68" s="54">
        <f t="shared" si="21"/>
        <v>0</v>
      </c>
      <c r="AT68" s="53"/>
      <c r="AU68" s="52"/>
      <c r="AV68" s="52"/>
      <c r="AW68" s="52"/>
      <c r="AX68" s="52"/>
      <c r="AY68" s="52"/>
      <c r="AZ68" s="54">
        <f t="shared" si="22"/>
        <v>0</v>
      </c>
      <c r="BA68" s="53"/>
      <c r="BB68" s="52"/>
      <c r="BC68" s="52"/>
      <c r="BD68" s="52"/>
      <c r="BE68" s="52"/>
      <c r="BF68" s="52"/>
      <c r="BG68" s="54">
        <f t="shared" si="23"/>
        <v>0</v>
      </c>
      <c r="BH68" s="53"/>
      <c r="BI68" s="52">
        <f>L68*VLOOKUP($A68,'I | Capex forecast'!$A$11:$AA$160,BI$8,0)</f>
        <v>0</v>
      </c>
      <c r="BJ68" s="52">
        <f>M68*VLOOKUP($A68,'I | Capex forecast'!$A$11:$AA$160,BJ$8,0)</f>
        <v>0</v>
      </c>
      <c r="BK68" s="52">
        <f>N68*VLOOKUP($A68,'I | Capex forecast'!$A$11:$AA$160,BK$8,0)</f>
        <v>0</v>
      </c>
      <c r="BL68" s="52">
        <f>O68*VLOOKUP($A68,'I | Capex forecast'!$A$11:$AA$160,BL$8,0)</f>
        <v>0</v>
      </c>
      <c r="BM68" s="52">
        <f>P68*VLOOKUP($A68,'I | Capex forecast'!$A$11:$AA$160,BM$8,0)</f>
        <v>0</v>
      </c>
      <c r="BN68" s="54">
        <f t="shared" si="24"/>
        <v>0</v>
      </c>
      <c r="BO68" s="53"/>
      <c r="BP68" s="52">
        <f t="shared" si="34"/>
        <v>0</v>
      </c>
      <c r="BQ68" s="52">
        <f t="shared" si="35"/>
        <v>0</v>
      </c>
      <c r="BR68" s="52">
        <f t="shared" si="36"/>
        <v>0</v>
      </c>
      <c r="BS68" s="52">
        <f t="shared" si="37"/>
        <v>0</v>
      </c>
      <c r="BT68" s="52">
        <f t="shared" si="38"/>
        <v>0</v>
      </c>
      <c r="BU68" s="54">
        <f t="shared" si="25"/>
        <v>0</v>
      </c>
      <c r="BW68" s="52">
        <f t="shared" si="39"/>
        <v>0</v>
      </c>
      <c r="BX68" s="52">
        <f t="shared" si="40"/>
        <v>0</v>
      </c>
      <c r="BY68" s="52">
        <f t="shared" si="41"/>
        <v>0</v>
      </c>
      <c r="BZ68" s="52">
        <f t="shared" si="42"/>
        <v>0</v>
      </c>
      <c r="CA68" s="52">
        <f t="shared" si="43"/>
        <v>0</v>
      </c>
      <c r="CB68" s="54">
        <f t="shared" si="26"/>
        <v>0</v>
      </c>
      <c r="CC68" s="53"/>
      <c r="CD68" s="52">
        <f t="shared" si="27"/>
        <v>0</v>
      </c>
      <c r="CE68" s="52">
        <f t="shared" si="28"/>
        <v>0</v>
      </c>
      <c r="CF68" s="52">
        <f t="shared" si="29"/>
        <v>0</v>
      </c>
      <c r="CG68" s="52">
        <f t="shared" si="30"/>
        <v>0</v>
      </c>
      <c r="CH68" s="52">
        <f t="shared" si="31"/>
        <v>0</v>
      </c>
      <c r="CI68" s="54">
        <f t="shared" si="32"/>
        <v>0</v>
      </c>
    </row>
    <row r="69" spans="1:87" s="4" customFormat="1" x14ac:dyDescent="0.3">
      <c r="A69" s="56">
        <v>59</v>
      </c>
      <c r="B69" s="48" t="str">
        <f>IF('I | Capex forecast'!B69="","",'I | Capex forecast'!B69)</f>
        <v>Ellengrove - add BPCS loop</v>
      </c>
      <c r="C69" s="48" t="str">
        <f>IF('I | Capex forecast'!C69="","",'I | Capex forecast'!C69)</f>
        <v>Ellengrove Safety</v>
      </c>
      <c r="D69" s="48" t="str">
        <f>IF('I | Capex forecast'!D69="","",'I | Capex forecast'!D69)</f>
        <v/>
      </c>
      <c r="E69" s="48" t="str">
        <f>IF('I | Capex forecast'!E69="","",'I | Capex forecast'!E69)</f>
        <v>Regulators and meters</v>
      </c>
      <c r="F69" s="48" t="str">
        <f>IF('I | Capex forecast'!F69="","",'I | Capex forecast'!F69)</f>
        <v>Replacement</v>
      </c>
      <c r="G69" s="48" t="str">
        <f>IF('I | Capex forecast'!G69="","",'I | Capex forecast'!G69)</f>
        <v>As incurred</v>
      </c>
      <c r="H69" s="48" t="str">
        <f>IF('I | Capex forecast'!H69="","",'I | Capex forecast'!H69)</f>
        <v>FY 26</v>
      </c>
      <c r="I69" s="48" t="str">
        <f>IF('I | Capex forecast'!I69="","",'I | Capex forecast'!I69)</f>
        <v>End-year</v>
      </c>
      <c r="J69" s="48" t="str">
        <f>IF('I | Capex forecast'!J69="","",'I | Capex forecast'!J69)</f>
        <v>No</v>
      </c>
      <c r="K69" s="50"/>
      <c r="L69" s="52">
        <f>IFERROR(VLOOKUP($A69,'I | Capex forecast'!$A$11:$AA$160,L$8,0)*INDEX('I | Inflation'!$F$46:$G$49,MATCH($I69,'I | Inflation'!$E$46:$E$49,0),MATCH($H69,'I | Inflation'!$F$45:$G$45,0)),0)</f>
        <v>0</v>
      </c>
      <c r="M69" s="52">
        <f>IFERROR(VLOOKUP($A69,'I | Capex forecast'!$A$11:$AA$160,M$8,0)*INDEX('I | Inflation'!$F$46:$G$49,MATCH($I69,'I | Inflation'!$E$46:$E$49,0),MATCH($H69,'I | Inflation'!$F$45:$G$45,0)),0)</f>
        <v>0</v>
      </c>
      <c r="N69" s="52">
        <f>IFERROR(VLOOKUP($A69,'I | Capex forecast'!$A$11:$AA$160,N$8,0)*INDEX('I | Inflation'!$F$46:$G$49,MATCH($I69,'I | Inflation'!$E$46:$E$49,0),MATCH($H69,'I | Inflation'!$F$45:$G$45,0)),0)</f>
        <v>0</v>
      </c>
      <c r="O69" s="52">
        <f>IFERROR(VLOOKUP($A69,'I | Capex forecast'!$A$11:$AA$160,O$8,0)*INDEX('I | Inflation'!$F$46:$G$49,MATCH($I69,'I | Inflation'!$E$46:$E$49,0),MATCH($H69,'I | Inflation'!$F$45:$G$45,0)),0)</f>
        <v>0</v>
      </c>
      <c r="P69" s="52">
        <f>IFERROR(VLOOKUP($A69,'I | Capex forecast'!$A$11:$AA$160,P$8,0)*INDEX('I | Inflation'!$F$46:$G$49,MATCH($I69,'I | Inflation'!$E$46:$E$49,0),MATCH($H69,'I | Inflation'!$F$45:$G$45,0)),0)</f>
        <v>0</v>
      </c>
      <c r="Q69" s="54">
        <f t="shared" si="44"/>
        <v>0</v>
      </c>
      <c r="R69" s="53"/>
      <c r="S69" s="226">
        <f>L69*VLOOKUP($A69,'I | Capex forecast'!$A$11:$AA$160,S$8,0)</f>
        <v>0</v>
      </c>
      <c r="T69" s="226">
        <f>M69*VLOOKUP($A69,'I | Capex forecast'!$A$11:$AA$160,T$8,0)</f>
        <v>0</v>
      </c>
      <c r="U69" s="226">
        <f>N69*VLOOKUP($A69,'I | Capex forecast'!$A$11:$AA$160,U$8,0)</f>
        <v>0</v>
      </c>
      <c r="V69" s="226">
        <f>O69*VLOOKUP($A69,'I | Capex forecast'!$A$11:$AA$160,V$8,0)</f>
        <v>0</v>
      </c>
      <c r="W69" s="226">
        <f>P69*VLOOKUP($A69,'I | Capex forecast'!$A$11:$AA$160,W$8,0)</f>
        <v>0</v>
      </c>
      <c r="X69" s="54">
        <f t="shared" si="13"/>
        <v>0</v>
      </c>
      <c r="Y69" s="53"/>
      <c r="Z69" s="52">
        <f>S69*(HLOOKUP(Z$10,'I | Inflation'!$E$57:$J$59,3,0)-1)</f>
        <v>0</v>
      </c>
      <c r="AA69" s="52">
        <f>T69*(HLOOKUP(AA$10,'I | Inflation'!$E$57:$J$59,3,0)-1)</f>
        <v>0</v>
      </c>
      <c r="AB69" s="52">
        <f>U69*(HLOOKUP(AB$10,'I | Inflation'!$E$57:$J$59,3,0)-1)</f>
        <v>0</v>
      </c>
      <c r="AC69" s="52">
        <f>V69*(HLOOKUP(AC$10,'I | Inflation'!$E$57:$J$59,3,0)-1)</f>
        <v>0</v>
      </c>
      <c r="AD69" s="52">
        <f>W69*(HLOOKUP(AD$10,'I | Inflation'!$E$57:$J$59,3,0)-1)</f>
        <v>0</v>
      </c>
      <c r="AE69" s="54">
        <f t="shared" si="14"/>
        <v>0</v>
      </c>
      <c r="AF69" s="53"/>
      <c r="AG69" s="226">
        <f t="shared" si="15"/>
        <v>0</v>
      </c>
      <c r="AH69" s="226">
        <f t="shared" si="16"/>
        <v>0</v>
      </c>
      <c r="AI69" s="226">
        <f t="shared" si="17"/>
        <v>0</v>
      </c>
      <c r="AJ69" s="226">
        <f t="shared" si="18"/>
        <v>0</v>
      </c>
      <c r="AK69" s="226">
        <f t="shared" si="19"/>
        <v>0</v>
      </c>
      <c r="AL69" s="54">
        <f t="shared" si="20"/>
        <v>0</v>
      </c>
      <c r="AM69" s="53"/>
      <c r="AN69" s="52"/>
      <c r="AO69" s="52"/>
      <c r="AP69" s="52"/>
      <c r="AQ69" s="52"/>
      <c r="AR69" s="52"/>
      <c r="AS69" s="54">
        <f t="shared" si="21"/>
        <v>0</v>
      </c>
      <c r="AT69" s="53"/>
      <c r="AU69" s="52"/>
      <c r="AV69" s="52"/>
      <c r="AW69" s="52"/>
      <c r="AX69" s="52"/>
      <c r="AY69" s="52"/>
      <c r="AZ69" s="54">
        <f t="shared" si="22"/>
        <v>0</v>
      </c>
      <c r="BA69" s="53"/>
      <c r="BB69" s="52"/>
      <c r="BC69" s="52"/>
      <c r="BD69" s="52"/>
      <c r="BE69" s="52"/>
      <c r="BF69" s="52"/>
      <c r="BG69" s="54">
        <f t="shared" si="23"/>
        <v>0</v>
      </c>
      <c r="BH69" s="53"/>
      <c r="BI69" s="52">
        <f>L69*VLOOKUP($A69,'I | Capex forecast'!$A$11:$AA$160,BI$8,0)</f>
        <v>0</v>
      </c>
      <c r="BJ69" s="52">
        <f>M69*VLOOKUP($A69,'I | Capex forecast'!$A$11:$AA$160,BJ$8,0)</f>
        <v>0</v>
      </c>
      <c r="BK69" s="52">
        <f>N69*VLOOKUP($A69,'I | Capex forecast'!$A$11:$AA$160,BK$8,0)</f>
        <v>0</v>
      </c>
      <c r="BL69" s="52">
        <f>O69*VLOOKUP($A69,'I | Capex forecast'!$A$11:$AA$160,BL$8,0)</f>
        <v>0</v>
      </c>
      <c r="BM69" s="52">
        <f>P69*VLOOKUP($A69,'I | Capex forecast'!$A$11:$AA$160,BM$8,0)</f>
        <v>0</v>
      </c>
      <c r="BN69" s="54">
        <f t="shared" si="24"/>
        <v>0</v>
      </c>
      <c r="BO69" s="53"/>
      <c r="BP69" s="52">
        <f t="shared" si="34"/>
        <v>0</v>
      </c>
      <c r="BQ69" s="52">
        <f t="shared" si="35"/>
        <v>0</v>
      </c>
      <c r="BR69" s="52">
        <f t="shared" si="36"/>
        <v>0</v>
      </c>
      <c r="BS69" s="52">
        <f t="shared" si="37"/>
        <v>0</v>
      </c>
      <c r="BT69" s="52">
        <f t="shared" si="38"/>
        <v>0</v>
      </c>
      <c r="BU69" s="54">
        <f t="shared" si="25"/>
        <v>0</v>
      </c>
      <c r="BW69" s="52">
        <f t="shared" si="39"/>
        <v>0</v>
      </c>
      <c r="BX69" s="52">
        <f t="shared" si="40"/>
        <v>0</v>
      </c>
      <c r="BY69" s="52">
        <f t="shared" si="41"/>
        <v>0</v>
      </c>
      <c r="BZ69" s="52">
        <f t="shared" si="42"/>
        <v>0</v>
      </c>
      <c r="CA69" s="52">
        <f t="shared" si="43"/>
        <v>0</v>
      </c>
      <c r="CB69" s="54">
        <f t="shared" si="26"/>
        <v>0</v>
      </c>
      <c r="CC69" s="53"/>
      <c r="CD69" s="52">
        <f t="shared" si="27"/>
        <v>0</v>
      </c>
      <c r="CE69" s="52">
        <f t="shared" si="28"/>
        <v>0</v>
      </c>
      <c r="CF69" s="52">
        <f t="shared" si="29"/>
        <v>0</v>
      </c>
      <c r="CG69" s="52">
        <f t="shared" si="30"/>
        <v>0</v>
      </c>
      <c r="CH69" s="52">
        <f t="shared" si="31"/>
        <v>0</v>
      </c>
      <c r="CI69" s="54">
        <f t="shared" si="32"/>
        <v>0</v>
      </c>
    </row>
    <row r="70" spans="1:87" s="4" customFormat="1" x14ac:dyDescent="0.3">
      <c r="A70" s="56">
        <v>60</v>
      </c>
      <c r="B70" s="48" t="str">
        <f>IF('I | Capex forecast'!B70="","",'I | Capex forecast'!B70)</f>
        <v>Mech - DN250 Supply Security Project Phase 2</v>
      </c>
      <c r="C70" s="48" t="str">
        <f>IF('I | Capex forecast'!C70="","",'I | Capex forecast'!C70)</f>
        <v>DN250 Supply Security Project</v>
      </c>
      <c r="D70" s="48" t="str">
        <f>IF('I | Capex forecast'!D70="","",'I | Capex forecast'!D70)</f>
        <v/>
      </c>
      <c r="E70" s="48" t="str">
        <f>IF('I | Capex forecast'!E70="","",'I | Capex forecast'!E70)</f>
        <v>Pipelines</v>
      </c>
      <c r="F70" s="48" t="str">
        <f>IF('I | Capex forecast'!F70="","",'I | Capex forecast'!F70)</f>
        <v>Replacement</v>
      </c>
      <c r="G70" s="48" t="str">
        <f>IF('I | Capex forecast'!G70="","",'I | Capex forecast'!G70)</f>
        <v>As incurred</v>
      </c>
      <c r="H70" s="48" t="str">
        <f>IF('I | Capex forecast'!H70="","",'I | Capex forecast'!H70)</f>
        <v>FY 26</v>
      </c>
      <c r="I70" s="48" t="str">
        <f>IF('I | Capex forecast'!I70="","",'I | Capex forecast'!I70)</f>
        <v>End-year</v>
      </c>
      <c r="J70" s="48" t="str">
        <f>IF('I | Capex forecast'!J70="","",'I | Capex forecast'!J70)</f>
        <v>No</v>
      </c>
      <c r="K70" s="50"/>
      <c r="L70" s="52">
        <f>IFERROR(VLOOKUP($A70,'I | Capex forecast'!$A$11:$AA$160,L$8,0)*INDEX('I | Inflation'!$F$46:$G$49,MATCH($I70,'I | Inflation'!$E$46:$E$49,0),MATCH($H70,'I | Inflation'!$F$45:$G$45,0)),0)</f>
        <v>0</v>
      </c>
      <c r="M70" s="52">
        <f>IFERROR(VLOOKUP($A70,'I | Capex forecast'!$A$11:$AA$160,M$8,0)*INDEX('I | Inflation'!$F$46:$G$49,MATCH($I70,'I | Inflation'!$E$46:$E$49,0),MATCH($H70,'I | Inflation'!$F$45:$G$45,0)),0)</f>
        <v>0</v>
      </c>
      <c r="N70" s="52">
        <f>IFERROR(VLOOKUP($A70,'I | Capex forecast'!$A$11:$AA$160,N$8,0)*INDEX('I | Inflation'!$F$46:$G$49,MATCH($I70,'I | Inflation'!$E$46:$E$49,0),MATCH($H70,'I | Inflation'!$F$45:$G$45,0)),0)</f>
        <v>0</v>
      </c>
      <c r="O70" s="52">
        <f>IFERROR(VLOOKUP($A70,'I | Capex forecast'!$A$11:$AA$160,O$8,0)*INDEX('I | Inflation'!$F$46:$G$49,MATCH($I70,'I | Inflation'!$E$46:$E$49,0),MATCH($H70,'I | Inflation'!$F$45:$G$45,0)),0)</f>
        <v>0</v>
      </c>
      <c r="P70" s="52">
        <f>IFERROR(VLOOKUP($A70,'I | Capex forecast'!$A$11:$AA$160,P$8,0)*INDEX('I | Inflation'!$F$46:$G$49,MATCH($I70,'I | Inflation'!$E$46:$E$49,0),MATCH($H70,'I | Inflation'!$F$45:$G$45,0)),0)</f>
        <v>0</v>
      </c>
      <c r="Q70" s="54">
        <f t="shared" si="44"/>
        <v>0</v>
      </c>
      <c r="R70" s="53"/>
      <c r="S70" s="226">
        <f>L70*VLOOKUP($A70,'I | Capex forecast'!$A$11:$AA$160,S$8,0)</f>
        <v>0</v>
      </c>
      <c r="T70" s="226">
        <f>M70*VLOOKUP($A70,'I | Capex forecast'!$A$11:$AA$160,T$8,0)</f>
        <v>0</v>
      </c>
      <c r="U70" s="226">
        <f>N70*VLOOKUP($A70,'I | Capex forecast'!$A$11:$AA$160,U$8,0)</f>
        <v>0</v>
      </c>
      <c r="V70" s="226">
        <f>O70*VLOOKUP($A70,'I | Capex forecast'!$A$11:$AA$160,V$8,0)</f>
        <v>0</v>
      </c>
      <c r="W70" s="226">
        <f>P70*VLOOKUP($A70,'I | Capex forecast'!$A$11:$AA$160,W$8,0)</f>
        <v>0</v>
      </c>
      <c r="X70" s="54">
        <f t="shared" si="13"/>
        <v>0</v>
      </c>
      <c r="Y70" s="53"/>
      <c r="Z70" s="52">
        <f>S70*(HLOOKUP(Z$10,'I | Inflation'!$E$57:$J$59,3,0)-1)</f>
        <v>0</v>
      </c>
      <c r="AA70" s="52">
        <f>T70*(HLOOKUP(AA$10,'I | Inflation'!$E$57:$J$59,3,0)-1)</f>
        <v>0</v>
      </c>
      <c r="AB70" s="52">
        <f>U70*(HLOOKUP(AB$10,'I | Inflation'!$E$57:$J$59,3,0)-1)</f>
        <v>0</v>
      </c>
      <c r="AC70" s="52">
        <f>V70*(HLOOKUP(AC$10,'I | Inflation'!$E$57:$J$59,3,0)-1)</f>
        <v>0</v>
      </c>
      <c r="AD70" s="52">
        <f>W70*(HLOOKUP(AD$10,'I | Inflation'!$E$57:$J$59,3,0)-1)</f>
        <v>0</v>
      </c>
      <c r="AE70" s="54">
        <f t="shared" si="14"/>
        <v>0</v>
      </c>
      <c r="AF70" s="53"/>
      <c r="AG70" s="226">
        <f t="shared" si="15"/>
        <v>0</v>
      </c>
      <c r="AH70" s="226">
        <f t="shared" si="16"/>
        <v>0</v>
      </c>
      <c r="AI70" s="226">
        <f t="shared" si="17"/>
        <v>0</v>
      </c>
      <c r="AJ70" s="226">
        <f t="shared" si="18"/>
        <v>0</v>
      </c>
      <c r="AK70" s="226">
        <f t="shared" si="19"/>
        <v>0</v>
      </c>
      <c r="AL70" s="54">
        <f t="shared" si="20"/>
        <v>0</v>
      </c>
      <c r="AM70" s="53"/>
      <c r="AN70" s="52"/>
      <c r="AO70" s="52"/>
      <c r="AP70" s="52"/>
      <c r="AQ70" s="52"/>
      <c r="AR70" s="52"/>
      <c r="AS70" s="54">
        <f t="shared" si="21"/>
        <v>0</v>
      </c>
      <c r="AT70" s="53"/>
      <c r="AU70" s="52"/>
      <c r="AV70" s="52"/>
      <c r="AW70" s="52"/>
      <c r="AX70" s="52"/>
      <c r="AY70" s="52"/>
      <c r="AZ70" s="54">
        <f t="shared" si="22"/>
        <v>0</v>
      </c>
      <c r="BA70" s="53"/>
      <c r="BB70" s="52"/>
      <c r="BC70" s="52"/>
      <c r="BD70" s="52"/>
      <c r="BE70" s="52"/>
      <c r="BF70" s="52"/>
      <c r="BG70" s="54">
        <f t="shared" si="23"/>
        <v>0</v>
      </c>
      <c r="BH70" s="53"/>
      <c r="BI70" s="52">
        <f>L70*VLOOKUP($A70,'I | Capex forecast'!$A$11:$AA$160,BI$8,0)</f>
        <v>0</v>
      </c>
      <c r="BJ70" s="52">
        <f>M70*VLOOKUP($A70,'I | Capex forecast'!$A$11:$AA$160,BJ$8,0)</f>
        <v>0</v>
      </c>
      <c r="BK70" s="52">
        <f>N70*VLOOKUP($A70,'I | Capex forecast'!$A$11:$AA$160,BK$8,0)</f>
        <v>0</v>
      </c>
      <c r="BL70" s="52">
        <f>O70*VLOOKUP($A70,'I | Capex forecast'!$A$11:$AA$160,BL$8,0)</f>
        <v>0</v>
      </c>
      <c r="BM70" s="52">
        <f>P70*VLOOKUP($A70,'I | Capex forecast'!$A$11:$AA$160,BM$8,0)</f>
        <v>0</v>
      </c>
      <c r="BN70" s="54">
        <f t="shared" si="24"/>
        <v>0</v>
      </c>
      <c r="BO70" s="53"/>
      <c r="BP70" s="52">
        <f t="shared" si="34"/>
        <v>0</v>
      </c>
      <c r="BQ70" s="52">
        <f t="shared" si="35"/>
        <v>0</v>
      </c>
      <c r="BR70" s="52">
        <f t="shared" si="36"/>
        <v>0</v>
      </c>
      <c r="BS70" s="52">
        <f t="shared" si="37"/>
        <v>0</v>
      </c>
      <c r="BT70" s="52">
        <f t="shared" si="38"/>
        <v>0</v>
      </c>
      <c r="BU70" s="54">
        <f t="shared" si="25"/>
        <v>0</v>
      </c>
      <c r="BW70" s="52">
        <f t="shared" si="39"/>
        <v>0</v>
      </c>
      <c r="BX70" s="52">
        <f t="shared" si="40"/>
        <v>0</v>
      </c>
      <c r="BY70" s="52">
        <f t="shared" si="41"/>
        <v>0</v>
      </c>
      <c r="BZ70" s="52">
        <f t="shared" si="42"/>
        <v>0</v>
      </c>
      <c r="CA70" s="52">
        <f t="shared" si="43"/>
        <v>0</v>
      </c>
      <c r="CB70" s="54">
        <f t="shared" si="26"/>
        <v>0</v>
      </c>
      <c r="CC70" s="53"/>
      <c r="CD70" s="52">
        <f t="shared" si="27"/>
        <v>0</v>
      </c>
      <c r="CE70" s="52">
        <f t="shared" si="28"/>
        <v>0</v>
      </c>
      <c r="CF70" s="52">
        <f t="shared" si="29"/>
        <v>0</v>
      </c>
      <c r="CG70" s="52">
        <f t="shared" si="30"/>
        <v>0</v>
      </c>
      <c r="CH70" s="52">
        <f t="shared" si="31"/>
        <v>0</v>
      </c>
      <c r="CI70" s="54">
        <f t="shared" si="32"/>
        <v>0</v>
      </c>
    </row>
    <row r="71" spans="1:87" s="4" customFormat="1" x14ac:dyDescent="0.3">
      <c r="A71" s="56">
        <v>61</v>
      </c>
      <c r="B71" s="48" t="str">
        <f>IF('I | Capex forecast'!B71="","",'I | Capex forecast'!B71)</f>
        <v>CP Upgrade DN300 (Eight Mile Plains)</v>
      </c>
      <c r="C71" s="48" t="str">
        <f>IF('I | Capex forecast'!C71="","",'I | Capex forecast'!C71)</f>
        <v>Pipeline Integrity</v>
      </c>
      <c r="D71" s="48" t="str">
        <f>IF('I | Capex forecast'!D71="","",'I | Capex forecast'!D71)</f>
        <v/>
      </c>
      <c r="E71" s="48" t="str">
        <f>IF('I | Capex forecast'!E71="","",'I | Capex forecast'!E71)</f>
        <v>Pipelines</v>
      </c>
      <c r="F71" s="48" t="str">
        <f>IF('I | Capex forecast'!F71="","",'I | Capex forecast'!F71)</f>
        <v>Replacement</v>
      </c>
      <c r="G71" s="48" t="str">
        <f>IF('I | Capex forecast'!G71="","",'I | Capex forecast'!G71)</f>
        <v>As incurred</v>
      </c>
      <c r="H71" s="48" t="str">
        <f>IF('I | Capex forecast'!H71="","",'I | Capex forecast'!H71)</f>
        <v>FY 26</v>
      </c>
      <c r="I71" s="48" t="str">
        <f>IF('I | Capex forecast'!I71="","",'I | Capex forecast'!I71)</f>
        <v>End-year</v>
      </c>
      <c r="J71" s="48" t="str">
        <f>IF('I | Capex forecast'!J71="","",'I | Capex forecast'!J71)</f>
        <v>No</v>
      </c>
      <c r="K71" s="50"/>
      <c r="L71" s="52">
        <f>IFERROR(VLOOKUP($A71,'I | Capex forecast'!$A$11:$AA$160,L$8,0)*INDEX('I | Inflation'!$F$46:$G$49,MATCH($I71,'I | Inflation'!$E$46:$E$49,0),MATCH($H71,'I | Inflation'!$F$45:$G$45,0)),0)</f>
        <v>0</v>
      </c>
      <c r="M71" s="52">
        <f>IFERROR(VLOOKUP($A71,'I | Capex forecast'!$A$11:$AA$160,M$8,0)*INDEX('I | Inflation'!$F$46:$G$49,MATCH($I71,'I | Inflation'!$E$46:$E$49,0),MATCH($H71,'I | Inflation'!$F$45:$G$45,0)),0)</f>
        <v>0</v>
      </c>
      <c r="N71" s="52">
        <f>IFERROR(VLOOKUP($A71,'I | Capex forecast'!$A$11:$AA$160,N$8,0)*INDEX('I | Inflation'!$F$46:$G$49,MATCH($I71,'I | Inflation'!$E$46:$E$49,0),MATCH($H71,'I | Inflation'!$F$45:$G$45,0)),0)</f>
        <v>0</v>
      </c>
      <c r="O71" s="52">
        <f>IFERROR(VLOOKUP($A71,'I | Capex forecast'!$A$11:$AA$160,O$8,0)*INDEX('I | Inflation'!$F$46:$G$49,MATCH($I71,'I | Inflation'!$E$46:$E$49,0),MATCH($H71,'I | Inflation'!$F$45:$G$45,0)),0)</f>
        <v>0</v>
      </c>
      <c r="P71" s="52">
        <f>IFERROR(VLOOKUP($A71,'I | Capex forecast'!$A$11:$AA$160,P$8,0)*INDEX('I | Inflation'!$F$46:$G$49,MATCH($I71,'I | Inflation'!$E$46:$E$49,0),MATCH($H71,'I | Inflation'!$F$45:$G$45,0)),0)</f>
        <v>0</v>
      </c>
      <c r="Q71" s="54">
        <f t="shared" si="44"/>
        <v>0</v>
      </c>
      <c r="R71" s="53"/>
      <c r="S71" s="226">
        <f>L71*VLOOKUP($A71,'I | Capex forecast'!$A$11:$AA$160,S$8,0)</f>
        <v>0</v>
      </c>
      <c r="T71" s="226">
        <f>M71*VLOOKUP($A71,'I | Capex forecast'!$A$11:$AA$160,T$8,0)</f>
        <v>0</v>
      </c>
      <c r="U71" s="226">
        <f>N71*VLOOKUP($A71,'I | Capex forecast'!$A$11:$AA$160,U$8,0)</f>
        <v>0</v>
      </c>
      <c r="V71" s="226">
        <f>O71*VLOOKUP($A71,'I | Capex forecast'!$A$11:$AA$160,V$8,0)</f>
        <v>0</v>
      </c>
      <c r="W71" s="226">
        <f>P71*VLOOKUP($A71,'I | Capex forecast'!$A$11:$AA$160,W$8,0)</f>
        <v>0</v>
      </c>
      <c r="X71" s="54">
        <f t="shared" si="13"/>
        <v>0</v>
      </c>
      <c r="Y71" s="53"/>
      <c r="Z71" s="52">
        <f>S71*(HLOOKUP(Z$10,'I | Inflation'!$E$57:$J$59,3,0)-1)</f>
        <v>0</v>
      </c>
      <c r="AA71" s="52">
        <f>T71*(HLOOKUP(AA$10,'I | Inflation'!$E$57:$J$59,3,0)-1)</f>
        <v>0</v>
      </c>
      <c r="AB71" s="52">
        <f>U71*(HLOOKUP(AB$10,'I | Inflation'!$E$57:$J$59,3,0)-1)</f>
        <v>0</v>
      </c>
      <c r="AC71" s="52">
        <f>V71*(HLOOKUP(AC$10,'I | Inflation'!$E$57:$J$59,3,0)-1)</f>
        <v>0</v>
      </c>
      <c r="AD71" s="52">
        <f>W71*(HLOOKUP(AD$10,'I | Inflation'!$E$57:$J$59,3,0)-1)</f>
        <v>0</v>
      </c>
      <c r="AE71" s="54">
        <f t="shared" si="14"/>
        <v>0</v>
      </c>
      <c r="AF71" s="53"/>
      <c r="AG71" s="226">
        <f t="shared" si="15"/>
        <v>0</v>
      </c>
      <c r="AH71" s="226">
        <f t="shared" si="16"/>
        <v>0</v>
      </c>
      <c r="AI71" s="226">
        <f t="shared" si="17"/>
        <v>0</v>
      </c>
      <c r="AJ71" s="226">
        <f t="shared" si="18"/>
        <v>0</v>
      </c>
      <c r="AK71" s="226">
        <f t="shared" si="19"/>
        <v>0</v>
      </c>
      <c r="AL71" s="54">
        <f t="shared" si="20"/>
        <v>0</v>
      </c>
      <c r="AM71" s="53"/>
      <c r="AN71" s="52"/>
      <c r="AO71" s="52"/>
      <c r="AP71" s="52"/>
      <c r="AQ71" s="52"/>
      <c r="AR71" s="52"/>
      <c r="AS71" s="54">
        <f t="shared" si="21"/>
        <v>0</v>
      </c>
      <c r="AT71" s="53"/>
      <c r="AU71" s="52"/>
      <c r="AV71" s="52"/>
      <c r="AW71" s="52"/>
      <c r="AX71" s="52"/>
      <c r="AY71" s="52"/>
      <c r="AZ71" s="54">
        <f t="shared" si="22"/>
        <v>0</v>
      </c>
      <c r="BA71" s="53"/>
      <c r="BB71" s="52"/>
      <c r="BC71" s="52"/>
      <c r="BD71" s="52"/>
      <c r="BE71" s="52"/>
      <c r="BF71" s="52"/>
      <c r="BG71" s="54">
        <f t="shared" si="23"/>
        <v>0</v>
      </c>
      <c r="BH71" s="53"/>
      <c r="BI71" s="52">
        <f>L71*VLOOKUP($A71,'I | Capex forecast'!$A$11:$AA$160,BI$8,0)</f>
        <v>0</v>
      </c>
      <c r="BJ71" s="52">
        <f>M71*VLOOKUP($A71,'I | Capex forecast'!$A$11:$AA$160,BJ$8,0)</f>
        <v>0</v>
      </c>
      <c r="BK71" s="52">
        <f>N71*VLOOKUP($A71,'I | Capex forecast'!$A$11:$AA$160,BK$8,0)</f>
        <v>0</v>
      </c>
      <c r="BL71" s="52">
        <f>O71*VLOOKUP($A71,'I | Capex forecast'!$A$11:$AA$160,BL$8,0)</f>
        <v>0</v>
      </c>
      <c r="BM71" s="52">
        <f>P71*VLOOKUP($A71,'I | Capex forecast'!$A$11:$AA$160,BM$8,0)</f>
        <v>0</v>
      </c>
      <c r="BN71" s="54">
        <f t="shared" si="24"/>
        <v>0</v>
      </c>
      <c r="BO71" s="53"/>
      <c r="BP71" s="52">
        <f t="shared" si="34"/>
        <v>0</v>
      </c>
      <c r="BQ71" s="52">
        <f t="shared" si="35"/>
        <v>0</v>
      </c>
      <c r="BR71" s="52">
        <f t="shared" si="36"/>
        <v>0</v>
      </c>
      <c r="BS71" s="52">
        <f t="shared" si="37"/>
        <v>0</v>
      </c>
      <c r="BT71" s="52">
        <f t="shared" si="38"/>
        <v>0</v>
      </c>
      <c r="BU71" s="54">
        <f t="shared" si="25"/>
        <v>0</v>
      </c>
      <c r="BW71" s="52">
        <f t="shared" si="39"/>
        <v>0</v>
      </c>
      <c r="BX71" s="52">
        <f t="shared" si="40"/>
        <v>0</v>
      </c>
      <c r="BY71" s="52">
        <f t="shared" si="41"/>
        <v>0</v>
      </c>
      <c r="BZ71" s="52">
        <f t="shared" si="42"/>
        <v>0</v>
      </c>
      <c r="CA71" s="52">
        <f t="shared" si="43"/>
        <v>0</v>
      </c>
      <c r="CB71" s="54">
        <f t="shared" si="26"/>
        <v>0</v>
      </c>
      <c r="CC71" s="53"/>
      <c r="CD71" s="52">
        <f t="shared" si="27"/>
        <v>0</v>
      </c>
      <c r="CE71" s="52">
        <f t="shared" si="28"/>
        <v>0</v>
      </c>
      <c r="CF71" s="52">
        <f t="shared" si="29"/>
        <v>0</v>
      </c>
      <c r="CG71" s="52">
        <f t="shared" si="30"/>
        <v>0</v>
      </c>
      <c r="CH71" s="52">
        <f t="shared" si="31"/>
        <v>0</v>
      </c>
      <c r="CI71" s="54">
        <f t="shared" si="32"/>
        <v>0</v>
      </c>
    </row>
    <row r="72" spans="1:87" s="4" customFormat="1" x14ac:dyDescent="0.3">
      <c r="A72" s="56">
        <v>62</v>
      </c>
      <c r="B72" s="48" t="str">
        <f>IF('I | Capex forecast'!B72="","",'I | Capex forecast'!B72)</f>
        <v/>
      </c>
      <c r="C72" s="48" t="str">
        <f>IF('I | Capex forecast'!C72="","",'I | Capex forecast'!C72)</f>
        <v/>
      </c>
      <c r="D72" s="48" t="str">
        <f>IF('I | Capex forecast'!D72="","",'I | Capex forecast'!D72)</f>
        <v/>
      </c>
      <c r="E72" s="48" t="str">
        <f>IF('I | Capex forecast'!E72="","",'I | Capex forecast'!E72)</f>
        <v/>
      </c>
      <c r="F72" s="48" t="str">
        <f>IF('I | Capex forecast'!F72="","",'I | Capex forecast'!F72)</f>
        <v/>
      </c>
      <c r="G72" s="48" t="str">
        <f>IF('I | Capex forecast'!G72="","",'I | Capex forecast'!G72)</f>
        <v/>
      </c>
      <c r="H72" s="48" t="str">
        <f>IF('I | Capex forecast'!H72="","",'I | Capex forecast'!H72)</f>
        <v/>
      </c>
      <c r="I72" s="48" t="str">
        <f>IF('I | Capex forecast'!I72="","",'I | Capex forecast'!I72)</f>
        <v/>
      </c>
      <c r="J72" s="48" t="str">
        <f>IF('I | Capex forecast'!J72="","",'I | Capex forecast'!J72)</f>
        <v/>
      </c>
      <c r="K72" s="50"/>
      <c r="L72" s="52">
        <f>IFERROR(VLOOKUP($A72,'I | Capex forecast'!$A$11:$AA$160,L$8,0)*INDEX('I | Inflation'!$F$46:$G$49,MATCH($I72,'I | Inflation'!$E$46:$E$49,0),MATCH($H72,'I | Inflation'!$F$45:$G$45,0)),0)</f>
        <v>0</v>
      </c>
      <c r="M72" s="52">
        <f>IFERROR(VLOOKUP($A72,'I | Capex forecast'!$A$11:$AA$160,M$8,0)*INDEX('I | Inflation'!$F$46:$G$49,MATCH($I72,'I | Inflation'!$E$46:$E$49,0),MATCH($H72,'I | Inflation'!$F$45:$G$45,0)),0)</f>
        <v>0</v>
      </c>
      <c r="N72" s="52">
        <f>IFERROR(VLOOKUP($A72,'I | Capex forecast'!$A$11:$AA$160,N$8,0)*INDEX('I | Inflation'!$F$46:$G$49,MATCH($I72,'I | Inflation'!$E$46:$E$49,0),MATCH($H72,'I | Inflation'!$F$45:$G$45,0)),0)</f>
        <v>0</v>
      </c>
      <c r="O72" s="52">
        <f>IFERROR(VLOOKUP($A72,'I | Capex forecast'!$A$11:$AA$160,O$8,0)*INDEX('I | Inflation'!$F$46:$G$49,MATCH($I72,'I | Inflation'!$E$46:$E$49,0),MATCH($H72,'I | Inflation'!$F$45:$G$45,0)),0)</f>
        <v>0</v>
      </c>
      <c r="P72" s="52">
        <f>IFERROR(VLOOKUP($A72,'I | Capex forecast'!$A$11:$AA$160,P$8,0)*INDEX('I | Inflation'!$F$46:$G$49,MATCH($I72,'I | Inflation'!$E$46:$E$49,0),MATCH($H72,'I | Inflation'!$F$45:$G$45,0)),0)</f>
        <v>0</v>
      </c>
      <c r="Q72" s="54">
        <f t="shared" si="44"/>
        <v>0</v>
      </c>
      <c r="R72" s="53"/>
      <c r="S72" s="226">
        <f>L72*VLOOKUP($A72,'I | Capex forecast'!$A$11:$AA$160,S$8,0)</f>
        <v>0</v>
      </c>
      <c r="T72" s="226">
        <f>M72*VLOOKUP($A72,'I | Capex forecast'!$A$11:$AA$160,T$8,0)</f>
        <v>0</v>
      </c>
      <c r="U72" s="226">
        <f>N72*VLOOKUP($A72,'I | Capex forecast'!$A$11:$AA$160,U$8,0)</f>
        <v>0</v>
      </c>
      <c r="V72" s="226">
        <f>O72*VLOOKUP($A72,'I | Capex forecast'!$A$11:$AA$160,V$8,0)</f>
        <v>0</v>
      </c>
      <c r="W72" s="226">
        <f>P72*VLOOKUP($A72,'I | Capex forecast'!$A$11:$AA$160,W$8,0)</f>
        <v>0</v>
      </c>
      <c r="X72" s="54">
        <f t="shared" si="13"/>
        <v>0</v>
      </c>
      <c r="Y72" s="53"/>
      <c r="Z72" s="52">
        <f>S72*(HLOOKUP(Z$10,'I | Inflation'!$E$57:$J$59,3,0)-1)</f>
        <v>0</v>
      </c>
      <c r="AA72" s="52">
        <f>T72*(HLOOKUP(AA$10,'I | Inflation'!$E$57:$J$59,3,0)-1)</f>
        <v>0</v>
      </c>
      <c r="AB72" s="52">
        <f>U72*(HLOOKUP(AB$10,'I | Inflation'!$E$57:$J$59,3,0)-1)</f>
        <v>0</v>
      </c>
      <c r="AC72" s="52">
        <f>V72*(HLOOKUP(AC$10,'I | Inflation'!$E$57:$J$59,3,0)-1)</f>
        <v>0</v>
      </c>
      <c r="AD72" s="52">
        <f>W72*(HLOOKUP(AD$10,'I | Inflation'!$E$57:$J$59,3,0)-1)</f>
        <v>0</v>
      </c>
      <c r="AE72" s="54">
        <f t="shared" si="14"/>
        <v>0</v>
      </c>
      <c r="AF72" s="53"/>
      <c r="AG72" s="226">
        <f t="shared" si="15"/>
        <v>0</v>
      </c>
      <c r="AH72" s="226">
        <f t="shared" si="16"/>
        <v>0</v>
      </c>
      <c r="AI72" s="226">
        <f t="shared" si="17"/>
        <v>0</v>
      </c>
      <c r="AJ72" s="226">
        <f t="shared" si="18"/>
        <v>0</v>
      </c>
      <c r="AK72" s="226">
        <f t="shared" si="19"/>
        <v>0</v>
      </c>
      <c r="AL72" s="54">
        <f t="shared" si="20"/>
        <v>0</v>
      </c>
      <c r="AM72" s="53"/>
      <c r="AN72" s="52"/>
      <c r="AO72" s="52"/>
      <c r="AP72" s="52"/>
      <c r="AQ72" s="52"/>
      <c r="AR72" s="52"/>
      <c r="AS72" s="54">
        <f t="shared" si="21"/>
        <v>0</v>
      </c>
      <c r="AT72" s="53"/>
      <c r="AU72" s="52"/>
      <c r="AV72" s="52"/>
      <c r="AW72" s="52"/>
      <c r="AX72" s="52"/>
      <c r="AY72" s="52"/>
      <c r="AZ72" s="54">
        <f t="shared" si="22"/>
        <v>0</v>
      </c>
      <c r="BA72" s="53"/>
      <c r="BB72" s="52"/>
      <c r="BC72" s="52"/>
      <c r="BD72" s="52"/>
      <c r="BE72" s="52"/>
      <c r="BF72" s="52"/>
      <c r="BG72" s="54">
        <f t="shared" si="23"/>
        <v>0</v>
      </c>
      <c r="BH72" s="53"/>
      <c r="BI72" s="52">
        <f>L72*VLOOKUP($A72,'I | Capex forecast'!$A$11:$AA$160,BI$8,0)</f>
        <v>0</v>
      </c>
      <c r="BJ72" s="52">
        <f>M72*VLOOKUP($A72,'I | Capex forecast'!$A$11:$AA$160,BJ$8,0)</f>
        <v>0</v>
      </c>
      <c r="BK72" s="52">
        <f>N72*VLOOKUP($A72,'I | Capex forecast'!$A$11:$AA$160,BK$8,0)</f>
        <v>0</v>
      </c>
      <c r="BL72" s="52">
        <f>O72*VLOOKUP($A72,'I | Capex forecast'!$A$11:$AA$160,BL$8,0)</f>
        <v>0</v>
      </c>
      <c r="BM72" s="52">
        <f>P72*VLOOKUP($A72,'I | Capex forecast'!$A$11:$AA$160,BM$8,0)</f>
        <v>0</v>
      </c>
      <c r="BN72" s="54">
        <f t="shared" si="24"/>
        <v>0</v>
      </c>
      <c r="BO72" s="53"/>
      <c r="BP72" s="52">
        <f t="shared" si="34"/>
        <v>0</v>
      </c>
      <c r="BQ72" s="52">
        <f t="shared" si="35"/>
        <v>0</v>
      </c>
      <c r="BR72" s="52">
        <f t="shared" si="36"/>
        <v>0</v>
      </c>
      <c r="BS72" s="52">
        <f t="shared" si="37"/>
        <v>0</v>
      </c>
      <c r="BT72" s="52">
        <f t="shared" si="38"/>
        <v>0</v>
      </c>
      <c r="BU72" s="54">
        <f t="shared" si="25"/>
        <v>0</v>
      </c>
      <c r="BW72" s="52">
        <f t="shared" si="39"/>
        <v>0</v>
      </c>
      <c r="BX72" s="52">
        <f t="shared" si="40"/>
        <v>0</v>
      </c>
      <c r="BY72" s="52">
        <f t="shared" si="41"/>
        <v>0</v>
      </c>
      <c r="BZ72" s="52">
        <f t="shared" si="42"/>
        <v>0</v>
      </c>
      <c r="CA72" s="52">
        <f t="shared" si="43"/>
        <v>0</v>
      </c>
      <c r="CB72" s="54">
        <f t="shared" si="26"/>
        <v>0</v>
      </c>
      <c r="CC72" s="53"/>
      <c r="CD72" s="52">
        <f t="shared" si="27"/>
        <v>0</v>
      </c>
      <c r="CE72" s="52">
        <f t="shared" si="28"/>
        <v>0</v>
      </c>
      <c r="CF72" s="52">
        <f t="shared" si="29"/>
        <v>0</v>
      </c>
      <c r="CG72" s="52">
        <f t="shared" si="30"/>
        <v>0</v>
      </c>
      <c r="CH72" s="52">
        <f t="shared" si="31"/>
        <v>0</v>
      </c>
      <c r="CI72" s="54">
        <f t="shared" si="32"/>
        <v>0</v>
      </c>
    </row>
    <row r="73" spans="1:87" s="4" customFormat="1" x14ac:dyDescent="0.3">
      <c r="A73" s="56">
        <v>63</v>
      </c>
      <c r="B73" s="48" t="str">
        <f>IF('I | Capex forecast'!B73="","",'I | Capex forecast'!B73)</f>
        <v/>
      </c>
      <c r="C73" s="48" t="str">
        <f>IF('I | Capex forecast'!C73="","",'I | Capex forecast'!C73)</f>
        <v/>
      </c>
      <c r="D73" s="48" t="str">
        <f>IF('I | Capex forecast'!D73="","",'I | Capex forecast'!D73)</f>
        <v/>
      </c>
      <c r="E73" s="48" t="str">
        <f>IF('I | Capex forecast'!E73="","",'I | Capex forecast'!E73)</f>
        <v/>
      </c>
      <c r="F73" s="48" t="str">
        <f>IF('I | Capex forecast'!F73="","",'I | Capex forecast'!F73)</f>
        <v/>
      </c>
      <c r="G73" s="48" t="str">
        <f>IF('I | Capex forecast'!G73="","",'I | Capex forecast'!G73)</f>
        <v/>
      </c>
      <c r="H73" s="48" t="str">
        <f>IF('I | Capex forecast'!H73="","",'I | Capex forecast'!H73)</f>
        <v/>
      </c>
      <c r="I73" s="48" t="str">
        <f>IF('I | Capex forecast'!I73="","",'I | Capex forecast'!I73)</f>
        <v/>
      </c>
      <c r="J73" s="48" t="str">
        <f>IF('I | Capex forecast'!J73="","",'I | Capex forecast'!J73)</f>
        <v/>
      </c>
      <c r="K73" s="50"/>
      <c r="L73" s="52">
        <f>IFERROR(VLOOKUP($A73,'I | Capex forecast'!$A$11:$AA$160,L$8,0)*INDEX('I | Inflation'!$F$46:$G$49,MATCH($I73,'I | Inflation'!$E$46:$E$49,0),MATCH($H73,'I | Inflation'!$F$45:$G$45,0)),0)</f>
        <v>0</v>
      </c>
      <c r="M73" s="52">
        <f>IFERROR(VLOOKUP($A73,'I | Capex forecast'!$A$11:$AA$160,M$8,0)*INDEX('I | Inflation'!$F$46:$G$49,MATCH($I73,'I | Inflation'!$E$46:$E$49,0),MATCH($H73,'I | Inflation'!$F$45:$G$45,0)),0)</f>
        <v>0</v>
      </c>
      <c r="N73" s="52">
        <f>IFERROR(VLOOKUP($A73,'I | Capex forecast'!$A$11:$AA$160,N$8,0)*INDEX('I | Inflation'!$F$46:$G$49,MATCH($I73,'I | Inflation'!$E$46:$E$49,0),MATCH($H73,'I | Inflation'!$F$45:$G$45,0)),0)</f>
        <v>0</v>
      </c>
      <c r="O73" s="52">
        <f>IFERROR(VLOOKUP($A73,'I | Capex forecast'!$A$11:$AA$160,O$8,0)*INDEX('I | Inflation'!$F$46:$G$49,MATCH($I73,'I | Inflation'!$E$46:$E$49,0),MATCH($H73,'I | Inflation'!$F$45:$G$45,0)),0)</f>
        <v>0</v>
      </c>
      <c r="P73" s="52">
        <f>IFERROR(VLOOKUP($A73,'I | Capex forecast'!$A$11:$AA$160,P$8,0)*INDEX('I | Inflation'!$F$46:$G$49,MATCH($I73,'I | Inflation'!$E$46:$E$49,0),MATCH($H73,'I | Inflation'!$F$45:$G$45,0)),0)</f>
        <v>0</v>
      </c>
      <c r="Q73" s="54">
        <f t="shared" si="44"/>
        <v>0</v>
      </c>
      <c r="R73" s="53"/>
      <c r="S73" s="226">
        <f>L73*VLOOKUP($A73,'I | Capex forecast'!$A$11:$AA$160,S$8,0)</f>
        <v>0</v>
      </c>
      <c r="T73" s="226">
        <f>M73*VLOOKUP($A73,'I | Capex forecast'!$A$11:$AA$160,T$8,0)</f>
        <v>0</v>
      </c>
      <c r="U73" s="226">
        <f>N73*VLOOKUP($A73,'I | Capex forecast'!$A$11:$AA$160,U$8,0)</f>
        <v>0</v>
      </c>
      <c r="V73" s="226">
        <f>O73*VLOOKUP($A73,'I | Capex forecast'!$A$11:$AA$160,V$8,0)</f>
        <v>0</v>
      </c>
      <c r="W73" s="226">
        <f>P73*VLOOKUP($A73,'I | Capex forecast'!$A$11:$AA$160,W$8,0)</f>
        <v>0</v>
      </c>
      <c r="X73" s="54">
        <f t="shared" si="13"/>
        <v>0</v>
      </c>
      <c r="Y73" s="53"/>
      <c r="Z73" s="52">
        <f>S73*(HLOOKUP(Z$10,'I | Inflation'!$E$57:$J$59,3,0)-1)</f>
        <v>0</v>
      </c>
      <c r="AA73" s="52">
        <f>T73*(HLOOKUP(AA$10,'I | Inflation'!$E$57:$J$59,3,0)-1)</f>
        <v>0</v>
      </c>
      <c r="AB73" s="52">
        <f>U73*(HLOOKUP(AB$10,'I | Inflation'!$E$57:$J$59,3,0)-1)</f>
        <v>0</v>
      </c>
      <c r="AC73" s="52">
        <f>V73*(HLOOKUP(AC$10,'I | Inflation'!$E$57:$J$59,3,0)-1)</f>
        <v>0</v>
      </c>
      <c r="AD73" s="52">
        <f>W73*(HLOOKUP(AD$10,'I | Inflation'!$E$57:$J$59,3,0)-1)</f>
        <v>0</v>
      </c>
      <c r="AE73" s="54">
        <f t="shared" si="14"/>
        <v>0</v>
      </c>
      <c r="AF73" s="53"/>
      <c r="AG73" s="226">
        <f t="shared" si="15"/>
        <v>0</v>
      </c>
      <c r="AH73" s="226">
        <f t="shared" si="16"/>
        <v>0</v>
      </c>
      <c r="AI73" s="226">
        <f t="shared" si="17"/>
        <v>0</v>
      </c>
      <c r="AJ73" s="226">
        <f t="shared" si="18"/>
        <v>0</v>
      </c>
      <c r="AK73" s="226">
        <f t="shared" si="19"/>
        <v>0</v>
      </c>
      <c r="AL73" s="54">
        <f t="shared" si="20"/>
        <v>0</v>
      </c>
      <c r="AM73" s="53"/>
      <c r="AN73" s="52"/>
      <c r="AO73" s="52"/>
      <c r="AP73" s="52"/>
      <c r="AQ73" s="52"/>
      <c r="AR73" s="52"/>
      <c r="AS73" s="54">
        <f t="shared" si="21"/>
        <v>0</v>
      </c>
      <c r="AT73" s="53"/>
      <c r="AU73" s="52"/>
      <c r="AV73" s="52"/>
      <c r="AW73" s="52"/>
      <c r="AX73" s="52"/>
      <c r="AY73" s="52"/>
      <c r="AZ73" s="54">
        <f t="shared" si="22"/>
        <v>0</v>
      </c>
      <c r="BA73" s="53"/>
      <c r="BB73" s="52"/>
      <c r="BC73" s="52"/>
      <c r="BD73" s="52"/>
      <c r="BE73" s="52"/>
      <c r="BF73" s="52"/>
      <c r="BG73" s="54">
        <f t="shared" si="23"/>
        <v>0</v>
      </c>
      <c r="BH73" s="53"/>
      <c r="BI73" s="52">
        <f>L73*VLOOKUP($A73,'I | Capex forecast'!$A$11:$AA$160,BI$8,0)</f>
        <v>0</v>
      </c>
      <c r="BJ73" s="52">
        <f>M73*VLOOKUP($A73,'I | Capex forecast'!$A$11:$AA$160,BJ$8,0)</f>
        <v>0</v>
      </c>
      <c r="BK73" s="52">
        <f>N73*VLOOKUP($A73,'I | Capex forecast'!$A$11:$AA$160,BK$8,0)</f>
        <v>0</v>
      </c>
      <c r="BL73" s="52">
        <f>O73*VLOOKUP($A73,'I | Capex forecast'!$A$11:$AA$160,BL$8,0)</f>
        <v>0</v>
      </c>
      <c r="BM73" s="52">
        <f>P73*VLOOKUP($A73,'I | Capex forecast'!$A$11:$AA$160,BM$8,0)</f>
        <v>0</v>
      </c>
      <c r="BN73" s="54">
        <f t="shared" si="24"/>
        <v>0</v>
      </c>
      <c r="BO73" s="53"/>
      <c r="BP73" s="52">
        <f t="shared" si="34"/>
        <v>0</v>
      </c>
      <c r="BQ73" s="52">
        <f t="shared" si="35"/>
        <v>0</v>
      </c>
      <c r="BR73" s="52">
        <f t="shared" si="36"/>
        <v>0</v>
      </c>
      <c r="BS73" s="52">
        <f t="shared" si="37"/>
        <v>0</v>
      </c>
      <c r="BT73" s="52">
        <f t="shared" si="38"/>
        <v>0</v>
      </c>
      <c r="BU73" s="54">
        <f t="shared" si="25"/>
        <v>0</v>
      </c>
      <c r="BW73" s="52">
        <f t="shared" si="39"/>
        <v>0</v>
      </c>
      <c r="BX73" s="52">
        <f t="shared" si="40"/>
        <v>0</v>
      </c>
      <c r="BY73" s="52">
        <f t="shared" si="41"/>
        <v>0</v>
      </c>
      <c r="BZ73" s="52">
        <f t="shared" si="42"/>
        <v>0</v>
      </c>
      <c r="CA73" s="52">
        <f t="shared" si="43"/>
        <v>0</v>
      </c>
      <c r="CB73" s="54">
        <f t="shared" si="26"/>
        <v>0</v>
      </c>
      <c r="CC73" s="53"/>
      <c r="CD73" s="52">
        <f t="shared" si="27"/>
        <v>0</v>
      </c>
      <c r="CE73" s="52">
        <f t="shared" si="28"/>
        <v>0</v>
      </c>
      <c r="CF73" s="52">
        <f t="shared" si="29"/>
        <v>0</v>
      </c>
      <c r="CG73" s="52">
        <f t="shared" si="30"/>
        <v>0</v>
      </c>
      <c r="CH73" s="52">
        <f t="shared" si="31"/>
        <v>0</v>
      </c>
      <c r="CI73" s="54">
        <f t="shared" si="32"/>
        <v>0</v>
      </c>
    </row>
    <row r="74" spans="1:87" s="4" customFormat="1" x14ac:dyDescent="0.3">
      <c r="A74" s="56">
        <v>64</v>
      </c>
      <c r="B74" s="48" t="str">
        <f>IF('I | Capex forecast'!B74="","",'I | Capex forecast'!B74)</f>
        <v/>
      </c>
      <c r="C74" s="48" t="str">
        <f>IF('I | Capex forecast'!C74="","",'I | Capex forecast'!C74)</f>
        <v/>
      </c>
      <c r="D74" s="48" t="str">
        <f>IF('I | Capex forecast'!D74="","",'I | Capex forecast'!D74)</f>
        <v/>
      </c>
      <c r="E74" s="48" t="str">
        <f>IF('I | Capex forecast'!E74="","",'I | Capex forecast'!E74)</f>
        <v/>
      </c>
      <c r="F74" s="48" t="str">
        <f>IF('I | Capex forecast'!F74="","",'I | Capex forecast'!F74)</f>
        <v/>
      </c>
      <c r="G74" s="48" t="str">
        <f>IF('I | Capex forecast'!G74="","",'I | Capex forecast'!G74)</f>
        <v/>
      </c>
      <c r="H74" s="48" t="str">
        <f>IF('I | Capex forecast'!H74="","",'I | Capex forecast'!H74)</f>
        <v/>
      </c>
      <c r="I74" s="48" t="str">
        <f>IF('I | Capex forecast'!I74="","",'I | Capex forecast'!I74)</f>
        <v/>
      </c>
      <c r="J74" s="48" t="str">
        <f>IF('I | Capex forecast'!J74="","",'I | Capex forecast'!J74)</f>
        <v/>
      </c>
      <c r="K74" s="50"/>
      <c r="L74" s="52">
        <f>IFERROR(VLOOKUP($A74,'I | Capex forecast'!$A$11:$AA$160,L$8,0)*INDEX('I | Inflation'!$F$46:$G$49,MATCH($I74,'I | Inflation'!$E$46:$E$49,0),MATCH($H74,'I | Inflation'!$F$45:$G$45,0)),0)</f>
        <v>0</v>
      </c>
      <c r="M74" s="52">
        <f>IFERROR(VLOOKUP($A74,'I | Capex forecast'!$A$11:$AA$160,M$8,0)*INDEX('I | Inflation'!$F$46:$G$49,MATCH($I74,'I | Inflation'!$E$46:$E$49,0),MATCH($H74,'I | Inflation'!$F$45:$G$45,0)),0)</f>
        <v>0</v>
      </c>
      <c r="N74" s="52">
        <f>IFERROR(VLOOKUP($A74,'I | Capex forecast'!$A$11:$AA$160,N$8,0)*INDEX('I | Inflation'!$F$46:$G$49,MATCH($I74,'I | Inflation'!$E$46:$E$49,0),MATCH($H74,'I | Inflation'!$F$45:$G$45,0)),0)</f>
        <v>0</v>
      </c>
      <c r="O74" s="52">
        <f>IFERROR(VLOOKUP($A74,'I | Capex forecast'!$A$11:$AA$160,O$8,0)*INDEX('I | Inflation'!$F$46:$G$49,MATCH($I74,'I | Inflation'!$E$46:$E$49,0),MATCH($H74,'I | Inflation'!$F$45:$G$45,0)),0)</f>
        <v>0</v>
      </c>
      <c r="P74" s="52">
        <f>IFERROR(VLOOKUP($A74,'I | Capex forecast'!$A$11:$AA$160,P$8,0)*INDEX('I | Inflation'!$F$46:$G$49,MATCH($I74,'I | Inflation'!$E$46:$E$49,0),MATCH($H74,'I | Inflation'!$F$45:$G$45,0)),0)</f>
        <v>0</v>
      </c>
      <c r="Q74" s="54">
        <f t="shared" si="44"/>
        <v>0</v>
      </c>
      <c r="R74" s="53"/>
      <c r="S74" s="226">
        <f>L74*VLOOKUP($A74,'I | Capex forecast'!$A$11:$AA$160,S$8,0)</f>
        <v>0</v>
      </c>
      <c r="T74" s="226">
        <f>M74*VLOOKUP($A74,'I | Capex forecast'!$A$11:$AA$160,T$8,0)</f>
        <v>0</v>
      </c>
      <c r="U74" s="226">
        <f>N74*VLOOKUP($A74,'I | Capex forecast'!$A$11:$AA$160,U$8,0)</f>
        <v>0</v>
      </c>
      <c r="V74" s="226">
        <f>O74*VLOOKUP($A74,'I | Capex forecast'!$A$11:$AA$160,V$8,0)</f>
        <v>0</v>
      </c>
      <c r="W74" s="226">
        <f>P74*VLOOKUP($A74,'I | Capex forecast'!$A$11:$AA$160,W$8,0)</f>
        <v>0</v>
      </c>
      <c r="X74" s="54">
        <f t="shared" si="13"/>
        <v>0</v>
      </c>
      <c r="Y74" s="53"/>
      <c r="Z74" s="52">
        <f>S74*(HLOOKUP(Z$10,'I | Inflation'!$E$57:$J$59,3,0)-1)</f>
        <v>0</v>
      </c>
      <c r="AA74" s="52">
        <f>T74*(HLOOKUP(AA$10,'I | Inflation'!$E$57:$J$59,3,0)-1)</f>
        <v>0</v>
      </c>
      <c r="AB74" s="52">
        <f>U74*(HLOOKUP(AB$10,'I | Inflation'!$E$57:$J$59,3,0)-1)</f>
        <v>0</v>
      </c>
      <c r="AC74" s="52">
        <f>V74*(HLOOKUP(AC$10,'I | Inflation'!$E$57:$J$59,3,0)-1)</f>
        <v>0</v>
      </c>
      <c r="AD74" s="52">
        <f>W74*(HLOOKUP(AD$10,'I | Inflation'!$E$57:$J$59,3,0)-1)</f>
        <v>0</v>
      </c>
      <c r="AE74" s="54">
        <f t="shared" si="14"/>
        <v>0</v>
      </c>
      <c r="AF74" s="53"/>
      <c r="AG74" s="226">
        <f t="shared" si="15"/>
        <v>0</v>
      </c>
      <c r="AH74" s="226">
        <f t="shared" si="16"/>
        <v>0</v>
      </c>
      <c r="AI74" s="226">
        <f t="shared" si="17"/>
        <v>0</v>
      </c>
      <c r="AJ74" s="226">
        <f t="shared" si="18"/>
        <v>0</v>
      </c>
      <c r="AK74" s="226">
        <f t="shared" si="19"/>
        <v>0</v>
      </c>
      <c r="AL74" s="54">
        <f t="shared" si="20"/>
        <v>0</v>
      </c>
      <c r="AM74" s="53"/>
      <c r="AN74" s="52"/>
      <c r="AO74" s="52"/>
      <c r="AP74" s="52"/>
      <c r="AQ74" s="52"/>
      <c r="AR74" s="52"/>
      <c r="AS74" s="54">
        <f t="shared" si="21"/>
        <v>0</v>
      </c>
      <c r="AT74" s="53"/>
      <c r="AU74" s="52"/>
      <c r="AV74" s="52"/>
      <c r="AW74" s="52"/>
      <c r="AX74" s="52"/>
      <c r="AY74" s="52"/>
      <c r="AZ74" s="54">
        <f t="shared" si="22"/>
        <v>0</v>
      </c>
      <c r="BA74" s="53"/>
      <c r="BB74" s="52"/>
      <c r="BC74" s="52"/>
      <c r="BD74" s="52"/>
      <c r="BE74" s="52"/>
      <c r="BF74" s="52"/>
      <c r="BG74" s="54">
        <f t="shared" si="23"/>
        <v>0</v>
      </c>
      <c r="BH74" s="53"/>
      <c r="BI74" s="52">
        <f>L74*VLOOKUP($A74,'I | Capex forecast'!$A$11:$AA$160,BI$8,0)</f>
        <v>0</v>
      </c>
      <c r="BJ74" s="52">
        <f>M74*VLOOKUP($A74,'I | Capex forecast'!$A$11:$AA$160,BJ$8,0)</f>
        <v>0</v>
      </c>
      <c r="BK74" s="52">
        <f>N74*VLOOKUP($A74,'I | Capex forecast'!$A$11:$AA$160,BK$8,0)</f>
        <v>0</v>
      </c>
      <c r="BL74" s="52">
        <f>O74*VLOOKUP($A74,'I | Capex forecast'!$A$11:$AA$160,BL$8,0)</f>
        <v>0</v>
      </c>
      <c r="BM74" s="52">
        <f>P74*VLOOKUP($A74,'I | Capex forecast'!$A$11:$AA$160,BM$8,0)</f>
        <v>0</v>
      </c>
      <c r="BN74" s="54">
        <f t="shared" si="24"/>
        <v>0</v>
      </c>
      <c r="BO74" s="53"/>
      <c r="BP74" s="52">
        <f t="shared" si="34"/>
        <v>0</v>
      </c>
      <c r="BQ74" s="52">
        <f t="shared" si="35"/>
        <v>0</v>
      </c>
      <c r="BR74" s="52">
        <f t="shared" si="36"/>
        <v>0</v>
      </c>
      <c r="BS74" s="52">
        <f t="shared" si="37"/>
        <v>0</v>
      </c>
      <c r="BT74" s="52">
        <f t="shared" si="38"/>
        <v>0</v>
      </c>
      <c r="BU74" s="54">
        <f t="shared" si="25"/>
        <v>0</v>
      </c>
      <c r="BW74" s="52">
        <f t="shared" si="39"/>
        <v>0</v>
      </c>
      <c r="BX74" s="52">
        <f t="shared" si="40"/>
        <v>0</v>
      </c>
      <c r="BY74" s="52">
        <f t="shared" si="41"/>
        <v>0</v>
      </c>
      <c r="BZ74" s="52">
        <f t="shared" si="42"/>
        <v>0</v>
      </c>
      <c r="CA74" s="52">
        <f t="shared" si="43"/>
        <v>0</v>
      </c>
      <c r="CB74" s="54">
        <f t="shared" si="26"/>
        <v>0</v>
      </c>
      <c r="CC74" s="53"/>
      <c r="CD74" s="52">
        <f t="shared" si="27"/>
        <v>0</v>
      </c>
      <c r="CE74" s="52">
        <f t="shared" si="28"/>
        <v>0</v>
      </c>
      <c r="CF74" s="52">
        <f t="shared" si="29"/>
        <v>0</v>
      </c>
      <c r="CG74" s="52">
        <f t="shared" si="30"/>
        <v>0</v>
      </c>
      <c r="CH74" s="52">
        <f t="shared" si="31"/>
        <v>0</v>
      </c>
      <c r="CI74" s="54">
        <f t="shared" si="32"/>
        <v>0</v>
      </c>
    </row>
    <row r="75" spans="1:87" s="4" customFormat="1" x14ac:dyDescent="0.3">
      <c r="A75" s="56">
        <v>65</v>
      </c>
      <c r="B75" s="48" t="str">
        <f>IF('I | Capex forecast'!B75="","",'I | Capex forecast'!B75)</f>
        <v/>
      </c>
      <c r="C75" s="48" t="str">
        <f>IF('I | Capex forecast'!C75="","",'I | Capex forecast'!C75)</f>
        <v/>
      </c>
      <c r="D75" s="48" t="str">
        <f>IF('I | Capex forecast'!D75="","",'I | Capex forecast'!D75)</f>
        <v/>
      </c>
      <c r="E75" s="48" t="str">
        <f>IF('I | Capex forecast'!E75="","",'I | Capex forecast'!E75)</f>
        <v/>
      </c>
      <c r="F75" s="48" t="str">
        <f>IF('I | Capex forecast'!F75="","",'I | Capex forecast'!F75)</f>
        <v/>
      </c>
      <c r="G75" s="48" t="str">
        <f>IF('I | Capex forecast'!G75="","",'I | Capex forecast'!G75)</f>
        <v/>
      </c>
      <c r="H75" s="48" t="str">
        <f>IF('I | Capex forecast'!H75="","",'I | Capex forecast'!H75)</f>
        <v/>
      </c>
      <c r="I75" s="48" t="str">
        <f>IF('I | Capex forecast'!I75="","",'I | Capex forecast'!I75)</f>
        <v/>
      </c>
      <c r="J75" s="48" t="str">
        <f>IF('I | Capex forecast'!J75="","",'I | Capex forecast'!J75)</f>
        <v/>
      </c>
      <c r="K75" s="50"/>
      <c r="L75" s="52">
        <f>IFERROR(VLOOKUP($A75,'I | Capex forecast'!$A$11:$AA$160,L$8,0)*INDEX('I | Inflation'!$F$46:$G$49,MATCH($I75,'I | Inflation'!$E$46:$E$49,0),MATCH($H75,'I | Inflation'!$F$45:$G$45,0)),0)</f>
        <v>0</v>
      </c>
      <c r="M75" s="52">
        <f>IFERROR(VLOOKUP($A75,'I | Capex forecast'!$A$11:$AA$160,M$8,0)*INDEX('I | Inflation'!$F$46:$G$49,MATCH($I75,'I | Inflation'!$E$46:$E$49,0),MATCH($H75,'I | Inflation'!$F$45:$G$45,0)),0)</f>
        <v>0</v>
      </c>
      <c r="N75" s="52">
        <f>IFERROR(VLOOKUP($A75,'I | Capex forecast'!$A$11:$AA$160,N$8,0)*INDEX('I | Inflation'!$F$46:$G$49,MATCH($I75,'I | Inflation'!$E$46:$E$49,0),MATCH($H75,'I | Inflation'!$F$45:$G$45,0)),0)</f>
        <v>0</v>
      </c>
      <c r="O75" s="52">
        <f>IFERROR(VLOOKUP($A75,'I | Capex forecast'!$A$11:$AA$160,O$8,0)*INDEX('I | Inflation'!$F$46:$G$49,MATCH($I75,'I | Inflation'!$E$46:$E$49,0),MATCH($H75,'I | Inflation'!$F$45:$G$45,0)),0)</f>
        <v>0</v>
      </c>
      <c r="P75" s="52">
        <f>IFERROR(VLOOKUP($A75,'I | Capex forecast'!$A$11:$AA$160,P$8,0)*INDEX('I | Inflation'!$F$46:$G$49,MATCH($I75,'I | Inflation'!$E$46:$E$49,0),MATCH($H75,'I | Inflation'!$F$45:$G$45,0)),0)</f>
        <v>0</v>
      </c>
      <c r="Q75" s="54">
        <f t="shared" si="44"/>
        <v>0</v>
      </c>
      <c r="R75" s="53"/>
      <c r="S75" s="226">
        <f>L75*VLOOKUP($A75,'I | Capex forecast'!$A$11:$AA$160,S$8,0)</f>
        <v>0</v>
      </c>
      <c r="T75" s="226">
        <f>M75*VLOOKUP($A75,'I | Capex forecast'!$A$11:$AA$160,T$8,0)</f>
        <v>0</v>
      </c>
      <c r="U75" s="226">
        <f>N75*VLOOKUP($A75,'I | Capex forecast'!$A$11:$AA$160,U$8,0)</f>
        <v>0</v>
      </c>
      <c r="V75" s="226">
        <f>O75*VLOOKUP($A75,'I | Capex forecast'!$A$11:$AA$160,V$8,0)</f>
        <v>0</v>
      </c>
      <c r="W75" s="226">
        <f>P75*VLOOKUP($A75,'I | Capex forecast'!$A$11:$AA$160,W$8,0)</f>
        <v>0</v>
      </c>
      <c r="X75" s="54">
        <f t="shared" si="13"/>
        <v>0</v>
      </c>
      <c r="Y75" s="53"/>
      <c r="Z75" s="52">
        <f>S75*(HLOOKUP(Z$10,'I | Inflation'!$E$57:$J$59,3,0)-1)</f>
        <v>0</v>
      </c>
      <c r="AA75" s="52">
        <f>T75*(HLOOKUP(AA$10,'I | Inflation'!$E$57:$J$59,3,0)-1)</f>
        <v>0</v>
      </c>
      <c r="AB75" s="52">
        <f>U75*(HLOOKUP(AB$10,'I | Inflation'!$E$57:$J$59,3,0)-1)</f>
        <v>0</v>
      </c>
      <c r="AC75" s="52">
        <f>V75*(HLOOKUP(AC$10,'I | Inflation'!$E$57:$J$59,3,0)-1)</f>
        <v>0</v>
      </c>
      <c r="AD75" s="52">
        <f>W75*(HLOOKUP(AD$10,'I | Inflation'!$E$57:$J$59,3,0)-1)</f>
        <v>0</v>
      </c>
      <c r="AE75" s="54">
        <f t="shared" si="14"/>
        <v>0</v>
      </c>
      <c r="AF75" s="53"/>
      <c r="AG75" s="226">
        <f t="shared" si="15"/>
        <v>0</v>
      </c>
      <c r="AH75" s="226">
        <f t="shared" si="16"/>
        <v>0</v>
      </c>
      <c r="AI75" s="226">
        <f t="shared" si="17"/>
        <v>0</v>
      </c>
      <c r="AJ75" s="226">
        <f t="shared" si="18"/>
        <v>0</v>
      </c>
      <c r="AK75" s="226">
        <f t="shared" si="19"/>
        <v>0</v>
      </c>
      <c r="AL75" s="54">
        <f t="shared" si="20"/>
        <v>0</v>
      </c>
      <c r="AM75" s="53"/>
      <c r="AN75" s="52"/>
      <c r="AO75" s="52"/>
      <c r="AP75" s="52"/>
      <c r="AQ75" s="52"/>
      <c r="AR75" s="52"/>
      <c r="AS75" s="54">
        <f t="shared" si="21"/>
        <v>0</v>
      </c>
      <c r="AT75" s="53"/>
      <c r="AU75" s="52"/>
      <c r="AV75" s="52"/>
      <c r="AW75" s="52"/>
      <c r="AX75" s="52"/>
      <c r="AY75" s="52"/>
      <c r="AZ75" s="54">
        <f t="shared" si="22"/>
        <v>0</v>
      </c>
      <c r="BA75" s="53"/>
      <c r="BB75" s="52"/>
      <c r="BC75" s="52"/>
      <c r="BD75" s="52"/>
      <c r="BE75" s="52"/>
      <c r="BF75" s="52"/>
      <c r="BG75" s="54">
        <f t="shared" si="23"/>
        <v>0</v>
      </c>
      <c r="BH75" s="53"/>
      <c r="BI75" s="52">
        <f>L75*VLOOKUP($A75,'I | Capex forecast'!$A$11:$AA$160,BI$8,0)</f>
        <v>0</v>
      </c>
      <c r="BJ75" s="52">
        <f>M75*VLOOKUP($A75,'I | Capex forecast'!$A$11:$AA$160,BJ$8,0)</f>
        <v>0</v>
      </c>
      <c r="BK75" s="52">
        <f>N75*VLOOKUP($A75,'I | Capex forecast'!$A$11:$AA$160,BK$8,0)</f>
        <v>0</v>
      </c>
      <c r="BL75" s="52">
        <f>O75*VLOOKUP($A75,'I | Capex forecast'!$A$11:$AA$160,BL$8,0)</f>
        <v>0</v>
      </c>
      <c r="BM75" s="52">
        <f>P75*VLOOKUP($A75,'I | Capex forecast'!$A$11:$AA$160,BM$8,0)</f>
        <v>0</v>
      </c>
      <c r="BN75" s="54">
        <f t="shared" si="24"/>
        <v>0</v>
      </c>
      <c r="BO75" s="53"/>
      <c r="BP75" s="52">
        <f t="shared" ref="BP75:BP106" si="46">L75+Z75+AN75+AU75+BB75+BI75</f>
        <v>0</v>
      </c>
      <c r="BQ75" s="52">
        <f t="shared" ref="BQ75:BQ106" si="47">M75+AA75+AO75+AV75+BC75+BJ75</f>
        <v>0</v>
      </c>
      <c r="BR75" s="52">
        <f t="shared" ref="BR75:BR106" si="48">N75+AB75+AP75+AW75+BD75+BK75</f>
        <v>0</v>
      </c>
      <c r="BS75" s="52">
        <f t="shared" ref="BS75:BS106" si="49">O75+AC75+AQ75+AX75+BE75+BL75</f>
        <v>0</v>
      </c>
      <c r="BT75" s="52">
        <f t="shared" ref="BT75:BT106" si="50">P75+AD75+AR75+AY75+BF75+BM75</f>
        <v>0</v>
      </c>
      <c r="BU75" s="54">
        <f t="shared" si="25"/>
        <v>0</v>
      </c>
      <c r="BW75" s="52">
        <f t="shared" ref="BW75:BW106" si="51">IF($G75="As incurred",BP75,IF($G75=BW$10,$BU75,0))</f>
        <v>0</v>
      </c>
      <c r="BX75" s="52">
        <f t="shared" ref="BX75:BX106" si="52">IF($G75="As incurred",BQ75,IF($G75=BX$10,$BU75,0))</f>
        <v>0</v>
      </c>
      <c r="BY75" s="52">
        <f t="shared" ref="BY75:BY106" si="53">IF($G75="As incurred",BR75,IF($G75=BY$10,$BU75,0))</f>
        <v>0</v>
      </c>
      <c r="BZ75" s="52">
        <f t="shared" ref="BZ75:BZ106" si="54">IF($G75="As incurred",BS75,IF($G75=BZ$10,$BU75,0))</f>
        <v>0</v>
      </c>
      <c r="CA75" s="52">
        <f t="shared" ref="CA75:CA106" si="55">IF($G75="As incurred",BT75,IF($G75=CA$10,$BU75,0))</f>
        <v>0</v>
      </c>
      <c r="CB75" s="54">
        <f t="shared" si="26"/>
        <v>0</v>
      </c>
      <c r="CC75" s="53"/>
      <c r="CD75" s="52">
        <f t="shared" si="27"/>
        <v>0</v>
      </c>
      <c r="CE75" s="52">
        <f t="shared" si="28"/>
        <v>0</v>
      </c>
      <c r="CF75" s="52">
        <f t="shared" si="29"/>
        <v>0</v>
      </c>
      <c r="CG75" s="52">
        <f t="shared" si="30"/>
        <v>0</v>
      </c>
      <c r="CH75" s="52">
        <f t="shared" si="31"/>
        <v>0</v>
      </c>
      <c r="CI75" s="54">
        <f t="shared" si="32"/>
        <v>0</v>
      </c>
    </row>
    <row r="76" spans="1:87" s="4" customFormat="1" x14ac:dyDescent="0.3">
      <c r="A76" s="56">
        <v>66</v>
      </c>
      <c r="B76" s="48" t="str">
        <f>IF('I | Capex forecast'!B76="","",'I | Capex forecast'!B76)</f>
        <v/>
      </c>
      <c r="C76" s="48" t="str">
        <f>IF('I | Capex forecast'!C76="","",'I | Capex forecast'!C76)</f>
        <v/>
      </c>
      <c r="D76" s="48" t="str">
        <f>IF('I | Capex forecast'!D76="","",'I | Capex forecast'!D76)</f>
        <v/>
      </c>
      <c r="E76" s="48" t="str">
        <f>IF('I | Capex forecast'!E76="","",'I | Capex forecast'!E76)</f>
        <v/>
      </c>
      <c r="F76" s="48" t="str">
        <f>IF('I | Capex forecast'!F76="","",'I | Capex forecast'!F76)</f>
        <v/>
      </c>
      <c r="G76" s="48" t="str">
        <f>IF('I | Capex forecast'!G76="","",'I | Capex forecast'!G76)</f>
        <v/>
      </c>
      <c r="H76" s="48" t="str">
        <f>IF('I | Capex forecast'!H76="","",'I | Capex forecast'!H76)</f>
        <v/>
      </c>
      <c r="I76" s="48" t="str">
        <f>IF('I | Capex forecast'!I76="","",'I | Capex forecast'!I76)</f>
        <v/>
      </c>
      <c r="J76" s="48" t="str">
        <f>IF('I | Capex forecast'!J76="","",'I | Capex forecast'!J76)</f>
        <v/>
      </c>
      <c r="K76" s="50"/>
      <c r="L76" s="52">
        <f>IFERROR(VLOOKUP($A76,'I | Capex forecast'!$A$11:$AA$160,L$8,0)*INDEX('I | Inflation'!$F$46:$G$49,MATCH($I76,'I | Inflation'!$E$46:$E$49,0),MATCH($H76,'I | Inflation'!$F$45:$G$45,0)),0)</f>
        <v>0</v>
      </c>
      <c r="M76" s="52">
        <f>IFERROR(VLOOKUP($A76,'I | Capex forecast'!$A$11:$AA$160,M$8,0)*INDEX('I | Inflation'!$F$46:$G$49,MATCH($I76,'I | Inflation'!$E$46:$E$49,0),MATCH($H76,'I | Inflation'!$F$45:$G$45,0)),0)</f>
        <v>0</v>
      </c>
      <c r="N76" s="52">
        <f>IFERROR(VLOOKUP($A76,'I | Capex forecast'!$A$11:$AA$160,N$8,0)*INDEX('I | Inflation'!$F$46:$G$49,MATCH($I76,'I | Inflation'!$E$46:$E$49,0),MATCH($H76,'I | Inflation'!$F$45:$G$45,0)),0)</f>
        <v>0</v>
      </c>
      <c r="O76" s="52">
        <f>IFERROR(VLOOKUP($A76,'I | Capex forecast'!$A$11:$AA$160,O$8,0)*INDEX('I | Inflation'!$F$46:$G$49,MATCH($I76,'I | Inflation'!$E$46:$E$49,0),MATCH($H76,'I | Inflation'!$F$45:$G$45,0)),0)</f>
        <v>0</v>
      </c>
      <c r="P76" s="52">
        <f>IFERROR(VLOOKUP($A76,'I | Capex forecast'!$A$11:$AA$160,P$8,0)*INDEX('I | Inflation'!$F$46:$G$49,MATCH($I76,'I | Inflation'!$E$46:$E$49,0),MATCH($H76,'I | Inflation'!$F$45:$G$45,0)),0)</f>
        <v>0</v>
      </c>
      <c r="Q76" s="54">
        <f t="shared" si="44"/>
        <v>0</v>
      </c>
      <c r="R76" s="53"/>
      <c r="S76" s="226">
        <f>L76*VLOOKUP($A76,'I | Capex forecast'!$A$11:$AA$160,S$8,0)</f>
        <v>0</v>
      </c>
      <c r="T76" s="226">
        <f>M76*VLOOKUP($A76,'I | Capex forecast'!$A$11:$AA$160,T$8,0)</f>
        <v>0</v>
      </c>
      <c r="U76" s="226">
        <f>N76*VLOOKUP($A76,'I | Capex forecast'!$A$11:$AA$160,U$8,0)</f>
        <v>0</v>
      </c>
      <c r="V76" s="226">
        <f>O76*VLOOKUP($A76,'I | Capex forecast'!$A$11:$AA$160,V$8,0)</f>
        <v>0</v>
      </c>
      <c r="W76" s="226">
        <f>P76*VLOOKUP($A76,'I | Capex forecast'!$A$11:$AA$160,W$8,0)</f>
        <v>0</v>
      </c>
      <c r="X76" s="54">
        <f t="shared" ref="X76:X139" si="56">SUM(S76:W76)</f>
        <v>0</v>
      </c>
      <c r="Y76" s="53"/>
      <c r="Z76" s="52">
        <f>S76*(HLOOKUP(Z$10,'I | Inflation'!$E$57:$J$59,3,0)-1)</f>
        <v>0</v>
      </c>
      <c r="AA76" s="52">
        <f>T76*(HLOOKUP(AA$10,'I | Inflation'!$E$57:$J$59,3,0)-1)</f>
        <v>0</v>
      </c>
      <c r="AB76" s="52">
        <f>U76*(HLOOKUP(AB$10,'I | Inflation'!$E$57:$J$59,3,0)-1)</f>
        <v>0</v>
      </c>
      <c r="AC76" s="52">
        <f>V76*(HLOOKUP(AC$10,'I | Inflation'!$E$57:$J$59,3,0)-1)</f>
        <v>0</v>
      </c>
      <c r="AD76" s="52">
        <f>W76*(HLOOKUP(AD$10,'I | Inflation'!$E$57:$J$59,3,0)-1)</f>
        <v>0</v>
      </c>
      <c r="AE76" s="54">
        <f t="shared" ref="AE76:AE139" si="57">SUM(Z76:AD76)</f>
        <v>0</v>
      </c>
      <c r="AF76" s="53"/>
      <c r="AG76" s="226">
        <f t="shared" ref="AG76:AG139" si="58">S76+Z76</f>
        <v>0</v>
      </c>
      <c r="AH76" s="226">
        <f t="shared" ref="AH76:AH139" si="59">T76+AA76</f>
        <v>0</v>
      </c>
      <c r="AI76" s="226">
        <f t="shared" ref="AI76:AI139" si="60">U76+AB76</f>
        <v>0</v>
      </c>
      <c r="AJ76" s="226">
        <f t="shared" ref="AJ76:AJ139" si="61">V76+AC76</f>
        <v>0</v>
      </c>
      <c r="AK76" s="226">
        <f t="shared" ref="AK76:AK139" si="62">W76+AD76</f>
        <v>0</v>
      </c>
      <c r="AL76" s="54">
        <f t="shared" ref="AL76:AL139" si="63">SUM(AG76:AK76)</f>
        <v>0</v>
      </c>
      <c r="AM76" s="53"/>
      <c r="AN76" s="52"/>
      <c r="AO76" s="52"/>
      <c r="AP76" s="52"/>
      <c r="AQ76" s="52"/>
      <c r="AR76" s="52"/>
      <c r="AS76" s="54">
        <f t="shared" ref="AS76:AS139" si="64">SUM(AN76:AR76)</f>
        <v>0</v>
      </c>
      <c r="AT76" s="53"/>
      <c r="AU76" s="52"/>
      <c r="AV76" s="52"/>
      <c r="AW76" s="52"/>
      <c r="AX76" s="52"/>
      <c r="AY76" s="52"/>
      <c r="AZ76" s="54">
        <f t="shared" ref="AZ76:AZ139" si="65">SUM(AU76:AY76)</f>
        <v>0</v>
      </c>
      <c r="BA76" s="53"/>
      <c r="BB76" s="52"/>
      <c r="BC76" s="52"/>
      <c r="BD76" s="52"/>
      <c r="BE76" s="52"/>
      <c r="BF76" s="52"/>
      <c r="BG76" s="54">
        <f t="shared" ref="BG76:BG139" si="66">SUM(BB76:BF76)</f>
        <v>0</v>
      </c>
      <c r="BH76" s="53"/>
      <c r="BI76" s="52">
        <f>L76*VLOOKUP($A76,'I | Capex forecast'!$A$11:$AA$160,BI$8,0)</f>
        <v>0</v>
      </c>
      <c r="BJ76" s="52">
        <f>M76*VLOOKUP($A76,'I | Capex forecast'!$A$11:$AA$160,BJ$8,0)</f>
        <v>0</v>
      </c>
      <c r="BK76" s="52">
        <f>N76*VLOOKUP($A76,'I | Capex forecast'!$A$11:$AA$160,BK$8,0)</f>
        <v>0</v>
      </c>
      <c r="BL76" s="52">
        <f>O76*VLOOKUP($A76,'I | Capex forecast'!$A$11:$AA$160,BL$8,0)</f>
        <v>0</v>
      </c>
      <c r="BM76" s="52">
        <f>P76*VLOOKUP($A76,'I | Capex forecast'!$A$11:$AA$160,BM$8,0)</f>
        <v>0</v>
      </c>
      <c r="BN76" s="54">
        <f t="shared" ref="BN76:BN139" si="67">SUM(BI76:BM76)</f>
        <v>0</v>
      </c>
      <c r="BO76" s="53"/>
      <c r="BP76" s="52">
        <f t="shared" si="46"/>
        <v>0</v>
      </c>
      <c r="BQ76" s="52">
        <f t="shared" si="47"/>
        <v>0</v>
      </c>
      <c r="BR76" s="52">
        <f t="shared" si="48"/>
        <v>0</v>
      </c>
      <c r="BS76" s="52">
        <f t="shared" si="49"/>
        <v>0</v>
      </c>
      <c r="BT76" s="52">
        <f t="shared" si="50"/>
        <v>0</v>
      </c>
      <c r="BU76" s="54">
        <f t="shared" ref="BU76:BU139" si="68">SUM(BP76:BT76)</f>
        <v>0</v>
      </c>
      <c r="BW76" s="52">
        <f t="shared" si="51"/>
        <v>0</v>
      </c>
      <c r="BX76" s="52">
        <f t="shared" si="52"/>
        <v>0</v>
      </c>
      <c r="BY76" s="52">
        <f t="shared" si="53"/>
        <v>0</v>
      </c>
      <c r="BZ76" s="52">
        <f t="shared" si="54"/>
        <v>0</v>
      </c>
      <c r="CA76" s="52">
        <f t="shared" si="55"/>
        <v>0</v>
      </c>
      <c r="CB76" s="54">
        <f t="shared" ref="CB76:CB139" si="69">SUM(BW76:CA76)</f>
        <v>0</v>
      </c>
      <c r="CC76" s="53"/>
      <c r="CD76" s="52">
        <f t="shared" ref="CD76:CD139" si="70">IF($J76="Yes",BW76,0)</f>
        <v>0</v>
      </c>
      <c r="CE76" s="52">
        <f t="shared" ref="CE76:CE139" si="71">IF($J76="Yes",BX76,0)</f>
        <v>0</v>
      </c>
      <c r="CF76" s="52">
        <f t="shared" ref="CF76:CF139" si="72">IF($J76="Yes",BY76,0)</f>
        <v>0</v>
      </c>
      <c r="CG76" s="52">
        <f t="shared" ref="CG76:CG139" si="73">IF($J76="Yes",BZ76,0)</f>
        <v>0</v>
      </c>
      <c r="CH76" s="52">
        <f t="shared" ref="CH76:CH139" si="74">IF($J76="Yes",CA76,0)</f>
        <v>0</v>
      </c>
      <c r="CI76" s="54">
        <f t="shared" ref="CI76:CI139" si="75">SUM(CD76:CH76)</f>
        <v>0</v>
      </c>
    </row>
    <row r="77" spans="1:87" s="4" customFormat="1" x14ac:dyDescent="0.3">
      <c r="A77" s="56">
        <v>67</v>
      </c>
      <c r="B77" s="48" t="str">
        <f>IF('I | Capex forecast'!B77="","",'I | Capex forecast'!B77)</f>
        <v/>
      </c>
      <c r="C77" s="48" t="str">
        <f>IF('I | Capex forecast'!C77="","",'I | Capex forecast'!C77)</f>
        <v/>
      </c>
      <c r="D77" s="48" t="str">
        <f>IF('I | Capex forecast'!D77="","",'I | Capex forecast'!D77)</f>
        <v/>
      </c>
      <c r="E77" s="48" t="str">
        <f>IF('I | Capex forecast'!E77="","",'I | Capex forecast'!E77)</f>
        <v/>
      </c>
      <c r="F77" s="48" t="str">
        <f>IF('I | Capex forecast'!F77="","",'I | Capex forecast'!F77)</f>
        <v/>
      </c>
      <c r="G77" s="48" t="str">
        <f>IF('I | Capex forecast'!G77="","",'I | Capex forecast'!G77)</f>
        <v/>
      </c>
      <c r="H77" s="48" t="str">
        <f>IF('I | Capex forecast'!H77="","",'I | Capex forecast'!H77)</f>
        <v/>
      </c>
      <c r="I77" s="48" t="str">
        <f>IF('I | Capex forecast'!I77="","",'I | Capex forecast'!I77)</f>
        <v/>
      </c>
      <c r="J77" s="48" t="str">
        <f>IF('I | Capex forecast'!J77="","",'I | Capex forecast'!J77)</f>
        <v/>
      </c>
      <c r="K77" s="50"/>
      <c r="L77" s="52">
        <f>IFERROR(VLOOKUP($A77,'I | Capex forecast'!$A$11:$AA$160,L$8,0)*INDEX('I | Inflation'!$F$46:$G$49,MATCH($I77,'I | Inflation'!$E$46:$E$49,0),MATCH($H77,'I | Inflation'!$F$45:$G$45,0)),0)</f>
        <v>0</v>
      </c>
      <c r="M77" s="52">
        <f>IFERROR(VLOOKUP($A77,'I | Capex forecast'!$A$11:$AA$160,M$8,0)*INDEX('I | Inflation'!$F$46:$G$49,MATCH($I77,'I | Inflation'!$E$46:$E$49,0),MATCH($H77,'I | Inflation'!$F$45:$G$45,0)),0)</f>
        <v>0</v>
      </c>
      <c r="N77" s="52">
        <f>IFERROR(VLOOKUP($A77,'I | Capex forecast'!$A$11:$AA$160,N$8,0)*INDEX('I | Inflation'!$F$46:$G$49,MATCH($I77,'I | Inflation'!$E$46:$E$49,0),MATCH($H77,'I | Inflation'!$F$45:$G$45,0)),0)</f>
        <v>0</v>
      </c>
      <c r="O77" s="52">
        <f>IFERROR(VLOOKUP($A77,'I | Capex forecast'!$A$11:$AA$160,O$8,0)*INDEX('I | Inflation'!$F$46:$G$49,MATCH($I77,'I | Inflation'!$E$46:$E$49,0),MATCH($H77,'I | Inflation'!$F$45:$G$45,0)),0)</f>
        <v>0</v>
      </c>
      <c r="P77" s="52">
        <f>IFERROR(VLOOKUP($A77,'I | Capex forecast'!$A$11:$AA$160,P$8,0)*INDEX('I | Inflation'!$F$46:$G$49,MATCH($I77,'I | Inflation'!$E$46:$E$49,0),MATCH($H77,'I | Inflation'!$F$45:$G$45,0)),0)</f>
        <v>0</v>
      </c>
      <c r="Q77" s="54">
        <f t="shared" si="44"/>
        <v>0</v>
      </c>
      <c r="R77" s="53"/>
      <c r="S77" s="226">
        <f>L77*VLOOKUP($A77,'I | Capex forecast'!$A$11:$AA$160,S$8,0)</f>
        <v>0</v>
      </c>
      <c r="T77" s="226">
        <f>M77*VLOOKUP($A77,'I | Capex forecast'!$A$11:$AA$160,T$8,0)</f>
        <v>0</v>
      </c>
      <c r="U77" s="226">
        <f>N77*VLOOKUP($A77,'I | Capex forecast'!$A$11:$AA$160,U$8,0)</f>
        <v>0</v>
      </c>
      <c r="V77" s="226">
        <f>O77*VLOOKUP($A77,'I | Capex forecast'!$A$11:$AA$160,V$8,0)</f>
        <v>0</v>
      </c>
      <c r="W77" s="226">
        <f>P77*VLOOKUP($A77,'I | Capex forecast'!$A$11:$AA$160,W$8,0)</f>
        <v>0</v>
      </c>
      <c r="X77" s="54">
        <f t="shared" si="56"/>
        <v>0</v>
      </c>
      <c r="Y77" s="53"/>
      <c r="Z77" s="52">
        <f>S77*(HLOOKUP(Z$10,'I | Inflation'!$E$57:$J$59,3,0)-1)</f>
        <v>0</v>
      </c>
      <c r="AA77" s="52">
        <f>T77*(HLOOKUP(AA$10,'I | Inflation'!$E$57:$J$59,3,0)-1)</f>
        <v>0</v>
      </c>
      <c r="AB77" s="52">
        <f>U77*(HLOOKUP(AB$10,'I | Inflation'!$E$57:$J$59,3,0)-1)</f>
        <v>0</v>
      </c>
      <c r="AC77" s="52">
        <f>V77*(HLOOKUP(AC$10,'I | Inflation'!$E$57:$J$59,3,0)-1)</f>
        <v>0</v>
      </c>
      <c r="AD77" s="52">
        <f>W77*(HLOOKUP(AD$10,'I | Inflation'!$E$57:$J$59,3,0)-1)</f>
        <v>0</v>
      </c>
      <c r="AE77" s="54">
        <f t="shared" si="57"/>
        <v>0</v>
      </c>
      <c r="AF77" s="53"/>
      <c r="AG77" s="226">
        <f t="shared" si="58"/>
        <v>0</v>
      </c>
      <c r="AH77" s="226">
        <f t="shared" si="59"/>
        <v>0</v>
      </c>
      <c r="AI77" s="226">
        <f t="shared" si="60"/>
        <v>0</v>
      </c>
      <c r="AJ77" s="226">
        <f t="shared" si="61"/>
        <v>0</v>
      </c>
      <c r="AK77" s="226">
        <f t="shared" si="62"/>
        <v>0</v>
      </c>
      <c r="AL77" s="54">
        <f t="shared" si="63"/>
        <v>0</v>
      </c>
      <c r="AM77" s="53"/>
      <c r="AN77" s="52"/>
      <c r="AO77" s="52"/>
      <c r="AP77" s="52"/>
      <c r="AQ77" s="52"/>
      <c r="AR77" s="52"/>
      <c r="AS77" s="54">
        <f t="shared" si="64"/>
        <v>0</v>
      </c>
      <c r="AT77" s="53"/>
      <c r="AU77" s="52"/>
      <c r="AV77" s="52"/>
      <c r="AW77" s="52"/>
      <c r="AX77" s="52"/>
      <c r="AY77" s="52"/>
      <c r="AZ77" s="54">
        <f t="shared" si="65"/>
        <v>0</v>
      </c>
      <c r="BA77" s="53"/>
      <c r="BB77" s="52"/>
      <c r="BC77" s="52"/>
      <c r="BD77" s="52"/>
      <c r="BE77" s="52"/>
      <c r="BF77" s="52"/>
      <c r="BG77" s="54">
        <f t="shared" si="66"/>
        <v>0</v>
      </c>
      <c r="BH77" s="53"/>
      <c r="BI77" s="52">
        <f>L77*VLOOKUP($A77,'I | Capex forecast'!$A$11:$AA$160,BI$8,0)</f>
        <v>0</v>
      </c>
      <c r="BJ77" s="52">
        <f>M77*VLOOKUP($A77,'I | Capex forecast'!$A$11:$AA$160,BJ$8,0)</f>
        <v>0</v>
      </c>
      <c r="BK77" s="52">
        <f>N77*VLOOKUP($A77,'I | Capex forecast'!$A$11:$AA$160,BK$8,0)</f>
        <v>0</v>
      </c>
      <c r="BL77" s="52">
        <f>O77*VLOOKUP($A77,'I | Capex forecast'!$A$11:$AA$160,BL$8,0)</f>
        <v>0</v>
      </c>
      <c r="BM77" s="52">
        <f>P77*VLOOKUP($A77,'I | Capex forecast'!$A$11:$AA$160,BM$8,0)</f>
        <v>0</v>
      </c>
      <c r="BN77" s="54">
        <f t="shared" si="67"/>
        <v>0</v>
      </c>
      <c r="BO77" s="53"/>
      <c r="BP77" s="52">
        <f t="shared" si="46"/>
        <v>0</v>
      </c>
      <c r="BQ77" s="52">
        <f t="shared" si="47"/>
        <v>0</v>
      </c>
      <c r="BR77" s="52">
        <f t="shared" si="48"/>
        <v>0</v>
      </c>
      <c r="BS77" s="52">
        <f t="shared" si="49"/>
        <v>0</v>
      </c>
      <c r="BT77" s="52">
        <f t="shared" si="50"/>
        <v>0</v>
      </c>
      <c r="BU77" s="54">
        <f t="shared" si="68"/>
        <v>0</v>
      </c>
      <c r="BW77" s="52">
        <f t="shared" si="51"/>
        <v>0</v>
      </c>
      <c r="BX77" s="52">
        <f t="shared" si="52"/>
        <v>0</v>
      </c>
      <c r="BY77" s="52">
        <f t="shared" si="53"/>
        <v>0</v>
      </c>
      <c r="BZ77" s="52">
        <f t="shared" si="54"/>
        <v>0</v>
      </c>
      <c r="CA77" s="52">
        <f t="shared" si="55"/>
        <v>0</v>
      </c>
      <c r="CB77" s="54">
        <f t="shared" si="69"/>
        <v>0</v>
      </c>
      <c r="CC77" s="53"/>
      <c r="CD77" s="52">
        <f t="shared" si="70"/>
        <v>0</v>
      </c>
      <c r="CE77" s="52">
        <f t="shared" si="71"/>
        <v>0</v>
      </c>
      <c r="CF77" s="52">
        <f t="shared" si="72"/>
        <v>0</v>
      </c>
      <c r="CG77" s="52">
        <f t="shared" si="73"/>
        <v>0</v>
      </c>
      <c r="CH77" s="52">
        <f t="shared" si="74"/>
        <v>0</v>
      </c>
      <c r="CI77" s="54">
        <f t="shared" si="75"/>
        <v>0</v>
      </c>
    </row>
    <row r="78" spans="1:87" s="4" customFormat="1" x14ac:dyDescent="0.3">
      <c r="A78" s="56">
        <v>68</v>
      </c>
      <c r="B78" s="48" t="str">
        <f>IF('I | Capex forecast'!B78="","",'I | Capex forecast'!B78)</f>
        <v/>
      </c>
      <c r="C78" s="48" t="str">
        <f>IF('I | Capex forecast'!C78="","",'I | Capex forecast'!C78)</f>
        <v/>
      </c>
      <c r="D78" s="48" t="str">
        <f>IF('I | Capex forecast'!D78="","",'I | Capex forecast'!D78)</f>
        <v/>
      </c>
      <c r="E78" s="48" t="str">
        <f>IF('I | Capex forecast'!E78="","",'I | Capex forecast'!E78)</f>
        <v/>
      </c>
      <c r="F78" s="48" t="str">
        <f>IF('I | Capex forecast'!F78="","",'I | Capex forecast'!F78)</f>
        <v/>
      </c>
      <c r="G78" s="48" t="str">
        <f>IF('I | Capex forecast'!G78="","",'I | Capex forecast'!G78)</f>
        <v/>
      </c>
      <c r="H78" s="48" t="str">
        <f>IF('I | Capex forecast'!H78="","",'I | Capex forecast'!H78)</f>
        <v/>
      </c>
      <c r="I78" s="48" t="str">
        <f>IF('I | Capex forecast'!I78="","",'I | Capex forecast'!I78)</f>
        <v/>
      </c>
      <c r="J78" s="48" t="str">
        <f>IF('I | Capex forecast'!J78="","",'I | Capex forecast'!J78)</f>
        <v/>
      </c>
      <c r="K78" s="50"/>
      <c r="L78" s="52">
        <f>IFERROR(VLOOKUP($A78,'I | Capex forecast'!$A$11:$AA$160,L$8,0)*INDEX('I | Inflation'!$F$46:$G$49,MATCH($I78,'I | Inflation'!$E$46:$E$49,0),MATCH($H78,'I | Inflation'!$F$45:$G$45,0)),0)</f>
        <v>0</v>
      </c>
      <c r="M78" s="52">
        <f>IFERROR(VLOOKUP($A78,'I | Capex forecast'!$A$11:$AA$160,M$8,0)*INDEX('I | Inflation'!$F$46:$G$49,MATCH($I78,'I | Inflation'!$E$46:$E$49,0),MATCH($H78,'I | Inflation'!$F$45:$G$45,0)),0)</f>
        <v>0</v>
      </c>
      <c r="N78" s="52">
        <f>IFERROR(VLOOKUP($A78,'I | Capex forecast'!$A$11:$AA$160,N$8,0)*INDEX('I | Inflation'!$F$46:$G$49,MATCH($I78,'I | Inflation'!$E$46:$E$49,0),MATCH($H78,'I | Inflation'!$F$45:$G$45,0)),0)</f>
        <v>0</v>
      </c>
      <c r="O78" s="52">
        <f>IFERROR(VLOOKUP($A78,'I | Capex forecast'!$A$11:$AA$160,O$8,0)*INDEX('I | Inflation'!$F$46:$G$49,MATCH($I78,'I | Inflation'!$E$46:$E$49,0),MATCH($H78,'I | Inflation'!$F$45:$G$45,0)),0)</f>
        <v>0</v>
      </c>
      <c r="P78" s="52">
        <f>IFERROR(VLOOKUP($A78,'I | Capex forecast'!$A$11:$AA$160,P$8,0)*INDEX('I | Inflation'!$F$46:$G$49,MATCH($I78,'I | Inflation'!$E$46:$E$49,0),MATCH($H78,'I | Inflation'!$F$45:$G$45,0)),0)</f>
        <v>0</v>
      </c>
      <c r="Q78" s="54">
        <f t="shared" si="44"/>
        <v>0</v>
      </c>
      <c r="R78" s="53"/>
      <c r="S78" s="226">
        <f>L78*VLOOKUP($A78,'I | Capex forecast'!$A$11:$AA$160,S$8,0)</f>
        <v>0</v>
      </c>
      <c r="T78" s="226">
        <f>M78*VLOOKUP($A78,'I | Capex forecast'!$A$11:$AA$160,T$8,0)</f>
        <v>0</v>
      </c>
      <c r="U78" s="226">
        <f>N78*VLOOKUP($A78,'I | Capex forecast'!$A$11:$AA$160,U$8,0)</f>
        <v>0</v>
      </c>
      <c r="V78" s="226">
        <f>O78*VLOOKUP($A78,'I | Capex forecast'!$A$11:$AA$160,V$8,0)</f>
        <v>0</v>
      </c>
      <c r="W78" s="226">
        <f>P78*VLOOKUP($A78,'I | Capex forecast'!$A$11:$AA$160,W$8,0)</f>
        <v>0</v>
      </c>
      <c r="X78" s="54">
        <f t="shared" si="56"/>
        <v>0</v>
      </c>
      <c r="Y78" s="53"/>
      <c r="Z78" s="52">
        <f>S78*(HLOOKUP(Z$10,'I | Inflation'!$E$57:$J$59,3,0)-1)</f>
        <v>0</v>
      </c>
      <c r="AA78" s="52">
        <f>T78*(HLOOKUP(AA$10,'I | Inflation'!$E$57:$J$59,3,0)-1)</f>
        <v>0</v>
      </c>
      <c r="AB78" s="52">
        <f>U78*(HLOOKUP(AB$10,'I | Inflation'!$E$57:$J$59,3,0)-1)</f>
        <v>0</v>
      </c>
      <c r="AC78" s="52">
        <f>V78*(HLOOKUP(AC$10,'I | Inflation'!$E$57:$J$59,3,0)-1)</f>
        <v>0</v>
      </c>
      <c r="AD78" s="52">
        <f>W78*(HLOOKUP(AD$10,'I | Inflation'!$E$57:$J$59,3,0)-1)</f>
        <v>0</v>
      </c>
      <c r="AE78" s="54">
        <f t="shared" si="57"/>
        <v>0</v>
      </c>
      <c r="AF78" s="53"/>
      <c r="AG78" s="226">
        <f t="shared" si="58"/>
        <v>0</v>
      </c>
      <c r="AH78" s="226">
        <f t="shared" si="59"/>
        <v>0</v>
      </c>
      <c r="AI78" s="226">
        <f t="shared" si="60"/>
        <v>0</v>
      </c>
      <c r="AJ78" s="226">
        <f t="shared" si="61"/>
        <v>0</v>
      </c>
      <c r="AK78" s="226">
        <f t="shared" si="62"/>
        <v>0</v>
      </c>
      <c r="AL78" s="54">
        <f t="shared" si="63"/>
        <v>0</v>
      </c>
      <c r="AM78" s="53"/>
      <c r="AN78" s="52"/>
      <c r="AO78" s="52"/>
      <c r="AP78" s="52"/>
      <c r="AQ78" s="52"/>
      <c r="AR78" s="52"/>
      <c r="AS78" s="54">
        <f t="shared" si="64"/>
        <v>0</v>
      </c>
      <c r="AT78" s="53"/>
      <c r="AU78" s="52"/>
      <c r="AV78" s="52"/>
      <c r="AW78" s="52"/>
      <c r="AX78" s="52"/>
      <c r="AY78" s="52"/>
      <c r="AZ78" s="54">
        <f t="shared" si="65"/>
        <v>0</v>
      </c>
      <c r="BA78" s="53"/>
      <c r="BB78" s="52"/>
      <c r="BC78" s="52"/>
      <c r="BD78" s="52"/>
      <c r="BE78" s="52"/>
      <c r="BF78" s="52"/>
      <c r="BG78" s="54">
        <f t="shared" si="66"/>
        <v>0</v>
      </c>
      <c r="BH78" s="53"/>
      <c r="BI78" s="52">
        <f>L78*VLOOKUP($A78,'I | Capex forecast'!$A$11:$AA$160,BI$8,0)</f>
        <v>0</v>
      </c>
      <c r="BJ78" s="52">
        <f>M78*VLOOKUP($A78,'I | Capex forecast'!$A$11:$AA$160,BJ$8,0)</f>
        <v>0</v>
      </c>
      <c r="BK78" s="52">
        <f>N78*VLOOKUP($A78,'I | Capex forecast'!$A$11:$AA$160,BK$8,0)</f>
        <v>0</v>
      </c>
      <c r="BL78" s="52">
        <f>O78*VLOOKUP($A78,'I | Capex forecast'!$A$11:$AA$160,BL$8,0)</f>
        <v>0</v>
      </c>
      <c r="BM78" s="52">
        <f>P78*VLOOKUP($A78,'I | Capex forecast'!$A$11:$AA$160,BM$8,0)</f>
        <v>0</v>
      </c>
      <c r="BN78" s="54">
        <f t="shared" si="67"/>
        <v>0</v>
      </c>
      <c r="BO78" s="53"/>
      <c r="BP78" s="52">
        <f t="shared" si="46"/>
        <v>0</v>
      </c>
      <c r="BQ78" s="52">
        <f t="shared" si="47"/>
        <v>0</v>
      </c>
      <c r="BR78" s="52">
        <f t="shared" si="48"/>
        <v>0</v>
      </c>
      <c r="BS78" s="52">
        <f t="shared" si="49"/>
        <v>0</v>
      </c>
      <c r="BT78" s="52">
        <f t="shared" si="50"/>
        <v>0</v>
      </c>
      <c r="BU78" s="54">
        <f t="shared" si="68"/>
        <v>0</v>
      </c>
      <c r="BW78" s="52">
        <f t="shared" si="51"/>
        <v>0</v>
      </c>
      <c r="BX78" s="52">
        <f t="shared" si="52"/>
        <v>0</v>
      </c>
      <c r="BY78" s="52">
        <f t="shared" si="53"/>
        <v>0</v>
      </c>
      <c r="BZ78" s="52">
        <f t="shared" si="54"/>
        <v>0</v>
      </c>
      <c r="CA78" s="52">
        <f t="shared" si="55"/>
        <v>0</v>
      </c>
      <c r="CB78" s="54">
        <f t="shared" si="69"/>
        <v>0</v>
      </c>
      <c r="CC78" s="53"/>
      <c r="CD78" s="52">
        <f t="shared" si="70"/>
        <v>0</v>
      </c>
      <c r="CE78" s="52">
        <f t="shared" si="71"/>
        <v>0</v>
      </c>
      <c r="CF78" s="52">
        <f t="shared" si="72"/>
        <v>0</v>
      </c>
      <c r="CG78" s="52">
        <f t="shared" si="73"/>
        <v>0</v>
      </c>
      <c r="CH78" s="52">
        <f t="shared" si="74"/>
        <v>0</v>
      </c>
      <c r="CI78" s="54">
        <f t="shared" si="75"/>
        <v>0</v>
      </c>
    </row>
    <row r="79" spans="1:87" s="4" customFormat="1" x14ac:dyDescent="0.3">
      <c r="A79" s="56">
        <v>69</v>
      </c>
      <c r="B79" s="48" t="str">
        <f>IF('I | Capex forecast'!B79="","",'I | Capex forecast'!B79)</f>
        <v/>
      </c>
      <c r="C79" s="48" t="str">
        <f>IF('I | Capex forecast'!C79="","",'I | Capex forecast'!C79)</f>
        <v/>
      </c>
      <c r="D79" s="48" t="str">
        <f>IF('I | Capex forecast'!D79="","",'I | Capex forecast'!D79)</f>
        <v/>
      </c>
      <c r="E79" s="48" t="str">
        <f>IF('I | Capex forecast'!E79="","",'I | Capex forecast'!E79)</f>
        <v/>
      </c>
      <c r="F79" s="48" t="str">
        <f>IF('I | Capex forecast'!F79="","",'I | Capex forecast'!F79)</f>
        <v/>
      </c>
      <c r="G79" s="48" t="str">
        <f>IF('I | Capex forecast'!G79="","",'I | Capex forecast'!G79)</f>
        <v/>
      </c>
      <c r="H79" s="48" t="str">
        <f>IF('I | Capex forecast'!H79="","",'I | Capex forecast'!H79)</f>
        <v/>
      </c>
      <c r="I79" s="48" t="str">
        <f>IF('I | Capex forecast'!I79="","",'I | Capex forecast'!I79)</f>
        <v/>
      </c>
      <c r="J79" s="48" t="str">
        <f>IF('I | Capex forecast'!J79="","",'I | Capex forecast'!J79)</f>
        <v/>
      </c>
      <c r="K79" s="50"/>
      <c r="L79" s="52">
        <f>IFERROR(VLOOKUP($A79,'I | Capex forecast'!$A$11:$AA$160,L$8,0)*INDEX('I | Inflation'!$F$46:$G$49,MATCH($I79,'I | Inflation'!$E$46:$E$49,0),MATCH($H79,'I | Inflation'!$F$45:$G$45,0)),0)</f>
        <v>0</v>
      </c>
      <c r="M79" s="52">
        <f>IFERROR(VLOOKUP($A79,'I | Capex forecast'!$A$11:$AA$160,M$8,0)*INDEX('I | Inflation'!$F$46:$G$49,MATCH($I79,'I | Inflation'!$E$46:$E$49,0),MATCH($H79,'I | Inflation'!$F$45:$G$45,0)),0)</f>
        <v>0</v>
      </c>
      <c r="N79" s="52">
        <f>IFERROR(VLOOKUP($A79,'I | Capex forecast'!$A$11:$AA$160,N$8,0)*INDEX('I | Inflation'!$F$46:$G$49,MATCH($I79,'I | Inflation'!$E$46:$E$49,0),MATCH($H79,'I | Inflation'!$F$45:$G$45,0)),0)</f>
        <v>0</v>
      </c>
      <c r="O79" s="52">
        <f>IFERROR(VLOOKUP($A79,'I | Capex forecast'!$A$11:$AA$160,O$8,0)*INDEX('I | Inflation'!$F$46:$G$49,MATCH($I79,'I | Inflation'!$E$46:$E$49,0),MATCH($H79,'I | Inflation'!$F$45:$G$45,0)),0)</f>
        <v>0</v>
      </c>
      <c r="P79" s="52">
        <f>IFERROR(VLOOKUP($A79,'I | Capex forecast'!$A$11:$AA$160,P$8,0)*INDEX('I | Inflation'!$F$46:$G$49,MATCH($I79,'I | Inflation'!$E$46:$E$49,0),MATCH($H79,'I | Inflation'!$F$45:$G$45,0)),0)</f>
        <v>0</v>
      </c>
      <c r="Q79" s="54">
        <f t="shared" si="44"/>
        <v>0</v>
      </c>
      <c r="R79" s="53"/>
      <c r="S79" s="226">
        <f>L79*VLOOKUP($A79,'I | Capex forecast'!$A$11:$AA$160,S$8,0)</f>
        <v>0</v>
      </c>
      <c r="T79" s="226">
        <f>M79*VLOOKUP($A79,'I | Capex forecast'!$A$11:$AA$160,T$8,0)</f>
        <v>0</v>
      </c>
      <c r="U79" s="226">
        <f>N79*VLOOKUP($A79,'I | Capex forecast'!$A$11:$AA$160,U$8,0)</f>
        <v>0</v>
      </c>
      <c r="V79" s="226">
        <f>O79*VLOOKUP($A79,'I | Capex forecast'!$A$11:$AA$160,V$8,0)</f>
        <v>0</v>
      </c>
      <c r="W79" s="226">
        <f>P79*VLOOKUP($A79,'I | Capex forecast'!$A$11:$AA$160,W$8,0)</f>
        <v>0</v>
      </c>
      <c r="X79" s="54">
        <f t="shared" si="56"/>
        <v>0</v>
      </c>
      <c r="Y79" s="53"/>
      <c r="Z79" s="52">
        <f>S79*(HLOOKUP(Z$10,'I | Inflation'!$E$57:$J$59,3,0)-1)</f>
        <v>0</v>
      </c>
      <c r="AA79" s="52">
        <f>T79*(HLOOKUP(AA$10,'I | Inflation'!$E$57:$J$59,3,0)-1)</f>
        <v>0</v>
      </c>
      <c r="AB79" s="52">
        <f>U79*(HLOOKUP(AB$10,'I | Inflation'!$E$57:$J$59,3,0)-1)</f>
        <v>0</v>
      </c>
      <c r="AC79" s="52">
        <f>V79*(HLOOKUP(AC$10,'I | Inflation'!$E$57:$J$59,3,0)-1)</f>
        <v>0</v>
      </c>
      <c r="AD79" s="52">
        <f>W79*(HLOOKUP(AD$10,'I | Inflation'!$E$57:$J$59,3,0)-1)</f>
        <v>0</v>
      </c>
      <c r="AE79" s="54">
        <f t="shared" si="57"/>
        <v>0</v>
      </c>
      <c r="AF79" s="53"/>
      <c r="AG79" s="226">
        <f t="shared" si="58"/>
        <v>0</v>
      </c>
      <c r="AH79" s="226">
        <f t="shared" si="59"/>
        <v>0</v>
      </c>
      <c r="AI79" s="226">
        <f t="shared" si="60"/>
        <v>0</v>
      </c>
      <c r="AJ79" s="226">
        <f t="shared" si="61"/>
        <v>0</v>
      </c>
      <c r="AK79" s="226">
        <f t="shared" si="62"/>
        <v>0</v>
      </c>
      <c r="AL79" s="54">
        <f t="shared" si="63"/>
        <v>0</v>
      </c>
      <c r="AM79" s="53"/>
      <c r="AN79" s="52"/>
      <c r="AO79" s="52"/>
      <c r="AP79" s="52"/>
      <c r="AQ79" s="52"/>
      <c r="AR79" s="52"/>
      <c r="AS79" s="54">
        <f t="shared" si="64"/>
        <v>0</v>
      </c>
      <c r="AT79" s="53"/>
      <c r="AU79" s="52"/>
      <c r="AV79" s="52"/>
      <c r="AW79" s="52"/>
      <c r="AX79" s="52"/>
      <c r="AY79" s="52"/>
      <c r="AZ79" s="54">
        <f t="shared" si="65"/>
        <v>0</v>
      </c>
      <c r="BA79" s="53"/>
      <c r="BB79" s="52"/>
      <c r="BC79" s="52"/>
      <c r="BD79" s="52"/>
      <c r="BE79" s="52"/>
      <c r="BF79" s="52"/>
      <c r="BG79" s="54">
        <f t="shared" si="66"/>
        <v>0</v>
      </c>
      <c r="BH79" s="53"/>
      <c r="BI79" s="52">
        <f>L79*VLOOKUP($A79,'I | Capex forecast'!$A$11:$AA$160,BI$8,0)</f>
        <v>0</v>
      </c>
      <c r="BJ79" s="52">
        <f>M79*VLOOKUP($A79,'I | Capex forecast'!$A$11:$AA$160,BJ$8,0)</f>
        <v>0</v>
      </c>
      <c r="BK79" s="52">
        <f>N79*VLOOKUP($A79,'I | Capex forecast'!$A$11:$AA$160,BK$8,0)</f>
        <v>0</v>
      </c>
      <c r="BL79" s="52">
        <f>O79*VLOOKUP($A79,'I | Capex forecast'!$A$11:$AA$160,BL$8,0)</f>
        <v>0</v>
      </c>
      <c r="BM79" s="52">
        <f>P79*VLOOKUP($A79,'I | Capex forecast'!$A$11:$AA$160,BM$8,0)</f>
        <v>0</v>
      </c>
      <c r="BN79" s="54">
        <f t="shared" si="67"/>
        <v>0</v>
      </c>
      <c r="BO79" s="53"/>
      <c r="BP79" s="52">
        <f t="shared" si="46"/>
        <v>0</v>
      </c>
      <c r="BQ79" s="52">
        <f t="shared" si="47"/>
        <v>0</v>
      </c>
      <c r="BR79" s="52">
        <f t="shared" si="48"/>
        <v>0</v>
      </c>
      <c r="BS79" s="52">
        <f t="shared" si="49"/>
        <v>0</v>
      </c>
      <c r="BT79" s="52">
        <f t="shared" si="50"/>
        <v>0</v>
      </c>
      <c r="BU79" s="54">
        <f t="shared" si="68"/>
        <v>0</v>
      </c>
      <c r="BW79" s="52">
        <f t="shared" si="51"/>
        <v>0</v>
      </c>
      <c r="BX79" s="52">
        <f t="shared" si="52"/>
        <v>0</v>
      </c>
      <c r="BY79" s="52">
        <f t="shared" si="53"/>
        <v>0</v>
      </c>
      <c r="BZ79" s="52">
        <f t="shared" si="54"/>
        <v>0</v>
      </c>
      <c r="CA79" s="52">
        <f t="shared" si="55"/>
        <v>0</v>
      </c>
      <c r="CB79" s="54">
        <f t="shared" si="69"/>
        <v>0</v>
      </c>
      <c r="CC79" s="53"/>
      <c r="CD79" s="52">
        <f t="shared" si="70"/>
        <v>0</v>
      </c>
      <c r="CE79" s="52">
        <f t="shared" si="71"/>
        <v>0</v>
      </c>
      <c r="CF79" s="52">
        <f t="shared" si="72"/>
        <v>0</v>
      </c>
      <c r="CG79" s="52">
        <f t="shared" si="73"/>
        <v>0</v>
      </c>
      <c r="CH79" s="52">
        <f t="shared" si="74"/>
        <v>0</v>
      </c>
      <c r="CI79" s="54">
        <f t="shared" si="75"/>
        <v>0</v>
      </c>
    </row>
    <row r="80" spans="1:87" s="4" customFormat="1" x14ac:dyDescent="0.3">
      <c r="A80" s="56">
        <v>70</v>
      </c>
      <c r="B80" s="48" t="str">
        <f>IF('I | Capex forecast'!B80="","",'I | Capex forecast'!B80)</f>
        <v/>
      </c>
      <c r="C80" s="48" t="str">
        <f>IF('I | Capex forecast'!C80="","",'I | Capex forecast'!C80)</f>
        <v/>
      </c>
      <c r="D80" s="48" t="str">
        <f>IF('I | Capex forecast'!D80="","",'I | Capex forecast'!D80)</f>
        <v/>
      </c>
      <c r="E80" s="48" t="str">
        <f>IF('I | Capex forecast'!E80="","",'I | Capex forecast'!E80)</f>
        <v/>
      </c>
      <c r="F80" s="48" t="str">
        <f>IF('I | Capex forecast'!F80="","",'I | Capex forecast'!F80)</f>
        <v/>
      </c>
      <c r="G80" s="48" t="str">
        <f>IF('I | Capex forecast'!G80="","",'I | Capex forecast'!G80)</f>
        <v/>
      </c>
      <c r="H80" s="48" t="str">
        <f>IF('I | Capex forecast'!H80="","",'I | Capex forecast'!H80)</f>
        <v/>
      </c>
      <c r="I80" s="48" t="str">
        <f>IF('I | Capex forecast'!I80="","",'I | Capex forecast'!I80)</f>
        <v/>
      </c>
      <c r="J80" s="48" t="str">
        <f>IF('I | Capex forecast'!J80="","",'I | Capex forecast'!J80)</f>
        <v/>
      </c>
      <c r="K80" s="50"/>
      <c r="L80" s="52">
        <f>IFERROR(VLOOKUP($A80,'I | Capex forecast'!$A$11:$AA$160,L$8,0)*INDEX('I | Inflation'!$F$46:$G$49,MATCH($I80,'I | Inflation'!$E$46:$E$49,0),MATCH($H80,'I | Inflation'!$F$45:$G$45,0)),0)</f>
        <v>0</v>
      </c>
      <c r="M80" s="52">
        <f>IFERROR(VLOOKUP($A80,'I | Capex forecast'!$A$11:$AA$160,M$8,0)*INDEX('I | Inflation'!$F$46:$G$49,MATCH($I80,'I | Inflation'!$E$46:$E$49,0),MATCH($H80,'I | Inflation'!$F$45:$G$45,0)),0)</f>
        <v>0</v>
      </c>
      <c r="N80" s="52">
        <f>IFERROR(VLOOKUP($A80,'I | Capex forecast'!$A$11:$AA$160,N$8,0)*INDEX('I | Inflation'!$F$46:$G$49,MATCH($I80,'I | Inflation'!$E$46:$E$49,0),MATCH($H80,'I | Inflation'!$F$45:$G$45,0)),0)</f>
        <v>0</v>
      </c>
      <c r="O80" s="52">
        <f>IFERROR(VLOOKUP($A80,'I | Capex forecast'!$A$11:$AA$160,O$8,0)*INDEX('I | Inflation'!$F$46:$G$49,MATCH($I80,'I | Inflation'!$E$46:$E$49,0),MATCH($H80,'I | Inflation'!$F$45:$G$45,0)),0)</f>
        <v>0</v>
      </c>
      <c r="P80" s="52">
        <f>IFERROR(VLOOKUP($A80,'I | Capex forecast'!$A$11:$AA$160,P$8,0)*INDEX('I | Inflation'!$F$46:$G$49,MATCH($I80,'I | Inflation'!$E$46:$E$49,0),MATCH($H80,'I | Inflation'!$F$45:$G$45,0)),0)</f>
        <v>0</v>
      </c>
      <c r="Q80" s="54">
        <f t="shared" si="44"/>
        <v>0</v>
      </c>
      <c r="R80" s="53"/>
      <c r="S80" s="226">
        <f>L80*VLOOKUP($A80,'I | Capex forecast'!$A$11:$AA$160,S$8,0)</f>
        <v>0</v>
      </c>
      <c r="T80" s="226">
        <f>M80*VLOOKUP($A80,'I | Capex forecast'!$A$11:$AA$160,T$8,0)</f>
        <v>0</v>
      </c>
      <c r="U80" s="226">
        <f>N80*VLOOKUP($A80,'I | Capex forecast'!$A$11:$AA$160,U$8,0)</f>
        <v>0</v>
      </c>
      <c r="V80" s="226">
        <f>O80*VLOOKUP($A80,'I | Capex forecast'!$A$11:$AA$160,V$8,0)</f>
        <v>0</v>
      </c>
      <c r="W80" s="226">
        <f>P80*VLOOKUP($A80,'I | Capex forecast'!$A$11:$AA$160,W$8,0)</f>
        <v>0</v>
      </c>
      <c r="X80" s="54">
        <f t="shared" si="56"/>
        <v>0</v>
      </c>
      <c r="Y80" s="53"/>
      <c r="Z80" s="52">
        <f>S80*(HLOOKUP(Z$10,'I | Inflation'!$E$57:$J$59,3,0)-1)</f>
        <v>0</v>
      </c>
      <c r="AA80" s="52">
        <f>T80*(HLOOKUP(AA$10,'I | Inflation'!$E$57:$J$59,3,0)-1)</f>
        <v>0</v>
      </c>
      <c r="AB80" s="52">
        <f>U80*(HLOOKUP(AB$10,'I | Inflation'!$E$57:$J$59,3,0)-1)</f>
        <v>0</v>
      </c>
      <c r="AC80" s="52">
        <f>V80*(HLOOKUP(AC$10,'I | Inflation'!$E$57:$J$59,3,0)-1)</f>
        <v>0</v>
      </c>
      <c r="AD80" s="52">
        <f>W80*(HLOOKUP(AD$10,'I | Inflation'!$E$57:$J$59,3,0)-1)</f>
        <v>0</v>
      </c>
      <c r="AE80" s="54">
        <f t="shared" si="57"/>
        <v>0</v>
      </c>
      <c r="AF80" s="53"/>
      <c r="AG80" s="226">
        <f t="shared" si="58"/>
        <v>0</v>
      </c>
      <c r="AH80" s="226">
        <f t="shared" si="59"/>
        <v>0</v>
      </c>
      <c r="AI80" s="226">
        <f t="shared" si="60"/>
        <v>0</v>
      </c>
      <c r="AJ80" s="226">
        <f t="shared" si="61"/>
        <v>0</v>
      </c>
      <c r="AK80" s="226">
        <f t="shared" si="62"/>
        <v>0</v>
      </c>
      <c r="AL80" s="54">
        <f t="shared" si="63"/>
        <v>0</v>
      </c>
      <c r="AM80" s="53"/>
      <c r="AN80" s="52"/>
      <c r="AO80" s="52"/>
      <c r="AP80" s="52"/>
      <c r="AQ80" s="52"/>
      <c r="AR80" s="52"/>
      <c r="AS80" s="54">
        <f t="shared" si="64"/>
        <v>0</v>
      </c>
      <c r="AT80" s="53"/>
      <c r="AU80" s="52"/>
      <c r="AV80" s="52"/>
      <c r="AW80" s="52"/>
      <c r="AX80" s="52"/>
      <c r="AY80" s="52"/>
      <c r="AZ80" s="54">
        <f t="shared" si="65"/>
        <v>0</v>
      </c>
      <c r="BA80" s="53"/>
      <c r="BB80" s="52"/>
      <c r="BC80" s="52"/>
      <c r="BD80" s="52"/>
      <c r="BE80" s="52"/>
      <c r="BF80" s="52"/>
      <c r="BG80" s="54">
        <f t="shared" si="66"/>
        <v>0</v>
      </c>
      <c r="BH80" s="53"/>
      <c r="BI80" s="52">
        <f>L80*VLOOKUP($A80,'I | Capex forecast'!$A$11:$AA$160,BI$8,0)</f>
        <v>0</v>
      </c>
      <c r="BJ80" s="52">
        <f>M80*VLOOKUP($A80,'I | Capex forecast'!$A$11:$AA$160,BJ$8,0)</f>
        <v>0</v>
      </c>
      <c r="BK80" s="52">
        <f>N80*VLOOKUP($A80,'I | Capex forecast'!$A$11:$AA$160,BK$8,0)</f>
        <v>0</v>
      </c>
      <c r="BL80" s="52">
        <f>O80*VLOOKUP($A80,'I | Capex forecast'!$A$11:$AA$160,BL$8,0)</f>
        <v>0</v>
      </c>
      <c r="BM80" s="52">
        <f>P80*VLOOKUP($A80,'I | Capex forecast'!$A$11:$AA$160,BM$8,0)</f>
        <v>0</v>
      </c>
      <c r="BN80" s="54">
        <f t="shared" si="67"/>
        <v>0</v>
      </c>
      <c r="BO80" s="53"/>
      <c r="BP80" s="52">
        <f t="shared" si="46"/>
        <v>0</v>
      </c>
      <c r="BQ80" s="52">
        <f t="shared" si="47"/>
        <v>0</v>
      </c>
      <c r="BR80" s="52">
        <f t="shared" si="48"/>
        <v>0</v>
      </c>
      <c r="BS80" s="52">
        <f t="shared" si="49"/>
        <v>0</v>
      </c>
      <c r="BT80" s="52">
        <f t="shared" si="50"/>
        <v>0</v>
      </c>
      <c r="BU80" s="54">
        <f t="shared" si="68"/>
        <v>0</v>
      </c>
      <c r="BW80" s="52">
        <f t="shared" si="51"/>
        <v>0</v>
      </c>
      <c r="BX80" s="52">
        <f t="shared" si="52"/>
        <v>0</v>
      </c>
      <c r="BY80" s="52">
        <f t="shared" si="53"/>
        <v>0</v>
      </c>
      <c r="BZ80" s="52">
        <f t="shared" si="54"/>
        <v>0</v>
      </c>
      <c r="CA80" s="52">
        <f t="shared" si="55"/>
        <v>0</v>
      </c>
      <c r="CB80" s="54">
        <f t="shared" si="69"/>
        <v>0</v>
      </c>
      <c r="CC80" s="53"/>
      <c r="CD80" s="52">
        <f t="shared" si="70"/>
        <v>0</v>
      </c>
      <c r="CE80" s="52">
        <f t="shared" si="71"/>
        <v>0</v>
      </c>
      <c r="CF80" s="52">
        <f t="shared" si="72"/>
        <v>0</v>
      </c>
      <c r="CG80" s="52">
        <f t="shared" si="73"/>
        <v>0</v>
      </c>
      <c r="CH80" s="52">
        <f t="shared" si="74"/>
        <v>0</v>
      </c>
      <c r="CI80" s="54">
        <f t="shared" si="75"/>
        <v>0</v>
      </c>
    </row>
    <row r="81" spans="1:87" s="4" customFormat="1" x14ac:dyDescent="0.3">
      <c r="A81" s="56">
        <v>71</v>
      </c>
      <c r="B81" s="48" t="str">
        <f>IF('I | Capex forecast'!B81="","",'I | Capex forecast'!B81)</f>
        <v/>
      </c>
      <c r="C81" s="48" t="str">
        <f>IF('I | Capex forecast'!C81="","",'I | Capex forecast'!C81)</f>
        <v/>
      </c>
      <c r="D81" s="48" t="str">
        <f>IF('I | Capex forecast'!D81="","",'I | Capex forecast'!D81)</f>
        <v/>
      </c>
      <c r="E81" s="48" t="str">
        <f>IF('I | Capex forecast'!E81="","",'I | Capex forecast'!E81)</f>
        <v/>
      </c>
      <c r="F81" s="48" t="str">
        <f>IF('I | Capex forecast'!F81="","",'I | Capex forecast'!F81)</f>
        <v/>
      </c>
      <c r="G81" s="48" t="str">
        <f>IF('I | Capex forecast'!G81="","",'I | Capex forecast'!G81)</f>
        <v/>
      </c>
      <c r="H81" s="48" t="str">
        <f>IF('I | Capex forecast'!H81="","",'I | Capex forecast'!H81)</f>
        <v/>
      </c>
      <c r="I81" s="48" t="str">
        <f>IF('I | Capex forecast'!I81="","",'I | Capex forecast'!I81)</f>
        <v/>
      </c>
      <c r="J81" s="48" t="str">
        <f>IF('I | Capex forecast'!J81="","",'I | Capex forecast'!J81)</f>
        <v/>
      </c>
      <c r="K81" s="50"/>
      <c r="L81" s="52">
        <f>IFERROR(VLOOKUP($A81,'I | Capex forecast'!$A$11:$AA$160,L$8,0)*INDEX('I | Inflation'!$F$46:$G$49,MATCH($I81,'I | Inflation'!$E$46:$E$49,0),MATCH($H81,'I | Inflation'!$F$45:$G$45,0)),0)</f>
        <v>0</v>
      </c>
      <c r="M81" s="52">
        <f>IFERROR(VLOOKUP($A81,'I | Capex forecast'!$A$11:$AA$160,M$8,0)*INDEX('I | Inflation'!$F$46:$G$49,MATCH($I81,'I | Inflation'!$E$46:$E$49,0),MATCH($H81,'I | Inflation'!$F$45:$G$45,0)),0)</f>
        <v>0</v>
      </c>
      <c r="N81" s="52">
        <f>IFERROR(VLOOKUP($A81,'I | Capex forecast'!$A$11:$AA$160,N$8,0)*INDEX('I | Inflation'!$F$46:$G$49,MATCH($I81,'I | Inflation'!$E$46:$E$49,0),MATCH($H81,'I | Inflation'!$F$45:$G$45,0)),0)</f>
        <v>0</v>
      </c>
      <c r="O81" s="52">
        <f>IFERROR(VLOOKUP($A81,'I | Capex forecast'!$A$11:$AA$160,O$8,0)*INDEX('I | Inflation'!$F$46:$G$49,MATCH($I81,'I | Inflation'!$E$46:$E$49,0),MATCH($H81,'I | Inflation'!$F$45:$G$45,0)),0)</f>
        <v>0</v>
      </c>
      <c r="P81" s="52">
        <f>IFERROR(VLOOKUP($A81,'I | Capex forecast'!$A$11:$AA$160,P$8,0)*INDEX('I | Inflation'!$F$46:$G$49,MATCH($I81,'I | Inflation'!$E$46:$E$49,0),MATCH($H81,'I | Inflation'!$F$45:$G$45,0)),0)</f>
        <v>0</v>
      </c>
      <c r="Q81" s="54">
        <f t="shared" si="44"/>
        <v>0</v>
      </c>
      <c r="R81" s="53"/>
      <c r="S81" s="226">
        <f>L81*VLOOKUP($A81,'I | Capex forecast'!$A$11:$AA$160,S$8,0)</f>
        <v>0</v>
      </c>
      <c r="T81" s="226">
        <f>M81*VLOOKUP($A81,'I | Capex forecast'!$A$11:$AA$160,T$8,0)</f>
        <v>0</v>
      </c>
      <c r="U81" s="226">
        <f>N81*VLOOKUP($A81,'I | Capex forecast'!$A$11:$AA$160,U$8,0)</f>
        <v>0</v>
      </c>
      <c r="V81" s="226">
        <f>O81*VLOOKUP($A81,'I | Capex forecast'!$A$11:$AA$160,V$8,0)</f>
        <v>0</v>
      </c>
      <c r="W81" s="226">
        <f>P81*VLOOKUP($A81,'I | Capex forecast'!$A$11:$AA$160,W$8,0)</f>
        <v>0</v>
      </c>
      <c r="X81" s="54">
        <f t="shared" si="56"/>
        <v>0</v>
      </c>
      <c r="Y81" s="53"/>
      <c r="Z81" s="52">
        <f>S81*(HLOOKUP(Z$10,'I | Inflation'!$E$57:$J$59,3,0)-1)</f>
        <v>0</v>
      </c>
      <c r="AA81" s="52">
        <f>T81*(HLOOKUP(AA$10,'I | Inflation'!$E$57:$J$59,3,0)-1)</f>
        <v>0</v>
      </c>
      <c r="AB81" s="52">
        <f>U81*(HLOOKUP(AB$10,'I | Inflation'!$E$57:$J$59,3,0)-1)</f>
        <v>0</v>
      </c>
      <c r="AC81" s="52">
        <f>V81*(HLOOKUP(AC$10,'I | Inflation'!$E$57:$J$59,3,0)-1)</f>
        <v>0</v>
      </c>
      <c r="AD81" s="52">
        <f>W81*(HLOOKUP(AD$10,'I | Inflation'!$E$57:$J$59,3,0)-1)</f>
        <v>0</v>
      </c>
      <c r="AE81" s="54">
        <f t="shared" si="57"/>
        <v>0</v>
      </c>
      <c r="AF81" s="53"/>
      <c r="AG81" s="226">
        <f t="shared" si="58"/>
        <v>0</v>
      </c>
      <c r="AH81" s="226">
        <f t="shared" si="59"/>
        <v>0</v>
      </c>
      <c r="AI81" s="226">
        <f t="shared" si="60"/>
        <v>0</v>
      </c>
      <c r="AJ81" s="226">
        <f t="shared" si="61"/>
        <v>0</v>
      </c>
      <c r="AK81" s="226">
        <f t="shared" si="62"/>
        <v>0</v>
      </c>
      <c r="AL81" s="54">
        <f t="shared" si="63"/>
        <v>0</v>
      </c>
      <c r="AM81" s="53"/>
      <c r="AN81" s="52"/>
      <c r="AO81" s="52"/>
      <c r="AP81" s="52"/>
      <c r="AQ81" s="52"/>
      <c r="AR81" s="52"/>
      <c r="AS81" s="54">
        <f t="shared" si="64"/>
        <v>0</v>
      </c>
      <c r="AT81" s="53"/>
      <c r="AU81" s="52"/>
      <c r="AV81" s="52"/>
      <c r="AW81" s="52"/>
      <c r="AX81" s="52"/>
      <c r="AY81" s="52"/>
      <c r="AZ81" s="54">
        <f t="shared" si="65"/>
        <v>0</v>
      </c>
      <c r="BA81" s="53"/>
      <c r="BB81" s="52"/>
      <c r="BC81" s="52"/>
      <c r="BD81" s="52"/>
      <c r="BE81" s="52"/>
      <c r="BF81" s="52"/>
      <c r="BG81" s="54">
        <f t="shared" si="66"/>
        <v>0</v>
      </c>
      <c r="BH81" s="53"/>
      <c r="BI81" s="52">
        <f>L81*VLOOKUP($A81,'I | Capex forecast'!$A$11:$AA$160,BI$8,0)</f>
        <v>0</v>
      </c>
      <c r="BJ81" s="52">
        <f>M81*VLOOKUP($A81,'I | Capex forecast'!$A$11:$AA$160,BJ$8,0)</f>
        <v>0</v>
      </c>
      <c r="BK81" s="52">
        <f>N81*VLOOKUP($A81,'I | Capex forecast'!$A$11:$AA$160,BK$8,0)</f>
        <v>0</v>
      </c>
      <c r="BL81" s="52">
        <f>O81*VLOOKUP($A81,'I | Capex forecast'!$A$11:$AA$160,BL$8,0)</f>
        <v>0</v>
      </c>
      <c r="BM81" s="52">
        <f>P81*VLOOKUP($A81,'I | Capex forecast'!$A$11:$AA$160,BM$8,0)</f>
        <v>0</v>
      </c>
      <c r="BN81" s="54">
        <f t="shared" si="67"/>
        <v>0</v>
      </c>
      <c r="BO81" s="53"/>
      <c r="BP81" s="52">
        <f t="shared" si="46"/>
        <v>0</v>
      </c>
      <c r="BQ81" s="52">
        <f t="shared" si="47"/>
        <v>0</v>
      </c>
      <c r="BR81" s="52">
        <f t="shared" si="48"/>
        <v>0</v>
      </c>
      <c r="BS81" s="52">
        <f t="shared" si="49"/>
        <v>0</v>
      </c>
      <c r="BT81" s="52">
        <f t="shared" si="50"/>
        <v>0</v>
      </c>
      <c r="BU81" s="54">
        <f t="shared" si="68"/>
        <v>0</v>
      </c>
      <c r="BW81" s="52">
        <f t="shared" si="51"/>
        <v>0</v>
      </c>
      <c r="BX81" s="52">
        <f t="shared" si="52"/>
        <v>0</v>
      </c>
      <c r="BY81" s="52">
        <f t="shared" si="53"/>
        <v>0</v>
      </c>
      <c r="BZ81" s="52">
        <f t="shared" si="54"/>
        <v>0</v>
      </c>
      <c r="CA81" s="52">
        <f t="shared" si="55"/>
        <v>0</v>
      </c>
      <c r="CB81" s="54">
        <f t="shared" si="69"/>
        <v>0</v>
      </c>
      <c r="CC81" s="53"/>
      <c r="CD81" s="52">
        <f t="shared" si="70"/>
        <v>0</v>
      </c>
      <c r="CE81" s="52">
        <f t="shared" si="71"/>
        <v>0</v>
      </c>
      <c r="CF81" s="52">
        <f t="shared" si="72"/>
        <v>0</v>
      </c>
      <c r="CG81" s="52">
        <f t="shared" si="73"/>
        <v>0</v>
      </c>
      <c r="CH81" s="52">
        <f t="shared" si="74"/>
        <v>0</v>
      </c>
      <c r="CI81" s="54">
        <f t="shared" si="75"/>
        <v>0</v>
      </c>
    </row>
    <row r="82" spans="1:87" s="4" customFormat="1" x14ac:dyDescent="0.3">
      <c r="A82" s="56">
        <v>72</v>
      </c>
      <c r="B82" s="48" t="str">
        <f>IF('I | Capex forecast'!B82="","",'I | Capex forecast'!B82)</f>
        <v/>
      </c>
      <c r="C82" s="48" t="str">
        <f>IF('I | Capex forecast'!C82="","",'I | Capex forecast'!C82)</f>
        <v/>
      </c>
      <c r="D82" s="48" t="str">
        <f>IF('I | Capex forecast'!D82="","",'I | Capex forecast'!D82)</f>
        <v/>
      </c>
      <c r="E82" s="48" t="str">
        <f>IF('I | Capex forecast'!E82="","",'I | Capex forecast'!E82)</f>
        <v/>
      </c>
      <c r="F82" s="48" t="str">
        <f>IF('I | Capex forecast'!F82="","",'I | Capex forecast'!F82)</f>
        <v/>
      </c>
      <c r="G82" s="48" t="str">
        <f>IF('I | Capex forecast'!G82="","",'I | Capex forecast'!G82)</f>
        <v/>
      </c>
      <c r="H82" s="48" t="str">
        <f>IF('I | Capex forecast'!H82="","",'I | Capex forecast'!H82)</f>
        <v/>
      </c>
      <c r="I82" s="48" t="str">
        <f>IF('I | Capex forecast'!I82="","",'I | Capex forecast'!I82)</f>
        <v/>
      </c>
      <c r="J82" s="48" t="str">
        <f>IF('I | Capex forecast'!J82="","",'I | Capex forecast'!J82)</f>
        <v/>
      </c>
      <c r="K82" s="50"/>
      <c r="L82" s="52">
        <f>IFERROR(VLOOKUP($A82,'I | Capex forecast'!$A$11:$AA$160,L$8,0)*INDEX('I | Inflation'!$F$46:$G$49,MATCH($I82,'I | Inflation'!$E$46:$E$49,0),MATCH($H82,'I | Inflation'!$F$45:$G$45,0)),0)</f>
        <v>0</v>
      </c>
      <c r="M82" s="52">
        <f>IFERROR(VLOOKUP($A82,'I | Capex forecast'!$A$11:$AA$160,M$8,0)*INDEX('I | Inflation'!$F$46:$G$49,MATCH($I82,'I | Inflation'!$E$46:$E$49,0),MATCH($H82,'I | Inflation'!$F$45:$G$45,0)),0)</f>
        <v>0</v>
      </c>
      <c r="N82" s="52">
        <f>IFERROR(VLOOKUP($A82,'I | Capex forecast'!$A$11:$AA$160,N$8,0)*INDEX('I | Inflation'!$F$46:$G$49,MATCH($I82,'I | Inflation'!$E$46:$E$49,0),MATCH($H82,'I | Inflation'!$F$45:$G$45,0)),0)</f>
        <v>0</v>
      </c>
      <c r="O82" s="52">
        <f>IFERROR(VLOOKUP($A82,'I | Capex forecast'!$A$11:$AA$160,O$8,0)*INDEX('I | Inflation'!$F$46:$G$49,MATCH($I82,'I | Inflation'!$E$46:$E$49,0),MATCH($H82,'I | Inflation'!$F$45:$G$45,0)),0)</f>
        <v>0</v>
      </c>
      <c r="P82" s="52">
        <f>IFERROR(VLOOKUP($A82,'I | Capex forecast'!$A$11:$AA$160,P$8,0)*INDEX('I | Inflation'!$F$46:$G$49,MATCH($I82,'I | Inflation'!$E$46:$E$49,0),MATCH($H82,'I | Inflation'!$F$45:$G$45,0)),0)</f>
        <v>0</v>
      </c>
      <c r="Q82" s="54">
        <f t="shared" si="44"/>
        <v>0</v>
      </c>
      <c r="R82" s="53"/>
      <c r="S82" s="226">
        <f>L82*VLOOKUP($A82,'I | Capex forecast'!$A$11:$AA$160,S$8,0)</f>
        <v>0</v>
      </c>
      <c r="T82" s="226">
        <f>M82*VLOOKUP($A82,'I | Capex forecast'!$A$11:$AA$160,T$8,0)</f>
        <v>0</v>
      </c>
      <c r="U82" s="226">
        <f>N82*VLOOKUP($A82,'I | Capex forecast'!$A$11:$AA$160,U$8,0)</f>
        <v>0</v>
      </c>
      <c r="V82" s="226">
        <f>O82*VLOOKUP($A82,'I | Capex forecast'!$A$11:$AA$160,V$8,0)</f>
        <v>0</v>
      </c>
      <c r="W82" s="226">
        <f>P82*VLOOKUP($A82,'I | Capex forecast'!$A$11:$AA$160,W$8,0)</f>
        <v>0</v>
      </c>
      <c r="X82" s="54">
        <f t="shared" si="56"/>
        <v>0</v>
      </c>
      <c r="Y82" s="53"/>
      <c r="Z82" s="52">
        <f>S82*(HLOOKUP(Z$10,'I | Inflation'!$E$57:$J$59,3,0)-1)</f>
        <v>0</v>
      </c>
      <c r="AA82" s="52">
        <f>T82*(HLOOKUP(AA$10,'I | Inflation'!$E$57:$J$59,3,0)-1)</f>
        <v>0</v>
      </c>
      <c r="AB82" s="52">
        <f>U82*(HLOOKUP(AB$10,'I | Inflation'!$E$57:$J$59,3,0)-1)</f>
        <v>0</v>
      </c>
      <c r="AC82" s="52">
        <f>V82*(HLOOKUP(AC$10,'I | Inflation'!$E$57:$J$59,3,0)-1)</f>
        <v>0</v>
      </c>
      <c r="AD82" s="52">
        <f>W82*(HLOOKUP(AD$10,'I | Inflation'!$E$57:$J$59,3,0)-1)</f>
        <v>0</v>
      </c>
      <c r="AE82" s="54">
        <f t="shared" si="57"/>
        <v>0</v>
      </c>
      <c r="AF82" s="53"/>
      <c r="AG82" s="226">
        <f t="shared" si="58"/>
        <v>0</v>
      </c>
      <c r="AH82" s="226">
        <f t="shared" si="59"/>
        <v>0</v>
      </c>
      <c r="AI82" s="226">
        <f t="shared" si="60"/>
        <v>0</v>
      </c>
      <c r="AJ82" s="226">
        <f t="shared" si="61"/>
        <v>0</v>
      </c>
      <c r="AK82" s="226">
        <f t="shared" si="62"/>
        <v>0</v>
      </c>
      <c r="AL82" s="54">
        <f t="shared" si="63"/>
        <v>0</v>
      </c>
      <c r="AM82" s="53"/>
      <c r="AN82" s="52"/>
      <c r="AO82" s="52"/>
      <c r="AP82" s="52"/>
      <c r="AQ82" s="52"/>
      <c r="AR82" s="52"/>
      <c r="AS82" s="54">
        <f t="shared" si="64"/>
        <v>0</v>
      </c>
      <c r="AT82" s="53"/>
      <c r="AU82" s="52"/>
      <c r="AV82" s="52"/>
      <c r="AW82" s="52"/>
      <c r="AX82" s="52"/>
      <c r="AY82" s="52"/>
      <c r="AZ82" s="54">
        <f t="shared" si="65"/>
        <v>0</v>
      </c>
      <c r="BA82" s="53"/>
      <c r="BB82" s="52"/>
      <c r="BC82" s="52"/>
      <c r="BD82" s="52"/>
      <c r="BE82" s="52"/>
      <c r="BF82" s="52"/>
      <c r="BG82" s="54">
        <f t="shared" si="66"/>
        <v>0</v>
      </c>
      <c r="BH82" s="53"/>
      <c r="BI82" s="52">
        <f>L82*VLOOKUP($A82,'I | Capex forecast'!$A$11:$AA$160,BI$8,0)</f>
        <v>0</v>
      </c>
      <c r="BJ82" s="52">
        <f>M82*VLOOKUP($A82,'I | Capex forecast'!$A$11:$AA$160,BJ$8,0)</f>
        <v>0</v>
      </c>
      <c r="BK82" s="52">
        <f>N82*VLOOKUP($A82,'I | Capex forecast'!$A$11:$AA$160,BK$8,0)</f>
        <v>0</v>
      </c>
      <c r="BL82" s="52">
        <f>O82*VLOOKUP($A82,'I | Capex forecast'!$A$11:$AA$160,BL$8,0)</f>
        <v>0</v>
      </c>
      <c r="BM82" s="52">
        <f>P82*VLOOKUP($A82,'I | Capex forecast'!$A$11:$AA$160,BM$8,0)</f>
        <v>0</v>
      </c>
      <c r="BN82" s="54">
        <f t="shared" si="67"/>
        <v>0</v>
      </c>
      <c r="BO82" s="53"/>
      <c r="BP82" s="52">
        <f t="shared" si="46"/>
        <v>0</v>
      </c>
      <c r="BQ82" s="52">
        <f t="shared" si="47"/>
        <v>0</v>
      </c>
      <c r="BR82" s="52">
        <f t="shared" si="48"/>
        <v>0</v>
      </c>
      <c r="BS82" s="52">
        <f t="shared" si="49"/>
        <v>0</v>
      </c>
      <c r="BT82" s="52">
        <f t="shared" si="50"/>
        <v>0</v>
      </c>
      <c r="BU82" s="54">
        <f t="shared" si="68"/>
        <v>0</v>
      </c>
      <c r="BW82" s="52">
        <f t="shared" si="51"/>
        <v>0</v>
      </c>
      <c r="BX82" s="52">
        <f t="shared" si="52"/>
        <v>0</v>
      </c>
      <c r="BY82" s="52">
        <f t="shared" si="53"/>
        <v>0</v>
      </c>
      <c r="BZ82" s="52">
        <f t="shared" si="54"/>
        <v>0</v>
      </c>
      <c r="CA82" s="52">
        <f t="shared" si="55"/>
        <v>0</v>
      </c>
      <c r="CB82" s="54">
        <f t="shared" si="69"/>
        <v>0</v>
      </c>
      <c r="CC82" s="53"/>
      <c r="CD82" s="52">
        <f t="shared" si="70"/>
        <v>0</v>
      </c>
      <c r="CE82" s="52">
        <f t="shared" si="71"/>
        <v>0</v>
      </c>
      <c r="CF82" s="52">
        <f t="shared" si="72"/>
        <v>0</v>
      </c>
      <c r="CG82" s="52">
        <f t="shared" si="73"/>
        <v>0</v>
      </c>
      <c r="CH82" s="52">
        <f t="shared" si="74"/>
        <v>0</v>
      </c>
      <c r="CI82" s="54">
        <f t="shared" si="75"/>
        <v>0</v>
      </c>
    </row>
    <row r="83" spans="1:87" s="4" customFormat="1" x14ac:dyDescent="0.3">
      <c r="A83" s="56">
        <v>73</v>
      </c>
      <c r="B83" s="48" t="str">
        <f>IF('I | Capex forecast'!B83="","",'I | Capex forecast'!B83)</f>
        <v/>
      </c>
      <c r="C83" s="48" t="str">
        <f>IF('I | Capex forecast'!C83="","",'I | Capex forecast'!C83)</f>
        <v/>
      </c>
      <c r="D83" s="48" t="str">
        <f>IF('I | Capex forecast'!D83="","",'I | Capex forecast'!D83)</f>
        <v/>
      </c>
      <c r="E83" s="48" t="str">
        <f>IF('I | Capex forecast'!E83="","",'I | Capex forecast'!E83)</f>
        <v/>
      </c>
      <c r="F83" s="48" t="str">
        <f>IF('I | Capex forecast'!F83="","",'I | Capex forecast'!F83)</f>
        <v/>
      </c>
      <c r="G83" s="48" t="str">
        <f>IF('I | Capex forecast'!G83="","",'I | Capex forecast'!G83)</f>
        <v/>
      </c>
      <c r="H83" s="48" t="str">
        <f>IF('I | Capex forecast'!H83="","",'I | Capex forecast'!H83)</f>
        <v/>
      </c>
      <c r="I83" s="48" t="str">
        <f>IF('I | Capex forecast'!I83="","",'I | Capex forecast'!I83)</f>
        <v/>
      </c>
      <c r="J83" s="48" t="str">
        <f>IF('I | Capex forecast'!J83="","",'I | Capex forecast'!J83)</f>
        <v/>
      </c>
      <c r="K83" s="50"/>
      <c r="L83" s="52">
        <f>IFERROR(VLOOKUP($A83,'I | Capex forecast'!$A$11:$AA$160,L$8,0)*INDEX('I | Inflation'!$F$46:$G$49,MATCH($I83,'I | Inflation'!$E$46:$E$49,0),MATCH($H83,'I | Inflation'!$F$45:$G$45,0)),0)</f>
        <v>0</v>
      </c>
      <c r="M83" s="52">
        <f>IFERROR(VLOOKUP($A83,'I | Capex forecast'!$A$11:$AA$160,M$8,0)*INDEX('I | Inflation'!$F$46:$G$49,MATCH($I83,'I | Inflation'!$E$46:$E$49,0),MATCH($H83,'I | Inflation'!$F$45:$G$45,0)),0)</f>
        <v>0</v>
      </c>
      <c r="N83" s="52">
        <f>IFERROR(VLOOKUP($A83,'I | Capex forecast'!$A$11:$AA$160,N$8,0)*INDEX('I | Inflation'!$F$46:$G$49,MATCH($I83,'I | Inflation'!$E$46:$E$49,0),MATCH($H83,'I | Inflation'!$F$45:$G$45,0)),0)</f>
        <v>0</v>
      </c>
      <c r="O83" s="52">
        <f>IFERROR(VLOOKUP($A83,'I | Capex forecast'!$A$11:$AA$160,O$8,0)*INDEX('I | Inflation'!$F$46:$G$49,MATCH($I83,'I | Inflation'!$E$46:$E$49,0),MATCH($H83,'I | Inflation'!$F$45:$G$45,0)),0)</f>
        <v>0</v>
      </c>
      <c r="P83" s="52">
        <f>IFERROR(VLOOKUP($A83,'I | Capex forecast'!$A$11:$AA$160,P$8,0)*INDEX('I | Inflation'!$F$46:$G$49,MATCH($I83,'I | Inflation'!$E$46:$E$49,0),MATCH($H83,'I | Inflation'!$F$45:$G$45,0)),0)</f>
        <v>0</v>
      </c>
      <c r="Q83" s="54">
        <f t="shared" si="44"/>
        <v>0</v>
      </c>
      <c r="R83" s="53"/>
      <c r="S83" s="226">
        <f>L83*VLOOKUP($A83,'I | Capex forecast'!$A$11:$AA$160,S$8,0)</f>
        <v>0</v>
      </c>
      <c r="T83" s="226">
        <f>M83*VLOOKUP($A83,'I | Capex forecast'!$A$11:$AA$160,T$8,0)</f>
        <v>0</v>
      </c>
      <c r="U83" s="226">
        <f>N83*VLOOKUP($A83,'I | Capex forecast'!$A$11:$AA$160,U$8,0)</f>
        <v>0</v>
      </c>
      <c r="V83" s="226">
        <f>O83*VLOOKUP($A83,'I | Capex forecast'!$A$11:$AA$160,V$8,0)</f>
        <v>0</v>
      </c>
      <c r="W83" s="226">
        <f>P83*VLOOKUP($A83,'I | Capex forecast'!$A$11:$AA$160,W$8,0)</f>
        <v>0</v>
      </c>
      <c r="X83" s="54">
        <f t="shared" si="56"/>
        <v>0</v>
      </c>
      <c r="Y83" s="53"/>
      <c r="Z83" s="52">
        <f>S83*(HLOOKUP(Z$10,'I | Inflation'!$E$57:$J$59,3,0)-1)</f>
        <v>0</v>
      </c>
      <c r="AA83" s="52">
        <f>T83*(HLOOKUP(AA$10,'I | Inflation'!$E$57:$J$59,3,0)-1)</f>
        <v>0</v>
      </c>
      <c r="AB83" s="52">
        <f>U83*(HLOOKUP(AB$10,'I | Inflation'!$E$57:$J$59,3,0)-1)</f>
        <v>0</v>
      </c>
      <c r="AC83" s="52">
        <f>V83*(HLOOKUP(AC$10,'I | Inflation'!$E$57:$J$59,3,0)-1)</f>
        <v>0</v>
      </c>
      <c r="AD83" s="52">
        <f>W83*(HLOOKUP(AD$10,'I | Inflation'!$E$57:$J$59,3,0)-1)</f>
        <v>0</v>
      </c>
      <c r="AE83" s="54">
        <f t="shared" si="57"/>
        <v>0</v>
      </c>
      <c r="AF83" s="53"/>
      <c r="AG83" s="226">
        <f t="shared" si="58"/>
        <v>0</v>
      </c>
      <c r="AH83" s="226">
        <f t="shared" si="59"/>
        <v>0</v>
      </c>
      <c r="AI83" s="226">
        <f t="shared" si="60"/>
        <v>0</v>
      </c>
      <c r="AJ83" s="226">
        <f t="shared" si="61"/>
        <v>0</v>
      </c>
      <c r="AK83" s="226">
        <f t="shared" si="62"/>
        <v>0</v>
      </c>
      <c r="AL83" s="54">
        <f t="shared" si="63"/>
        <v>0</v>
      </c>
      <c r="AM83" s="53"/>
      <c r="AN83" s="52"/>
      <c r="AO83" s="52"/>
      <c r="AP83" s="52"/>
      <c r="AQ83" s="52"/>
      <c r="AR83" s="52"/>
      <c r="AS83" s="54">
        <f t="shared" si="64"/>
        <v>0</v>
      </c>
      <c r="AT83" s="53"/>
      <c r="AU83" s="52"/>
      <c r="AV83" s="52"/>
      <c r="AW83" s="52"/>
      <c r="AX83" s="52"/>
      <c r="AY83" s="52"/>
      <c r="AZ83" s="54">
        <f t="shared" si="65"/>
        <v>0</v>
      </c>
      <c r="BA83" s="53"/>
      <c r="BB83" s="52"/>
      <c r="BC83" s="52"/>
      <c r="BD83" s="52"/>
      <c r="BE83" s="52"/>
      <c r="BF83" s="52"/>
      <c r="BG83" s="54">
        <f t="shared" si="66"/>
        <v>0</v>
      </c>
      <c r="BH83" s="53"/>
      <c r="BI83" s="52">
        <f>L83*VLOOKUP($A83,'I | Capex forecast'!$A$11:$AA$160,BI$8,0)</f>
        <v>0</v>
      </c>
      <c r="BJ83" s="52">
        <f>M83*VLOOKUP($A83,'I | Capex forecast'!$A$11:$AA$160,BJ$8,0)</f>
        <v>0</v>
      </c>
      <c r="BK83" s="52">
        <f>N83*VLOOKUP($A83,'I | Capex forecast'!$A$11:$AA$160,BK$8,0)</f>
        <v>0</v>
      </c>
      <c r="BL83" s="52">
        <f>O83*VLOOKUP($A83,'I | Capex forecast'!$A$11:$AA$160,BL$8,0)</f>
        <v>0</v>
      </c>
      <c r="BM83" s="52">
        <f>P83*VLOOKUP($A83,'I | Capex forecast'!$A$11:$AA$160,BM$8,0)</f>
        <v>0</v>
      </c>
      <c r="BN83" s="54">
        <f t="shared" si="67"/>
        <v>0</v>
      </c>
      <c r="BO83" s="53"/>
      <c r="BP83" s="52">
        <f t="shared" si="46"/>
        <v>0</v>
      </c>
      <c r="BQ83" s="52">
        <f t="shared" si="47"/>
        <v>0</v>
      </c>
      <c r="BR83" s="52">
        <f t="shared" si="48"/>
        <v>0</v>
      </c>
      <c r="BS83" s="52">
        <f t="shared" si="49"/>
        <v>0</v>
      </c>
      <c r="BT83" s="52">
        <f t="shared" si="50"/>
        <v>0</v>
      </c>
      <c r="BU83" s="54">
        <f t="shared" si="68"/>
        <v>0</v>
      </c>
      <c r="BW83" s="52">
        <f t="shared" si="51"/>
        <v>0</v>
      </c>
      <c r="BX83" s="52">
        <f t="shared" si="52"/>
        <v>0</v>
      </c>
      <c r="BY83" s="52">
        <f t="shared" si="53"/>
        <v>0</v>
      </c>
      <c r="BZ83" s="52">
        <f t="shared" si="54"/>
        <v>0</v>
      </c>
      <c r="CA83" s="52">
        <f t="shared" si="55"/>
        <v>0</v>
      </c>
      <c r="CB83" s="54">
        <f t="shared" si="69"/>
        <v>0</v>
      </c>
      <c r="CC83" s="53"/>
      <c r="CD83" s="52">
        <f t="shared" si="70"/>
        <v>0</v>
      </c>
      <c r="CE83" s="52">
        <f t="shared" si="71"/>
        <v>0</v>
      </c>
      <c r="CF83" s="52">
        <f t="shared" si="72"/>
        <v>0</v>
      </c>
      <c r="CG83" s="52">
        <f t="shared" si="73"/>
        <v>0</v>
      </c>
      <c r="CH83" s="52">
        <f t="shared" si="74"/>
        <v>0</v>
      </c>
      <c r="CI83" s="54">
        <f t="shared" si="75"/>
        <v>0</v>
      </c>
    </row>
    <row r="84" spans="1:87" s="4" customFormat="1" x14ac:dyDescent="0.3">
      <c r="A84" s="56">
        <v>74</v>
      </c>
      <c r="B84" s="48" t="str">
        <f>IF('I | Capex forecast'!B84="","",'I | Capex forecast'!B84)</f>
        <v/>
      </c>
      <c r="C84" s="48" t="str">
        <f>IF('I | Capex forecast'!C84="","",'I | Capex forecast'!C84)</f>
        <v/>
      </c>
      <c r="D84" s="48" t="str">
        <f>IF('I | Capex forecast'!D84="","",'I | Capex forecast'!D84)</f>
        <v/>
      </c>
      <c r="E84" s="48" t="str">
        <f>IF('I | Capex forecast'!E84="","",'I | Capex forecast'!E84)</f>
        <v/>
      </c>
      <c r="F84" s="48" t="str">
        <f>IF('I | Capex forecast'!F84="","",'I | Capex forecast'!F84)</f>
        <v/>
      </c>
      <c r="G84" s="48" t="str">
        <f>IF('I | Capex forecast'!G84="","",'I | Capex forecast'!G84)</f>
        <v/>
      </c>
      <c r="H84" s="48" t="str">
        <f>IF('I | Capex forecast'!H84="","",'I | Capex forecast'!H84)</f>
        <v/>
      </c>
      <c r="I84" s="48" t="str">
        <f>IF('I | Capex forecast'!I84="","",'I | Capex forecast'!I84)</f>
        <v/>
      </c>
      <c r="J84" s="48" t="str">
        <f>IF('I | Capex forecast'!J84="","",'I | Capex forecast'!J84)</f>
        <v/>
      </c>
      <c r="K84" s="50"/>
      <c r="L84" s="52">
        <f>IFERROR(VLOOKUP($A84,'I | Capex forecast'!$A$11:$AA$160,L$8,0)*INDEX('I | Inflation'!$F$46:$G$49,MATCH($I84,'I | Inflation'!$E$46:$E$49,0),MATCH($H84,'I | Inflation'!$F$45:$G$45,0)),0)</f>
        <v>0</v>
      </c>
      <c r="M84" s="52">
        <f>IFERROR(VLOOKUP($A84,'I | Capex forecast'!$A$11:$AA$160,M$8,0)*INDEX('I | Inflation'!$F$46:$G$49,MATCH($I84,'I | Inflation'!$E$46:$E$49,0),MATCH($H84,'I | Inflation'!$F$45:$G$45,0)),0)</f>
        <v>0</v>
      </c>
      <c r="N84" s="52">
        <f>IFERROR(VLOOKUP($A84,'I | Capex forecast'!$A$11:$AA$160,N$8,0)*INDEX('I | Inflation'!$F$46:$G$49,MATCH($I84,'I | Inflation'!$E$46:$E$49,0),MATCH($H84,'I | Inflation'!$F$45:$G$45,0)),0)</f>
        <v>0</v>
      </c>
      <c r="O84" s="52">
        <f>IFERROR(VLOOKUP($A84,'I | Capex forecast'!$A$11:$AA$160,O$8,0)*INDEX('I | Inflation'!$F$46:$G$49,MATCH($I84,'I | Inflation'!$E$46:$E$49,0),MATCH($H84,'I | Inflation'!$F$45:$G$45,0)),0)</f>
        <v>0</v>
      </c>
      <c r="P84" s="52">
        <f>IFERROR(VLOOKUP($A84,'I | Capex forecast'!$A$11:$AA$160,P$8,0)*INDEX('I | Inflation'!$F$46:$G$49,MATCH($I84,'I | Inflation'!$E$46:$E$49,0),MATCH($H84,'I | Inflation'!$F$45:$G$45,0)),0)</f>
        <v>0</v>
      </c>
      <c r="Q84" s="54">
        <f t="shared" si="44"/>
        <v>0</v>
      </c>
      <c r="R84" s="53"/>
      <c r="S84" s="226">
        <f>L84*VLOOKUP($A84,'I | Capex forecast'!$A$11:$AA$160,S$8,0)</f>
        <v>0</v>
      </c>
      <c r="T84" s="226">
        <f>M84*VLOOKUP($A84,'I | Capex forecast'!$A$11:$AA$160,T$8,0)</f>
        <v>0</v>
      </c>
      <c r="U84" s="226">
        <f>N84*VLOOKUP($A84,'I | Capex forecast'!$A$11:$AA$160,U$8,0)</f>
        <v>0</v>
      </c>
      <c r="V84" s="226">
        <f>O84*VLOOKUP($A84,'I | Capex forecast'!$A$11:$AA$160,V$8,0)</f>
        <v>0</v>
      </c>
      <c r="W84" s="226">
        <f>P84*VLOOKUP($A84,'I | Capex forecast'!$A$11:$AA$160,W$8,0)</f>
        <v>0</v>
      </c>
      <c r="X84" s="54">
        <f t="shared" si="56"/>
        <v>0</v>
      </c>
      <c r="Y84" s="53"/>
      <c r="Z84" s="52">
        <f>S84*(HLOOKUP(Z$10,'I | Inflation'!$E$57:$J$59,3,0)-1)</f>
        <v>0</v>
      </c>
      <c r="AA84" s="52">
        <f>T84*(HLOOKUP(AA$10,'I | Inflation'!$E$57:$J$59,3,0)-1)</f>
        <v>0</v>
      </c>
      <c r="AB84" s="52">
        <f>U84*(HLOOKUP(AB$10,'I | Inflation'!$E$57:$J$59,3,0)-1)</f>
        <v>0</v>
      </c>
      <c r="AC84" s="52">
        <f>V84*(HLOOKUP(AC$10,'I | Inflation'!$E$57:$J$59,3,0)-1)</f>
        <v>0</v>
      </c>
      <c r="AD84" s="52">
        <f>W84*(HLOOKUP(AD$10,'I | Inflation'!$E$57:$J$59,3,0)-1)</f>
        <v>0</v>
      </c>
      <c r="AE84" s="54">
        <f t="shared" si="57"/>
        <v>0</v>
      </c>
      <c r="AF84" s="53"/>
      <c r="AG84" s="226">
        <f t="shared" si="58"/>
        <v>0</v>
      </c>
      <c r="AH84" s="226">
        <f t="shared" si="59"/>
        <v>0</v>
      </c>
      <c r="AI84" s="226">
        <f t="shared" si="60"/>
        <v>0</v>
      </c>
      <c r="AJ84" s="226">
        <f t="shared" si="61"/>
        <v>0</v>
      </c>
      <c r="AK84" s="226">
        <f t="shared" si="62"/>
        <v>0</v>
      </c>
      <c r="AL84" s="54">
        <f t="shared" si="63"/>
        <v>0</v>
      </c>
      <c r="AM84" s="53"/>
      <c r="AN84" s="52"/>
      <c r="AO84" s="52"/>
      <c r="AP84" s="52"/>
      <c r="AQ84" s="52"/>
      <c r="AR84" s="52"/>
      <c r="AS84" s="54">
        <f t="shared" si="64"/>
        <v>0</v>
      </c>
      <c r="AT84" s="53"/>
      <c r="AU84" s="52"/>
      <c r="AV84" s="52"/>
      <c r="AW84" s="52"/>
      <c r="AX84" s="52"/>
      <c r="AY84" s="52"/>
      <c r="AZ84" s="54">
        <f t="shared" si="65"/>
        <v>0</v>
      </c>
      <c r="BA84" s="53"/>
      <c r="BB84" s="52"/>
      <c r="BC84" s="52"/>
      <c r="BD84" s="52"/>
      <c r="BE84" s="52"/>
      <c r="BF84" s="52"/>
      <c r="BG84" s="54">
        <f t="shared" si="66"/>
        <v>0</v>
      </c>
      <c r="BH84" s="53"/>
      <c r="BI84" s="52">
        <f>L84*VLOOKUP($A84,'I | Capex forecast'!$A$11:$AA$160,BI$8,0)</f>
        <v>0</v>
      </c>
      <c r="BJ84" s="52">
        <f>M84*VLOOKUP($A84,'I | Capex forecast'!$A$11:$AA$160,BJ$8,0)</f>
        <v>0</v>
      </c>
      <c r="BK84" s="52">
        <f>N84*VLOOKUP($A84,'I | Capex forecast'!$A$11:$AA$160,BK$8,0)</f>
        <v>0</v>
      </c>
      <c r="BL84" s="52">
        <f>O84*VLOOKUP($A84,'I | Capex forecast'!$A$11:$AA$160,BL$8,0)</f>
        <v>0</v>
      </c>
      <c r="BM84" s="52">
        <f>P84*VLOOKUP($A84,'I | Capex forecast'!$A$11:$AA$160,BM$8,0)</f>
        <v>0</v>
      </c>
      <c r="BN84" s="54">
        <f t="shared" si="67"/>
        <v>0</v>
      </c>
      <c r="BO84" s="53"/>
      <c r="BP84" s="52">
        <f t="shared" si="46"/>
        <v>0</v>
      </c>
      <c r="BQ84" s="52">
        <f t="shared" si="47"/>
        <v>0</v>
      </c>
      <c r="BR84" s="52">
        <f t="shared" si="48"/>
        <v>0</v>
      </c>
      <c r="BS84" s="52">
        <f t="shared" si="49"/>
        <v>0</v>
      </c>
      <c r="BT84" s="52">
        <f t="shared" si="50"/>
        <v>0</v>
      </c>
      <c r="BU84" s="54">
        <f t="shared" si="68"/>
        <v>0</v>
      </c>
      <c r="BW84" s="52">
        <f t="shared" si="51"/>
        <v>0</v>
      </c>
      <c r="BX84" s="52">
        <f t="shared" si="52"/>
        <v>0</v>
      </c>
      <c r="BY84" s="52">
        <f t="shared" si="53"/>
        <v>0</v>
      </c>
      <c r="BZ84" s="52">
        <f t="shared" si="54"/>
        <v>0</v>
      </c>
      <c r="CA84" s="52">
        <f t="shared" si="55"/>
        <v>0</v>
      </c>
      <c r="CB84" s="54">
        <f t="shared" si="69"/>
        <v>0</v>
      </c>
      <c r="CC84" s="53"/>
      <c r="CD84" s="52">
        <f t="shared" si="70"/>
        <v>0</v>
      </c>
      <c r="CE84" s="52">
        <f t="shared" si="71"/>
        <v>0</v>
      </c>
      <c r="CF84" s="52">
        <f t="shared" si="72"/>
        <v>0</v>
      </c>
      <c r="CG84" s="52">
        <f t="shared" si="73"/>
        <v>0</v>
      </c>
      <c r="CH84" s="52">
        <f t="shared" si="74"/>
        <v>0</v>
      </c>
      <c r="CI84" s="54">
        <f t="shared" si="75"/>
        <v>0</v>
      </c>
    </row>
    <row r="85" spans="1:87" s="4" customFormat="1" x14ac:dyDescent="0.3">
      <c r="A85" s="56">
        <v>75</v>
      </c>
      <c r="B85" s="48" t="str">
        <f>IF('I | Capex forecast'!B85="","",'I | Capex forecast'!B85)</f>
        <v/>
      </c>
      <c r="C85" s="48" t="str">
        <f>IF('I | Capex forecast'!C85="","",'I | Capex forecast'!C85)</f>
        <v/>
      </c>
      <c r="D85" s="48" t="str">
        <f>IF('I | Capex forecast'!D85="","",'I | Capex forecast'!D85)</f>
        <v/>
      </c>
      <c r="E85" s="48" t="str">
        <f>IF('I | Capex forecast'!E85="","",'I | Capex forecast'!E85)</f>
        <v/>
      </c>
      <c r="F85" s="48" t="str">
        <f>IF('I | Capex forecast'!F85="","",'I | Capex forecast'!F85)</f>
        <v/>
      </c>
      <c r="G85" s="48" t="str">
        <f>IF('I | Capex forecast'!G85="","",'I | Capex forecast'!G85)</f>
        <v/>
      </c>
      <c r="H85" s="48" t="str">
        <f>IF('I | Capex forecast'!H85="","",'I | Capex forecast'!H85)</f>
        <v/>
      </c>
      <c r="I85" s="48" t="str">
        <f>IF('I | Capex forecast'!I85="","",'I | Capex forecast'!I85)</f>
        <v/>
      </c>
      <c r="J85" s="48" t="str">
        <f>IF('I | Capex forecast'!J85="","",'I | Capex forecast'!J85)</f>
        <v/>
      </c>
      <c r="K85" s="50"/>
      <c r="L85" s="52">
        <f>IFERROR(VLOOKUP($A85,'I | Capex forecast'!$A$11:$AA$160,L$8,0)*INDEX('I | Inflation'!$F$46:$G$49,MATCH($I85,'I | Inflation'!$E$46:$E$49,0),MATCH($H85,'I | Inflation'!$F$45:$G$45,0)),0)</f>
        <v>0</v>
      </c>
      <c r="M85" s="52">
        <f>IFERROR(VLOOKUP($A85,'I | Capex forecast'!$A$11:$AA$160,M$8,0)*INDEX('I | Inflation'!$F$46:$G$49,MATCH($I85,'I | Inflation'!$E$46:$E$49,0),MATCH($H85,'I | Inflation'!$F$45:$G$45,0)),0)</f>
        <v>0</v>
      </c>
      <c r="N85" s="52">
        <f>IFERROR(VLOOKUP($A85,'I | Capex forecast'!$A$11:$AA$160,N$8,0)*INDEX('I | Inflation'!$F$46:$G$49,MATCH($I85,'I | Inflation'!$E$46:$E$49,0),MATCH($H85,'I | Inflation'!$F$45:$G$45,0)),0)</f>
        <v>0</v>
      </c>
      <c r="O85" s="52">
        <f>IFERROR(VLOOKUP($A85,'I | Capex forecast'!$A$11:$AA$160,O$8,0)*INDEX('I | Inflation'!$F$46:$G$49,MATCH($I85,'I | Inflation'!$E$46:$E$49,0),MATCH($H85,'I | Inflation'!$F$45:$G$45,0)),0)</f>
        <v>0</v>
      </c>
      <c r="P85" s="52">
        <f>IFERROR(VLOOKUP($A85,'I | Capex forecast'!$A$11:$AA$160,P$8,0)*INDEX('I | Inflation'!$F$46:$G$49,MATCH($I85,'I | Inflation'!$E$46:$E$49,0),MATCH($H85,'I | Inflation'!$F$45:$G$45,0)),0)</f>
        <v>0</v>
      </c>
      <c r="Q85" s="54">
        <f t="shared" si="44"/>
        <v>0</v>
      </c>
      <c r="R85" s="53"/>
      <c r="S85" s="226">
        <f>L85*VLOOKUP($A85,'I | Capex forecast'!$A$11:$AA$160,S$8,0)</f>
        <v>0</v>
      </c>
      <c r="T85" s="226">
        <f>M85*VLOOKUP($A85,'I | Capex forecast'!$A$11:$AA$160,T$8,0)</f>
        <v>0</v>
      </c>
      <c r="U85" s="226">
        <f>N85*VLOOKUP($A85,'I | Capex forecast'!$A$11:$AA$160,U$8,0)</f>
        <v>0</v>
      </c>
      <c r="V85" s="226">
        <f>O85*VLOOKUP($A85,'I | Capex forecast'!$A$11:$AA$160,V$8,0)</f>
        <v>0</v>
      </c>
      <c r="W85" s="226">
        <f>P85*VLOOKUP($A85,'I | Capex forecast'!$A$11:$AA$160,W$8,0)</f>
        <v>0</v>
      </c>
      <c r="X85" s="54">
        <f t="shared" si="56"/>
        <v>0</v>
      </c>
      <c r="Y85" s="53"/>
      <c r="Z85" s="52">
        <f>S85*(HLOOKUP(Z$10,'I | Inflation'!$E$57:$J$59,3,0)-1)</f>
        <v>0</v>
      </c>
      <c r="AA85" s="52">
        <f>T85*(HLOOKUP(AA$10,'I | Inflation'!$E$57:$J$59,3,0)-1)</f>
        <v>0</v>
      </c>
      <c r="AB85" s="52">
        <f>U85*(HLOOKUP(AB$10,'I | Inflation'!$E$57:$J$59,3,0)-1)</f>
        <v>0</v>
      </c>
      <c r="AC85" s="52">
        <f>V85*(HLOOKUP(AC$10,'I | Inflation'!$E$57:$J$59,3,0)-1)</f>
        <v>0</v>
      </c>
      <c r="AD85" s="52">
        <f>W85*(HLOOKUP(AD$10,'I | Inflation'!$E$57:$J$59,3,0)-1)</f>
        <v>0</v>
      </c>
      <c r="AE85" s="54">
        <f t="shared" si="57"/>
        <v>0</v>
      </c>
      <c r="AF85" s="53"/>
      <c r="AG85" s="226">
        <f t="shared" si="58"/>
        <v>0</v>
      </c>
      <c r="AH85" s="226">
        <f t="shared" si="59"/>
        <v>0</v>
      </c>
      <c r="AI85" s="226">
        <f t="shared" si="60"/>
        <v>0</v>
      </c>
      <c r="AJ85" s="226">
        <f t="shared" si="61"/>
        <v>0</v>
      </c>
      <c r="AK85" s="226">
        <f t="shared" si="62"/>
        <v>0</v>
      </c>
      <c r="AL85" s="54">
        <f t="shared" si="63"/>
        <v>0</v>
      </c>
      <c r="AM85" s="53"/>
      <c r="AN85" s="52"/>
      <c r="AO85" s="52"/>
      <c r="AP85" s="52"/>
      <c r="AQ85" s="52"/>
      <c r="AR85" s="52"/>
      <c r="AS85" s="54">
        <f t="shared" si="64"/>
        <v>0</v>
      </c>
      <c r="AT85" s="53"/>
      <c r="AU85" s="52"/>
      <c r="AV85" s="52"/>
      <c r="AW85" s="52"/>
      <c r="AX85" s="52"/>
      <c r="AY85" s="52"/>
      <c r="AZ85" s="54">
        <f t="shared" si="65"/>
        <v>0</v>
      </c>
      <c r="BA85" s="53"/>
      <c r="BB85" s="52"/>
      <c r="BC85" s="52"/>
      <c r="BD85" s="52"/>
      <c r="BE85" s="52"/>
      <c r="BF85" s="52"/>
      <c r="BG85" s="54">
        <f t="shared" si="66"/>
        <v>0</v>
      </c>
      <c r="BH85" s="53"/>
      <c r="BI85" s="52">
        <f>L85*VLOOKUP($A85,'I | Capex forecast'!$A$11:$AA$160,BI$8,0)</f>
        <v>0</v>
      </c>
      <c r="BJ85" s="52">
        <f>M85*VLOOKUP($A85,'I | Capex forecast'!$A$11:$AA$160,BJ$8,0)</f>
        <v>0</v>
      </c>
      <c r="BK85" s="52">
        <f>N85*VLOOKUP($A85,'I | Capex forecast'!$A$11:$AA$160,BK$8,0)</f>
        <v>0</v>
      </c>
      <c r="BL85" s="52">
        <f>O85*VLOOKUP($A85,'I | Capex forecast'!$A$11:$AA$160,BL$8,0)</f>
        <v>0</v>
      </c>
      <c r="BM85" s="52">
        <f>P85*VLOOKUP($A85,'I | Capex forecast'!$A$11:$AA$160,BM$8,0)</f>
        <v>0</v>
      </c>
      <c r="BN85" s="54">
        <f t="shared" si="67"/>
        <v>0</v>
      </c>
      <c r="BO85" s="53"/>
      <c r="BP85" s="52">
        <f t="shared" si="46"/>
        <v>0</v>
      </c>
      <c r="BQ85" s="52">
        <f t="shared" si="47"/>
        <v>0</v>
      </c>
      <c r="BR85" s="52">
        <f t="shared" si="48"/>
        <v>0</v>
      </c>
      <c r="BS85" s="52">
        <f t="shared" si="49"/>
        <v>0</v>
      </c>
      <c r="BT85" s="52">
        <f t="shared" si="50"/>
        <v>0</v>
      </c>
      <c r="BU85" s="54">
        <f t="shared" si="68"/>
        <v>0</v>
      </c>
      <c r="BW85" s="52">
        <f t="shared" si="51"/>
        <v>0</v>
      </c>
      <c r="BX85" s="52">
        <f t="shared" si="52"/>
        <v>0</v>
      </c>
      <c r="BY85" s="52">
        <f t="shared" si="53"/>
        <v>0</v>
      </c>
      <c r="BZ85" s="52">
        <f t="shared" si="54"/>
        <v>0</v>
      </c>
      <c r="CA85" s="52">
        <f t="shared" si="55"/>
        <v>0</v>
      </c>
      <c r="CB85" s="54">
        <f t="shared" si="69"/>
        <v>0</v>
      </c>
      <c r="CC85" s="53"/>
      <c r="CD85" s="52">
        <f t="shared" si="70"/>
        <v>0</v>
      </c>
      <c r="CE85" s="52">
        <f t="shared" si="71"/>
        <v>0</v>
      </c>
      <c r="CF85" s="52">
        <f t="shared" si="72"/>
        <v>0</v>
      </c>
      <c r="CG85" s="52">
        <f t="shared" si="73"/>
        <v>0</v>
      </c>
      <c r="CH85" s="52">
        <f t="shared" si="74"/>
        <v>0</v>
      </c>
      <c r="CI85" s="54">
        <f t="shared" si="75"/>
        <v>0</v>
      </c>
    </row>
    <row r="86" spans="1:87" s="4" customFormat="1" x14ac:dyDescent="0.3">
      <c r="A86" s="56">
        <v>76</v>
      </c>
      <c r="B86" s="48" t="str">
        <f>IF('I | Capex forecast'!B86="","",'I | Capex forecast'!B86)</f>
        <v/>
      </c>
      <c r="C86" s="48" t="str">
        <f>IF('I | Capex forecast'!C86="","",'I | Capex forecast'!C86)</f>
        <v/>
      </c>
      <c r="D86" s="48" t="str">
        <f>IF('I | Capex forecast'!D86="","",'I | Capex forecast'!D86)</f>
        <v/>
      </c>
      <c r="E86" s="48" t="str">
        <f>IF('I | Capex forecast'!E86="","",'I | Capex forecast'!E86)</f>
        <v/>
      </c>
      <c r="F86" s="48" t="str">
        <f>IF('I | Capex forecast'!F86="","",'I | Capex forecast'!F86)</f>
        <v/>
      </c>
      <c r="G86" s="48" t="str">
        <f>IF('I | Capex forecast'!G86="","",'I | Capex forecast'!G86)</f>
        <v/>
      </c>
      <c r="H86" s="48" t="str">
        <f>IF('I | Capex forecast'!H86="","",'I | Capex forecast'!H86)</f>
        <v/>
      </c>
      <c r="I86" s="48" t="str">
        <f>IF('I | Capex forecast'!I86="","",'I | Capex forecast'!I86)</f>
        <v/>
      </c>
      <c r="J86" s="48" t="str">
        <f>IF('I | Capex forecast'!J86="","",'I | Capex forecast'!J86)</f>
        <v/>
      </c>
      <c r="K86" s="50"/>
      <c r="L86" s="52">
        <f>IFERROR(VLOOKUP($A86,'I | Capex forecast'!$A$11:$AA$160,L$8,0)*INDEX('I | Inflation'!$F$46:$G$49,MATCH($I86,'I | Inflation'!$E$46:$E$49,0),MATCH($H86,'I | Inflation'!$F$45:$G$45,0)),0)</f>
        <v>0</v>
      </c>
      <c r="M86" s="52">
        <f>IFERROR(VLOOKUP($A86,'I | Capex forecast'!$A$11:$AA$160,M$8,0)*INDEX('I | Inflation'!$F$46:$G$49,MATCH($I86,'I | Inflation'!$E$46:$E$49,0),MATCH($H86,'I | Inflation'!$F$45:$G$45,0)),0)</f>
        <v>0</v>
      </c>
      <c r="N86" s="52">
        <f>IFERROR(VLOOKUP($A86,'I | Capex forecast'!$A$11:$AA$160,N$8,0)*INDEX('I | Inflation'!$F$46:$G$49,MATCH($I86,'I | Inflation'!$E$46:$E$49,0),MATCH($H86,'I | Inflation'!$F$45:$G$45,0)),0)</f>
        <v>0</v>
      </c>
      <c r="O86" s="52">
        <f>IFERROR(VLOOKUP($A86,'I | Capex forecast'!$A$11:$AA$160,O$8,0)*INDEX('I | Inflation'!$F$46:$G$49,MATCH($I86,'I | Inflation'!$E$46:$E$49,0),MATCH($H86,'I | Inflation'!$F$45:$G$45,0)),0)</f>
        <v>0</v>
      </c>
      <c r="P86" s="52">
        <f>IFERROR(VLOOKUP($A86,'I | Capex forecast'!$A$11:$AA$160,P$8,0)*INDEX('I | Inflation'!$F$46:$G$49,MATCH($I86,'I | Inflation'!$E$46:$E$49,0),MATCH($H86,'I | Inflation'!$F$45:$G$45,0)),0)</f>
        <v>0</v>
      </c>
      <c r="Q86" s="54">
        <f t="shared" si="44"/>
        <v>0</v>
      </c>
      <c r="R86" s="53"/>
      <c r="S86" s="226">
        <f>L86*VLOOKUP($A86,'I | Capex forecast'!$A$11:$AA$160,S$8,0)</f>
        <v>0</v>
      </c>
      <c r="T86" s="226">
        <f>M86*VLOOKUP($A86,'I | Capex forecast'!$A$11:$AA$160,T$8,0)</f>
        <v>0</v>
      </c>
      <c r="U86" s="226">
        <f>N86*VLOOKUP($A86,'I | Capex forecast'!$A$11:$AA$160,U$8,0)</f>
        <v>0</v>
      </c>
      <c r="V86" s="226">
        <f>O86*VLOOKUP($A86,'I | Capex forecast'!$A$11:$AA$160,V$8,0)</f>
        <v>0</v>
      </c>
      <c r="W86" s="226">
        <f>P86*VLOOKUP($A86,'I | Capex forecast'!$A$11:$AA$160,W$8,0)</f>
        <v>0</v>
      </c>
      <c r="X86" s="54">
        <f t="shared" si="56"/>
        <v>0</v>
      </c>
      <c r="Y86" s="53"/>
      <c r="Z86" s="52">
        <f>S86*(HLOOKUP(Z$10,'I | Inflation'!$E$57:$J$59,3,0)-1)</f>
        <v>0</v>
      </c>
      <c r="AA86" s="52">
        <f>T86*(HLOOKUP(AA$10,'I | Inflation'!$E$57:$J$59,3,0)-1)</f>
        <v>0</v>
      </c>
      <c r="AB86" s="52">
        <f>U86*(HLOOKUP(AB$10,'I | Inflation'!$E$57:$J$59,3,0)-1)</f>
        <v>0</v>
      </c>
      <c r="AC86" s="52">
        <f>V86*(HLOOKUP(AC$10,'I | Inflation'!$E$57:$J$59,3,0)-1)</f>
        <v>0</v>
      </c>
      <c r="AD86" s="52">
        <f>W86*(HLOOKUP(AD$10,'I | Inflation'!$E$57:$J$59,3,0)-1)</f>
        <v>0</v>
      </c>
      <c r="AE86" s="54">
        <f t="shared" si="57"/>
        <v>0</v>
      </c>
      <c r="AF86" s="53"/>
      <c r="AG86" s="226">
        <f t="shared" si="58"/>
        <v>0</v>
      </c>
      <c r="AH86" s="226">
        <f t="shared" si="59"/>
        <v>0</v>
      </c>
      <c r="AI86" s="226">
        <f t="shared" si="60"/>
        <v>0</v>
      </c>
      <c r="AJ86" s="226">
        <f t="shared" si="61"/>
        <v>0</v>
      </c>
      <c r="AK86" s="226">
        <f t="shared" si="62"/>
        <v>0</v>
      </c>
      <c r="AL86" s="54">
        <f t="shared" si="63"/>
        <v>0</v>
      </c>
      <c r="AM86" s="53"/>
      <c r="AN86" s="52"/>
      <c r="AO86" s="52"/>
      <c r="AP86" s="52"/>
      <c r="AQ86" s="52"/>
      <c r="AR86" s="52"/>
      <c r="AS86" s="54">
        <f t="shared" si="64"/>
        <v>0</v>
      </c>
      <c r="AT86" s="53"/>
      <c r="AU86" s="52"/>
      <c r="AV86" s="52"/>
      <c r="AW86" s="52"/>
      <c r="AX86" s="52"/>
      <c r="AY86" s="52"/>
      <c r="AZ86" s="54">
        <f t="shared" si="65"/>
        <v>0</v>
      </c>
      <c r="BA86" s="53"/>
      <c r="BB86" s="52"/>
      <c r="BC86" s="52"/>
      <c r="BD86" s="52"/>
      <c r="BE86" s="52"/>
      <c r="BF86" s="52"/>
      <c r="BG86" s="54">
        <f t="shared" si="66"/>
        <v>0</v>
      </c>
      <c r="BH86" s="53"/>
      <c r="BI86" s="52">
        <f>L86*VLOOKUP($A86,'I | Capex forecast'!$A$11:$AA$160,BI$8,0)</f>
        <v>0</v>
      </c>
      <c r="BJ86" s="52">
        <f>M86*VLOOKUP($A86,'I | Capex forecast'!$A$11:$AA$160,BJ$8,0)</f>
        <v>0</v>
      </c>
      <c r="BK86" s="52">
        <f>N86*VLOOKUP($A86,'I | Capex forecast'!$A$11:$AA$160,BK$8,0)</f>
        <v>0</v>
      </c>
      <c r="BL86" s="52">
        <f>O86*VLOOKUP($A86,'I | Capex forecast'!$A$11:$AA$160,BL$8,0)</f>
        <v>0</v>
      </c>
      <c r="BM86" s="52">
        <f>P86*VLOOKUP($A86,'I | Capex forecast'!$A$11:$AA$160,BM$8,0)</f>
        <v>0</v>
      </c>
      <c r="BN86" s="54">
        <f t="shared" si="67"/>
        <v>0</v>
      </c>
      <c r="BO86" s="53"/>
      <c r="BP86" s="52">
        <f t="shared" si="46"/>
        <v>0</v>
      </c>
      <c r="BQ86" s="52">
        <f t="shared" si="47"/>
        <v>0</v>
      </c>
      <c r="BR86" s="52">
        <f t="shared" si="48"/>
        <v>0</v>
      </c>
      <c r="BS86" s="52">
        <f t="shared" si="49"/>
        <v>0</v>
      </c>
      <c r="BT86" s="52">
        <f t="shared" si="50"/>
        <v>0</v>
      </c>
      <c r="BU86" s="54">
        <f t="shared" si="68"/>
        <v>0</v>
      </c>
      <c r="BW86" s="52">
        <f t="shared" si="51"/>
        <v>0</v>
      </c>
      <c r="BX86" s="52">
        <f t="shared" si="52"/>
        <v>0</v>
      </c>
      <c r="BY86" s="52">
        <f t="shared" si="53"/>
        <v>0</v>
      </c>
      <c r="BZ86" s="52">
        <f t="shared" si="54"/>
        <v>0</v>
      </c>
      <c r="CA86" s="52">
        <f t="shared" si="55"/>
        <v>0</v>
      </c>
      <c r="CB86" s="54">
        <f t="shared" si="69"/>
        <v>0</v>
      </c>
      <c r="CC86" s="53"/>
      <c r="CD86" s="52">
        <f t="shared" si="70"/>
        <v>0</v>
      </c>
      <c r="CE86" s="52">
        <f t="shared" si="71"/>
        <v>0</v>
      </c>
      <c r="CF86" s="52">
        <f t="shared" si="72"/>
        <v>0</v>
      </c>
      <c r="CG86" s="52">
        <f t="shared" si="73"/>
        <v>0</v>
      </c>
      <c r="CH86" s="52">
        <f t="shared" si="74"/>
        <v>0</v>
      </c>
      <c r="CI86" s="54">
        <f t="shared" si="75"/>
        <v>0</v>
      </c>
    </row>
    <row r="87" spans="1:87" s="4" customFormat="1" x14ac:dyDescent="0.3">
      <c r="A87" s="56">
        <v>77</v>
      </c>
      <c r="B87" s="48" t="str">
        <f>IF('I | Capex forecast'!B87="","",'I | Capex forecast'!B87)</f>
        <v/>
      </c>
      <c r="C87" s="48" t="str">
        <f>IF('I | Capex forecast'!C87="","",'I | Capex forecast'!C87)</f>
        <v/>
      </c>
      <c r="D87" s="48" t="str">
        <f>IF('I | Capex forecast'!D87="","",'I | Capex forecast'!D87)</f>
        <v/>
      </c>
      <c r="E87" s="48" t="str">
        <f>IF('I | Capex forecast'!E87="","",'I | Capex forecast'!E87)</f>
        <v/>
      </c>
      <c r="F87" s="48" t="str">
        <f>IF('I | Capex forecast'!F87="","",'I | Capex forecast'!F87)</f>
        <v/>
      </c>
      <c r="G87" s="48" t="str">
        <f>IF('I | Capex forecast'!G87="","",'I | Capex forecast'!G87)</f>
        <v/>
      </c>
      <c r="H87" s="48" t="str">
        <f>IF('I | Capex forecast'!H87="","",'I | Capex forecast'!H87)</f>
        <v/>
      </c>
      <c r="I87" s="48" t="str">
        <f>IF('I | Capex forecast'!I87="","",'I | Capex forecast'!I87)</f>
        <v/>
      </c>
      <c r="J87" s="48" t="str">
        <f>IF('I | Capex forecast'!J87="","",'I | Capex forecast'!J87)</f>
        <v/>
      </c>
      <c r="K87" s="50"/>
      <c r="L87" s="52">
        <f>IFERROR(VLOOKUP($A87,'I | Capex forecast'!$A$11:$AA$160,L$8,0)*INDEX('I | Inflation'!$F$46:$G$49,MATCH($I87,'I | Inflation'!$E$46:$E$49,0),MATCH($H87,'I | Inflation'!$F$45:$G$45,0)),0)</f>
        <v>0</v>
      </c>
      <c r="M87" s="52">
        <f>IFERROR(VLOOKUP($A87,'I | Capex forecast'!$A$11:$AA$160,M$8,0)*INDEX('I | Inflation'!$F$46:$G$49,MATCH($I87,'I | Inflation'!$E$46:$E$49,0),MATCH($H87,'I | Inflation'!$F$45:$G$45,0)),0)</f>
        <v>0</v>
      </c>
      <c r="N87" s="52">
        <f>IFERROR(VLOOKUP($A87,'I | Capex forecast'!$A$11:$AA$160,N$8,0)*INDEX('I | Inflation'!$F$46:$G$49,MATCH($I87,'I | Inflation'!$E$46:$E$49,0),MATCH($H87,'I | Inflation'!$F$45:$G$45,0)),0)</f>
        <v>0</v>
      </c>
      <c r="O87" s="52">
        <f>IFERROR(VLOOKUP($A87,'I | Capex forecast'!$A$11:$AA$160,O$8,0)*INDEX('I | Inflation'!$F$46:$G$49,MATCH($I87,'I | Inflation'!$E$46:$E$49,0),MATCH($H87,'I | Inflation'!$F$45:$G$45,0)),0)</f>
        <v>0</v>
      </c>
      <c r="P87" s="52">
        <f>IFERROR(VLOOKUP($A87,'I | Capex forecast'!$A$11:$AA$160,P$8,0)*INDEX('I | Inflation'!$F$46:$G$49,MATCH($I87,'I | Inflation'!$E$46:$E$49,0),MATCH($H87,'I | Inflation'!$F$45:$G$45,0)),0)</f>
        <v>0</v>
      </c>
      <c r="Q87" s="54">
        <f t="shared" si="44"/>
        <v>0</v>
      </c>
      <c r="R87" s="53"/>
      <c r="S87" s="226">
        <f>L87*VLOOKUP($A87,'I | Capex forecast'!$A$11:$AA$160,S$8,0)</f>
        <v>0</v>
      </c>
      <c r="T87" s="226">
        <f>M87*VLOOKUP($A87,'I | Capex forecast'!$A$11:$AA$160,T$8,0)</f>
        <v>0</v>
      </c>
      <c r="U87" s="226">
        <f>N87*VLOOKUP($A87,'I | Capex forecast'!$A$11:$AA$160,U$8,0)</f>
        <v>0</v>
      </c>
      <c r="V87" s="226">
        <f>O87*VLOOKUP($A87,'I | Capex forecast'!$A$11:$AA$160,V$8,0)</f>
        <v>0</v>
      </c>
      <c r="W87" s="226">
        <f>P87*VLOOKUP($A87,'I | Capex forecast'!$A$11:$AA$160,W$8,0)</f>
        <v>0</v>
      </c>
      <c r="X87" s="54">
        <f t="shared" si="56"/>
        <v>0</v>
      </c>
      <c r="Y87" s="53"/>
      <c r="Z87" s="52">
        <f>S87*(HLOOKUP(Z$10,'I | Inflation'!$E$57:$J$59,3,0)-1)</f>
        <v>0</v>
      </c>
      <c r="AA87" s="52">
        <f>T87*(HLOOKUP(AA$10,'I | Inflation'!$E$57:$J$59,3,0)-1)</f>
        <v>0</v>
      </c>
      <c r="AB87" s="52">
        <f>U87*(HLOOKUP(AB$10,'I | Inflation'!$E$57:$J$59,3,0)-1)</f>
        <v>0</v>
      </c>
      <c r="AC87" s="52">
        <f>V87*(HLOOKUP(AC$10,'I | Inflation'!$E$57:$J$59,3,0)-1)</f>
        <v>0</v>
      </c>
      <c r="AD87" s="52">
        <f>W87*(HLOOKUP(AD$10,'I | Inflation'!$E$57:$J$59,3,0)-1)</f>
        <v>0</v>
      </c>
      <c r="AE87" s="54">
        <f t="shared" si="57"/>
        <v>0</v>
      </c>
      <c r="AF87" s="53"/>
      <c r="AG87" s="226">
        <f t="shared" si="58"/>
        <v>0</v>
      </c>
      <c r="AH87" s="226">
        <f t="shared" si="59"/>
        <v>0</v>
      </c>
      <c r="AI87" s="226">
        <f t="shared" si="60"/>
        <v>0</v>
      </c>
      <c r="AJ87" s="226">
        <f t="shared" si="61"/>
        <v>0</v>
      </c>
      <c r="AK87" s="226">
        <f t="shared" si="62"/>
        <v>0</v>
      </c>
      <c r="AL87" s="54">
        <f t="shared" si="63"/>
        <v>0</v>
      </c>
      <c r="AM87" s="53"/>
      <c r="AN87" s="52"/>
      <c r="AO87" s="52"/>
      <c r="AP87" s="52"/>
      <c r="AQ87" s="52"/>
      <c r="AR87" s="52"/>
      <c r="AS87" s="54">
        <f t="shared" si="64"/>
        <v>0</v>
      </c>
      <c r="AT87" s="53"/>
      <c r="AU87" s="52"/>
      <c r="AV87" s="52"/>
      <c r="AW87" s="52"/>
      <c r="AX87" s="52"/>
      <c r="AY87" s="52"/>
      <c r="AZ87" s="54">
        <f t="shared" si="65"/>
        <v>0</v>
      </c>
      <c r="BA87" s="53"/>
      <c r="BB87" s="52"/>
      <c r="BC87" s="52"/>
      <c r="BD87" s="52"/>
      <c r="BE87" s="52"/>
      <c r="BF87" s="52"/>
      <c r="BG87" s="54">
        <f t="shared" si="66"/>
        <v>0</v>
      </c>
      <c r="BH87" s="53"/>
      <c r="BI87" s="52">
        <f>L87*VLOOKUP($A87,'I | Capex forecast'!$A$11:$AA$160,BI$8,0)</f>
        <v>0</v>
      </c>
      <c r="BJ87" s="52">
        <f>M87*VLOOKUP($A87,'I | Capex forecast'!$A$11:$AA$160,BJ$8,0)</f>
        <v>0</v>
      </c>
      <c r="BK87" s="52">
        <f>N87*VLOOKUP($A87,'I | Capex forecast'!$A$11:$AA$160,BK$8,0)</f>
        <v>0</v>
      </c>
      <c r="BL87" s="52">
        <f>O87*VLOOKUP($A87,'I | Capex forecast'!$A$11:$AA$160,BL$8,0)</f>
        <v>0</v>
      </c>
      <c r="BM87" s="52">
        <f>P87*VLOOKUP($A87,'I | Capex forecast'!$A$11:$AA$160,BM$8,0)</f>
        <v>0</v>
      </c>
      <c r="BN87" s="54">
        <f t="shared" si="67"/>
        <v>0</v>
      </c>
      <c r="BO87" s="53"/>
      <c r="BP87" s="52">
        <f t="shared" si="46"/>
        <v>0</v>
      </c>
      <c r="BQ87" s="52">
        <f t="shared" si="47"/>
        <v>0</v>
      </c>
      <c r="BR87" s="52">
        <f t="shared" si="48"/>
        <v>0</v>
      </c>
      <c r="BS87" s="52">
        <f t="shared" si="49"/>
        <v>0</v>
      </c>
      <c r="BT87" s="52">
        <f t="shared" si="50"/>
        <v>0</v>
      </c>
      <c r="BU87" s="54">
        <f t="shared" si="68"/>
        <v>0</v>
      </c>
      <c r="BW87" s="52">
        <f t="shared" si="51"/>
        <v>0</v>
      </c>
      <c r="BX87" s="52">
        <f t="shared" si="52"/>
        <v>0</v>
      </c>
      <c r="BY87" s="52">
        <f t="shared" si="53"/>
        <v>0</v>
      </c>
      <c r="BZ87" s="52">
        <f t="shared" si="54"/>
        <v>0</v>
      </c>
      <c r="CA87" s="52">
        <f t="shared" si="55"/>
        <v>0</v>
      </c>
      <c r="CB87" s="54">
        <f t="shared" si="69"/>
        <v>0</v>
      </c>
      <c r="CC87" s="53"/>
      <c r="CD87" s="52">
        <f t="shared" si="70"/>
        <v>0</v>
      </c>
      <c r="CE87" s="52">
        <f t="shared" si="71"/>
        <v>0</v>
      </c>
      <c r="CF87" s="52">
        <f t="shared" si="72"/>
        <v>0</v>
      </c>
      <c r="CG87" s="52">
        <f t="shared" si="73"/>
        <v>0</v>
      </c>
      <c r="CH87" s="52">
        <f t="shared" si="74"/>
        <v>0</v>
      </c>
      <c r="CI87" s="54">
        <f t="shared" si="75"/>
        <v>0</v>
      </c>
    </row>
    <row r="88" spans="1:87" s="4" customFormat="1" x14ac:dyDescent="0.3">
      <c r="A88" s="56">
        <v>78</v>
      </c>
      <c r="B88" s="48" t="str">
        <f>IF('I | Capex forecast'!B88="","",'I | Capex forecast'!B88)</f>
        <v/>
      </c>
      <c r="C88" s="48" t="str">
        <f>IF('I | Capex forecast'!C88="","",'I | Capex forecast'!C88)</f>
        <v/>
      </c>
      <c r="D88" s="48" t="str">
        <f>IF('I | Capex forecast'!D88="","",'I | Capex forecast'!D88)</f>
        <v/>
      </c>
      <c r="E88" s="48" t="str">
        <f>IF('I | Capex forecast'!E88="","",'I | Capex forecast'!E88)</f>
        <v/>
      </c>
      <c r="F88" s="48" t="str">
        <f>IF('I | Capex forecast'!F88="","",'I | Capex forecast'!F88)</f>
        <v/>
      </c>
      <c r="G88" s="48" t="str">
        <f>IF('I | Capex forecast'!G88="","",'I | Capex forecast'!G88)</f>
        <v/>
      </c>
      <c r="H88" s="48" t="str">
        <f>IF('I | Capex forecast'!H88="","",'I | Capex forecast'!H88)</f>
        <v/>
      </c>
      <c r="I88" s="48" t="str">
        <f>IF('I | Capex forecast'!I88="","",'I | Capex forecast'!I88)</f>
        <v/>
      </c>
      <c r="J88" s="48" t="str">
        <f>IF('I | Capex forecast'!J88="","",'I | Capex forecast'!J88)</f>
        <v/>
      </c>
      <c r="K88" s="50"/>
      <c r="L88" s="52">
        <f>IFERROR(VLOOKUP($A88,'I | Capex forecast'!$A$11:$AA$160,L$8,0)*INDEX('I | Inflation'!$F$46:$G$49,MATCH($I88,'I | Inflation'!$E$46:$E$49,0),MATCH($H88,'I | Inflation'!$F$45:$G$45,0)),0)</f>
        <v>0</v>
      </c>
      <c r="M88" s="52">
        <f>IFERROR(VLOOKUP($A88,'I | Capex forecast'!$A$11:$AA$160,M$8,0)*INDEX('I | Inflation'!$F$46:$G$49,MATCH($I88,'I | Inflation'!$E$46:$E$49,0),MATCH($H88,'I | Inflation'!$F$45:$G$45,0)),0)</f>
        <v>0</v>
      </c>
      <c r="N88" s="52">
        <f>IFERROR(VLOOKUP($A88,'I | Capex forecast'!$A$11:$AA$160,N$8,0)*INDEX('I | Inflation'!$F$46:$G$49,MATCH($I88,'I | Inflation'!$E$46:$E$49,0),MATCH($H88,'I | Inflation'!$F$45:$G$45,0)),0)</f>
        <v>0</v>
      </c>
      <c r="O88" s="52">
        <f>IFERROR(VLOOKUP($A88,'I | Capex forecast'!$A$11:$AA$160,O$8,0)*INDEX('I | Inflation'!$F$46:$G$49,MATCH($I88,'I | Inflation'!$E$46:$E$49,0),MATCH($H88,'I | Inflation'!$F$45:$G$45,0)),0)</f>
        <v>0</v>
      </c>
      <c r="P88" s="52">
        <f>IFERROR(VLOOKUP($A88,'I | Capex forecast'!$A$11:$AA$160,P$8,0)*INDEX('I | Inflation'!$F$46:$G$49,MATCH($I88,'I | Inflation'!$E$46:$E$49,0),MATCH($H88,'I | Inflation'!$F$45:$G$45,0)),0)</f>
        <v>0</v>
      </c>
      <c r="Q88" s="54">
        <f t="shared" si="44"/>
        <v>0</v>
      </c>
      <c r="R88" s="53"/>
      <c r="S88" s="226">
        <f>L88*VLOOKUP($A88,'I | Capex forecast'!$A$11:$AA$160,S$8,0)</f>
        <v>0</v>
      </c>
      <c r="T88" s="226">
        <f>M88*VLOOKUP($A88,'I | Capex forecast'!$A$11:$AA$160,T$8,0)</f>
        <v>0</v>
      </c>
      <c r="U88" s="226">
        <f>N88*VLOOKUP($A88,'I | Capex forecast'!$A$11:$AA$160,U$8,0)</f>
        <v>0</v>
      </c>
      <c r="V88" s="226">
        <f>O88*VLOOKUP($A88,'I | Capex forecast'!$A$11:$AA$160,V$8,0)</f>
        <v>0</v>
      </c>
      <c r="W88" s="226">
        <f>P88*VLOOKUP($A88,'I | Capex forecast'!$A$11:$AA$160,W$8,0)</f>
        <v>0</v>
      </c>
      <c r="X88" s="54">
        <f t="shared" si="56"/>
        <v>0</v>
      </c>
      <c r="Y88" s="53"/>
      <c r="Z88" s="52">
        <f>S88*(HLOOKUP(Z$10,'I | Inflation'!$E$57:$J$59,3,0)-1)</f>
        <v>0</v>
      </c>
      <c r="AA88" s="52">
        <f>T88*(HLOOKUP(AA$10,'I | Inflation'!$E$57:$J$59,3,0)-1)</f>
        <v>0</v>
      </c>
      <c r="AB88" s="52">
        <f>U88*(HLOOKUP(AB$10,'I | Inflation'!$E$57:$J$59,3,0)-1)</f>
        <v>0</v>
      </c>
      <c r="AC88" s="52">
        <f>V88*(HLOOKUP(AC$10,'I | Inflation'!$E$57:$J$59,3,0)-1)</f>
        <v>0</v>
      </c>
      <c r="AD88" s="52">
        <f>W88*(HLOOKUP(AD$10,'I | Inflation'!$E$57:$J$59,3,0)-1)</f>
        <v>0</v>
      </c>
      <c r="AE88" s="54">
        <f t="shared" si="57"/>
        <v>0</v>
      </c>
      <c r="AF88" s="53"/>
      <c r="AG88" s="226">
        <f t="shared" si="58"/>
        <v>0</v>
      </c>
      <c r="AH88" s="226">
        <f t="shared" si="59"/>
        <v>0</v>
      </c>
      <c r="AI88" s="226">
        <f t="shared" si="60"/>
        <v>0</v>
      </c>
      <c r="AJ88" s="226">
        <f t="shared" si="61"/>
        <v>0</v>
      </c>
      <c r="AK88" s="226">
        <f t="shared" si="62"/>
        <v>0</v>
      </c>
      <c r="AL88" s="54">
        <f t="shared" si="63"/>
        <v>0</v>
      </c>
      <c r="AM88" s="53"/>
      <c r="AN88" s="52"/>
      <c r="AO88" s="52"/>
      <c r="AP88" s="52"/>
      <c r="AQ88" s="52"/>
      <c r="AR88" s="52"/>
      <c r="AS88" s="54">
        <f t="shared" si="64"/>
        <v>0</v>
      </c>
      <c r="AT88" s="53"/>
      <c r="AU88" s="52"/>
      <c r="AV88" s="52"/>
      <c r="AW88" s="52"/>
      <c r="AX88" s="52"/>
      <c r="AY88" s="52"/>
      <c r="AZ88" s="54">
        <f t="shared" si="65"/>
        <v>0</v>
      </c>
      <c r="BA88" s="53"/>
      <c r="BB88" s="52"/>
      <c r="BC88" s="52"/>
      <c r="BD88" s="52"/>
      <c r="BE88" s="52"/>
      <c r="BF88" s="52"/>
      <c r="BG88" s="54">
        <f t="shared" si="66"/>
        <v>0</v>
      </c>
      <c r="BH88" s="53"/>
      <c r="BI88" s="52">
        <f>L88*VLOOKUP($A88,'I | Capex forecast'!$A$11:$AA$160,BI$8,0)</f>
        <v>0</v>
      </c>
      <c r="BJ88" s="52">
        <f>M88*VLOOKUP($A88,'I | Capex forecast'!$A$11:$AA$160,BJ$8,0)</f>
        <v>0</v>
      </c>
      <c r="BK88" s="52">
        <f>N88*VLOOKUP($A88,'I | Capex forecast'!$A$11:$AA$160,BK$8,0)</f>
        <v>0</v>
      </c>
      <c r="BL88" s="52">
        <f>O88*VLOOKUP($A88,'I | Capex forecast'!$A$11:$AA$160,BL$8,0)</f>
        <v>0</v>
      </c>
      <c r="BM88" s="52">
        <f>P88*VLOOKUP($A88,'I | Capex forecast'!$A$11:$AA$160,BM$8,0)</f>
        <v>0</v>
      </c>
      <c r="BN88" s="54">
        <f t="shared" si="67"/>
        <v>0</v>
      </c>
      <c r="BO88" s="53"/>
      <c r="BP88" s="52">
        <f t="shared" si="46"/>
        <v>0</v>
      </c>
      <c r="BQ88" s="52">
        <f t="shared" si="47"/>
        <v>0</v>
      </c>
      <c r="BR88" s="52">
        <f t="shared" si="48"/>
        <v>0</v>
      </c>
      <c r="BS88" s="52">
        <f t="shared" si="49"/>
        <v>0</v>
      </c>
      <c r="BT88" s="52">
        <f t="shared" si="50"/>
        <v>0</v>
      </c>
      <c r="BU88" s="54">
        <f t="shared" si="68"/>
        <v>0</v>
      </c>
      <c r="BW88" s="52">
        <f t="shared" si="51"/>
        <v>0</v>
      </c>
      <c r="BX88" s="52">
        <f t="shared" si="52"/>
        <v>0</v>
      </c>
      <c r="BY88" s="52">
        <f t="shared" si="53"/>
        <v>0</v>
      </c>
      <c r="BZ88" s="52">
        <f t="shared" si="54"/>
        <v>0</v>
      </c>
      <c r="CA88" s="52">
        <f t="shared" si="55"/>
        <v>0</v>
      </c>
      <c r="CB88" s="54">
        <f t="shared" si="69"/>
        <v>0</v>
      </c>
      <c r="CC88" s="53"/>
      <c r="CD88" s="52">
        <f t="shared" si="70"/>
        <v>0</v>
      </c>
      <c r="CE88" s="52">
        <f t="shared" si="71"/>
        <v>0</v>
      </c>
      <c r="CF88" s="52">
        <f t="shared" si="72"/>
        <v>0</v>
      </c>
      <c r="CG88" s="52">
        <f t="shared" si="73"/>
        <v>0</v>
      </c>
      <c r="CH88" s="52">
        <f t="shared" si="74"/>
        <v>0</v>
      </c>
      <c r="CI88" s="54">
        <f t="shared" si="75"/>
        <v>0</v>
      </c>
    </row>
    <row r="89" spans="1:87" s="4" customFormat="1" x14ac:dyDescent="0.3">
      <c r="A89" s="56">
        <v>79</v>
      </c>
      <c r="B89" s="48" t="str">
        <f>IF('I | Capex forecast'!B89="","",'I | Capex forecast'!B89)</f>
        <v/>
      </c>
      <c r="C89" s="48" t="str">
        <f>IF('I | Capex forecast'!C89="","",'I | Capex forecast'!C89)</f>
        <v/>
      </c>
      <c r="D89" s="48" t="str">
        <f>IF('I | Capex forecast'!D89="","",'I | Capex forecast'!D89)</f>
        <v/>
      </c>
      <c r="E89" s="48" t="str">
        <f>IF('I | Capex forecast'!E89="","",'I | Capex forecast'!E89)</f>
        <v/>
      </c>
      <c r="F89" s="48" t="str">
        <f>IF('I | Capex forecast'!F89="","",'I | Capex forecast'!F89)</f>
        <v/>
      </c>
      <c r="G89" s="48" t="str">
        <f>IF('I | Capex forecast'!G89="","",'I | Capex forecast'!G89)</f>
        <v/>
      </c>
      <c r="H89" s="48" t="str">
        <f>IF('I | Capex forecast'!H89="","",'I | Capex forecast'!H89)</f>
        <v/>
      </c>
      <c r="I89" s="48" t="str">
        <f>IF('I | Capex forecast'!I89="","",'I | Capex forecast'!I89)</f>
        <v/>
      </c>
      <c r="J89" s="48" t="str">
        <f>IF('I | Capex forecast'!J89="","",'I | Capex forecast'!J89)</f>
        <v/>
      </c>
      <c r="K89" s="50"/>
      <c r="L89" s="52">
        <f>IFERROR(VLOOKUP($A89,'I | Capex forecast'!$A$11:$AA$160,L$8,0)*INDEX('I | Inflation'!$F$46:$G$49,MATCH($I89,'I | Inflation'!$E$46:$E$49,0),MATCH($H89,'I | Inflation'!$F$45:$G$45,0)),0)</f>
        <v>0</v>
      </c>
      <c r="M89" s="52">
        <f>IFERROR(VLOOKUP($A89,'I | Capex forecast'!$A$11:$AA$160,M$8,0)*INDEX('I | Inflation'!$F$46:$G$49,MATCH($I89,'I | Inflation'!$E$46:$E$49,0),MATCH($H89,'I | Inflation'!$F$45:$G$45,0)),0)</f>
        <v>0</v>
      </c>
      <c r="N89" s="52">
        <f>IFERROR(VLOOKUP($A89,'I | Capex forecast'!$A$11:$AA$160,N$8,0)*INDEX('I | Inflation'!$F$46:$G$49,MATCH($I89,'I | Inflation'!$E$46:$E$49,0),MATCH($H89,'I | Inflation'!$F$45:$G$45,0)),0)</f>
        <v>0</v>
      </c>
      <c r="O89" s="52">
        <f>IFERROR(VLOOKUP($A89,'I | Capex forecast'!$A$11:$AA$160,O$8,0)*INDEX('I | Inflation'!$F$46:$G$49,MATCH($I89,'I | Inflation'!$E$46:$E$49,0),MATCH($H89,'I | Inflation'!$F$45:$G$45,0)),0)</f>
        <v>0</v>
      </c>
      <c r="P89" s="52">
        <f>IFERROR(VLOOKUP($A89,'I | Capex forecast'!$A$11:$AA$160,P$8,0)*INDEX('I | Inflation'!$F$46:$G$49,MATCH($I89,'I | Inflation'!$E$46:$E$49,0),MATCH($H89,'I | Inflation'!$F$45:$G$45,0)),0)</f>
        <v>0</v>
      </c>
      <c r="Q89" s="54">
        <f t="shared" si="44"/>
        <v>0</v>
      </c>
      <c r="R89" s="53"/>
      <c r="S89" s="226">
        <f>L89*VLOOKUP($A89,'I | Capex forecast'!$A$11:$AA$160,S$8,0)</f>
        <v>0</v>
      </c>
      <c r="T89" s="226">
        <f>M89*VLOOKUP($A89,'I | Capex forecast'!$A$11:$AA$160,T$8,0)</f>
        <v>0</v>
      </c>
      <c r="U89" s="226">
        <f>N89*VLOOKUP($A89,'I | Capex forecast'!$A$11:$AA$160,U$8,0)</f>
        <v>0</v>
      </c>
      <c r="V89" s="226">
        <f>O89*VLOOKUP($A89,'I | Capex forecast'!$A$11:$AA$160,V$8,0)</f>
        <v>0</v>
      </c>
      <c r="W89" s="226">
        <f>P89*VLOOKUP($A89,'I | Capex forecast'!$A$11:$AA$160,W$8,0)</f>
        <v>0</v>
      </c>
      <c r="X89" s="54">
        <f t="shared" si="56"/>
        <v>0</v>
      </c>
      <c r="Y89" s="53"/>
      <c r="Z89" s="52">
        <f>S89*(HLOOKUP(Z$10,'I | Inflation'!$E$57:$J$59,3,0)-1)</f>
        <v>0</v>
      </c>
      <c r="AA89" s="52">
        <f>T89*(HLOOKUP(AA$10,'I | Inflation'!$E$57:$J$59,3,0)-1)</f>
        <v>0</v>
      </c>
      <c r="AB89" s="52">
        <f>U89*(HLOOKUP(AB$10,'I | Inflation'!$E$57:$J$59,3,0)-1)</f>
        <v>0</v>
      </c>
      <c r="AC89" s="52">
        <f>V89*(HLOOKUP(AC$10,'I | Inflation'!$E$57:$J$59,3,0)-1)</f>
        <v>0</v>
      </c>
      <c r="AD89" s="52">
        <f>W89*(HLOOKUP(AD$10,'I | Inflation'!$E$57:$J$59,3,0)-1)</f>
        <v>0</v>
      </c>
      <c r="AE89" s="54">
        <f t="shared" si="57"/>
        <v>0</v>
      </c>
      <c r="AF89" s="53"/>
      <c r="AG89" s="226">
        <f t="shared" si="58"/>
        <v>0</v>
      </c>
      <c r="AH89" s="226">
        <f t="shared" si="59"/>
        <v>0</v>
      </c>
      <c r="AI89" s="226">
        <f t="shared" si="60"/>
        <v>0</v>
      </c>
      <c r="AJ89" s="226">
        <f t="shared" si="61"/>
        <v>0</v>
      </c>
      <c r="AK89" s="226">
        <f t="shared" si="62"/>
        <v>0</v>
      </c>
      <c r="AL89" s="54">
        <f t="shared" si="63"/>
        <v>0</v>
      </c>
      <c r="AM89" s="53"/>
      <c r="AN89" s="52"/>
      <c r="AO89" s="52"/>
      <c r="AP89" s="52"/>
      <c r="AQ89" s="52"/>
      <c r="AR89" s="52"/>
      <c r="AS89" s="54">
        <f t="shared" si="64"/>
        <v>0</v>
      </c>
      <c r="AT89" s="53"/>
      <c r="AU89" s="52"/>
      <c r="AV89" s="52"/>
      <c r="AW89" s="52"/>
      <c r="AX89" s="52"/>
      <c r="AY89" s="52"/>
      <c r="AZ89" s="54">
        <f t="shared" si="65"/>
        <v>0</v>
      </c>
      <c r="BA89" s="53"/>
      <c r="BB89" s="52"/>
      <c r="BC89" s="52"/>
      <c r="BD89" s="52"/>
      <c r="BE89" s="52"/>
      <c r="BF89" s="52"/>
      <c r="BG89" s="54">
        <f t="shared" si="66"/>
        <v>0</v>
      </c>
      <c r="BH89" s="53"/>
      <c r="BI89" s="52">
        <f>L89*VLOOKUP($A89,'I | Capex forecast'!$A$11:$AA$160,BI$8,0)</f>
        <v>0</v>
      </c>
      <c r="BJ89" s="52">
        <f>M89*VLOOKUP($A89,'I | Capex forecast'!$A$11:$AA$160,BJ$8,0)</f>
        <v>0</v>
      </c>
      <c r="BK89" s="52">
        <f>N89*VLOOKUP($A89,'I | Capex forecast'!$A$11:$AA$160,BK$8,0)</f>
        <v>0</v>
      </c>
      <c r="BL89" s="52">
        <f>O89*VLOOKUP($A89,'I | Capex forecast'!$A$11:$AA$160,BL$8,0)</f>
        <v>0</v>
      </c>
      <c r="BM89" s="52">
        <f>P89*VLOOKUP($A89,'I | Capex forecast'!$A$11:$AA$160,BM$8,0)</f>
        <v>0</v>
      </c>
      <c r="BN89" s="54">
        <f t="shared" si="67"/>
        <v>0</v>
      </c>
      <c r="BO89" s="53"/>
      <c r="BP89" s="52">
        <f t="shared" si="46"/>
        <v>0</v>
      </c>
      <c r="BQ89" s="52">
        <f t="shared" si="47"/>
        <v>0</v>
      </c>
      <c r="BR89" s="52">
        <f t="shared" si="48"/>
        <v>0</v>
      </c>
      <c r="BS89" s="52">
        <f t="shared" si="49"/>
        <v>0</v>
      </c>
      <c r="BT89" s="52">
        <f t="shared" si="50"/>
        <v>0</v>
      </c>
      <c r="BU89" s="54">
        <f t="shared" si="68"/>
        <v>0</v>
      </c>
      <c r="BW89" s="52">
        <f t="shared" si="51"/>
        <v>0</v>
      </c>
      <c r="BX89" s="52">
        <f t="shared" si="52"/>
        <v>0</v>
      </c>
      <c r="BY89" s="52">
        <f t="shared" si="53"/>
        <v>0</v>
      </c>
      <c r="BZ89" s="52">
        <f t="shared" si="54"/>
        <v>0</v>
      </c>
      <c r="CA89" s="52">
        <f t="shared" si="55"/>
        <v>0</v>
      </c>
      <c r="CB89" s="54">
        <f t="shared" si="69"/>
        <v>0</v>
      </c>
      <c r="CC89" s="53"/>
      <c r="CD89" s="52">
        <f t="shared" si="70"/>
        <v>0</v>
      </c>
      <c r="CE89" s="52">
        <f t="shared" si="71"/>
        <v>0</v>
      </c>
      <c r="CF89" s="52">
        <f t="shared" si="72"/>
        <v>0</v>
      </c>
      <c r="CG89" s="52">
        <f t="shared" si="73"/>
        <v>0</v>
      </c>
      <c r="CH89" s="52">
        <f t="shared" si="74"/>
        <v>0</v>
      </c>
      <c r="CI89" s="54">
        <f t="shared" si="75"/>
        <v>0</v>
      </c>
    </row>
    <row r="90" spans="1:87" s="4" customFormat="1" x14ac:dyDescent="0.3">
      <c r="A90" s="56">
        <v>80</v>
      </c>
      <c r="B90" s="48" t="str">
        <f>IF('I | Capex forecast'!B90="","",'I | Capex forecast'!B90)</f>
        <v/>
      </c>
      <c r="C90" s="48" t="str">
        <f>IF('I | Capex forecast'!C90="","",'I | Capex forecast'!C90)</f>
        <v/>
      </c>
      <c r="D90" s="48" t="str">
        <f>IF('I | Capex forecast'!D90="","",'I | Capex forecast'!D90)</f>
        <v/>
      </c>
      <c r="E90" s="48" t="str">
        <f>IF('I | Capex forecast'!E90="","",'I | Capex forecast'!E90)</f>
        <v/>
      </c>
      <c r="F90" s="48" t="str">
        <f>IF('I | Capex forecast'!F90="","",'I | Capex forecast'!F90)</f>
        <v/>
      </c>
      <c r="G90" s="48" t="str">
        <f>IF('I | Capex forecast'!G90="","",'I | Capex forecast'!G90)</f>
        <v/>
      </c>
      <c r="H90" s="48" t="str">
        <f>IF('I | Capex forecast'!H90="","",'I | Capex forecast'!H90)</f>
        <v/>
      </c>
      <c r="I90" s="48" t="str">
        <f>IF('I | Capex forecast'!I90="","",'I | Capex forecast'!I90)</f>
        <v/>
      </c>
      <c r="J90" s="48" t="str">
        <f>IF('I | Capex forecast'!J90="","",'I | Capex forecast'!J90)</f>
        <v/>
      </c>
      <c r="K90" s="50"/>
      <c r="L90" s="52">
        <f>IFERROR(VLOOKUP($A90,'I | Capex forecast'!$A$11:$AA$160,L$8,0)*INDEX('I | Inflation'!$F$46:$G$49,MATCH($I90,'I | Inflation'!$E$46:$E$49,0),MATCH($H90,'I | Inflation'!$F$45:$G$45,0)),0)</f>
        <v>0</v>
      </c>
      <c r="M90" s="52">
        <f>IFERROR(VLOOKUP($A90,'I | Capex forecast'!$A$11:$AA$160,M$8,0)*INDEX('I | Inflation'!$F$46:$G$49,MATCH($I90,'I | Inflation'!$E$46:$E$49,0),MATCH($H90,'I | Inflation'!$F$45:$G$45,0)),0)</f>
        <v>0</v>
      </c>
      <c r="N90" s="52">
        <f>IFERROR(VLOOKUP($A90,'I | Capex forecast'!$A$11:$AA$160,N$8,0)*INDEX('I | Inflation'!$F$46:$G$49,MATCH($I90,'I | Inflation'!$E$46:$E$49,0),MATCH($H90,'I | Inflation'!$F$45:$G$45,0)),0)</f>
        <v>0</v>
      </c>
      <c r="O90" s="52">
        <f>IFERROR(VLOOKUP($A90,'I | Capex forecast'!$A$11:$AA$160,O$8,0)*INDEX('I | Inflation'!$F$46:$G$49,MATCH($I90,'I | Inflation'!$E$46:$E$49,0),MATCH($H90,'I | Inflation'!$F$45:$G$45,0)),0)</f>
        <v>0</v>
      </c>
      <c r="P90" s="52">
        <f>IFERROR(VLOOKUP($A90,'I | Capex forecast'!$A$11:$AA$160,P$8,0)*INDEX('I | Inflation'!$F$46:$G$49,MATCH($I90,'I | Inflation'!$E$46:$E$49,0),MATCH($H90,'I | Inflation'!$F$45:$G$45,0)),0)</f>
        <v>0</v>
      </c>
      <c r="Q90" s="54">
        <f t="shared" si="44"/>
        <v>0</v>
      </c>
      <c r="R90" s="53"/>
      <c r="S90" s="226">
        <f>L90*VLOOKUP($A90,'I | Capex forecast'!$A$11:$AA$160,S$8,0)</f>
        <v>0</v>
      </c>
      <c r="T90" s="226">
        <f>M90*VLOOKUP($A90,'I | Capex forecast'!$A$11:$AA$160,T$8,0)</f>
        <v>0</v>
      </c>
      <c r="U90" s="226">
        <f>N90*VLOOKUP($A90,'I | Capex forecast'!$A$11:$AA$160,U$8,0)</f>
        <v>0</v>
      </c>
      <c r="V90" s="226">
        <f>O90*VLOOKUP($A90,'I | Capex forecast'!$A$11:$AA$160,V$8,0)</f>
        <v>0</v>
      </c>
      <c r="W90" s="226">
        <f>P90*VLOOKUP($A90,'I | Capex forecast'!$A$11:$AA$160,W$8,0)</f>
        <v>0</v>
      </c>
      <c r="X90" s="54">
        <f t="shared" si="56"/>
        <v>0</v>
      </c>
      <c r="Y90" s="53"/>
      <c r="Z90" s="52">
        <f>S90*(HLOOKUP(Z$10,'I | Inflation'!$E$57:$J$59,3,0)-1)</f>
        <v>0</v>
      </c>
      <c r="AA90" s="52">
        <f>T90*(HLOOKUP(AA$10,'I | Inflation'!$E$57:$J$59,3,0)-1)</f>
        <v>0</v>
      </c>
      <c r="AB90" s="52">
        <f>U90*(HLOOKUP(AB$10,'I | Inflation'!$E$57:$J$59,3,0)-1)</f>
        <v>0</v>
      </c>
      <c r="AC90" s="52">
        <f>V90*(HLOOKUP(AC$10,'I | Inflation'!$E$57:$J$59,3,0)-1)</f>
        <v>0</v>
      </c>
      <c r="AD90" s="52">
        <f>W90*(HLOOKUP(AD$10,'I | Inflation'!$E$57:$J$59,3,0)-1)</f>
        <v>0</v>
      </c>
      <c r="AE90" s="54">
        <f t="shared" si="57"/>
        <v>0</v>
      </c>
      <c r="AF90" s="53"/>
      <c r="AG90" s="226">
        <f t="shared" si="58"/>
        <v>0</v>
      </c>
      <c r="AH90" s="226">
        <f t="shared" si="59"/>
        <v>0</v>
      </c>
      <c r="AI90" s="226">
        <f t="shared" si="60"/>
        <v>0</v>
      </c>
      <c r="AJ90" s="226">
        <f t="shared" si="61"/>
        <v>0</v>
      </c>
      <c r="AK90" s="226">
        <f t="shared" si="62"/>
        <v>0</v>
      </c>
      <c r="AL90" s="54">
        <f t="shared" si="63"/>
        <v>0</v>
      </c>
      <c r="AM90" s="53"/>
      <c r="AN90" s="52"/>
      <c r="AO90" s="52"/>
      <c r="AP90" s="52"/>
      <c r="AQ90" s="52"/>
      <c r="AR90" s="52"/>
      <c r="AS90" s="54">
        <f t="shared" si="64"/>
        <v>0</v>
      </c>
      <c r="AT90" s="53"/>
      <c r="AU90" s="52"/>
      <c r="AV90" s="52"/>
      <c r="AW90" s="52"/>
      <c r="AX90" s="52"/>
      <c r="AY90" s="52"/>
      <c r="AZ90" s="54">
        <f t="shared" si="65"/>
        <v>0</v>
      </c>
      <c r="BA90" s="53"/>
      <c r="BB90" s="52"/>
      <c r="BC90" s="52"/>
      <c r="BD90" s="52"/>
      <c r="BE90" s="52"/>
      <c r="BF90" s="52"/>
      <c r="BG90" s="54">
        <f t="shared" si="66"/>
        <v>0</v>
      </c>
      <c r="BH90" s="53"/>
      <c r="BI90" s="52">
        <f>L90*VLOOKUP($A90,'I | Capex forecast'!$A$11:$AA$160,BI$8,0)</f>
        <v>0</v>
      </c>
      <c r="BJ90" s="52">
        <f>M90*VLOOKUP($A90,'I | Capex forecast'!$A$11:$AA$160,BJ$8,0)</f>
        <v>0</v>
      </c>
      <c r="BK90" s="52">
        <f>N90*VLOOKUP($A90,'I | Capex forecast'!$A$11:$AA$160,BK$8,0)</f>
        <v>0</v>
      </c>
      <c r="BL90" s="52">
        <f>O90*VLOOKUP($A90,'I | Capex forecast'!$A$11:$AA$160,BL$8,0)</f>
        <v>0</v>
      </c>
      <c r="BM90" s="52">
        <f>P90*VLOOKUP($A90,'I | Capex forecast'!$A$11:$AA$160,BM$8,0)</f>
        <v>0</v>
      </c>
      <c r="BN90" s="54">
        <f t="shared" si="67"/>
        <v>0</v>
      </c>
      <c r="BO90" s="53"/>
      <c r="BP90" s="52">
        <f t="shared" si="46"/>
        <v>0</v>
      </c>
      <c r="BQ90" s="52">
        <f t="shared" si="47"/>
        <v>0</v>
      </c>
      <c r="BR90" s="52">
        <f t="shared" si="48"/>
        <v>0</v>
      </c>
      <c r="BS90" s="52">
        <f t="shared" si="49"/>
        <v>0</v>
      </c>
      <c r="BT90" s="52">
        <f t="shared" si="50"/>
        <v>0</v>
      </c>
      <c r="BU90" s="54">
        <f t="shared" si="68"/>
        <v>0</v>
      </c>
      <c r="BW90" s="52">
        <f t="shared" si="51"/>
        <v>0</v>
      </c>
      <c r="BX90" s="52">
        <f t="shared" si="52"/>
        <v>0</v>
      </c>
      <c r="BY90" s="52">
        <f t="shared" si="53"/>
        <v>0</v>
      </c>
      <c r="BZ90" s="52">
        <f t="shared" si="54"/>
        <v>0</v>
      </c>
      <c r="CA90" s="52">
        <f t="shared" si="55"/>
        <v>0</v>
      </c>
      <c r="CB90" s="54">
        <f t="shared" si="69"/>
        <v>0</v>
      </c>
      <c r="CC90" s="53"/>
      <c r="CD90" s="52">
        <f t="shared" si="70"/>
        <v>0</v>
      </c>
      <c r="CE90" s="52">
        <f t="shared" si="71"/>
        <v>0</v>
      </c>
      <c r="CF90" s="52">
        <f t="shared" si="72"/>
        <v>0</v>
      </c>
      <c r="CG90" s="52">
        <f t="shared" si="73"/>
        <v>0</v>
      </c>
      <c r="CH90" s="52">
        <f t="shared" si="74"/>
        <v>0</v>
      </c>
      <c r="CI90" s="54">
        <f t="shared" si="75"/>
        <v>0</v>
      </c>
    </row>
    <row r="91" spans="1:87" s="4" customFormat="1" x14ac:dyDescent="0.3">
      <c r="A91" s="56">
        <v>81</v>
      </c>
      <c r="B91" s="48" t="str">
        <f>IF('I | Capex forecast'!B91="","",'I | Capex forecast'!B91)</f>
        <v/>
      </c>
      <c r="C91" s="48" t="str">
        <f>IF('I | Capex forecast'!C91="","",'I | Capex forecast'!C91)</f>
        <v/>
      </c>
      <c r="D91" s="48" t="str">
        <f>IF('I | Capex forecast'!D91="","",'I | Capex forecast'!D91)</f>
        <v/>
      </c>
      <c r="E91" s="48" t="str">
        <f>IF('I | Capex forecast'!E91="","",'I | Capex forecast'!E91)</f>
        <v/>
      </c>
      <c r="F91" s="48" t="str">
        <f>IF('I | Capex forecast'!F91="","",'I | Capex forecast'!F91)</f>
        <v/>
      </c>
      <c r="G91" s="48" t="str">
        <f>IF('I | Capex forecast'!G91="","",'I | Capex forecast'!G91)</f>
        <v/>
      </c>
      <c r="H91" s="48" t="str">
        <f>IF('I | Capex forecast'!H91="","",'I | Capex forecast'!H91)</f>
        <v/>
      </c>
      <c r="I91" s="48" t="str">
        <f>IF('I | Capex forecast'!I91="","",'I | Capex forecast'!I91)</f>
        <v/>
      </c>
      <c r="J91" s="48" t="str">
        <f>IF('I | Capex forecast'!J91="","",'I | Capex forecast'!J91)</f>
        <v/>
      </c>
      <c r="K91" s="50"/>
      <c r="L91" s="52">
        <f>IFERROR(VLOOKUP($A91,'I | Capex forecast'!$A$11:$AA$160,L$8,0)*INDEX('I | Inflation'!$F$46:$G$49,MATCH($I91,'I | Inflation'!$E$46:$E$49,0),MATCH($H91,'I | Inflation'!$F$45:$G$45,0)),0)</f>
        <v>0</v>
      </c>
      <c r="M91" s="52">
        <f>IFERROR(VLOOKUP($A91,'I | Capex forecast'!$A$11:$AA$160,M$8,0)*INDEX('I | Inflation'!$F$46:$G$49,MATCH($I91,'I | Inflation'!$E$46:$E$49,0),MATCH($H91,'I | Inflation'!$F$45:$G$45,0)),0)</f>
        <v>0</v>
      </c>
      <c r="N91" s="52">
        <f>IFERROR(VLOOKUP($A91,'I | Capex forecast'!$A$11:$AA$160,N$8,0)*INDEX('I | Inflation'!$F$46:$G$49,MATCH($I91,'I | Inflation'!$E$46:$E$49,0),MATCH($H91,'I | Inflation'!$F$45:$G$45,0)),0)</f>
        <v>0</v>
      </c>
      <c r="O91" s="52">
        <f>IFERROR(VLOOKUP($A91,'I | Capex forecast'!$A$11:$AA$160,O$8,0)*INDEX('I | Inflation'!$F$46:$G$49,MATCH($I91,'I | Inflation'!$E$46:$E$49,0),MATCH($H91,'I | Inflation'!$F$45:$G$45,0)),0)</f>
        <v>0</v>
      </c>
      <c r="P91" s="52">
        <f>IFERROR(VLOOKUP($A91,'I | Capex forecast'!$A$11:$AA$160,P$8,0)*INDEX('I | Inflation'!$F$46:$G$49,MATCH($I91,'I | Inflation'!$E$46:$E$49,0),MATCH($H91,'I | Inflation'!$F$45:$G$45,0)),0)</f>
        <v>0</v>
      </c>
      <c r="Q91" s="54">
        <f t="shared" si="44"/>
        <v>0</v>
      </c>
      <c r="R91" s="53"/>
      <c r="S91" s="226">
        <f>L91*VLOOKUP($A91,'I | Capex forecast'!$A$11:$AA$160,S$8,0)</f>
        <v>0</v>
      </c>
      <c r="T91" s="226">
        <f>M91*VLOOKUP($A91,'I | Capex forecast'!$A$11:$AA$160,T$8,0)</f>
        <v>0</v>
      </c>
      <c r="U91" s="226">
        <f>N91*VLOOKUP($A91,'I | Capex forecast'!$A$11:$AA$160,U$8,0)</f>
        <v>0</v>
      </c>
      <c r="V91" s="226">
        <f>O91*VLOOKUP($A91,'I | Capex forecast'!$A$11:$AA$160,V$8,0)</f>
        <v>0</v>
      </c>
      <c r="W91" s="226">
        <f>P91*VLOOKUP($A91,'I | Capex forecast'!$A$11:$AA$160,W$8,0)</f>
        <v>0</v>
      </c>
      <c r="X91" s="54">
        <f t="shared" si="56"/>
        <v>0</v>
      </c>
      <c r="Y91" s="53"/>
      <c r="Z91" s="52">
        <f>S91*(HLOOKUP(Z$10,'I | Inflation'!$E$57:$J$59,3,0)-1)</f>
        <v>0</v>
      </c>
      <c r="AA91" s="52">
        <f>T91*(HLOOKUP(AA$10,'I | Inflation'!$E$57:$J$59,3,0)-1)</f>
        <v>0</v>
      </c>
      <c r="AB91" s="52">
        <f>U91*(HLOOKUP(AB$10,'I | Inflation'!$E$57:$J$59,3,0)-1)</f>
        <v>0</v>
      </c>
      <c r="AC91" s="52">
        <f>V91*(HLOOKUP(AC$10,'I | Inflation'!$E$57:$J$59,3,0)-1)</f>
        <v>0</v>
      </c>
      <c r="AD91" s="52">
        <f>W91*(HLOOKUP(AD$10,'I | Inflation'!$E$57:$J$59,3,0)-1)</f>
        <v>0</v>
      </c>
      <c r="AE91" s="54">
        <f t="shared" si="57"/>
        <v>0</v>
      </c>
      <c r="AF91" s="53"/>
      <c r="AG91" s="226">
        <f t="shared" si="58"/>
        <v>0</v>
      </c>
      <c r="AH91" s="226">
        <f t="shared" si="59"/>
        <v>0</v>
      </c>
      <c r="AI91" s="226">
        <f t="shared" si="60"/>
        <v>0</v>
      </c>
      <c r="AJ91" s="226">
        <f t="shared" si="61"/>
        <v>0</v>
      </c>
      <c r="AK91" s="226">
        <f t="shared" si="62"/>
        <v>0</v>
      </c>
      <c r="AL91" s="54">
        <f t="shared" si="63"/>
        <v>0</v>
      </c>
      <c r="AM91" s="53"/>
      <c r="AN91" s="52"/>
      <c r="AO91" s="52"/>
      <c r="AP91" s="52"/>
      <c r="AQ91" s="52"/>
      <c r="AR91" s="52"/>
      <c r="AS91" s="54">
        <f t="shared" si="64"/>
        <v>0</v>
      </c>
      <c r="AT91" s="53"/>
      <c r="AU91" s="52"/>
      <c r="AV91" s="52"/>
      <c r="AW91" s="52"/>
      <c r="AX91" s="52"/>
      <c r="AY91" s="52"/>
      <c r="AZ91" s="54">
        <f t="shared" si="65"/>
        <v>0</v>
      </c>
      <c r="BA91" s="53"/>
      <c r="BB91" s="52"/>
      <c r="BC91" s="52"/>
      <c r="BD91" s="52"/>
      <c r="BE91" s="52"/>
      <c r="BF91" s="52"/>
      <c r="BG91" s="54">
        <f t="shared" si="66"/>
        <v>0</v>
      </c>
      <c r="BH91" s="53"/>
      <c r="BI91" s="52">
        <f>L91*VLOOKUP($A91,'I | Capex forecast'!$A$11:$AA$160,BI$8,0)</f>
        <v>0</v>
      </c>
      <c r="BJ91" s="52">
        <f>M91*VLOOKUP($A91,'I | Capex forecast'!$A$11:$AA$160,BJ$8,0)</f>
        <v>0</v>
      </c>
      <c r="BK91" s="52">
        <f>N91*VLOOKUP($A91,'I | Capex forecast'!$A$11:$AA$160,BK$8,0)</f>
        <v>0</v>
      </c>
      <c r="BL91" s="52">
        <f>O91*VLOOKUP($A91,'I | Capex forecast'!$A$11:$AA$160,BL$8,0)</f>
        <v>0</v>
      </c>
      <c r="BM91" s="52">
        <f>P91*VLOOKUP($A91,'I | Capex forecast'!$A$11:$AA$160,BM$8,0)</f>
        <v>0</v>
      </c>
      <c r="BN91" s="54">
        <f t="shared" si="67"/>
        <v>0</v>
      </c>
      <c r="BO91" s="53"/>
      <c r="BP91" s="52">
        <f t="shared" si="46"/>
        <v>0</v>
      </c>
      <c r="BQ91" s="52">
        <f t="shared" si="47"/>
        <v>0</v>
      </c>
      <c r="BR91" s="52">
        <f t="shared" si="48"/>
        <v>0</v>
      </c>
      <c r="BS91" s="52">
        <f t="shared" si="49"/>
        <v>0</v>
      </c>
      <c r="BT91" s="52">
        <f t="shared" si="50"/>
        <v>0</v>
      </c>
      <c r="BU91" s="54">
        <f t="shared" si="68"/>
        <v>0</v>
      </c>
      <c r="BW91" s="52">
        <f t="shared" si="51"/>
        <v>0</v>
      </c>
      <c r="BX91" s="52">
        <f t="shared" si="52"/>
        <v>0</v>
      </c>
      <c r="BY91" s="52">
        <f t="shared" si="53"/>
        <v>0</v>
      </c>
      <c r="BZ91" s="52">
        <f t="shared" si="54"/>
        <v>0</v>
      </c>
      <c r="CA91" s="52">
        <f t="shared" si="55"/>
        <v>0</v>
      </c>
      <c r="CB91" s="54">
        <f t="shared" si="69"/>
        <v>0</v>
      </c>
      <c r="CC91" s="53"/>
      <c r="CD91" s="52">
        <f t="shared" si="70"/>
        <v>0</v>
      </c>
      <c r="CE91" s="52">
        <f t="shared" si="71"/>
        <v>0</v>
      </c>
      <c r="CF91" s="52">
        <f t="shared" si="72"/>
        <v>0</v>
      </c>
      <c r="CG91" s="52">
        <f t="shared" si="73"/>
        <v>0</v>
      </c>
      <c r="CH91" s="52">
        <f t="shared" si="74"/>
        <v>0</v>
      </c>
      <c r="CI91" s="54">
        <f t="shared" si="75"/>
        <v>0</v>
      </c>
    </row>
    <row r="92" spans="1:87" s="4" customFormat="1" x14ac:dyDescent="0.3">
      <c r="A92" s="56">
        <v>82</v>
      </c>
      <c r="B92" s="48" t="str">
        <f>IF('I | Capex forecast'!B92="","",'I | Capex forecast'!B92)</f>
        <v/>
      </c>
      <c r="C92" s="48" t="str">
        <f>IF('I | Capex forecast'!C92="","",'I | Capex forecast'!C92)</f>
        <v/>
      </c>
      <c r="D92" s="48" t="str">
        <f>IF('I | Capex forecast'!D92="","",'I | Capex forecast'!D92)</f>
        <v/>
      </c>
      <c r="E92" s="48" t="str">
        <f>IF('I | Capex forecast'!E92="","",'I | Capex forecast'!E92)</f>
        <v/>
      </c>
      <c r="F92" s="48" t="str">
        <f>IF('I | Capex forecast'!F92="","",'I | Capex forecast'!F92)</f>
        <v/>
      </c>
      <c r="G92" s="48" t="str">
        <f>IF('I | Capex forecast'!G92="","",'I | Capex forecast'!G92)</f>
        <v/>
      </c>
      <c r="H92" s="48" t="str">
        <f>IF('I | Capex forecast'!H92="","",'I | Capex forecast'!H92)</f>
        <v/>
      </c>
      <c r="I92" s="48" t="str">
        <f>IF('I | Capex forecast'!I92="","",'I | Capex forecast'!I92)</f>
        <v/>
      </c>
      <c r="J92" s="48" t="str">
        <f>IF('I | Capex forecast'!J92="","",'I | Capex forecast'!J92)</f>
        <v/>
      </c>
      <c r="K92" s="50"/>
      <c r="L92" s="52">
        <f>IFERROR(VLOOKUP($A92,'I | Capex forecast'!$A$11:$AA$160,L$8,0)*INDEX('I | Inflation'!$F$46:$G$49,MATCH($I92,'I | Inflation'!$E$46:$E$49,0),MATCH($H92,'I | Inflation'!$F$45:$G$45,0)),0)</f>
        <v>0</v>
      </c>
      <c r="M92" s="52">
        <f>IFERROR(VLOOKUP($A92,'I | Capex forecast'!$A$11:$AA$160,M$8,0)*INDEX('I | Inflation'!$F$46:$G$49,MATCH($I92,'I | Inflation'!$E$46:$E$49,0),MATCH($H92,'I | Inflation'!$F$45:$G$45,0)),0)</f>
        <v>0</v>
      </c>
      <c r="N92" s="52">
        <f>IFERROR(VLOOKUP($A92,'I | Capex forecast'!$A$11:$AA$160,N$8,0)*INDEX('I | Inflation'!$F$46:$G$49,MATCH($I92,'I | Inflation'!$E$46:$E$49,0),MATCH($H92,'I | Inflation'!$F$45:$G$45,0)),0)</f>
        <v>0</v>
      </c>
      <c r="O92" s="52">
        <f>IFERROR(VLOOKUP($A92,'I | Capex forecast'!$A$11:$AA$160,O$8,0)*INDEX('I | Inflation'!$F$46:$G$49,MATCH($I92,'I | Inflation'!$E$46:$E$49,0),MATCH($H92,'I | Inflation'!$F$45:$G$45,0)),0)</f>
        <v>0</v>
      </c>
      <c r="P92" s="52">
        <f>IFERROR(VLOOKUP($A92,'I | Capex forecast'!$A$11:$AA$160,P$8,0)*INDEX('I | Inflation'!$F$46:$G$49,MATCH($I92,'I | Inflation'!$E$46:$E$49,0),MATCH($H92,'I | Inflation'!$F$45:$G$45,0)),0)</f>
        <v>0</v>
      </c>
      <c r="Q92" s="54">
        <f t="shared" si="44"/>
        <v>0</v>
      </c>
      <c r="R92" s="53"/>
      <c r="S92" s="226">
        <f>L92*VLOOKUP($A92,'I | Capex forecast'!$A$11:$AA$160,S$8,0)</f>
        <v>0</v>
      </c>
      <c r="T92" s="226">
        <f>M92*VLOOKUP($A92,'I | Capex forecast'!$A$11:$AA$160,T$8,0)</f>
        <v>0</v>
      </c>
      <c r="U92" s="226">
        <f>N92*VLOOKUP($A92,'I | Capex forecast'!$A$11:$AA$160,U$8,0)</f>
        <v>0</v>
      </c>
      <c r="V92" s="226">
        <f>O92*VLOOKUP($A92,'I | Capex forecast'!$A$11:$AA$160,V$8,0)</f>
        <v>0</v>
      </c>
      <c r="W92" s="226">
        <f>P92*VLOOKUP($A92,'I | Capex forecast'!$A$11:$AA$160,W$8,0)</f>
        <v>0</v>
      </c>
      <c r="X92" s="54">
        <f t="shared" si="56"/>
        <v>0</v>
      </c>
      <c r="Y92" s="53"/>
      <c r="Z92" s="52">
        <f>S92*(HLOOKUP(Z$10,'I | Inflation'!$E$57:$J$59,3,0)-1)</f>
        <v>0</v>
      </c>
      <c r="AA92" s="52">
        <f>T92*(HLOOKUP(AA$10,'I | Inflation'!$E$57:$J$59,3,0)-1)</f>
        <v>0</v>
      </c>
      <c r="AB92" s="52">
        <f>U92*(HLOOKUP(AB$10,'I | Inflation'!$E$57:$J$59,3,0)-1)</f>
        <v>0</v>
      </c>
      <c r="AC92" s="52">
        <f>V92*(HLOOKUP(AC$10,'I | Inflation'!$E$57:$J$59,3,0)-1)</f>
        <v>0</v>
      </c>
      <c r="AD92" s="52">
        <f>W92*(HLOOKUP(AD$10,'I | Inflation'!$E$57:$J$59,3,0)-1)</f>
        <v>0</v>
      </c>
      <c r="AE92" s="54">
        <f t="shared" si="57"/>
        <v>0</v>
      </c>
      <c r="AF92" s="53"/>
      <c r="AG92" s="226">
        <f t="shared" si="58"/>
        <v>0</v>
      </c>
      <c r="AH92" s="226">
        <f t="shared" si="59"/>
        <v>0</v>
      </c>
      <c r="AI92" s="226">
        <f t="shared" si="60"/>
        <v>0</v>
      </c>
      <c r="AJ92" s="226">
        <f t="shared" si="61"/>
        <v>0</v>
      </c>
      <c r="AK92" s="226">
        <f t="shared" si="62"/>
        <v>0</v>
      </c>
      <c r="AL92" s="54">
        <f t="shared" si="63"/>
        <v>0</v>
      </c>
      <c r="AM92" s="53"/>
      <c r="AN92" s="52"/>
      <c r="AO92" s="52"/>
      <c r="AP92" s="52"/>
      <c r="AQ92" s="52"/>
      <c r="AR92" s="52"/>
      <c r="AS92" s="54">
        <f t="shared" si="64"/>
        <v>0</v>
      </c>
      <c r="AT92" s="53"/>
      <c r="AU92" s="52"/>
      <c r="AV92" s="52"/>
      <c r="AW92" s="52"/>
      <c r="AX92" s="52"/>
      <c r="AY92" s="52"/>
      <c r="AZ92" s="54">
        <f t="shared" si="65"/>
        <v>0</v>
      </c>
      <c r="BA92" s="53"/>
      <c r="BB92" s="52"/>
      <c r="BC92" s="52"/>
      <c r="BD92" s="52"/>
      <c r="BE92" s="52"/>
      <c r="BF92" s="52"/>
      <c r="BG92" s="54">
        <f t="shared" si="66"/>
        <v>0</v>
      </c>
      <c r="BH92" s="53"/>
      <c r="BI92" s="52">
        <f>L92*VLOOKUP($A92,'I | Capex forecast'!$A$11:$AA$160,BI$8,0)</f>
        <v>0</v>
      </c>
      <c r="BJ92" s="52">
        <f>M92*VLOOKUP($A92,'I | Capex forecast'!$A$11:$AA$160,BJ$8,0)</f>
        <v>0</v>
      </c>
      <c r="BK92" s="52">
        <f>N92*VLOOKUP($A92,'I | Capex forecast'!$A$11:$AA$160,BK$8,0)</f>
        <v>0</v>
      </c>
      <c r="BL92" s="52">
        <f>O92*VLOOKUP($A92,'I | Capex forecast'!$A$11:$AA$160,BL$8,0)</f>
        <v>0</v>
      </c>
      <c r="BM92" s="52">
        <f>P92*VLOOKUP($A92,'I | Capex forecast'!$A$11:$AA$160,BM$8,0)</f>
        <v>0</v>
      </c>
      <c r="BN92" s="54">
        <f t="shared" si="67"/>
        <v>0</v>
      </c>
      <c r="BO92" s="53"/>
      <c r="BP92" s="52">
        <f t="shared" si="46"/>
        <v>0</v>
      </c>
      <c r="BQ92" s="52">
        <f t="shared" si="47"/>
        <v>0</v>
      </c>
      <c r="BR92" s="52">
        <f t="shared" si="48"/>
        <v>0</v>
      </c>
      <c r="BS92" s="52">
        <f t="shared" si="49"/>
        <v>0</v>
      </c>
      <c r="BT92" s="52">
        <f t="shared" si="50"/>
        <v>0</v>
      </c>
      <c r="BU92" s="54">
        <f t="shared" si="68"/>
        <v>0</v>
      </c>
      <c r="BW92" s="52">
        <f t="shared" si="51"/>
        <v>0</v>
      </c>
      <c r="BX92" s="52">
        <f t="shared" si="52"/>
        <v>0</v>
      </c>
      <c r="BY92" s="52">
        <f t="shared" si="53"/>
        <v>0</v>
      </c>
      <c r="BZ92" s="52">
        <f t="shared" si="54"/>
        <v>0</v>
      </c>
      <c r="CA92" s="52">
        <f t="shared" si="55"/>
        <v>0</v>
      </c>
      <c r="CB92" s="54">
        <f t="shared" si="69"/>
        <v>0</v>
      </c>
      <c r="CC92" s="53"/>
      <c r="CD92" s="52">
        <f t="shared" si="70"/>
        <v>0</v>
      </c>
      <c r="CE92" s="52">
        <f t="shared" si="71"/>
        <v>0</v>
      </c>
      <c r="CF92" s="52">
        <f t="shared" si="72"/>
        <v>0</v>
      </c>
      <c r="CG92" s="52">
        <f t="shared" si="73"/>
        <v>0</v>
      </c>
      <c r="CH92" s="52">
        <f t="shared" si="74"/>
        <v>0</v>
      </c>
      <c r="CI92" s="54">
        <f t="shared" si="75"/>
        <v>0</v>
      </c>
    </row>
    <row r="93" spans="1:87" s="4" customFormat="1" x14ac:dyDescent="0.3">
      <c r="A93" s="56">
        <v>83</v>
      </c>
      <c r="B93" s="48" t="str">
        <f>IF('I | Capex forecast'!B93="","",'I | Capex forecast'!B93)</f>
        <v/>
      </c>
      <c r="C93" s="48" t="str">
        <f>IF('I | Capex forecast'!C93="","",'I | Capex forecast'!C93)</f>
        <v/>
      </c>
      <c r="D93" s="48" t="str">
        <f>IF('I | Capex forecast'!D93="","",'I | Capex forecast'!D93)</f>
        <v/>
      </c>
      <c r="E93" s="48" t="str">
        <f>IF('I | Capex forecast'!E93="","",'I | Capex forecast'!E93)</f>
        <v/>
      </c>
      <c r="F93" s="48" t="str">
        <f>IF('I | Capex forecast'!F93="","",'I | Capex forecast'!F93)</f>
        <v/>
      </c>
      <c r="G93" s="48" t="str">
        <f>IF('I | Capex forecast'!G93="","",'I | Capex forecast'!G93)</f>
        <v/>
      </c>
      <c r="H93" s="48" t="str">
        <f>IF('I | Capex forecast'!H93="","",'I | Capex forecast'!H93)</f>
        <v/>
      </c>
      <c r="I93" s="48" t="str">
        <f>IF('I | Capex forecast'!I93="","",'I | Capex forecast'!I93)</f>
        <v/>
      </c>
      <c r="J93" s="48" t="str">
        <f>IF('I | Capex forecast'!J93="","",'I | Capex forecast'!J93)</f>
        <v/>
      </c>
      <c r="K93" s="50"/>
      <c r="L93" s="52">
        <f>IFERROR(VLOOKUP($A93,'I | Capex forecast'!$A$11:$AA$160,L$8,0)*INDEX('I | Inflation'!$F$46:$G$49,MATCH($I93,'I | Inflation'!$E$46:$E$49,0),MATCH($H93,'I | Inflation'!$F$45:$G$45,0)),0)</f>
        <v>0</v>
      </c>
      <c r="M93" s="52">
        <f>IFERROR(VLOOKUP($A93,'I | Capex forecast'!$A$11:$AA$160,M$8,0)*INDEX('I | Inflation'!$F$46:$G$49,MATCH($I93,'I | Inflation'!$E$46:$E$49,0),MATCH($H93,'I | Inflation'!$F$45:$G$45,0)),0)</f>
        <v>0</v>
      </c>
      <c r="N93" s="52">
        <f>IFERROR(VLOOKUP($A93,'I | Capex forecast'!$A$11:$AA$160,N$8,0)*INDEX('I | Inflation'!$F$46:$G$49,MATCH($I93,'I | Inflation'!$E$46:$E$49,0),MATCH($H93,'I | Inflation'!$F$45:$G$45,0)),0)</f>
        <v>0</v>
      </c>
      <c r="O93" s="52">
        <f>IFERROR(VLOOKUP($A93,'I | Capex forecast'!$A$11:$AA$160,O$8,0)*INDEX('I | Inflation'!$F$46:$G$49,MATCH($I93,'I | Inflation'!$E$46:$E$49,0),MATCH($H93,'I | Inflation'!$F$45:$G$45,0)),0)</f>
        <v>0</v>
      </c>
      <c r="P93" s="52">
        <f>IFERROR(VLOOKUP($A93,'I | Capex forecast'!$A$11:$AA$160,P$8,0)*INDEX('I | Inflation'!$F$46:$G$49,MATCH($I93,'I | Inflation'!$E$46:$E$49,0),MATCH($H93,'I | Inflation'!$F$45:$G$45,0)),0)</f>
        <v>0</v>
      </c>
      <c r="Q93" s="54">
        <f t="shared" si="44"/>
        <v>0</v>
      </c>
      <c r="R93" s="53"/>
      <c r="S93" s="226">
        <f>L93*VLOOKUP($A93,'I | Capex forecast'!$A$11:$AA$160,S$8,0)</f>
        <v>0</v>
      </c>
      <c r="T93" s="226">
        <f>M93*VLOOKUP($A93,'I | Capex forecast'!$A$11:$AA$160,T$8,0)</f>
        <v>0</v>
      </c>
      <c r="U93" s="226">
        <f>N93*VLOOKUP($A93,'I | Capex forecast'!$A$11:$AA$160,U$8,0)</f>
        <v>0</v>
      </c>
      <c r="V93" s="226">
        <f>O93*VLOOKUP($A93,'I | Capex forecast'!$A$11:$AA$160,V$8,0)</f>
        <v>0</v>
      </c>
      <c r="W93" s="226">
        <f>P93*VLOOKUP($A93,'I | Capex forecast'!$A$11:$AA$160,W$8,0)</f>
        <v>0</v>
      </c>
      <c r="X93" s="54">
        <f t="shared" si="56"/>
        <v>0</v>
      </c>
      <c r="Y93" s="53"/>
      <c r="Z93" s="52">
        <f>S93*(HLOOKUP(Z$10,'I | Inflation'!$E$57:$J$59,3,0)-1)</f>
        <v>0</v>
      </c>
      <c r="AA93" s="52">
        <f>T93*(HLOOKUP(AA$10,'I | Inflation'!$E$57:$J$59,3,0)-1)</f>
        <v>0</v>
      </c>
      <c r="AB93" s="52">
        <f>U93*(HLOOKUP(AB$10,'I | Inflation'!$E$57:$J$59,3,0)-1)</f>
        <v>0</v>
      </c>
      <c r="AC93" s="52">
        <f>V93*(HLOOKUP(AC$10,'I | Inflation'!$E$57:$J$59,3,0)-1)</f>
        <v>0</v>
      </c>
      <c r="AD93" s="52">
        <f>W93*(HLOOKUP(AD$10,'I | Inflation'!$E$57:$J$59,3,0)-1)</f>
        <v>0</v>
      </c>
      <c r="AE93" s="54">
        <f t="shared" si="57"/>
        <v>0</v>
      </c>
      <c r="AF93" s="53"/>
      <c r="AG93" s="226">
        <f t="shared" si="58"/>
        <v>0</v>
      </c>
      <c r="AH93" s="226">
        <f t="shared" si="59"/>
        <v>0</v>
      </c>
      <c r="AI93" s="226">
        <f t="shared" si="60"/>
        <v>0</v>
      </c>
      <c r="AJ93" s="226">
        <f t="shared" si="61"/>
        <v>0</v>
      </c>
      <c r="AK93" s="226">
        <f t="shared" si="62"/>
        <v>0</v>
      </c>
      <c r="AL93" s="54">
        <f t="shared" si="63"/>
        <v>0</v>
      </c>
      <c r="AM93" s="53"/>
      <c r="AN93" s="52"/>
      <c r="AO93" s="52"/>
      <c r="AP93" s="52"/>
      <c r="AQ93" s="52"/>
      <c r="AR93" s="52"/>
      <c r="AS93" s="54">
        <f t="shared" si="64"/>
        <v>0</v>
      </c>
      <c r="AT93" s="53"/>
      <c r="AU93" s="52"/>
      <c r="AV93" s="52"/>
      <c r="AW93" s="52"/>
      <c r="AX93" s="52"/>
      <c r="AY93" s="52"/>
      <c r="AZ93" s="54">
        <f t="shared" si="65"/>
        <v>0</v>
      </c>
      <c r="BA93" s="53"/>
      <c r="BB93" s="52"/>
      <c r="BC93" s="52"/>
      <c r="BD93" s="52"/>
      <c r="BE93" s="52"/>
      <c r="BF93" s="52"/>
      <c r="BG93" s="54">
        <f t="shared" si="66"/>
        <v>0</v>
      </c>
      <c r="BH93" s="53"/>
      <c r="BI93" s="52">
        <f>L93*VLOOKUP($A93,'I | Capex forecast'!$A$11:$AA$160,BI$8,0)</f>
        <v>0</v>
      </c>
      <c r="BJ93" s="52">
        <f>M93*VLOOKUP($A93,'I | Capex forecast'!$A$11:$AA$160,BJ$8,0)</f>
        <v>0</v>
      </c>
      <c r="BK93" s="52">
        <f>N93*VLOOKUP($A93,'I | Capex forecast'!$A$11:$AA$160,BK$8,0)</f>
        <v>0</v>
      </c>
      <c r="BL93" s="52">
        <f>O93*VLOOKUP($A93,'I | Capex forecast'!$A$11:$AA$160,BL$8,0)</f>
        <v>0</v>
      </c>
      <c r="BM93" s="52">
        <f>P93*VLOOKUP($A93,'I | Capex forecast'!$A$11:$AA$160,BM$8,0)</f>
        <v>0</v>
      </c>
      <c r="BN93" s="54">
        <f t="shared" si="67"/>
        <v>0</v>
      </c>
      <c r="BO93" s="53"/>
      <c r="BP93" s="52">
        <f t="shared" si="46"/>
        <v>0</v>
      </c>
      <c r="BQ93" s="52">
        <f t="shared" si="47"/>
        <v>0</v>
      </c>
      <c r="BR93" s="52">
        <f t="shared" si="48"/>
        <v>0</v>
      </c>
      <c r="BS93" s="52">
        <f t="shared" si="49"/>
        <v>0</v>
      </c>
      <c r="BT93" s="52">
        <f t="shared" si="50"/>
        <v>0</v>
      </c>
      <c r="BU93" s="54">
        <f t="shared" si="68"/>
        <v>0</v>
      </c>
      <c r="BW93" s="52">
        <f t="shared" si="51"/>
        <v>0</v>
      </c>
      <c r="BX93" s="52">
        <f t="shared" si="52"/>
        <v>0</v>
      </c>
      <c r="BY93" s="52">
        <f t="shared" si="53"/>
        <v>0</v>
      </c>
      <c r="BZ93" s="52">
        <f t="shared" si="54"/>
        <v>0</v>
      </c>
      <c r="CA93" s="52">
        <f t="shared" si="55"/>
        <v>0</v>
      </c>
      <c r="CB93" s="54">
        <f t="shared" si="69"/>
        <v>0</v>
      </c>
      <c r="CC93" s="53"/>
      <c r="CD93" s="52">
        <f t="shared" si="70"/>
        <v>0</v>
      </c>
      <c r="CE93" s="52">
        <f t="shared" si="71"/>
        <v>0</v>
      </c>
      <c r="CF93" s="52">
        <f t="shared" si="72"/>
        <v>0</v>
      </c>
      <c r="CG93" s="52">
        <f t="shared" si="73"/>
        <v>0</v>
      </c>
      <c r="CH93" s="52">
        <f t="shared" si="74"/>
        <v>0</v>
      </c>
      <c r="CI93" s="54">
        <f t="shared" si="75"/>
        <v>0</v>
      </c>
    </row>
    <row r="94" spans="1:87" s="4" customFormat="1" x14ac:dyDescent="0.3">
      <c r="A94" s="56">
        <v>84</v>
      </c>
      <c r="B94" s="48" t="str">
        <f>IF('I | Capex forecast'!B94="","",'I | Capex forecast'!B94)</f>
        <v/>
      </c>
      <c r="C94" s="48" t="str">
        <f>IF('I | Capex forecast'!C94="","",'I | Capex forecast'!C94)</f>
        <v/>
      </c>
      <c r="D94" s="48" t="str">
        <f>IF('I | Capex forecast'!D94="","",'I | Capex forecast'!D94)</f>
        <v/>
      </c>
      <c r="E94" s="48" t="str">
        <f>IF('I | Capex forecast'!E94="","",'I | Capex forecast'!E94)</f>
        <v/>
      </c>
      <c r="F94" s="48" t="str">
        <f>IF('I | Capex forecast'!F94="","",'I | Capex forecast'!F94)</f>
        <v/>
      </c>
      <c r="G94" s="48" t="str">
        <f>IF('I | Capex forecast'!G94="","",'I | Capex forecast'!G94)</f>
        <v/>
      </c>
      <c r="H94" s="48" t="str">
        <f>IF('I | Capex forecast'!H94="","",'I | Capex forecast'!H94)</f>
        <v/>
      </c>
      <c r="I94" s="48" t="str">
        <f>IF('I | Capex forecast'!I94="","",'I | Capex forecast'!I94)</f>
        <v/>
      </c>
      <c r="J94" s="48" t="str">
        <f>IF('I | Capex forecast'!J94="","",'I | Capex forecast'!J94)</f>
        <v/>
      </c>
      <c r="K94" s="50"/>
      <c r="L94" s="52">
        <f>IFERROR(VLOOKUP($A94,'I | Capex forecast'!$A$11:$AA$160,L$8,0)*INDEX('I | Inflation'!$F$46:$G$49,MATCH($I94,'I | Inflation'!$E$46:$E$49,0),MATCH($H94,'I | Inflation'!$F$45:$G$45,0)),0)</f>
        <v>0</v>
      </c>
      <c r="M94" s="52">
        <f>IFERROR(VLOOKUP($A94,'I | Capex forecast'!$A$11:$AA$160,M$8,0)*INDEX('I | Inflation'!$F$46:$G$49,MATCH($I94,'I | Inflation'!$E$46:$E$49,0),MATCH($H94,'I | Inflation'!$F$45:$G$45,0)),0)</f>
        <v>0</v>
      </c>
      <c r="N94" s="52">
        <f>IFERROR(VLOOKUP($A94,'I | Capex forecast'!$A$11:$AA$160,N$8,0)*INDEX('I | Inflation'!$F$46:$G$49,MATCH($I94,'I | Inflation'!$E$46:$E$49,0),MATCH($H94,'I | Inflation'!$F$45:$G$45,0)),0)</f>
        <v>0</v>
      </c>
      <c r="O94" s="52">
        <f>IFERROR(VLOOKUP($A94,'I | Capex forecast'!$A$11:$AA$160,O$8,0)*INDEX('I | Inflation'!$F$46:$G$49,MATCH($I94,'I | Inflation'!$E$46:$E$49,0),MATCH($H94,'I | Inflation'!$F$45:$G$45,0)),0)</f>
        <v>0</v>
      </c>
      <c r="P94" s="52">
        <f>IFERROR(VLOOKUP($A94,'I | Capex forecast'!$A$11:$AA$160,P$8,0)*INDEX('I | Inflation'!$F$46:$G$49,MATCH($I94,'I | Inflation'!$E$46:$E$49,0),MATCH($H94,'I | Inflation'!$F$45:$G$45,0)),0)</f>
        <v>0</v>
      </c>
      <c r="Q94" s="54">
        <f t="shared" si="44"/>
        <v>0</v>
      </c>
      <c r="R94" s="53"/>
      <c r="S94" s="226">
        <f>L94*VLOOKUP($A94,'I | Capex forecast'!$A$11:$AA$160,S$8,0)</f>
        <v>0</v>
      </c>
      <c r="T94" s="226">
        <f>M94*VLOOKUP($A94,'I | Capex forecast'!$A$11:$AA$160,T$8,0)</f>
        <v>0</v>
      </c>
      <c r="U94" s="226">
        <f>N94*VLOOKUP($A94,'I | Capex forecast'!$A$11:$AA$160,U$8,0)</f>
        <v>0</v>
      </c>
      <c r="V94" s="226">
        <f>O94*VLOOKUP($A94,'I | Capex forecast'!$A$11:$AA$160,V$8,0)</f>
        <v>0</v>
      </c>
      <c r="W94" s="226">
        <f>P94*VLOOKUP($A94,'I | Capex forecast'!$A$11:$AA$160,W$8,0)</f>
        <v>0</v>
      </c>
      <c r="X94" s="54">
        <f t="shared" si="56"/>
        <v>0</v>
      </c>
      <c r="Y94" s="53"/>
      <c r="Z94" s="52">
        <f>S94*(HLOOKUP(Z$10,'I | Inflation'!$E$57:$J$59,3,0)-1)</f>
        <v>0</v>
      </c>
      <c r="AA94" s="52">
        <f>T94*(HLOOKUP(AA$10,'I | Inflation'!$E$57:$J$59,3,0)-1)</f>
        <v>0</v>
      </c>
      <c r="AB94" s="52">
        <f>U94*(HLOOKUP(AB$10,'I | Inflation'!$E$57:$J$59,3,0)-1)</f>
        <v>0</v>
      </c>
      <c r="AC94" s="52">
        <f>V94*(HLOOKUP(AC$10,'I | Inflation'!$E$57:$J$59,3,0)-1)</f>
        <v>0</v>
      </c>
      <c r="AD94" s="52">
        <f>W94*(HLOOKUP(AD$10,'I | Inflation'!$E$57:$J$59,3,0)-1)</f>
        <v>0</v>
      </c>
      <c r="AE94" s="54">
        <f t="shared" si="57"/>
        <v>0</v>
      </c>
      <c r="AF94" s="53"/>
      <c r="AG94" s="226">
        <f t="shared" si="58"/>
        <v>0</v>
      </c>
      <c r="AH94" s="226">
        <f t="shared" si="59"/>
        <v>0</v>
      </c>
      <c r="AI94" s="226">
        <f t="shared" si="60"/>
        <v>0</v>
      </c>
      <c r="AJ94" s="226">
        <f t="shared" si="61"/>
        <v>0</v>
      </c>
      <c r="AK94" s="226">
        <f t="shared" si="62"/>
        <v>0</v>
      </c>
      <c r="AL94" s="54">
        <f t="shared" si="63"/>
        <v>0</v>
      </c>
      <c r="AM94" s="53"/>
      <c r="AN94" s="52"/>
      <c r="AO94" s="52"/>
      <c r="AP94" s="52"/>
      <c r="AQ94" s="52"/>
      <c r="AR94" s="52"/>
      <c r="AS94" s="54">
        <f t="shared" si="64"/>
        <v>0</v>
      </c>
      <c r="AT94" s="53"/>
      <c r="AU94" s="52"/>
      <c r="AV94" s="52"/>
      <c r="AW94" s="52"/>
      <c r="AX94" s="52"/>
      <c r="AY94" s="52"/>
      <c r="AZ94" s="54">
        <f t="shared" si="65"/>
        <v>0</v>
      </c>
      <c r="BA94" s="53"/>
      <c r="BB94" s="52"/>
      <c r="BC94" s="52"/>
      <c r="BD94" s="52"/>
      <c r="BE94" s="52"/>
      <c r="BF94" s="52"/>
      <c r="BG94" s="54">
        <f t="shared" si="66"/>
        <v>0</v>
      </c>
      <c r="BH94" s="53"/>
      <c r="BI94" s="52">
        <f>L94*VLOOKUP($A94,'I | Capex forecast'!$A$11:$AA$160,BI$8,0)</f>
        <v>0</v>
      </c>
      <c r="BJ94" s="52">
        <f>M94*VLOOKUP($A94,'I | Capex forecast'!$A$11:$AA$160,BJ$8,0)</f>
        <v>0</v>
      </c>
      <c r="BK94" s="52">
        <f>N94*VLOOKUP($A94,'I | Capex forecast'!$A$11:$AA$160,BK$8,0)</f>
        <v>0</v>
      </c>
      <c r="BL94" s="52">
        <f>O94*VLOOKUP($A94,'I | Capex forecast'!$A$11:$AA$160,BL$8,0)</f>
        <v>0</v>
      </c>
      <c r="BM94" s="52">
        <f>P94*VLOOKUP($A94,'I | Capex forecast'!$A$11:$AA$160,BM$8,0)</f>
        <v>0</v>
      </c>
      <c r="BN94" s="54">
        <f t="shared" si="67"/>
        <v>0</v>
      </c>
      <c r="BO94" s="53"/>
      <c r="BP94" s="52">
        <f t="shared" si="46"/>
        <v>0</v>
      </c>
      <c r="BQ94" s="52">
        <f t="shared" si="47"/>
        <v>0</v>
      </c>
      <c r="BR94" s="52">
        <f t="shared" si="48"/>
        <v>0</v>
      </c>
      <c r="BS94" s="52">
        <f t="shared" si="49"/>
        <v>0</v>
      </c>
      <c r="BT94" s="52">
        <f t="shared" si="50"/>
        <v>0</v>
      </c>
      <c r="BU94" s="54">
        <f t="shared" si="68"/>
        <v>0</v>
      </c>
      <c r="BW94" s="52">
        <f t="shared" si="51"/>
        <v>0</v>
      </c>
      <c r="BX94" s="52">
        <f t="shared" si="52"/>
        <v>0</v>
      </c>
      <c r="BY94" s="52">
        <f t="shared" si="53"/>
        <v>0</v>
      </c>
      <c r="BZ94" s="52">
        <f t="shared" si="54"/>
        <v>0</v>
      </c>
      <c r="CA94" s="52">
        <f t="shared" si="55"/>
        <v>0</v>
      </c>
      <c r="CB94" s="54">
        <f t="shared" si="69"/>
        <v>0</v>
      </c>
      <c r="CC94" s="53"/>
      <c r="CD94" s="52">
        <f t="shared" si="70"/>
        <v>0</v>
      </c>
      <c r="CE94" s="52">
        <f t="shared" si="71"/>
        <v>0</v>
      </c>
      <c r="CF94" s="52">
        <f t="shared" si="72"/>
        <v>0</v>
      </c>
      <c r="CG94" s="52">
        <f t="shared" si="73"/>
        <v>0</v>
      </c>
      <c r="CH94" s="52">
        <f t="shared" si="74"/>
        <v>0</v>
      </c>
      <c r="CI94" s="54">
        <f t="shared" si="75"/>
        <v>0</v>
      </c>
    </row>
    <row r="95" spans="1:87" s="4" customFormat="1" x14ac:dyDescent="0.3">
      <c r="A95" s="56">
        <v>85</v>
      </c>
      <c r="B95" s="48" t="str">
        <f>IF('I | Capex forecast'!B95="","",'I | Capex forecast'!B95)</f>
        <v/>
      </c>
      <c r="C95" s="48" t="str">
        <f>IF('I | Capex forecast'!C95="","",'I | Capex forecast'!C95)</f>
        <v/>
      </c>
      <c r="D95" s="48" t="str">
        <f>IF('I | Capex forecast'!D95="","",'I | Capex forecast'!D95)</f>
        <v/>
      </c>
      <c r="E95" s="48" t="str">
        <f>IF('I | Capex forecast'!E95="","",'I | Capex forecast'!E95)</f>
        <v/>
      </c>
      <c r="F95" s="48" t="str">
        <f>IF('I | Capex forecast'!F95="","",'I | Capex forecast'!F95)</f>
        <v/>
      </c>
      <c r="G95" s="48" t="str">
        <f>IF('I | Capex forecast'!G95="","",'I | Capex forecast'!G95)</f>
        <v/>
      </c>
      <c r="H95" s="48" t="str">
        <f>IF('I | Capex forecast'!H95="","",'I | Capex forecast'!H95)</f>
        <v/>
      </c>
      <c r="I95" s="48" t="str">
        <f>IF('I | Capex forecast'!I95="","",'I | Capex forecast'!I95)</f>
        <v/>
      </c>
      <c r="J95" s="48" t="str">
        <f>IF('I | Capex forecast'!J95="","",'I | Capex forecast'!J95)</f>
        <v/>
      </c>
      <c r="K95" s="50"/>
      <c r="L95" s="52">
        <f>IFERROR(VLOOKUP($A95,'I | Capex forecast'!$A$11:$AA$160,L$8,0)*INDEX('I | Inflation'!$F$46:$G$49,MATCH($I95,'I | Inflation'!$E$46:$E$49,0),MATCH($H95,'I | Inflation'!$F$45:$G$45,0)),0)</f>
        <v>0</v>
      </c>
      <c r="M95" s="52">
        <f>IFERROR(VLOOKUP($A95,'I | Capex forecast'!$A$11:$AA$160,M$8,0)*INDEX('I | Inflation'!$F$46:$G$49,MATCH($I95,'I | Inflation'!$E$46:$E$49,0),MATCH($H95,'I | Inflation'!$F$45:$G$45,0)),0)</f>
        <v>0</v>
      </c>
      <c r="N95" s="52">
        <f>IFERROR(VLOOKUP($A95,'I | Capex forecast'!$A$11:$AA$160,N$8,0)*INDEX('I | Inflation'!$F$46:$G$49,MATCH($I95,'I | Inflation'!$E$46:$E$49,0),MATCH($H95,'I | Inflation'!$F$45:$G$45,0)),0)</f>
        <v>0</v>
      </c>
      <c r="O95" s="52">
        <f>IFERROR(VLOOKUP($A95,'I | Capex forecast'!$A$11:$AA$160,O$8,0)*INDEX('I | Inflation'!$F$46:$G$49,MATCH($I95,'I | Inflation'!$E$46:$E$49,0),MATCH($H95,'I | Inflation'!$F$45:$G$45,0)),0)</f>
        <v>0</v>
      </c>
      <c r="P95" s="52">
        <f>IFERROR(VLOOKUP($A95,'I | Capex forecast'!$A$11:$AA$160,P$8,0)*INDEX('I | Inflation'!$F$46:$G$49,MATCH($I95,'I | Inflation'!$E$46:$E$49,0),MATCH($H95,'I | Inflation'!$F$45:$G$45,0)),0)</f>
        <v>0</v>
      </c>
      <c r="Q95" s="54">
        <f t="shared" si="44"/>
        <v>0</v>
      </c>
      <c r="R95" s="53"/>
      <c r="S95" s="226">
        <f>L95*VLOOKUP($A95,'I | Capex forecast'!$A$11:$AA$160,S$8,0)</f>
        <v>0</v>
      </c>
      <c r="T95" s="226">
        <f>M95*VLOOKUP($A95,'I | Capex forecast'!$A$11:$AA$160,T$8,0)</f>
        <v>0</v>
      </c>
      <c r="U95" s="226">
        <f>N95*VLOOKUP($A95,'I | Capex forecast'!$A$11:$AA$160,U$8,0)</f>
        <v>0</v>
      </c>
      <c r="V95" s="226">
        <f>O95*VLOOKUP($A95,'I | Capex forecast'!$A$11:$AA$160,V$8,0)</f>
        <v>0</v>
      </c>
      <c r="W95" s="226">
        <f>P95*VLOOKUP($A95,'I | Capex forecast'!$A$11:$AA$160,W$8,0)</f>
        <v>0</v>
      </c>
      <c r="X95" s="54">
        <f t="shared" si="56"/>
        <v>0</v>
      </c>
      <c r="Y95" s="53"/>
      <c r="Z95" s="52">
        <f>S95*(HLOOKUP(Z$10,'I | Inflation'!$E$57:$J$59,3,0)-1)</f>
        <v>0</v>
      </c>
      <c r="AA95" s="52">
        <f>T95*(HLOOKUP(AA$10,'I | Inflation'!$E$57:$J$59,3,0)-1)</f>
        <v>0</v>
      </c>
      <c r="AB95" s="52">
        <f>U95*(HLOOKUP(AB$10,'I | Inflation'!$E$57:$J$59,3,0)-1)</f>
        <v>0</v>
      </c>
      <c r="AC95" s="52">
        <f>V95*(HLOOKUP(AC$10,'I | Inflation'!$E$57:$J$59,3,0)-1)</f>
        <v>0</v>
      </c>
      <c r="AD95" s="52">
        <f>W95*(HLOOKUP(AD$10,'I | Inflation'!$E$57:$J$59,3,0)-1)</f>
        <v>0</v>
      </c>
      <c r="AE95" s="54">
        <f t="shared" si="57"/>
        <v>0</v>
      </c>
      <c r="AF95" s="53"/>
      <c r="AG95" s="226">
        <f t="shared" si="58"/>
        <v>0</v>
      </c>
      <c r="AH95" s="226">
        <f t="shared" si="59"/>
        <v>0</v>
      </c>
      <c r="AI95" s="226">
        <f t="shared" si="60"/>
        <v>0</v>
      </c>
      <c r="AJ95" s="226">
        <f t="shared" si="61"/>
        <v>0</v>
      </c>
      <c r="AK95" s="226">
        <f t="shared" si="62"/>
        <v>0</v>
      </c>
      <c r="AL95" s="54">
        <f t="shared" si="63"/>
        <v>0</v>
      </c>
      <c r="AM95" s="53"/>
      <c r="AN95" s="52"/>
      <c r="AO95" s="52"/>
      <c r="AP95" s="52"/>
      <c r="AQ95" s="52"/>
      <c r="AR95" s="52"/>
      <c r="AS95" s="54">
        <f t="shared" si="64"/>
        <v>0</v>
      </c>
      <c r="AT95" s="53"/>
      <c r="AU95" s="52"/>
      <c r="AV95" s="52"/>
      <c r="AW95" s="52"/>
      <c r="AX95" s="52"/>
      <c r="AY95" s="52"/>
      <c r="AZ95" s="54">
        <f t="shared" si="65"/>
        <v>0</v>
      </c>
      <c r="BA95" s="53"/>
      <c r="BB95" s="52"/>
      <c r="BC95" s="52"/>
      <c r="BD95" s="52"/>
      <c r="BE95" s="52"/>
      <c r="BF95" s="52"/>
      <c r="BG95" s="54">
        <f t="shared" si="66"/>
        <v>0</v>
      </c>
      <c r="BH95" s="53"/>
      <c r="BI95" s="52">
        <f>L95*VLOOKUP($A95,'I | Capex forecast'!$A$11:$AA$160,BI$8,0)</f>
        <v>0</v>
      </c>
      <c r="BJ95" s="52">
        <f>M95*VLOOKUP($A95,'I | Capex forecast'!$A$11:$AA$160,BJ$8,0)</f>
        <v>0</v>
      </c>
      <c r="BK95" s="52">
        <f>N95*VLOOKUP($A95,'I | Capex forecast'!$A$11:$AA$160,BK$8,0)</f>
        <v>0</v>
      </c>
      <c r="BL95" s="52">
        <f>O95*VLOOKUP($A95,'I | Capex forecast'!$A$11:$AA$160,BL$8,0)</f>
        <v>0</v>
      </c>
      <c r="BM95" s="52">
        <f>P95*VLOOKUP($A95,'I | Capex forecast'!$A$11:$AA$160,BM$8,0)</f>
        <v>0</v>
      </c>
      <c r="BN95" s="54">
        <f t="shared" si="67"/>
        <v>0</v>
      </c>
      <c r="BO95" s="53"/>
      <c r="BP95" s="52">
        <f t="shared" si="46"/>
        <v>0</v>
      </c>
      <c r="BQ95" s="52">
        <f t="shared" si="47"/>
        <v>0</v>
      </c>
      <c r="BR95" s="52">
        <f t="shared" si="48"/>
        <v>0</v>
      </c>
      <c r="BS95" s="52">
        <f t="shared" si="49"/>
        <v>0</v>
      </c>
      <c r="BT95" s="52">
        <f t="shared" si="50"/>
        <v>0</v>
      </c>
      <c r="BU95" s="54">
        <f t="shared" si="68"/>
        <v>0</v>
      </c>
      <c r="BW95" s="52">
        <f t="shared" si="51"/>
        <v>0</v>
      </c>
      <c r="BX95" s="52">
        <f t="shared" si="52"/>
        <v>0</v>
      </c>
      <c r="BY95" s="52">
        <f t="shared" si="53"/>
        <v>0</v>
      </c>
      <c r="BZ95" s="52">
        <f t="shared" si="54"/>
        <v>0</v>
      </c>
      <c r="CA95" s="52">
        <f t="shared" si="55"/>
        <v>0</v>
      </c>
      <c r="CB95" s="54">
        <f t="shared" si="69"/>
        <v>0</v>
      </c>
      <c r="CC95" s="53"/>
      <c r="CD95" s="52">
        <f t="shared" si="70"/>
        <v>0</v>
      </c>
      <c r="CE95" s="52">
        <f t="shared" si="71"/>
        <v>0</v>
      </c>
      <c r="CF95" s="52">
        <f t="shared" si="72"/>
        <v>0</v>
      </c>
      <c r="CG95" s="52">
        <f t="shared" si="73"/>
        <v>0</v>
      </c>
      <c r="CH95" s="52">
        <f t="shared" si="74"/>
        <v>0</v>
      </c>
      <c r="CI95" s="54">
        <f t="shared" si="75"/>
        <v>0</v>
      </c>
    </row>
    <row r="96" spans="1:87" s="4" customFormat="1" x14ac:dyDescent="0.3">
      <c r="A96" s="56">
        <v>86</v>
      </c>
      <c r="B96" s="48" t="str">
        <f>IF('I | Capex forecast'!B96="","",'I | Capex forecast'!B96)</f>
        <v/>
      </c>
      <c r="C96" s="48" t="str">
        <f>IF('I | Capex forecast'!C96="","",'I | Capex forecast'!C96)</f>
        <v/>
      </c>
      <c r="D96" s="48" t="str">
        <f>IF('I | Capex forecast'!D96="","",'I | Capex forecast'!D96)</f>
        <v/>
      </c>
      <c r="E96" s="48" t="str">
        <f>IF('I | Capex forecast'!E96="","",'I | Capex forecast'!E96)</f>
        <v/>
      </c>
      <c r="F96" s="48" t="str">
        <f>IF('I | Capex forecast'!F96="","",'I | Capex forecast'!F96)</f>
        <v/>
      </c>
      <c r="G96" s="48" t="str">
        <f>IF('I | Capex forecast'!G96="","",'I | Capex forecast'!G96)</f>
        <v/>
      </c>
      <c r="H96" s="48" t="str">
        <f>IF('I | Capex forecast'!H96="","",'I | Capex forecast'!H96)</f>
        <v/>
      </c>
      <c r="I96" s="48" t="str">
        <f>IF('I | Capex forecast'!I96="","",'I | Capex forecast'!I96)</f>
        <v/>
      </c>
      <c r="J96" s="48" t="str">
        <f>IF('I | Capex forecast'!J96="","",'I | Capex forecast'!J96)</f>
        <v/>
      </c>
      <c r="K96" s="50"/>
      <c r="L96" s="52">
        <f>IFERROR(VLOOKUP($A96,'I | Capex forecast'!$A$11:$AA$160,L$8,0)*INDEX('I | Inflation'!$F$46:$G$49,MATCH($I96,'I | Inflation'!$E$46:$E$49,0),MATCH($H96,'I | Inflation'!$F$45:$G$45,0)),0)</f>
        <v>0</v>
      </c>
      <c r="M96" s="52">
        <f>IFERROR(VLOOKUP($A96,'I | Capex forecast'!$A$11:$AA$160,M$8,0)*INDEX('I | Inflation'!$F$46:$G$49,MATCH($I96,'I | Inflation'!$E$46:$E$49,0),MATCH($H96,'I | Inflation'!$F$45:$G$45,0)),0)</f>
        <v>0</v>
      </c>
      <c r="N96" s="52">
        <f>IFERROR(VLOOKUP($A96,'I | Capex forecast'!$A$11:$AA$160,N$8,0)*INDEX('I | Inflation'!$F$46:$G$49,MATCH($I96,'I | Inflation'!$E$46:$E$49,0),MATCH($H96,'I | Inflation'!$F$45:$G$45,0)),0)</f>
        <v>0</v>
      </c>
      <c r="O96" s="52">
        <f>IFERROR(VLOOKUP($A96,'I | Capex forecast'!$A$11:$AA$160,O$8,0)*INDEX('I | Inflation'!$F$46:$G$49,MATCH($I96,'I | Inflation'!$E$46:$E$49,0),MATCH($H96,'I | Inflation'!$F$45:$G$45,0)),0)</f>
        <v>0</v>
      </c>
      <c r="P96" s="52">
        <f>IFERROR(VLOOKUP($A96,'I | Capex forecast'!$A$11:$AA$160,P$8,0)*INDEX('I | Inflation'!$F$46:$G$49,MATCH($I96,'I | Inflation'!$E$46:$E$49,0),MATCH($H96,'I | Inflation'!$F$45:$G$45,0)),0)</f>
        <v>0</v>
      </c>
      <c r="Q96" s="54">
        <f t="shared" si="44"/>
        <v>0</v>
      </c>
      <c r="R96" s="53"/>
      <c r="S96" s="226">
        <f>L96*VLOOKUP($A96,'I | Capex forecast'!$A$11:$AA$160,S$8,0)</f>
        <v>0</v>
      </c>
      <c r="T96" s="226">
        <f>M96*VLOOKUP($A96,'I | Capex forecast'!$A$11:$AA$160,T$8,0)</f>
        <v>0</v>
      </c>
      <c r="U96" s="226">
        <f>N96*VLOOKUP($A96,'I | Capex forecast'!$A$11:$AA$160,U$8,0)</f>
        <v>0</v>
      </c>
      <c r="V96" s="226">
        <f>O96*VLOOKUP($A96,'I | Capex forecast'!$A$11:$AA$160,V$8,0)</f>
        <v>0</v>
      </c>
      <c r="W96" s="226">
        <f>P96*VLOOKUP($A96,'I | Capex forecast'!$A$11:$AA$160,W$8,0)</f>
        <v>0</v>
      </c>
      <c r="X96" s="54">
        <f t="shared" si="56"/>
        <v>0</v>
      </c>
      <c r="Y96" s="53"/>
      <c r="Z96" s="52">
        <f>S96*(HLOOKUP(Z$10,'I | Inflation'!$E$57:$J$59,3,0)-1)</f>
        <v>0</v>
      </c>
      <c r="AA96" s="52">
        <f>T96*(HLOOKUP(AA$10,'I | Inflation'!$E$57:$J$59,3,0)-1)</f>
        <v>0</v>
      </c>
      <c r="AB96" s="52">
        <f>U96*(HLOOKUP(AB$10,'I | Inflation'!$E$57:$J$59,3,0)-1)</f>
        <v>0</v>
      </c>
      <c r="AC96" s="52">
        <f>V96*(HLOOKUP(AC$10,'I | Inflation'!$E$57:$J$59,3,0)-1)</f>
        <v>0</v>
      </c>
      <c r="AD96" s="52">
        <f>W96*(HLOOKUP(AD$10,'I | Inflation'!$E$57:$J$59,3,0)-1)</f>
        <v>0</v>
      </c>
      <c r="AE96" s="54">
        <f t="shared" si="57"/>
        <v>0</v>
      </c>
      <c r="AF96" s="53"/>
      <c r="AG96" s="226">
        <f t="shared" si="58"/>
        <v>0</v>
      </c>
      <c r="AH96" s="226">
        <f t="shared" si="59"/>
        <v>0</v>
      </c>
      <c r="AI96" s="226">
        <f t="shared" si="60"/>
        <v>0</v>
      </c>
      <c r="AJ96" s="226">
        <f t="shared" si="61"/>
        <v>0</v>
      </c>
      <c r="AK96" s="226">
        <f t="shared" si="62"/>
        <v>0</v>
      </c>
      <c r="AL96" s="54">
        <f t="shared" si="63"/>
        <v>0</v>
      </c>
      <c r="AM96" s="53"/>
      <c r="AN96" s="52"/>
      <c r="AO96" s="52"/>
      <c r="AP96" s="52"/>
      <c r="AQ96" s="52"/>
      <c r="AR96" s="52"/>
      <c r="AS96" s="54">
        <f t="shared" si="64"/>
        <v>0</v>
      </c>
      <c r="AT96" s="53"/>
      <c r="AU96" s="52"/>
      <c r="AV96" s="52"/>
      <c r="AW96" s="52"/>
      <c r="AX96" s="52"/>
      <c r="AY96" s="52"/>
      <c r="AZ96" s="54">
        <f t="shared" si="65"/>
        <v>0</v>
      </c>
      <c r="BA96" s="53"/>
      <c r="BB96" s="52"/>
      <c r="BC96" s="52"/>
      <c r="BD96" s="52"/>
      <c r="BE96" s="52"/>
      <c r="BF96" s="52"/>
      <c r="BG96" s="54">
        <f t="shared" si="66"/>
        <v>0</v>
      </c>
      <c r="BH96" s="53"/>
      <c r="BI96" s="52">
        <f>L96*VLOOKUP($A96,'I | Capex forecast'!$A$11:$AA$160,BI$8,0)</f>
        <v>0</v>
      </c>
      <c r="BJ96" s="52">
        <f>M96*VLOOKUP($A96,'I | Capex forecast'!$A$11:$AA$160,BJ$8,0)</f>
        <v>0</v>
      </c>
      <c r="BK96" s="52">
        <f>N96*VLOOKUP($A96,'I | Capex forecast'!$A$11:$AA$160,BK$8,0)</f>
        <v>0</v>
      </c>
      <c r="BL96" s="52">
        <f>O96*VLOOKUP($A96,'I | Capex forecast'!$A$11:$AA$160,BL$8,0)</f>
        <v>0</v>
      </c>
      <c r="BM96" s="52">
        <f>P96*VLOOKUP($A96,'I | Capex forecast'!$A$11:$AA$160,BM$8,0)</f>
        <v>0</v>
      </c>
      <c r="BN96" s="54">
        <f t="shared" si="67"/>
        <v>0</v>
      </c>
      <c r="BO96" s="53"/>
      <c r="BP96" s="52">
        <f t="shared" si="46"/>
        <v>0</v>
      </c>
      <c r="BQ96" s="52">
        <f t="shared" si="47"/>
        <v>0</v>
      </c>
      <c r="BR96" s="52">
        <f t="shared" si="48"/>
        <v>0</v>
      </c>
      <c r="BS96" s="52">
        <f t="shared" si="49"/>
        <v>0</v>
      </c>
      <c r="BT96" s="52">
        <f t="shared" si="50"/>
        <v>0</v>
      </c>
      <c r="BU96" s="54">
        <f t="shared" si="68"/>
        <v>0</v>
      </c>
      <c r="BW96" s="52">
        <f t="shared" si="51"/>
        <v>0</v>
      </c>
      <c r="BX96" s="52">
        <f t="shared" si="52"/>
        <v>0</v>
      </c>
      <c r="BY96" s="52">
        <f t="shared" si="53"/>
        <v>0</v>
      </c>
      <c r="BZ96" s="52">
        <f t="shared" si="54"/>
        <v>0</v>
      </c>
      <c r="CA96" s="52">
        <f t="shared" si="55"/>
        <v>0</v>
      </c>
      <c r="CB96" s="54">
        <f t="shared" si="69"/>
        <v>0</v>
      </c>
      <c r="CC96" s="53"/>
      <c r="CD96" s="52">
        <f t="shared" si="70"/>
        <v>0</v>
      </c>
      <c r="CE96" s="52">
        <f t="shared" si="71"/>
        <v>0</v>
      </c>
      <c r="CF96" s="52">
        <f t="shared" si="72"/>
        <v>0</v>
      </c>
      <c r="CG96" s="52">
        <f t="shared" si="73"/>
        <v>0</v>
      </c>
      <c r="CH96" s="52">
        <f t="shared" si="74"/>
        <v>0</v>
      </c>
      <c r="CI96" s="54">
        <f t="shared" si="75"/>
        <v>0</v>
      </c>
    </row>
    <row r="97" spans="1:87" s="4" customFormat="1" x14ac:dyDescent="0.3">
      <c r="A97" s="56">
        <v>87</v>
      </c>
      <c r="B97" s="48" t="str">
        <f>IF('I | Capex forecast'!B97="","",'I | Capex forecast'!B97)</f>
        <v/>
      </c>
      <c r="C97" s="48" t="str">
        <f>IF('I | Capex forecast'!C97="","",'I | Capex forecast'!C97)</f>
        <v/>
      </c>
      <c r="D97" s="48" t="str">
        <f>IF('I | Capex forecast'!D97="","",'I | Capex forecast'!D97)</f>
        <v/>
      </c>
      <c r="E97" s="48" t="str">
        <f>IF('I | Capex forecast'!E97="","",'I | Capex forecast'!E97)</f>
        <v/>
      </c>
      <c r="F97" s="48" t="str">
        <f>IF('I | Capex forecast'!F97="","",'I | Capex forecast'!F97)</f>
        <v/>
      </c>
      <c r="G97" s="48" t="str">
        <f>IF('I | Capex forecast'!G97="","",'I | Capex forecast'!G97)</f>
        <v/>
      </c>
      <c r="H97" s="48" t="str">
        <f>IF('I | Capex forecast'!H97="","",'I | Capex forecast'!H97)</f>
        <v/>
      </c>
      <c r="I97" s="48" t="str">
        <f>IF('I | Capex forecast'!I97="","",'I | Capex forecast'!I97)</f>
        <v/>
      </c>
      <c r="J97" s="48" t="str">
        <f>IF('I | Capex forecast'!J97="","",'I | Capex forecast'!J97)</f>
        <v/>
      </c>
      <c r="K97" s="50"/>
      <c r="L97" s="52">
        <f>IFERROR(VLOOKUP($A97,'I | Capex forecast'!$A$11:$AA$160,L$8,0)*INDEX('I | Inflation'!$F$46:$G$49,MATCH($I97,'I | Inflation'!$E$46:$E$49,0),MATCH($H97,'I | Inflation'!$F$45:$G$45,0)),0)</f>
        <v>0</v>
      </c>
      <c r="M97" s="52">
        <f>IFERROR(VLOOKUP($A97,'I | Capex forecast'!$A$11:$AA$160,M$8,0)*INDEX('I | Inflation'!$F$46:$G$49,MATCH($I97,'I | Inflation'!$E$46:$E$49,0),MATCH($H97,'I | Inflation'!$F$45:$G$45,0)),0)</f>
        <v>0</v>
      </c>
      <c r="N97" s="52">
        <f>IFERROR(VLOOKUP($A97,'I | Capex forecast'!$A$11:$AA$160,N$8,0)*INDEX('I | Inflation'!$F$46:$G$49,MATCH($I97,'I | Inflation'!$E$46:$E$49,0),MATCH($H97,'I | Inflation'!$F$45:$G$45,0)),0)</f>
        <v>0</v>
      </c>
      <c r="O97" s="52">
        <f>IFERROR(VLOOKUP($A97,'I | Capex forecast'!$A$11:$AA$160,O$8,0)*INDEX('I | Inflation'!$F$46:$G$49,MATCH($I97,'I | Inflation'!$E$46:$E$49,0),MATCH($H97,'I | Inflation'!$F$45:$G$45,0)),0)</f>
        <v>0</v>
      </c>
      <c r="P97" s="52">
        <f>IFERROR(VLOOKUP($A97,'I | Capex forecast'!$A$11:$AA$160,P$8,0)*INDEX('I | Inflation'!$F$46:$G$49,MATCH($I97,'I | Inflation'!$E$46:$E$49,0),MATCH($H97,'I | Inflation'!$F$45:$G$45,0)),0)</f>
        <v>0</v>
      </c>
      <c r="Q97" s="54">
        <f t="shared" si="44"/>
        <v>0</v>
      </c>
      <c r="R97" s="53"/>
      <c r="S97" s="226">
        <f>L97*VLOOKUP($A97,'I | Capex forecast'!$A$11:$AA$160,S$8,0)</f>
        <v>0</v>
      </c>
      <c r="T97" s="226">
        <f>M97*VLOOKUP($A97,'I | Capex forecast'!$A$11:$AA$160,T$8,0)</f>
        <v>0</v>
      </c>
      <c r="U97" s="226">
        <f>N97*VLOOKUP($A97,'I | Capex forecast'!$A$11:$AA$160,U$8,0)</f>
        <v>0</v>
      </c>
      <c r="V97" s="226">
        <f>O97*VLOOKUP($A97,'I | Capex forecast'!$A$11:$AA$160,V$8,0)</f>
        <v>0</v>
      </c>
      <c r="W97" s="226">
        <f>P97*VLOOKUP($A97,'I | Capex forecast'!$A$11:$AA$160,W$8,0)</f>
        <v>0</v>
      </c>
      <c r="X97" s="54">
        <f t="shared" si="56"/>
        <v>0</v>
      </c>
      <c r="Y97" s="53"/>
      <c r="Z97" s="52">
        <f>S97*(HLOOKUP(Z$10,'I | Inflation'!$E$57:$J$59,3,0)-1)</f>
        <v>0</v>
      </c>
      <c r="AA97" s="52">
        <f>T97*(HLOOKUP(AA$10,'I | Inflation'!$E$57:$J$59,3,0)-1)</f>
        <v>0</v>
      </c>
      <c r="AB97" s="52">
        <f>U97*(HLOOKUP(AB$10,'I | Inflation'!$E$57:$J$59,3,0)-1)</f>
        <v>0</v>
      </c>
      <c r="AC97" s="52">
        <f>V97*(HLOOKUP(AC$10,'I | Inflation'!$E$57:$J$59,3,0)-1)</f>
        <v>0</v>
      </c>
      <c r="AD97" s="52">
        <f>W97*(HLOOKUP(AD$10,'I | Inflation'!$E$57:$J$59,3,0)-1)</f>
        <v>0</v>
      </c>
      <c r="AE97" s="54">
        <f t="shared" si="57"/>
        <v>0</v>
      </c>
      <c r="AF97" s="53"/>
      <c r="AG97" s="226">
        <f t="shared" si="58"/>
        <v>0</v>
      </c>
      <c r="AH97" s="226">
        <f t="shared" si="59"/>
        <v>0</v>
      </c>
      <c r="AI97" s="226">
        <f t="shared" si="60"/>
        <v>0</v>
      </c>
      <c r="AJ97" s="226">
        <f t="shared" si="61"/>
        <v>0</v>
      </c>
      <c r="AK97" s="226">
        <f t="shared" si="62"/>
        <v>0</v>
      </c>
      <c r="AL97" s="54">
        <f t="shared" si="63"/>
        <v>0</v>
      </c>
      <c r="AM97" s="53"/>
      <c r="AN97" s="52"/>
      <c r="AO97" s="52"/>
      <c r="AP97" s="52"/>
      <c r="AQ97" s="52"/>
      <c r="AR97" s="52"/>
      <c r="AS97" s="54">
        <f t="shared" si="64"/>
        <v>0</v>
      </c>
      <c r="AT97" s="53"/>
      <c r="AU97" s="52"/>
      <c r="AV97" s="52"/>
      <c r="AW97" s="52"/>
      <c r="AX97" s="52"/>
      <c r="AY97" s="52"/>
      <c r="AZ97" s="54">
        <f t="shared" si="65"/>
        <v>0</v>
      </c>
      <c r="BA97" s="53"/>
      <c r="BB97" s="52"/>
      <c r="BC97" s="52"/>
      <c r="BD97" s="52"/>
      <c r="BE97" s="52"/>
      <c r="BF97" s="52"/>
      <c r="BG97" s="54">
        <f t="shared" si="66"/>
        <v>0</v>
      </c>
      <c r="BH97" s="53"/>
      <c r="BI97" s="52">
        <f>L97*VLOOKUP($A97,'I | Capex forecast'!$A$11:$AA$160,BI$8,0)</f>
        <v>0</v>
      </c>
      <c r="BJ97" s="52">
        <f>M97*VLOOKUP($A97,'I | Capex forecast'!$A$11:$AA$160,BJ$8,0)</f>
        <v>0</v>
      </c>
      <c r="BK97" s="52">
        <f>N97*VLOOKUP($A97,'I | Capex forecast'!$A$11:$AA$160,BK$8,0)</f>
        <v>0</v>
      </c>
      <c r="BL97" s="52">
        <f>O97*VLOOKUP($A97,'I | Capex forecast'!$A$11:$AA$160,BL$8,0)</f>
        <v>0</v>
      </c>
      <c r="BM97" s="52">
        <f>P97*VLOOKUP($A97,'I | Capex forecast'!$A$11:$AA$160,BM$8,0)</f>
        <v>0</v>
      </c>
      <c r="BN97" s="54">
        <f t="shared" si="67"/>
        <v>0</v>
      </c>
      <c r="BO97" s="53"/>
      <c r="BP97" s="52">
        <f t="shared" si="46"/>
        <v>0</v>
      </c>
      <c r="BQ97" s="52">
        <f t="shared" si="47"/>
        <v>0</v>
      </c>
      <c r="BR97" s="52">
        <f t="shared" si="48"/>
        <v>0</v>
      </c>
      <c r="BS97" s="52">
        <f t="shared" si="49"/>
        <v>0</v>
      </c>
      <c r="BT97" s="52">
        <f t="shared" si="50"/>
        <v>0</v>
      </c>
      <c r="BU97" s="54">
        <f t="shared" si="68"/>
        <v>0</v>
      </c>
      <c r="BW97" s="52">
        <f t="shared" si="51"/>
        <v>0</v>
      </c>
      <c r="BX97" s="52">
        <f t="shared" si="52"/>
        <v>0</v>
      </c>
      <c r="BY97" s="52">
        <f t="shared" si="53"/>
        <v>0</v>
      </c>
      <c r="BZ97" s="52">
        <f t="shared" si="54"/>
        <v>0</v>
      </c>
      <c r="CA97" s="52">
        <f t="shared" si="55"/>
        <v>0</v>
      </c>
      <c r="CB97" s="54">
        <f t="shared" si="69"/>
        <v>0</v>
      </c>
      <c r="CC97" s="53"/>
      <c r="CD97" s="52">
        <f t="shared" si="70"/>
        <v>0</v>
      </c>
      <c r="CE97" s="52">
        <f t="shared" si="71"/>
        <v>0</v>
      </c>
      <c r="CF97" s="52">
        <f t="shared" si="72"/>
        <v>0</v>
      </c>
      <c r="CG97" s="52">
        <f t="shared" si="73"/>
        <v>0</v>
      </c>
      <c r="CH97" s="52">
        <f t="shared" si="74"/>
        <v>0</v>
      </c>
      <c r="CI97" s="54">
        <f t="shared" si="75"/>
        <v>0</v>
      </c>
    </row>
    <row r="98" spans="1:87" s="4" customFormat="1" x14ac:dyDescent="0.3">
      <c r="A98" s="56">
        <v>88</v>
      </c>
      <c r="B98" s="48" t="str">
        <f>IF('I | Capex forecast'!B98="","",'I | Capex forecast'!B98)</f>
        <v/>
      </c>
      <c r="C98" s="48" t="str">
        <f>IF('I | Capex forecast'!C98="","",'I | Capex forecast'!C98)</f>
        <v/>
      </c>
      <c r="D98" s="48" t="str">
        <f>IF('I | Capex forecast'!D98="","",'I | Capex forecast'!D98)</f>
        <v/>
      </c>
      <c r="E98" s="48" t="str">
        <f>IF('I | Capex forecast'!E98="","",'I | Capex forecast'!E98)</f>
        <v/>
      </c>
      <c r="F98" s="48" t="str">
        <f>IF('I | Capex forecast'!F98="","",'I | Capex forecast'!F98)</f>
        <v/>
      </c>
      <c r="G98" s="48" t="str">
        <f>IF('I | Capex forecast'!G98="","",'I | Capex forecast'!G98)</f>
        <v/>
      </c>
      <c r="H98" s="48" t="str">
        <f>IF('I | Capex forecast'!H98="","",'I | Capex forecast'!H98)</f>
        <v/>
      </c>
      <c r="I98" s="48" t="str">
        <f>IF('I | Capex forecast'!I98="","",'I | Capex forecast'!I98)</f>
        <v/>
      </c>
      <c r="J98" s="48" t="str">
        <f>IF('I | Capex forecast'!J98="","",'I | Capex forecast'!J98)</f>
        <v/>
      </c>
      <c r="K98" s="50"/>
      <c r="L98" s="52">
        <f>IFERROR(VLOOKUP($A98,'I | Capex forecast'!$A$11:$AA$160,L$8,0)*INDEX('I | Inflation'!$F$46:$G$49,MATCH($I98,'I | Inflation'!$E$46:$E$49,0),MATCH($H98,'I | Inflation'!$F$45:$G$45,0)),0)</f>
        <v>0</v>
      </c>
      <c r="M98" s="52">
        <f>IFERROR(VLOOKUP($A98,'I | Capex forecast'!$A$11:$AA$160,M$8,0)*INDEX('I | Inflation'!$F$46:$G$49,MATCH($I98,'I | Inflation'!$E$46:$E$49,0),MATCH($H98,'I | Inflation'!$F$45:$G$45,0)),0)</f>
        <v>0</v>
      </c>
      <c r="N98" s="52">
        <f>IFERROR(VLOOKUP($A98,'I | Capex forecast'!$A$11:$AA$160,N$8,0)*INDEX('I | Inflation'!$F$46:$G$49,MATCH($I98,'I | Inflation'!$E$46:$E$49,0),MATCH($H98,'I | Inflation'!$F$45:$G$45,0)),0)</f>
        <v>0</v>
      </c>
      <c r="O98" s="52">
        <f>IFERROR(VLOOKUP($A98,'I | Capex forecast'!$A$11:$AA$160,O$8,0)*INDEX('I | Inflation'!$F$46:$G$49,MATCH($I98,'I | Inflation'!$E$46:$E$49,0),MATCH($H98,'I | Inflation'!$F$45:$G$45,0)),0)</f>
        <v>0</v>
      </c>
      <c r="P98" s="52">
        <f>IFERROR(VLOOKUP($A98,'I | Capex forecast'!$A$11:$AA$160,P$8,0)*INDEX('I | Inflation'!$F$46:$G$49,MATCH($I98,'I | Inflation'!$E$46:$E$49,0),MATCH($H98,'I | Inflation'!$F$45:$G$45,0)),0)</f>
        <v>0</v>
      </c>
      <c r="Q98" s="54">
        <f t="shared" si="44"/>
        <v>0</v>
      </c>
      <c r="R98" s="53"/>
      <c r="S98" s="226">
        <f>L98*VLOOKUP($A98,'I | Capex forecast'!$A$11:$AA$160,S$8,0)</f>
        <v>0</v>
      </c>
      <c r="T98" s="226">
        <f>M98*VLOOKUP($A98,'I | Capex forecast'!$A$11:$AA$160,T$8,0)</f>
        <v>0</v>
      </c>
      <c r="U98" s="226">
        <f>N98*VLOOKUP($A98,'I | Capex forecast'!$A$11:$AA$160,U$8,0)</f>
        <v>0</v>
      </c>
      <c r="V98" s="226">
        <f>O98*VLOOKUP($A98,'I | Capex forecast'!$A$11:$AA$160,V$8,0)</f>
        <v>0</v>
      </c>
      <c r="W98" s="226">
        <f>P98*VLOOKUP($A98,'I | Capex forecast'!$A$11:$AA$160,W$8,0)</f>
        <v>0</v>
      </c>
      <c r="X98" s="54">
        <f t="shared" si="56"/>
        <v>0</v>
      </c>
      <c r="Y98" s="53"/>
      <c r="Z98" s="52">
        <f>S98*(HLOOKUP(Z$10,'I | Inflation'!$E$57:$J$59,3,0)-1)</f>
        <v>0</v>
      </c>
      <c r="AA98" s="52">
        <f>T98*(HLOOKUP(AA$10,'I | Inflation'!$E$57:$J$59,3,0)-1)</f>
        <v>0</v>
      </c>
      <c r="AB98" s="52">
        <f>U98*(HLOOKUP(AB$10,'I | Inflation'!$E$57:$J$59,3,0)-1)</f>
        <v>0</v>
      </c>
      <c r="AC98" s="52">
        <f>V98*(HLOOKUP(AC$10,'I | Inflation'!$E$57:$J$59,3,0)-1)</f>
        <v>0</v>
      </c>
      <c r="AD98" s="52">
        <f>W98*(HLOOKUP(AD$10,'I | Inflation'!$E$57:$J$59,3,0)-1)</f>
        <v>0</v>
      </c>
      <c r="AE98" s="54">
        <f t="shared" si="57"/>
        <v>0</v>
      </c>
      <c r="AF98" s="53"/>
      <c r="AG98" s="226">
        <f t="shared" si="58"/>
        <v>0</v>
      </c>
      <c r="AH98" s="226">
        <f t="shared" si="59"/>
        <v>0</v>
      </c>
      <c r="AI98" s="226">
        <f t="shared" si="60"/>
        <v>0</v>
      </c>
      <c r="AJ98" s="226">
        <f t="shared" si="61"/>
        <v>0</v>
      </c>
      <c r="AK98" s="226">
        <f t="shared" si="62"/>
        <v>0</v>
      </c>
      <c r="AL98" s="54">
        <f t="shared" si="63"/>
        <v>0</v>
      </c>
      <c r="AM98" s="53"/>
      <c r="AN98" s="52"/>
      <c r="AO98" s="52"/>
      <c r="AP98" s="52"/>
      <c r="AQ98" s="52"/>
      <c r="AR98" s="52"/>
      <c r="AS98" s="54">
        <f t="shared" si="64"/>
        <v>0</v>
      </c>
      <c r="AT98" s="53"/>
      <c r="AU98" s="52"/>
      <c r="AV98" s="52"/>
      <c r="AW98" s="52"/>
      <c r="AX98" s="52"/>
      <c r="AY98" s="52"/>
      <c r="AZ98" s="54">
        <f t="shared" si="65"/>
        <v>0</v>
      </c>
      <c r="BA98" s="53"/>
      <c r="BB98" s="52"/>
      <c r="BC98" s="52"/>
      <c r="BD98" s="52"/>
      <c r="BE98" s="52"/>
      <c r="BF98" s="52"/>
      <c r="BG98" s="54">
        <f t="shared" si="66"/>
        <v>0</v>
      </c>
      <c r="BH98" s="53"/>
      <c r="BI98" s="52">
        <f>L98*VLOOKUP($A98,'I | Capex forecast'!$A$11:$AA$160,BI$8,0)</f>
        <v>0</v>
      </c>
      <c r="BJ98" s="52">
        <f>M98*VLOOKUP($A98,'I | Capex forecast'!$A$11:$AA$160,BJ$8,0)</f>
        <v>0</v>
      </c>
      <c r="BK98" s="52">
        <f>N98*VLOOKUP($A98,'I | Capex forecast'!$A$11:$AA$160,BK$8,0)</f>
        <v>0</v>
      </c>
      <c r="BL98" s="52">
        <f>O98*VLOOKUP($A98,'I | Capex forecast'!$A$11:$AA$160,BL$8,0)</f>
        <v>0</v>
      </c>
      <c r="BM98" s="52">
        <f>P98*VLOOKUP($A98,'I | Capex forecast'!$A$11:$AA$160,BM$8,0)</f>
        <v>0</v>
      </c>
      <c r="BN98" s="54">
        <f t="shared" si="67"/>
        <v>0</v>
      </c>
      <c r="BO98" s="53"/>
      <c r="BP98" s="52">
        <f t="shared" si="46"/>
        <v>0</v>
      </c>
      <c r="BQ98" s="52">
        <f t="shared" si="47"/>
        <v>0</v>
      </c>
      <c r="BR98" s="52">
        <f t="shared" si="48"/>
        <v>0</v>
      </c>
      <c r="BS98" s="52">
        <f t="shared" si="49"/>
        <v>0</v>
      </c>
      <c r="BT98" s="52">
        <f t="shared" si="50"/>
        <v>0</v>
      </c>
      <c r="BU98" s="54">
        <f t="shared" si="68"/>
        <v>0</v>
      </c>
      <c r="BW98" s="52">
        <f t="shared" si="51"/>
        <v>0</v>
      </c>
      <c r="BX98" s="52">
        <f t="shared" si="52"/>
        <v>0</v>
      </c>
      <c r="BY98" s="52">
        <f t="shared" si="53"/>
        <v>0</v>
      </c>
      <c r="BZ98" s="52">
        <f t="shared" si="54"/>
        <v>0</v>
      </c>
      <c r="CA98" s="52">
        <f t="shared" si="55"/>
        <v>0</v>
      </c>
      <c r="CB98" s="54">
        <f t="shared" si="69"/>
        <v>0</v>
      </c>
      <c r="CC98" s="53"/>
      <c r="CD98" s="52">
        <f t="shared" si="70"/>
        <v>0</v>
      </c>
      <c r="CE98" s="52">
        <f t="shared" si="71"/>
        <v>0</v>
      </c>
      <c r="CF98" s="52">
        <f t="shared" si="72"/>
        <v>0</v>
      </c>
      <c r="CG98" s="52">
        <f t="shared" si="73"/>
        <v>0</v>
      </c>
      <c r="CH98" s="52">
        <f t="shared" si="74"/>
        <v>0</v>
      </c>
      <c r="CI98" s="54">
        <f t="shared" si="75"/>
        <v>0</v>
      </c>
    </row>
    <row r="99" spans="1:87" s="4" customFormat="1" x14ac:dyDescent="0.3">
      <c r="A99" s="56">
        <v>89</v>
      </c>
      <c r="B99" s="48" t="str">
        <f>IF('I | Capex forecast'!B99="","",'I | Capex forecast'!B99)</f>
        <v/>
      </c>
      <c r="C99" s="48" t="str">
        <f>IF('I | Capex forecast'!C99="","",'I | Capex forecast'!C99)</f>
        <v/>
      </c>
      <c r="D99" s="48" t="str">
        <f>IF('I | Capex forecast'!D99="","",'I | Capex forecast'!D99)</f>
        <v/>
      </c>
      <c r="E99" s="48" t="str">
        <f>IF('I | Capex forecast'!E99="","",'I | Capex forecast'!E99)</f>
        <v/>
      </c>
      <c r="F99" s="48" t="str">
        <f>IF('I | Capex forecast'!F99="","",'I | Capex forecast'!F99)</f>
        <v/>
      </c>
      <c r="G99" s="48" t="str">
        <f>IF('I | Capex forecast'!G99="","",'I | Capex forecast'!G99)</f>
        <v/>
      </c>
      <c r="H99" s="48" t="str">
        <f>IF('I | Capex forecast'!H99="","",'I | Capex forecast'!H99)</f>
        <v/>
      </c>
      <c r="I99" s="48" t="str">
        <f>IF('I | Capex forecast'!I99="","",'I | Capex forecast'!I99)</f>
        <v/>
      </c>
      <c r="J99" s="48" t="str">
        <f>IF('I | Capex forecast'!J99="","",'I | Capex forecast'!J99)</f>
        <v/>
      </c>
      <c r="K99" s="50"/>
      <c r="L99" s="52">
        <f>IFERROR(VLOOKUP($A99,'I | Capex forecast'!$A$11:$AA$160,L$8,0)*INDEX('I | Inflation'!$F$46:$G$49,MATCH($I99,'I | Inflation'!$E$46:$E$49,0),MATCH($H99,'I | Inflation'!$F$45:$G$45,0)),0)</f>
        <v>0</v>
      </c>
      <c r="M99" s="52">
        <f>IFERROR(VLOOKUP($A99,'I | Capex forecast'!$A$11:$AA$160,M$8,0)*INDEX('I | Inflation'!$F$46:$G$49,MATCH($I99,'I | Inflation'!$E$46:$E$49,0),MATCH($H99,'I | Inflation'!$F$45:$G$45,0)),0)</f>
        <v>0</v>
      </c>
      <c r="N99" s="52">
        <f>IFERROR(VLOOKUP($A99,'I | Capex forecast'!$A$11:$AA$160,N$8,0)*INDEX('I | Inflation'!$F$46:$G$49,MATCH($I99,'I | Inflation'!$E$46:$E$49,0),MATCH($H99,'I | Inflation'!$F$45:$G$45,0)),0)</f>
        <v>0</v>
      </c>
      <c r="O99" s="52">
        <f>IFERROR(VLOOKUP($A99,'I | Capex forecast'!$A$11:$AA$160,O$8,0)*INDEX('I | Inflation'!$F$46:$G$49,MATCH($I99,'I | Inflation'!$E$46:$E$49,0),MATCH($H99,'I | Inflation'!$F$45:$G$45,0)),0)</f>
        <v>0</v>
      </c>
      <c r="P99" s="52">
        <f>IFERROR(VLOOKUP($A99,'I | Capex forecast'!$A$11:$AA$160,P$8,0)*INDEX('I | Inflation'!$F$46:$G$49,MATCH($I99,'I | Inflation'!$E$46:$E$49,0),MATCH($H99,'I | Inflation'!$F$45:$G$45,0)),0)</f>
        <v>0</v>
      </c>
      <c r="Q99" s="54">
        <f t="shared" si="44"/>
        <v>0</v>
      </c>
      <c r="R99" s="53"/>
      <c r="S99" s="226">
        <f>L99*VLOOKUP($A99,'I | Capex forecast'!$A$11:$AA$160,S$8,0)</f>
        <v>0</v>
      </c>
      <c r="T99" s="226">
        <f>M99*VLOOKUP($A99,'I | Capex forecast'!$A$11:$AA$160,T$8,0)</f>
        <v>0</v>
      </c>
      <c r="U99" s="226">
        <f>N99*VLOOKUP($A99,'I | Capex forecast'!$A$11:$AA$160,U$8,0)</f>
        <v>0</v>
      </c>
      <c r="V99" s="226">
        <f>O99*VLOOKUP($A99,'I | Capex forecast'!$A$11:$AA$160,V$8,0)</f>
        <v>0</v>
      </c>
      <c r="W99" s="226">
        <f>P99*VLOOKUP($A99,'I | Capex forecast'!$A$11:$AA$160,W$8,0)</f>
        <v>0</v>
      </c>
      <c r="X99" s="54">
        <f t="shared" si="56"/>
        <v>0</v>
      </c>
      <c r="Y99" s="53"/>
      <c r="Z99" s="52">
        <f>S99*(HLOOKUP(Z$10,'I | Inflation'!$E$57:$J$59,3,0)-1)</f>
        <v>0</v>
      </c>
      <c r="AA99" s="52">
        <f>T99*(HLOOKUP(AA$10,'I | Inflation'!$E$57:$J$59,3,0)-1)</f>
        <v>0</v>
      </c>
      <c r="AB99" s="52">
        <f>U99*(HLOOKUP(AB$10,'I | Inflation'!$E$57:$J$59,3,0)-1)</f>
        <v>0</v>
      </c>
      <c r="AC99" s="52">
        <f>V99*(HLOOKUP(AC$10,'I | Inflation'!$E$57:$J$59,3,0)-1)</f>
        <v>0</v>
      </c>
      <c r="AD99" s="52">
        <f>W99*(HLOOKUP(AD$10,'I | Inflation'!$E$57:$J$59,3,0)-1)</f>
        <v>0</v>
      </c>
      <c r="AE99" s="54">
        <f t="shared" si="57"/>
        <v>0</v>
      </c>
      <c r="AF99" s="53"/>
      <c r="AG99" s="226">
        <f t="shared" si="58"/>
        <v>0</v>
      </c>
      <c r="AH99" s="226">
        <f t="shared" si="59"/>
        <v>0</v>
      </c>
      <c r="AI99" s="226">
        <f t="shared" si="60"/>
        <v>0</v>
      </c>
      <c r="AJ99" s="226">
        <f t="shared" si="61"/>
        <v>0</v>
      </c>
      <c r="AK99" s="226">
        <f t="shared" si="62"/>
        <v>0</v>
      </c>
      <c r="AL99" s="54">
        <f t="shared" si="63"/>
        <v>0</v>
      </c>
      <c r="AM99" s="53"/>
      <c r="AN99" s="52"/>
      <c r="AO99" s="52"/>
      <c r="AP99" s="52"/>
      <c r="AQ99" s="52"/>
      <c r="AR99" s="52"/>
      <c r="AS99" s="54">
        <f t="shared" si="64"/>
        <v>0</v>
      </c>
      <c r="AT99" s="53"/>
      <c r="AU99" s="52"/>
      <c r="AV99" s="52"/>
      <c r="AW99" s="52"/>
      <c r="AX99" s="52"/>
      <c r="AY99" s="52"/>
      <c r="AZ99" s="54">
        <f t="shared" si="65"/>
        <v>0</v>
      </c>
      <c r="BA99" s="53"/>
      <c r="BB99" s="52"/>
      <c r="BC99" s="52"/>
      <c r="BD99" s="52"/>
      <c r="BE99" s="52"/>
      <c r="BF99" s="52"/>
      <c r="BG99" s="54">
        <f t="shared" si="66"/>
        <v>0</v>
      </c>
      <c r="BH99" s="53"/>
      <c r="BI99" s="52">
        <f>L99*VLOOKUP($A99,'I | Capex forecast'!$A$11:$AA$160,BI$8,0)</f>
        <v>0</v>
      </c>
      <c r="BJ99" s="52">
        <f>M99*VLOOKUP($A99,'I | Capex forecast'!$A$11:$AA$160,BJ$8,0)</f>
        <v>0</v>
      </c>
      <c r="BK99" s="52">
        <f>N99*VLOOKUP($A99,'I | Capex forecast'!$A$11:$AA$160,BK$8,0)</f>
        <v>0</v>
      </c>
      <c r="BL99" s="52">
        <f>O99*VLOOKUP($A99,'I | Capex forecast'!$A$11:$AA$160,BL$8,0)</f>
        <v>0</v>
      </c>
      <c r="BM99" s="52">
        <f>P99*VLOOKUP($A99,'I | Capex forecast'!$A$11:$AA$160,BM$8,0)</f>
        <v>0</v>
      </c>
      <c r="BN99" s="54">
        <f t="shared" si="67"/>
        <v>0</v>
      </c>
      <c r="BO99" s="53"/>
      <c r="BP99" s="52">
        <f t="shared" si="46"/>
        <v>0</v>
      </c>
      <c r="BQ99" s="52">
        <f t="shared" si="47"/>
        <v>0</v>
      </c>
      <c r="BR99" s="52">
        <f t="shared" si="48"/>
        <v>0</v>
      </c>
      <c r="BS99" s="52">
        <f t="shared" si="49"/>
        <v>0</v>
      </c>
      <c r="BT99" s="52">
        <f t="shared" si="50"/>
        <v>0</v>
      </c>
      <c r="BU99" s="54">
        <f t="shared" si="68"/>
        <v>0</v>
      </c>
      <c r="BW99" s="52">
        <f t="shared" si="51"/>
        <v>0</v>
      </c>
      <c r="BX99" s="52">
        <f t="shared" si="52"/>
        <v>0</v>
      </c>
      <c r="BY99" s="52">
        <f t="shared" si="53"/>
        <v>0</v>
      </c>
      <c r="BZ99" s="52">
        <f t="shared" si="54"/>
        <v>0</v>
      </c>
      <c r="CA99" s="52">
        <f t="shared" si="55"/>
        <v>0</v>
      </c>
      <c r="CB99" s="54">
        <f t="shared" si="69"/>
        <v>0</v>
      </c>
      <c r="CC99" s="53"/>
      <c r="CD99" s="52">
        <f t="shared" si="70"/>
        <v>0</v>
      </c>
      <c r="CE99" s="52">
        <f t="shared" si="71"/>
        <v>0</v>
      </c>
      <c r="CF99" s="52">
        <f t="shared" si="72"/>
        <v>0</v>
      </c>
      <c r="CG99" s="52">
        <f t="shared" si="73"/>
        <v>0</v>
      </c>
      <c r="CH99" s="52">
        <f t="shared" si="74"/>
        <v>0</v>
      </c>
      <c r="CI99" s="54">
        <f t="shared" si="75"/>
        <v>0</v>
      </c>
    </row>
    <row r="100" spans="1:87" s="4" customFormat="1" x14ac:dyDescent="0.3">
      <c r="A100" s="56">
        <v>90</v>
      </c>
      <c r="B100" s="48" t="str">
        <f>IF('I | Capex forecast'!B100="","",'I | Capex forecast'!B100)</f>
        <v/>
      </c>
      <c r="C100" s="48" t="str">
        <f>IF('I | Capex forecast'!C100="","",'I | Capex forecast'!C100)</f>
        <v/>
      </c>
      <c r="D100" s="48" t="str">
        <f>IF('I | Capex forecast'!D100="","",'I | Capex forecast'!D100)</f>
        <v/>
      </c>
      <c r="E100" s="48" t="str">
        <f>IF('I | Capex forecast'!E100="","",'I | Capex forecast'!E100)</f>
        <v/>
      </c>
      <c r="F100" s="48" t="str">
        <f>IF('I | Capex forecast'!F100="","",'I | Capex forecast'!F100)</f>
        <v/>
      </c>
      <c r="G100" s="48" t="str">
        <f>IF('I | Capex forecast'!G100="","",'I | Capex forecast'!G100)</f>
        <v/>
      </c>
      <c r="H100" s="48" t="str">
        <f>IF('I | Capex forecast'!H100="","",'I | Capex forecast'!H100)</f>
        <v/>
      </c>
      <c r="I100" s="48" t="str">
        <f>IF('I | Capex forecast'!I100="","",'I | Capex forecast'!I100)</f>
        <v/>
      </c>
      <c r="J100" s="48" t="str">
        <f>IF('I | Capex forecast'!J100="","",'I | Capex forecast'!J100)</f>
        <v/>
      </c>
      <c r="K100" s="50"/>
      <c r="L100" s="52">
        <f>IFERROR(VLOOKUP($A100,'I | Capex forecast'!$A$11:$AA$160,L$8,0)*INDEX('I | Inflation'!$F$46:$G$49,MATCH($I100,'I | Inflation'!$E$46:$E$49,0),MATCH($H100,'I | Inflation'!$F$45:$G$45,0)),0)</f>
        <v>0</v>
      </c>
      <c r="M100" s="52">
        <f>IFERROR(VLOOKUP($A100,'I | Capex forecast'!$A$11:$AA$160,M$8,0)*INDEX('I | Inflation'!$F$46:$G$49,MATCH($I100,'I | Inflation'!$E$46:$E$49,0),MATCH($H100,'I | Inflation'!$F$45:$G$45,0)),0)</f>
        <v>0</v>
      </c>
      <c r="N100" s="52">
        <f>IFERROR(VLOOKUP($A100,'I | Capex forecast'!$A$11:$AA$160,N$8,0)*INDEX('I | Inflation'!$F$46:$G$49,MATCH($I100,'I | Inflation'!$E$46:$E$49,0),MATCH($H100,'I | Inflation'!$F$45:$G$45,0)),0)</f>
        <v>0</v>
      </c>
      <c r="O100" s="52">
        <f>IFERROR(VLOOKUP($A100,'I | Capex forecast'!$A$11:$AA$160,O$8,0)*INDEX('I | Inflation'!$F$46:$G$49,MATCH($I100,'I | Inflation'!$E$46:$E$49,0),MATCH($H100,'I | Inflation'!$F$45:$G$45,0)),0)</f>
        <v>0</v>
      </c>
      <c r="P100" s="52">
        <f>IFERROR(VLOOKUP($A100,'I | Capex forecast'!$A$11:$AA$160,P$8,0)*INDEX('I | Inflation'!$F$46:$G$49,MATCH($I100,'I | Inflation'!$E$46:$E$49,0),MATCH($H100,'I | Inflation'!$F$45:$G$45,0)),0)</f>
        <v>0</v>
      </c>
      <c r="Q100" s="54">
        <f t="shared" si="44"/>
        <v>0</v>
      </c>
      <c r="R100" s="53"/>
      <c r="S100" s="226">
        <f>L100*VLOOKUP($A100,'I | Capex forecast'!$A$11:$AA$160,S$8,0)</f>
        <v>0</v>
      </c>
      <c r="T100" s="226">
        <f>M100*VLOOKUP($A100,'I | Capex forecast'!$A$11:$AA$160,T$8,0)</f>
        <v>0</v>
      </c>
      <c r="U100" s="226">
        <f>N100*VLOOKUP($A100,'I | Capex forecast'!$A$11:$AA$160,U$8,0)</f>
        <v>0</v>
      </c>
      <c r="V100" s="226">
        <f>O100*VLOOKUP($A100,'I | Capex forecast'!$A$11:$AA$160,V$8,0)</f>
        <v>0</v>
      </c>
      <c r="W100" s="226">
        <f>P100*VLOOKUP($A100,'I | Capex forecast'!$A$11:$AA$160,W$8,0)</f>
        <v>0</v>
      </c>
      <c r="X100" s="54">
        <f t="shared" si="56"/>
        <v>0</v>
      </c>
      <c r="Y100" s="53"/>
      <c r="Z100" s="52">
        <f>S100*(HLOOKUP(Z$10,'I | Inflation'!$E$57:$J$59,3,0)-1)</f>
        <v>0</v>
      </c>
      <c r="AA100" s="52">
        <f>T100*(HLOOKUP(AA$10,'I | Inflation'!$E$57:$J$59,3,0)-1)</f>
        <v>0</v>
      </c>
      <c r="AB100" s="52">
        <f>U100*(HLOOKUP(AB$10,'I | Inflation'!$E$57:$J$59,3,0)-1)</f>
        <v>0</v>
      </c>
      <c r="AC100" s="52">
        <f>V100*(HLOOKUP(AC$10,'I | Inflation'!$E$57:$J$59,3,0)-1)</f>
        <v>0</v>
      </c>
      <c r="AD100" s="52">
        <f>W100*(HLOOKUP(AD$10,'I | Inflation'!$E$57:$J$59,3,0)-1)</f>
        <v>0</v>
      </c>
      <c r="AE100" s="54">
        <f t="shared" si="57"/>
        <v>0</v>
      </c>
      <c r="AF100" s="53"/>
      <c r="AG100" s="226">
        <f t="shared" si="58"/>
        <v>0</v>
      </c>
      <c r="AH100" s="226">
        <f t="shared" si="59"/>
        <v>0</v>
      </c>
      <c r="AI100" s="226">
        <f t="shared" si="60"/>
        <v>0</v>
      </c>
      <c r="AJ100" s="226">
        <f t="shared" si="61"/>
        <v>0</v>
      </c>
      <c r="AK100" s="226">
        <f t="shared" si="62"/>
        <v>0</v>
      </c>
      <c r="AL100" s="54">
        <f t="shared" si="63"/>
        <v>0</v>
      </c>
      <c r="AM100" s="53"/>
      <c r="AN100" s="52"/>
      <c r="AO100" s="52"/>
      <c r="AP100" s="52"/>
      <c r="AQ100" s="52"/>
      <c r="AR100" s="52"/>
      <c r="AS100" s="54">
        <f t="shared" si="64"/>
        <v>0</v>
      </c>
      <c r="AT100" s="53"/>
      <c r="AU100" s="52"/>
      <c r="AV100" s="52"/>
      <c r="AW100" s="52"/>
      <c r="AX100" s="52"/>
      <c r="AY100" s="52"/>
      <c r="AZ100" s="54">
        <f t="shared" si="65"/>
        <v>0</v>
      </c>
      <c r="BA100" s="53"/>
      <c r="BB100" s="52"/>
      <c r="BC100" s="52"/>
      <c r="BD100" s="52"/>
      <c r="BE100" s="52"/>
      <c r="BF100" s="52"/>
      <c r="BG100" s="54">
        <f t="shared" si="66"/>
        <v>0</v>
      </c>
      <c r="BH100" s="53"/>
      <c r="BI100" s="52">
        <f>L100*VLOOKUP($A100,'I | Capex forecast'!$A$11:$AA$160,BI$8,0)</f>
        <v>0</v>
      </c>
      <c r="BJ100" s="52">
        <f>M100*VLOOKUP($A100,'I | Capex forecast'!$A$11:$AA$160,BJ$8,0)</f>
        <v>0</v>
      </c>
      <c r="BK100" s="52">
        <f>N100*VLOOKUP($A100,'I | Capex forecast'!$A$11:$AA$160,BK$8,0)</f>
        <v>0</v>
      </c>
      <c r="BL100" s="52">
        <f>O100*VLOOKUP($A100,'I | Capex forecast'!$A$11:$AA$160,BL$8,0)</f>
        <v>0</v>
      </c>
      <c r="BM100" s="52">
        <f>P100*VLOOKUP($A100,'I | Capex forecast'!$A$11:$AA$160,BM$8,0)</f>
        <v>0</v>
      </c>
      <c r="BN100" s="54">
        <f t="shared" si="67"/>
        <v>0</v>
      </c>
      <c r="BO100" s="53"/>
      <c r="BP100" s="52">
        <f t="shared" si="46"/>
        <v>0</v>
      </c>
      <c r="BQ100" s="52">
        <f t="shared" si="47"/>
        <v>0</v>
      </c>
      <c r="BR100" s="52">
        <f t="shared" si="48"/>
        <v>0</v>
      </c>
      <c r="BS100" s="52">
        <f t="shared" si="49"/>
        <v>0</v>
      </c>
      <c r="BT100" s="52">
        <f t="shared" si="50"/>
        <v>0</v>
      </c>
      <c r="BU100" s="54">
        <f t="shared" si="68"/>
        <v>0</v>
      </c>
      <c r="BW100" s="52">
        <f t="shared" si="51"/>
        <v>0</v>
      </c>
      <c r="BX100" s="52">
        <f t="shared" si="52"/>
        <v>0</v>
      </c>
      <c r="BY100" s="52">
        <f t="shared" si="53"/>
        <v>0</v>
      </c>
      <c r="BZ100" s="52">
        <f t="shared" si="54"/>
        <v>0</v>
      </c>
      <c r="CA100" s="52">
        <f t="shared" si="55"/>
        <v>0</v>
      </c>
      <c r="CB100" s="54">
        <f t="shared" si="69"/>
        <v>0</v>
      </c>
      <c r="CC100" s="53"/>
      <c r="CD100" s="52">
        <f t="shared" si="70"/>
        <v>0</v>
      </c>
      <c r="CE100" s="52">
        <f t="shared" si="71"/>
        <v>0</v>
      </c>
      <c r="CF100" s="52">
        <f t="shared" si="72"/>
        <v>0</v>
      </c>
      <c r="CG100" s="52">
        <f t="shared" si="73"/>
        <v>0</v>
      </c>
      <c r="CH100" s="52">
        <f t="shared" si="74"/>
        <v>0</v>
      </c>
      <c r="CI100" s="54">
        <f t="shared" si="75"/>
        <v>0</v>
      </c>
    </row>
    <row r="101" spans="1:87" s="4" customFormat="1" x14ac:dyDescent="0.3">
      <c r="A101" s="56">
        <v>91</v>
      </c>
      <c r="B101" s="48" t="str">
        <f>IF('I | Capex forecast'!B101="","",'I | Capex forecast'!B101)</f>
        <v/>
      </c>
      <c r="C101" s="48" t="str">
        <f>IF('I | Capex forecast'!C101="","",'I | Capex forecast'!C101)</f>
        <v/>
      </c>
      <c r="D101" s="48" t="str">
        <f>IF('I | Capex forecast'!D101="","",'I | Capex forecast'!D101)</f>
        <v/>
      </c>
      <c r="E101" s="48" t="str">
        <f>IF('I | Capex forecast'!E101="","",'I | Capex forecast'!E101)</f>
        <v/>
      </c>
      <c r="F101" s="48" t="str">
        <f>IF('I | Capex forecast'!F101="","",'I | Capex forecast'!F101)</f>
        <v/>
      </c>
      <c r="G101" s="48" t="str">
        <f>IF('I | Capex forecast'!G101="","",'I | Capex forecast'!G101)</f>
        <v/>
      </c>
      <c r="H101" s="48" t="str">
        <f>IF('I | Capex forecast'!H101="","",'I | Capex forecast'!H101)</f>
        <v/>
      </c>
      <c r="I101" s="48" t="str">
        <f>IF('I | Capex forecast'!I101="","",'I | Capex forecast'!I101)</f>
        <v/>
      </c>
      <c r="J101" s="48" t="str">
        <f>IF('I | Capex forecast'!J101="","",'I | Capex forecast'!J101)</f>
        <v/>
      </c>
      <c r="K101" s="50"/>
      <c r="L101" s="52">
        <f>IFERROR(VLOOKUP($A101,'I | Capex forecast'!$A$11:$AA$160,L$8,0)*INDEX('I | Inflation'!$F$46:$G$49,MATCH($I101,'I | Inflation'!$E$46:$E$49,0),MATCH($H101,'I | Inflation'!$F$45:$G$45,0)),0)</f>
        <v>0</v>
      </c>
      <c r="M101" s="52">
        <f>IFERROR(VLOOKUP($A101,'I | Capex forecast'!$A$11:$AA$160,M$8,0)*INDEX('I | Inflation'!$F$46:$G$49,MATCH($I101,'I | Inflation'!$E$46:$E$49,0),MATCH($H101,'I | Inflation'!$F$45:$G$45,0)),0)</f>
        <v>0</v>
      </c>
      <c r="N101" s="52">
        <f>IFERROR(VLOOKUP($A101,'I | Capex forecast'!$A$11:$AA$160,N$8,0)*INDEX('I | Inflation'!$F$46:$G$49,MATCH($I101,'I | Inflation'!$E$46:$E$49,0),MATCH($H101,'I | Inflation'!$F$45:$G$45,0)),0)</f>
        <v>0</v>
      </c>
      <c r="O101" s="52">
        <f>IFERROR(VLOOKUP($A101,'I | Capex forecast'!$A$11:$AA$160,O$8,0)*INDEX('I | Inflation'!$F$46:$G$49,MATCH($I101,'I | Inflation'!$E$46:$E$49,0),MATCH($H101,'I | Inflation'!$F$45:$G$45,0)),0)</f>
        <v>0</v>
      </c>
      <c r="P101" s="52">
        <f>IFERROR(VLOOKUP($A101,'I | Capex forecast'!$A$11:$AA$160,P$8,0)*INDEX('I | Inflation'!$F$46:$G$49,MATCH($I101,'I | Inflation'!$E$46:$E$49,0),MATCH($H101,'I | Inflation'!$F$45:$G$45,0)),0)</f>
        <v>0</v>
      </c>
      <c r="Q101" s="54">
        <f t="shared" si="44"/>
        <v>0</v>
      </c>
      <c r="R101" s="53"/>
      <c r="S101" s="226">
        <f>L101*VLOOKUP($A101,'I | Capex forecast'!$A$11:$AA$160,S$8,0)</f>
        <v>0</v>
      </c>
      <c r="T101" s="226">
        <f>M101*VLOOKUP($A101,'I | Capex forecast'!$A$11:$AA$160,T$8,0)</f>
        <v>0</v>
      </c>
      <c r="U101" s="226">
        <f>N101*VLOOKUP($A101,'I | Capex forecast'!$A$11:$AA$160,U$8,0)</f>
        <v>0</v>
      </c>
      <c r="V101" s="226">
        <f>O101*VLOOKUP($A101,'I | Capex forecast'!$A$11:$AA$160,V$8,0)</f>
        <v>0</v>
      </c>
      <c r="W101" s="226">
        <f>P101*VLOOKUP($A101,'I | Capex forecast'!$A$11:$AA$160,W$8,0)</f>
        <v>0</v>
      </c>
      <c r="X101" s="54">
        <f t="shared" si="56"/>
        <v>0</v>
      </c>
      <c r="Y101" s="53"/>
      <c r="Z101" s="52">
        <f>S101*(HLOOKUP(Z$10,'I | Inflation'!$E$57:$J$59,3,0)-1)</f>
        <v>0</v>
      </c>
      <c r="AA101" s="52">
        <f>T101*(HLOOKUP(AA$10,'I | Inflation'!$E$57:$J$59,3,0)-1)</f>
        <v>0</v>
      </c>
      <c r="AB101" s="52">
        <f>U101*(HLOOKUP(AB$10,'I | Inflation'!$E$57:$J$59,3,0)-1)</f>
        <v>0</v>
      </c>
      <c r="AC101" s="52">
        <f>V101*(HLOOKUP(AC$10,'I | Inflation'!$E$57:$J$59,3,0)-1)</f>
        <v>0</v>
      </c>
      <c r="AD101" s="52">
        <f>W101*(HLOOKUP(AD$10,'I | Inflation'!$E$57:$J$59,3,0)-1)</f>
        <v>0</v>
      </c>
      <c r="AE101" s="54">
        <f t="shared" si="57"/>
        <v>0</v>
      </c>
      <c r="AF101" s="53"/>
      <c r="AG101" s="226">
        <f t="shared" si="58"/>
        <v>0</v>
      </c>
      <c r="AH101" s="226">
        <f t="shared" si="59"/>
        <v>0</v>
      </c>
      <c r="AI101" s="226">
        <f t="shared" si="60"/>
        <v>0</v>
      </c>
      <c r="AJ101" s="226">
        <f t="shared" si="61"/>
        <v>0</v>
      </c>
      <c r="AK101" s="226">
        <f t="shared" si="62"/>
        <v>0</v>
      </c>
      <c r="AL101" s="54">
        <f t="shared" si="63"/>
        <v>0</v>
      </c>
      <c r="AM101" s="53"/>
      <c r="AN101" s="52"/>
      <c r="AO101" s="52"/>
      <c r="AP101" s="52"/>
      <c r="AQ101" s="52"/>
      <c r="AR101" s="52"/>
      <c r="AS101" s="54">
        <f t="shared" si="64"/>
        <v>0</v>
      </c>
      <c r="AT101" s="53"/>
      <c r="AU101" s="52"/>
      <c r="AV101" s="52"/>
      <c r="AW101" s="52"/>
      <c r="AX101" s="52"/>
      <c r="AY101" s="52"/>
      <c r="AZ101" s="54">
        <f t="shared" si="65"/>
        <v>0</v>
      </c>
      <c r="BA101" s="53"/>
      <c r="BB101" s="52"/>
      <c r="BC101" s="52"/>
      <c r="BD101" s="52"/>
      <c r="BE101" s="52"/>
      <c r="BF101" s="52"/>
      <c r="BG101" s="54">
        <f t="shared" si="66"/>
        <v>0</v>
      </c>
      <c r="BH101" s="53"/>
      <c r="BI101" s="52">
        <f>L101*VLOOKUP($A101,'I | Capex forecast'!$A$11:$AA$160,BI$8,0)</f>
        <v>0</v>
      </c>
      <c r="BJ101" s="52">
        <f>M101*VLOOKUP($A101,'I | Capex forecast'!$A$11:$AA$160,BJ$8,0)</f>
        <v>0</v>
      </c>
      <c r="BK101" s="52">
        <f>N101*VLOOKUP($A101,'I | Capex forecast'!$A$11:$AA$160,BK$8,0)</f>
        <v>0</v>
      </c>
      <c r="BL101" s="52">
        <f>O101*VLOOKUP($A101,'I | Capex forecast'!$A$11:$AA$160,BL$8,0)</f>
        <v>0</v>
      </c>
      <c r="BM101" s="52">
        <f>P101*VLOOKUP($A101,'I | Capex forecast'!$A$11:$AA$160,BM$8,0)</f>
        <v>0</v>
      </c>
      <c r="BN101" s="54">
        <f t="shared" si="67"/>
        <v>0</v>
      </c>
      <c r="BO101" s="53"/>
      <c r="BP101" s="52">
        <f t="shared" si="46"/>
        <v>0</v>
      </c>
      <c r="BQ101" s="52">
        <f t="shared" si="47"/>
        <v>0</v>
      </c>
      <c r="BR101" s="52">
        <f t="shared" si="48"/>
        <v>0</v>
      </c>
      <c r="BS101" s="52">
        <f t="shared" si="49"/>
        <v>0</v>
      </c>
      <c r="BT101" s="52">
        <f t="shared" si="50"/>
        <v>0</v>
      </c>
      <c r="BU101" s="54">
        <f t="shared" si="68"/>
        <v>0</v>
      </c>
      <c r="BW101" s="52">
        <f t="shared" si="51"/>
        <v>0</v>
      </c>
      <c r="BX101" s="52">
        <f t="shared" si="52"/>
        <v>0</v>
      </c>
      <c r="BY101" s="52">
        <f t="shared" si="53"/>
        <v>0</v>
      </c>
      <c r="BZ101" s="52">
        <f t="shared" si="54"/>
        <v>0</v>
      </c>
      <c r="CA101" s="52">
        <f t="shared" si="55"/>
        <v>0</v>
      </c>
      <c r="CB101" s="54">
        <f t="shared" si="69"/>
        <v>0</v>
      </c>
      <c r="CC101" s="53"/>
      <c r="CD101" s="52">
        <f t="shared" si="70"/>
        <v>0</v>
      </c>
      <c r="CE101" s="52">
        <f t="shared" si="71"/>
        <v>0</v>
      </c>
      <c r="CF101" s="52">
        <f t="shared" si="72"/>
        <v>0</v>
      </c>
      <c r="CG101" s="52">
        <f t="shared" si="73"/>
        <v>0</v>
      </c>
      <c r="CH101" s="52">
        <f t="shared" si="74"/>
        <v>0</v>
      </c>
      <c r="CI101" s="54">
        <f t="shared" si="75"/>
        <v>0</v>
      </c>
    </row>
    <row r="102" spans="1:87" s="4" customFormat="1" x14ac:dyDescent="0.3">
      <c r="A102" s="56">
        <v>92</v>
      </c>
      <c r="B102" s="48" t="str">
        <f>IF('I | Capex forecast'!B102="","",'I | Capex forecast'!B102)</f>
        <v/>
      </c>
      <c r="C102" s="48" t="str">
        <f>IF('I | Capex forecast'!C102="","",'I | Capex forecast'!C102)</f>
        <v/>
      </c>
      <c r="D102" s="48" t="str">
        <f>IF('I | Capex forecast'!D102="","",'I | Capex forecast'!D102)</f>
        <v/>
      </c>
      <c r="E102" s="48" t="str">
        <f>IF('I | Capex forecast'!E102="","",'I | Capex forecast'!E102)</f>
        <v/>
      </c>
      <c r="F102" s="48" t="str">
        <f>IF('I | Capex forecast'!F102="","",'I | Capex forecast'!F102)</f>
        <v/>
      </c>
      <c r="G102" s="48" t="str">
        <f>IF('I | Capex forecast'!G102="","",'I | Capex forecast'!G102)</f>
        <v/>
      </c>
      <c r="H102" s="48" t="str">
        <f>IF('I | Capex forecast'!H102="","",'I | Capex forecast'!H102)</f>
        <v/>
      </c>
      <c r="I102" s="48" t="str">
        <f>IF('I | Capex forecast'!I102="","",'I | Capex forecast'!I102)</f>
        <v/>
      </c>
      <c r="J102" s="48" t="str">
        <f>IF('I | Capex forecast'!J102="","",'I | Capex forecast'!J102)</f>
        <v/>
      </c>
      <c r="K102" s="50"/>
      <c r="L102" s="52">
        <f>IFERROR(VLOOKUP($A102,'I | Capex forecast'!$A$11:$AA$160,L$8,0)*INDEX('I | Inflation'!$F$46:$G$49,MATCH($I102,'I | Inflation'!$E$46:$E$49,0),MATCH($H102,'I | Inflation'!$F$45:$G$45,0)),0)</f>
        <v>0</v>
      </c>
      <c r="M102" s="52">
        <f>IFERROR(VLOOKUP($A102,'I | Capex forecast'!$A$11:$AA$160,M$8,0)*INDEX('I | Inflation'!$F$46:$G$49,MATCH($I102,'I | Inflation'!$E$46:$E$49,0),MATCH($H102,'I | Inflation'!$F$45:$G$45,0)),0)</f>
        <v>0</v>
      </c>
      <c r="N102" s="52">
        <f>IFERROR(VLOOKUP($A102,'I | Capex forecast'!$A$11:$AA$160,N$8,0)*INDEX('I | Inflation'!$F$46:$G$49,MATCH($I102,'I | Inflation'!$E$46:$E$49,0),MATCH($H102,'I | Inflation'!$F$45:$G$45,0)),0)</f>
        <v>0</v>
      </c>
      <c r="O102" s="52">
        <f>IFERROR(VLOOKUP($A102,'I | Capex forecast'!$A$11:$AA$160,O$8,0)*INDEX('I | Inflation'!$F$46:$G$49,MATCH($I102,'I | Inflation'!$E$46:$E$49,0),MATCH($H102,'I | Inflation'!$F$45:$G$45,0)),0)</f>
        <v>0</v>
      </c>
      <c r="P102" s="52">
        <f>IFERROR(VLOOKUP($A102,'I | Capex forecast'!$A$11:$AA$160,P$8,0)*INDEX('I | Inflation'!$F$46:$G$49,MATCH($I102,'I | Inflation'!$E$46:$E$49,0),MATCH($H102,'I | Inflation'!$F$45:$G$45,0)),0)</f>
        <v>0</v>
      </c>
      <c r="Q102" s="54">
        <f t="shared" si="44"/>
        <v>0</v>
      </c>
      <c r="R102" s="53"/>
      <c r="S102" s="226">
        <f>L102*VLOOKUP($A102,'I | Capex forecast'!$A$11:$AA$160,S$8,0)</f>
        <v>0</v>
      </c>
      <c r="T102" s="226">
        <f>M102*VLOOKUP($A102,'I | Capex forecast'!$A$11:$AA$160,T$8,0)</f>
        <v>0</v>
      </c>
      <c r="U102" s="226">
        <f>N102*VLOOKUP($A102,'I | Capex forecast'!$A$11:$AA$160,U$8,0)</f>
        <v>0</v>
      </c>
      <c r="V102" s="226">
        <f>O102*VLOOKUP($A102,'I | Capex forecast'!$A$11:$AA$160,V$8,0)</f>
        <v>0</v>
      </c>
      <c r="W102" s="226">
        <f>P102*VLOOKUP($A102,'I | Capex forecast'!$A$11:$AA$160,W$8,0)</f>
        <v>0</v>
      </c>
      <c r="X102" s="54">
        <f t="shared" si="56"/>
        <v>0</v>
      </c>
      <c r="Y102" s="53"/>
      <c r="Z102" s="52">
        <f>S102*(HLOOKUP(Z$10,'I | Inflation'!$E$57:$J$59,3,0)-1)</f>
        <v>0</v>
      </c>
      <c r="AA102" s="52">
        <f>T102*(HLOOKUP(AA$10,'I | Inflation'!$E$57:$J$59,3,0)-1)</f>
        <v>0</v>
      </c>
      <c r="AB102" s="52">
        <f>U102*(HLOOKUP(AB$10,'I | Inflation'!$E$57:$J$59,3,0)-1)</f>
        <v>0</v>
      </c>
      <c r="AC102" s="52">
        <f>V102*(HLOOKUP(AC$10,'I | Inflation'!$E$57:$J$59,3,0)-1)</f>
        <v>0</v>
      </c>
      <c r="AD102" s="52">
        <f>W102*(HLOOKUP(AD$10,'I | Inflation'!$E$57:$J$59,3,0)-1)</f>
        <v>0</v>
      </c>
      <c r="AE102" s="54">
        <f t="shared" si="57"/>
        <v>0</v>
      </c>
      <c r="AF102" s="53"/>
      <c r="AG102" s="226">
        <f t="shared" si="58"/>
        <v>0</v>
      </c>
      <c r="AH102" s="226">
        <f t="shared" si="59"/>
        <v>0</v>
      </c>
      <c r="AI102" s="226">
        <f t="shared" si="60"/>
        <v>0</v>
      </c>
      <c r="AJ102" s="226">
        <f t="shared" si="61"/>
        <v>0</v>
      </c>
      <c r="AK102" s="226">
        <f t="shared" si="62"/>
        <v>0</v>
      </c>
      <c r="AL102" s="54">
        <f t="shared" si="63"/>
        <v>0</v>
      </c>
      <c r="AM102" s="53"/>
      <c r="AN102" s="52"/>
      <c r="AO102" s="52"/>
      <c r="AP102" s="52"/>
      <c r="AQ102" s="52"/>
      <c r="AR102" s="52"/>
      <c r="AS102" s="54">
        <f t="shared" si="64"/>
        <v>0</v>
      </c>
      <c r="AT102" s="53"/>
      <c r="AU102" s="52"/>
      <c r="AV102" s="52"/>
      <c r="AW102" s="52"/>
      <c r="AX102" s="52"/>
      <c r="AY102" s="52"/>
      <c r="AZ102" s="54">
        <f t="shared" si="65"/>
        <v>0</v>
      </c>
      <c r="BA102" s="53"/>
      <c r="BB102" s="52"/>
      <c r="BC102" s="52"/>
      <c r="BD102" s="52"/>
      <c r="BE102" s="52"/>
      <c r="BF102" s="52"/>
      <c r="BG102" s="54">
        <f t="shared" si="66"/>
        <v>0</v>
      </c>
      <c r="BH102" s="53"/>
      <c r="BI102" s="52">
        <f>L102*VLOOKUP($A102,'I | Capex forecast'!$A$11:$AA$160,BI$8,0)</f>
        <v>0</v>
      </c>
      <c r="BJ102" s="52">
        <f>M102*VLOOKUP($A102,'I | Capex forecast'!$A$11:$AA$160,BJ$8,0)</f>
        <v>0</v>
      </c>
      <c r="BK102" s="52">
        <f>N102*VLOOKUP($A102,'I | Capex forecast'!$A$11:$AA$160,BK$8,0)</f>
        <v>0</v>
      </c>
      <c r="BL102" s="52">
        <f>O102*VLOOKUP($A102,'I | Capex forecast'!$A$11:$AA$160,BL$8,0)</f>
        <v>0</v>
      </c>
      <c r="BM102" s="52">
        <f>P102*VLOOKUP($A102,'I | Capex forecast'!$A$11:$AA$160,BM$8,0)</f>
        <v>0</v>
      </c>
      <c r="BN102" s="54">
        <f t="shared" si="67"/>
        <v>0</v>
      </c>
      <c r="BO102" s="53"/>
      <c r="BP102" s="52">
        <f t="shared" si="46"/>
        <v>0</v>
      </c>
      <c r="BQ102" s="52">
        <f t="shared" si="47"/>
        <v>0</v>
      </c>
      <c r="BR102" s="52">
        <f t="shared" si="48"/>
        <v>0</v>
      </c>
      <c r="BS102" s="52">
        <f t="shared" si="49"/>
        <v>0</v>
      </c>
      <c r="BT102" s="52">
        <f t="shared" si="50"/>
        <v>0</v>
      </c>
      <c r="BU102" s="54">
        <f t="shared" si="68"/>
        <v>0</v>
      </c>
      <c r="BW102" s="52">
        <f t="shared" si="51"/>
        <v>0</v>
      </c>
      <c r="BX102" s="52">
        <f t="shared" si="52"/>
        <v>0</v>
      </c>
      <c r="BY102" s="52">
        <f t="shared" si="53"/>
        <v>0</v>
      </c>
      <c r="BZ102" s="52">
        <f t="shared" si="54"/>
        <v>0</v>
      </c>
      <c r="CA102" s="52">
        <f t="shared" si="55"/>
        <v>0</v>
      </c>
      <c r="CB102" s="54">
        <f t="shared" si="69"/>
        <v>0</v>
      </c>
      <c r="CC102" s="53"/>
      <c r="CD102" s="52">
        <f t="shared" si="70"/>
        <v>0</v>
      </c>
      <c r="CE102" s="52">
        <f t="shared" si="71"/>
        <v>0</v>
      </c>
      <c r="CF102" s="52">
        <f t="shared" si="72"/>
        <v>0</v>
      </c>
      <c r="CG102" s="52">
        <f t="shared" si="73"/>
        <v>0</v>
      </c>
      <c r="CH102" s="52">
        <f t="shared" si="74"/>
        <v>0</v>
      </c>
      <c r="CI102" s="54">
        <f t="shared" si="75"/>
        <v>0</v>
      </c>
    </row>
    <row r="103" spans="1:87" s="4" customFormat="1" x14ac:dyDescent="0.3">
      <c r="A103" s="56">
        <v>93</v>
      </c>
      <c r="B103" s="48" t="str">
        <f>IF('I | Capex forecast'!B103="","",'I | Capex forecast'!B103)</f>
        <v/>
      </c>
      <c r="C103" s="48" t="str">
        <f>IF('I | Capex forecast'!C103="","",'I | Capex forecast'!C103)</f>
        <v/>
      </c>
      <c r="D103" s="48" t="str">
        <f>IF('I | Capex forecast'!D103="","",'I | Capex forecast'!D103)</f>
        <v/>
      </c>
      <c r="E103" s="48" t="str">
        <f>IF('I | Capex forecast'!E103="","",'I | Capex forecast'!E103)</f>
        <v/>
      </c>
      <c r="F103" s="48" t="str">
        <f>IF('I | Capex forecast'!F103="","",'I | Capex forecast'!F103)</f>
        <v/>
      </c>
      <c r="G103" s="48" t="str">
        <f>IF('I | Capex forecast'!G103="","",'I | Capex forecast'!G103)</f>
        <v/>
      </c>
      <c r="H103" s="48" t="str">
        <f>IF('I | Capex forecast'!H103="","",'I | Capex forecast'!H103)</f>
        <v/>
      </c>
      <c r="I103" s="48" t="str">
        <f>IF('I | Capex forecast'!I103="","",'I | Capex forecast'!I103)</f>
        <v/>
      </c>
      <c r="J103" s="48" t="str">
        <f>IF('I | Capex forecast'!J103="","",'I | Capex forecast'!J103)</f>
        <v/>
      </c>
      <c r="K103" s="50"/>
      <c r="L103" s="52">
        <f>IFERROR(VLOOKUP($A103,'I | Capex forecast'!$A$11:$AA$160,L$8,0)*INDEX('I | Inflation'!$F$46:$G$49,MATCH($I103,'I | Inflation'!$E$46:$E$49,0),MATCH($H103,'I | Inflation'!$F$45:$G$45,0)),0)</f>
        <v>0</v>
      </c>
      <c r="M103" s="52">
        <f>IFERROR(VLOOKUP($A103,'I | Capex forecast'!$A$11:$AA$160,M$8,0)*INDEX('I | Inflation'!$F$46:$G$49,MATCH($I103,'I | Inflation'!$E$46:$E$49,0),MATCH($H103,'I | Inflation'!$F$45:$G$45,0)),0)</f>
        <v>0</v>
      </c>
      <c r="N103" s="52">
        <f>IFERROR(VLOOKUP($A103,'I | Capex forecast'!$A$11:$AA$160,N$8,0)*INDEX('I | Inflation'!$F$46:$G$49,MATCH($I103,'I | Inflation'!$E$46:$E$49,0),MATCH($H103,'I | Inflation'!$F$45:$G$45,0)),0)</f>
        <v>0</v>
      </c>
      <c r="O103" s="52">
        <f>IFERROR(VLOOKUP($A103,'I | Capex forecast'!$A$11:$AA$160,O$8,0)*INDEX('I | Inflation'!$F$46:$G$49,MATCH($I103,'I | Inflation'!$E$46:$E$49,0),MATCH($H103,'I | Inflation'!$F$45:$G$45,0)),0)</f>
        <v>0</v>
      </c>
      <c r="P103" s="52">
        <f>IFERROR(VLOOKUP($A103,'I | Capex forecast'!$A$11:$AA$160,P$8,0)*INDEX('I | Inflation'!$F$46:$G$49,MATCH($I103,'I | Inflation'!$E$46:$E$49,0),MATCH($H103,'I | Inflation'!$F$45:$G$45,0)),0)</f>
        <v>0</v>
      </c>
      <c r="Q103" s="54">
        <f t="shared" si="44"/>
        <v>0</v>
      </c>
      <c r="R103" s="53"/>
      <c r="S103" s="226">
        <f>L103*VLOOKUP($A103,'I | Capex forecast'!$A$11:$AA$160,S$8,0)</f>
        <v>0</v>
      </c>
      <c r="T103" s="226">
        <f>M103*VLOOKUP($A103,'I | Capex forecast'!$A$11:$AA$160,T$8,0)</f>
        <v>0</v>
      </c>
      <c r="U103" s="226">
        <f>N103*VLOOKUP($A103,'I | Capex forecast'!$A$11:$AA$160,U$8,0)</f>
        <v>0</v>
      </c>
      <c r="V103" s="226">
        <f>O103*VLOOKUP($A103,'I | Capex forecast'!$A$11:$AA$160,V$8,0)</f>
        <v>0</v>
      </c>
      <c r="W103" s="226">
        <f>P103*VLOOKUP($A103,'I | Capex forecast'!$A$11:$AA$160,W$8,0)</f>
        <v>0</v>
      </c>
      <c r="X103" s="54">
        <f t="shared" si="56"/>
        <v>0</v>
      </c>
      <c r="Y103" s="53"/>
      <c r="Z103" s="52">
        <f>S103*(HLOOKUP(Z$10,'I | Inflation'!$E$57:$J$59,3,0)-1)</f>
        <v>0</v>
      </c>
      <c r="AA103" s="52">
        <f>T103*(HLOOKUP(AA$10,'I | Inflation'!$E$57:$J$59,3,0)-1)</f>
        <v>0</v>
      </c>
      <c r="AB103" s="52">
        <f>U103*(HLOOKUP(AB$10,'I | Inflation'!$E$57:$J$59,3,0)-1)</f>
        <v>0</v>
      </c>
      <c r="AC103" s="52">
        <f>V103*(HLOOKUP(AC$10,'I | Inflation'!$E$57:$J$59,3,0)-1)</f>
        <v>0</v>
      </c>
      <c r="AD103" s="52">
        <f>W103*(HLOOKUP(AD$10,'I | Inflation'!$E$57:$J$59,3,0)-1)</f>
        <v>0</v>
      </c>
      <c r="AE103" s="54">
        <f t="shared" si="57"/>
        <v>0</v>
      </c>
      <c r="AF103" s="53"/>
      <c r="AG103" s="226">
        <f t="shared" si="58"/>
        <v>0</v>
      </c>
      <c r="AH103" s="226">
        <f t="shared" si="59"/>
        <v>0</v>
      </c>
      <c r="AI103" s="226">
        <f t="shared" si="60"/>
        <v>0</v>
      </c>
      <c r="AJ103" s="226">
        <f t="shared" si="61"/>
        <v>0</v>
      </c>
      <c r="AK103" s="226">
        <f t="shared" si="62"/>
        <v>0</v>
      </c>
      <c r="AL103" s="54">
        <f t="shared" si="63"/>
        <v>0</v>
      </c>
      <c r="AM103" s="53"/>
      <c r="AN103" s="52"/>
      <c r="AO103" s="52"/>
      <c r="AP103" s="52"/>
      <c r="AQ103" s="52"/>
      <c r="AR103" s="52"/>
      <c r="AS103" s="54">
        <f t="shared" si="64"/>
        <v>0</v>
      </c>
      <c r="AT103" s="53"/>
      <c r="AU103" s="52"/>
      <c r="AV103" s="52"/>
      <c r="AW103" s="52"/>
      <c r="AX103" s="52"/>
      <c r="AY103" s="52"/>
      <c r="AZ103" s="54">
        <f t="shared" si="65"/>
        <v>0</v>
      </c>
      <c r="BA103" s="53"/>
      <c r="BB103" s="52"/>
      <c r="BC103" s="52"/>
      <c r="BD103" s="52"/>
      <c r="BE103" s="52"/>
      <c r="BF103" s="52"/>
      <c r="BG103" s="54">
        <f t="shared" si="66"/>
        <v>0</v>
      </c>
      <c r="BH103" s="53"/>
      <c r="BI103" s="52">
        <f>L103*VLOOKUP($A103,'I | Capex forecast'!$A$11:$AA$160,BI$8,0)</f>
        <v>0</v>
      </c>
      <c r="BJ103" s="52">
        <f>M103*VLOOKUP($A103,'I | Capex forecast'!$A$11:$AA$160,BJ$8,0)</f>
        <v>0</v>
      </c>
      <c r="BK103" s="52">
        <f>N103*VLOOKUP($A103,'I | Capex forecast'!$A$11:$AA$160,BK$8,0)</f>
        <v>0</v>
      </c>
      <c r="BL103" s="52">
        <f>O103*VLOOKUP($A103,'I | Capex forecast'!$A$11:$AA$160,BL$8,0)</f>
        <v>0</v>
      </c>
      <c r="BM103" s="52">
        <f>P103*VLOOKUP($A103,'I | Capex forecast'!$A$11:$AA$160,BM$8,0)</f>
        <v>0</v>
      </c>
      <c r="BN103" s="54">
        <f t="shared" si="67"/>
        <v>0</v>
      </c>
      <c r="BO103" s="53"/>
      <c r="BP103" s="52">
        <f t="shared" si="46"/>
        <v>0</v>
      </c>
      <c r="BQ103" s="52">
        <f t="shared" si="47"/>
        <v>0</v>
      </c>
      <c r="BR103" s="52">
        <f t="shared" si="48"/>
        <v>0</v>
      </c>
      <c r="BS103" s="52">
        <f t="shared" si="49"/>
        <v>0</v>
      </c>
      <c r="BT103" s="52">
        <f t="shared" si="50"/>
        <v>0</v>
      </c>
      <c r="BU103" s="54">
        <f t="shared" si="68"/>
        <v>0</v>
      </c>
      <c r="BW103" s="52">
        <f t="shared" si="51"/>
        <v>0</v>
      </c>
      <c r="BX103" s="52">
        <f t="shared" si="52"/>
        <v>0</v>
      </c>
      <c r="BY103" s="52">
        <f t="shared" si="53"/>
        <v>0</v>
      </c>
      <c r="BZ103" s="52">
        <f t="shared" si="54"/>
        <v>0</v>
      </c>
      <c r="CA103" s="52">
        <f t="shared" si="55"/>
        <v>0</v>
      </c>
      <c r="CB103" s="54">
        <f t="shared" si="69"/>
        <v>0</v>
      </c>
      <c r="CC103" s="53"/>
      <c r="CD103" s="52">
        <f t="shared" si="70"/>
        <v>0</v>
      </c>
      <c r="CE103" s="52">
        <f t="shared" si="71"/>
        <v>0</v>
      </c>
      <c r="CF103" s="52">
        <f t="shared" si="72"/>
        <v>0</v>
      </c>
      <c r="CG103" s="52">
        <f t="shared" si="73"/>
        <v>0</v>
      </c>
      <c r="CH103" s="52">
        <f t="shared" si="74"/>
        <v>0</v>
      </c>
      <c r="CI103" s="54">
        <f t="shared" si="75"/>
        <v>0</v>
      </c>
    </row>
    <row r="104" spans="1:87" s="4" customFormat="1" x14ac:dyDescent="0.3">
      <c r="A104" s="56">
        <v>94</v>
      </c>
      <c r="B104" s="48" t="str">
        <f>IF('I | Capex forecast'!B104="","",'I | Capex forecast'!B104)</f>
        <v/>
      </c>
      <c r="C104" s="48" t="str">
        <f>IF('I | Capex forecast'!C104="","",'I | Capex forecast'!C104)</f>
        <v/>
      </c>
      <c r="D104" s="48" t="str">
        <f>IF('I | Capex forecast'!D104="","",'I | Capex forecast'!D104)</f>
        <v/>
      </c>
      <c r="E104" s="48" t="str">
        <f>IF('I | Capex forecast'!E104="","",'I | Capex forecast'!E104)</f>
        <v/>
      </c>
      <c r="F104" s="48" t="str">
        <f>IF('I | Capex forecast'!F104="","",'I | Capex forecast'!F104)</f>
        <v/>
      </c>
      <c r="G104" s="48" t="str">
        <f>IF('I | Capex forecast'!G104="","",'I | Capex forecast'!G104)</f>
        <v/>
      </c>
      <c r="H104" s="48" t="str">
        <f>IF('I | Capex forecast'!H104="","",'I | Capex forecast'!H104)</f>
        <v/>
      </c>
      <c r="I104" s="48" t="str">
        <f>IF('I | Capex forecast'!I104="","",'I | Capex forecast'!I104)</f>
        <v/>
      </c>
      <c r="J104" s="48" t="str">
        <f>IF('I | Capex forecast'!J104="","",'I | Capex forecast'!J104)</f>
        <v/>
      </c>
      <c r="K104" s="50"/>
      <c r="L104" s="52">
        <f>IFERROR(VLOOKUP($A104,'I | Capex forecast'!$A$11:$AA$160,L$8,0)*INDEX('I | Inflation'!$F$46:$G$49,MATCH($I104,'I | Inflation'!$E$46:$E$49,0),MATCH($H104,'I | Inflation'!$F$45:$G$45,0)),0)</f>
        <v>0</v>
      </c>
      <c r="M104" s="52">
        <f>IFERROR(VLOOKUP($A104,'I | Capex forecast'!$A$11:$AA$160,M$8,0)*INDEX('I | Inflation'!$F$46:$G$49,MATCH($I104,'I | Inflation'!$E$46:$E$49,0),MATCH($H104,'I | Inflation'!$F$45:$G$45,0)),0)</f>
        <v>0</v>
      </c>
      <c r="N104" s="52">
        <f>IFERROR(VLOOKUP($A104,'I | Capex forecast'!$A$11:$AA$160,N$8,0)*INDEX('I | Inflation'!$F$46:$G$49,MATCH($I104,'I | Inflation'!$E$46:$E$49,0),MATCH($H104,'I | Inflation'!$F$45:$G$45,0)),0)</f>
        <v>0</v>
      </c>
      <c r="O104" s="52">
        <f>IFERROR(VLOOKUP($A104,'I | Capex forecast'!$A$11:$AA$160,O$8,0)*INDEX('I | Inflation'!$F$46:$G$49,MATCH($I104,'I | Inflation'!$E$46:$E$49,0),MATCH($H104,'I | Inflation'!$F$45:$G$45,0)),0)</f>
        <v>0</v>
      </c>
      <c r="P104" s="52">
        <f>IFERROR(VLOOKUP($A104,'I | Capex forecast'!$A$11:$AA$160,P$8,0)*INDEX('I | Inflation'!$F$46:$G$49,MATCH($I104,'I | Inflation'!$E$46:$E$49,0),MATCH($H104,'I | Inflation'!$F$45:$G$45,0)),0)</f>
        <v>0</v>
      </c>
      <c r="Q104" s="54">
        <f t="shared" si="44"/>
        <v>0</v>
      </c>
      <c r="R104" s="53"/>
      <c r="S104" s="226">
        <f>L104*VLOOKUP($A104,'I | Capex forecast'!$A$11:$AA$160,S$8,0)</f>
        <v>0</v>
      </c>
      <c r="T104" s="226">
        <f>M104*VLOOKUP($A104,'I | Capex forecast'!$A$11:$AA$160,T$8,0)</f>
        <v>0</v>
      </c>
      <c r="U104" s="226">
        <f>N104*VLOOKUP($A104,'I | Capex forecast'!$A$11:$AA$160,U$8,0)</f>
        <v>0</v>
      </c>
      <c r="V104" s="226">
        <f>O104*VLOOKUP($A104,'I | Capex forecast'!$A$11:$AA$160,V$8,0)</f>
        <v>0</v>
      </c>
      <c r="W104" s="226">
        <f>P104*VLOOKUP($A104,'I | Capex forecast'!$A$11:$AA$160,W$8,0)</f>
        <v>0</v>
      </c>
      <c r="X104" s="54">
        <f t="shared" si="56"/>
        <v>0</v>
      </c>
      <c r="Y104" s="53"/>
      <c r="Z104" s="52">
        <f>S104*(HLOOKUP(Z$10,'I | Inflation'!$E$57:$J$59,3,0)-1)</f>
        <v>0</v>
      </c>
      <c r="AA104" s="52">
        <f>T104*(HLOOKUP(AA$10,'I | Inflation'!$E$57:$J$59,3,0)-1)</f>
        <v>0</v>
      </c>
      <c r="AB104" s="52">
        <f>U104*(HLOOKUP(AB$10,'I | Inflation'!$E$57:$J$59,3,0)-1)</f>
        <v>0</v>
      </c>
      <c r="AC104" s="52">
        <f>V104*(HLOOKUP(AC$10,'I | Inflation'!$E$57:$J$59,3,0)-1)</f>
        <v>0</v>
      </c>
      <c r="AD104" s="52">
        <f>W104*(HLOOKUP(AD$10,'I | Inflation'!$E$57:$J$59,3,0)-1)</f>
        <v>0</v>
      </c>
      <c r="AE104" s="54">
        <f t="shared" si="57"/>
        <v>0</v>
      </c>
      <c r="AF104" s="53"/>
      <c r="AG104" s="226">
        <f t="shared" si="58"/>
        <v>0</v>
      </c>
      <c r="AH104" s="226">
        <f t="shared" si="59"/>
        <v>0</v>
      </c>
      <c r="AI104" s="226">
        <f t="shared" si="60"/>
        <v>0</v>
      </c>
      <c r="AJ104" s="226">
        <f t="shared" si="61"/>
        <v>0</v>
      </c>
      <c r="AK104" s="226">
        <f t="shared" si="62"/>
        <v>0</v>
      </c>
      <c r="AL104" s="54">
        <f t="shared" si="63"/>
        <v>0</v>
      </c>
      <c r="AM104" s="53"/>
      <c r="AN104" s="52"/>
      <c r="AO104" s="52"/>
      <c r="AP104" s="52"/>
      <c r="AQ104" s="52"/>
      <c r="AR104" s="52"/>
      <c r="AS104" s="54">
        <f t="shared" si="64"/>
        <v>0</v>
      </c>
      <c r="AT104" s="53"/>
      <c r="AU104" s="52"/>
      <c r="AV104" s="52"/>
      <c r="AW104" s="52"/>
      <c r="AX104" s="52"/>
      <c r="AY104" s="52"/>
      <c r="AZ104" s="54">
        <f t="shared" si="65"/>
        <v>0</v>
      </c>
      <c r="BA104" s="53"/>
      <c r="BB104" s="52"/>
      <c r="BC104" s="52"/>
      <c r="BD104" s="52"/>
      <c r="BE104" s="52"/>
      <c r="BF104" s="52"/>
      <c r="BG104" s="54">
        <f t="shared" si="66"/>
        <v>0</v>
      </c>
      <c r="BH104" s="53"/>
      <c r="BI104" s="52">
        <f>L104*VLOOKUP($A104,'I | Capex forecast'!$A$11:$AA$160,BI$8,0)</f>
        <v>0</v>
      </c>
      <c r="BJ104" s="52">
        <f>M104*VLOOKUP($A104,'I | Capex forecast'!$A$11:$AA$160,BJ$8,0)</f>
        <v>0</v>
      </c>
      <c r="BK104" s="52">
        <f>N104*VLOOKUP($A104,'I | Capex forecast'!$A$11:$AA$160,BK$8,0)</f>
        <v>0</v>
      </c>
      <c r="BL104" s="52">
        <f>O104*VLOOKUP($A104,'I | Capex forecast'!$A$11:$AA$160,BL$8,0)</f>
        <v>0</v>
      </c>
      <c r="BM104" s="52">
        <f>P104*VLOOKUP($A104,'I | Capex forecast'!$A$11:$AA$160,BM$8,0)</f>
        <v>0</v>
      </c>
      <c r="BN104" s="54">
        <f t="shared" si="67"/>
        <v>0</v>
      </c>
      <c r="BO104" s="53"/>
      <c r="BP104" s="52">
        <f t="shared" si="46"/>
        <v>0</v>
      </c>
      <c r="BQ104" s="52">
        <f t="shared" si="47"/>
        <v>0</v>
      </c>
      <c r="BR104" s="52">
        <f t="shared" si="48"/>
        <v>0</v>
      </c>
      <c r="BS104" s="52">
        <f t="shared" si="49"/>
        <v>0</v>
      </c>
      <c r="BT104" s="52">
        <f t="shared" si="50"/>
        <v>0</v>
      </c>
      <c r="BU104" s="54">
        <f t="shared" si="68"/>
        <v>0</v>
      </c>
      <c r="BW104" s="52">
        <f t="shared" si="51"/>
        <v>0</v>
      </c>
      <c r="BX104" s="52">
        <f t="shared" si="52"/>
        <v>0</v>
      </c>
      <c r="BY104" s="52">
        <f t="shared" si="53"/>
        <v>0</v>
      </c>
      <c r="BZ104" s="52">
        <f t="shared" si="54"/>
        <v>0</v>
      </c>
      <c r="CA104" s="52">
        <f t="shared" si="55"/>
        <v>0</v>
      </c>
      <c r="CB104" s="54">
        <f t="shared" si="69"/>
        <v>0</v>
      </c>
      <c r="CC104" s="53"/>
      <c r="CD104" s="52">
        <f t="shared" si="70"/>
        <v>0</v>
      </c>
      <c r="CE104" s="52">
        <f t="shared" si="71"/>
        <v>0</v>
      </c>
      <c r="CF104" s="52">
        <f t="shared" si="72"/>
        <v>0</v>
      </c>
      <c r="CG104" s="52">
        <f t="shared" si="73"/>
        <v>0</v>
      </c>
      <c r="CH104" s="52">
        <f t="shared" si="74"/>
        <v>0</v>
      </c>
      <c r="CI104" s="54">
        <f t="shared" si="75"/>
        <v>0</v>
      </c>
    </row>
    <row r="105" spans="1:87" s="4" customFormat="1" x14ac:dyDescent="0.3">
      <c r="A105" s="56">
        <v>95</v>
      </c>
      <c r="B105" s="48" t="str">
        <f>IF('I | Capex forecast'!B105="","",'I | Capex forecast'!B105)</f>
        <v/>
      </c>
      <c r="C105" s="48" t="str">
        <f>IF('I | Capex forecast'!C105="","",'I | Capex forecast'!C105)</f>
        <v/>
      </c>
      <c r="D105" s="48" t="str">
        <f>IF('I | Capex forecast'!D105="","",'I | Capex forecast'!D105)</f>
        <v/>
      </c>
      <c r="E105" s="48" t="str">
        <f>IF('I | Capex forecast'!E105="","",'I | Capex forecast'!E105)</f>
        <v/>
      </c>
      <c r="F105" s="48" t="str">
        <f>IF('I | Capex forecast'!F105="","",'I | Capex forecast'!F105)</f>
        <v/>
      </c>
      <c r="G105" s="48" t="str">
        <f>IF('I | Capex forecast'!G105="","",'I | Capex forecast'!G105)</f>
        <v/>
      </c>
      <c r="H105" s="48" t="str">
        <f>IF('I | Capex forecast'!H105="","",'I | Capex forecast'!H105)</f>
        <v/>
      </c>
      <c r="I105" s="48" t="str">
        <f>IF('I | Capex forecast'!I105="","",'I | Capex forecast'!I105)</f>
        <v/>
      </c>
      <c r="J105" s="48" t="str">
        <f>IF('I | Capex forecast'!J105="","",'I | Capex forecast'!J105)</f>
        <v/>
      </c>
      <c r="K105" s="50"/>
      <c r="L105" s="52">
        <f>IFERROR(VLOOKUP($A105,'I | Capex forecast'!$A$11:$AA$160,L$8,0)*INDEX('I | Inflation'!$F$46:$G$49,MATCH($I105,'I | Inflation'!$E$46:$E$49,0),MATCH($H105,'I | Inflation'!$F$45:$G$45,0)),0)</f>
        <v>0</v>
      </c>
      <c r="M105" s="52">
        <f>IFERROR(VLOOKUP($A105,'I | Capex forecast'!$A$11:$AA$160,M$8,0)*INDEX('I | Inflation'!$F$46:$G$49,MATCH($I105,'I | Inflation'!$E$46:$E$49,0),MATCH($H105,'I | Inflation'!$F$45:$G$45,0)),0)</f>
        <v>0</v>
      </c>
      <c r="N105" s="52">
        <f>IFERROR(VLOOKUP($A105,'I | Capex forecast'!$A$11:$AA$160,N$8,0)*INDEX('I | Inflation'!$F$46:$G$49,MATCH($I105,'I | Inflation'!$E$46:$E$49,0),MATCH($H105,'I | Inflation'!$F$45:$G$45,0)),0)</f>
        <v>0</v>
      </c>
      <c r="O105" s="52">
        <f>IFERROR(VLOOKUP($A105,'I | Capex forecast'!$A$11:$AA$160,O$8,0)*INDEX('I | Inflation'!$F$46:$G$49,MATCH($I105,'I | Inflation'!$E$46:$E$49,0),MATCH($H105,'I | Inflation'!$F$45:$G$45,0)),0)</f>
        <v>0</v>
      </c>
      <c r="P105" s="52">
        <f>IFERROR(VLOOKUP($A105,'I | Capex forecast'!$A$11:$AA$160,P$8,0)*INDEX('I | Inflation'!$F$46:$G$49,MATCH($I105,'I | Inflation'!$E$46:$E$49,0),MATCH($H105,'I | Inflation'!$F$45:$G$45,0)),0)</f>
        <v>0</v>
      </c>
      <c r="Q105" s="54">
        <f t="shared" si="44"/>
        <v>0</v>
      </c>
      <c r="R105" s="53"/>
      <c r="S105" s="226">
        <f>L105*VLOOKUP($A105,'I | Capex forecast'!$A$11:$AA$160,S$8,0)</f>
        <v>0</v>
      </c>
      <c r="T105" s="226">
        <f>M105*VLOOKUP($A105,'I | Capex forecast'!$A$11:$AA$160,T$8,0)</f>
        <v>0</v>
      </c>
      <c r="U105" s="226">
        <f>N105*VLOOKUP($A105,'I | Capex forecast'!$A$11:$AA$160,U$8,0)</f>
        <v>0</v>
      </c>
      <c r="V105" s="226">
        <f>O105*VLOOKUP($A105,'I | Capex forecast'!$A$11:$AA$160,V$8,0)</f>
        <v>0</v>
      </c>
      <c r="W105" s="226">
        <f>P105*VLOOKUP($A105,'I | Capex forecast'!$A$11:$AA$160,W$8,0)</f>
        <v>0</v>
      </c>
      <c r="X105" s="54">
        <f t="shared" si="56"/>
        <v>0</v>
      </c>
      <c r="Y105" s="53"/>
      <c r="Z105" s="52">
        <f>S105*(HLOOKUP(Z$10,'I | Inflation'!$E$57:$J$59,3,0)-1)</f>
        <v>0</v>
      </c>
      <c r="AA105" s="52">
        <f>T105*(HLOOKUP(AA$10,'I | Inflation'!$E$57:$J$59,3,0)-1)</f>
        <v>0</v>
      </c>
      <c r="AB105" s="52">
        <f>U105*(HLOOKUP(AB$10,'I | Inflation'!$E$57:$J$59,3,0)-1)</f>
        <v>0</v>
      </c>
      <c r="AC105" s="52">
        <f>V105*(HLOOKUP(AC$10,'I | Inflation'!$E$57:$J$59,3,0)-1)</f>
        <v>0</v>
      </c>
      <c r="AD105" s="52">
        <f>W105*(HLOOKUP(AD$10,'I | Inflation'!$E$57:$J$59,3,0)-1)</f>
        <v>0</v>
      </c>
      <c r="AE105" s="54">
        <f t="shared" si="57"/>
        <v>0</v>
      </c>
      <c r="AF105" s="53"/>
      <c r="AG105" s="226">
        <f t="shared" si="58"/>
        <v>0</v>
      </c>
      <c r="AH105" s="226">
        <f t="shared" si="59"/>
        <v>0</v>
      </c>
      <c r="AI105" s="226">
        <f t="shared" si="60"/>
        <v>0</v>
      </c>
      <c r="AJ105" s="226">
        <f t="shared" si="61"/>
        <v>0</v>
      </c>
      <c r="AK105" s="226">
        <f t="shared" si="62"/>
        <v>0</v>
      </c>
      <c r="AL105" s="54">
        <f t="shared" si="63"/>
        <v>0</v>
      </c>
      <c r="AM105" s="53"/>
      <c r="AN105" s="52"/>
      <c r="AO105" s="52"/>
      <c r="AP105" s="52"/>
      <c r="AQ105" s="52"/>
      <c r="AR105" s="52"/>
      <c r="AS105" s="54">
        <f t="shared" si="64"/>
        <v>0</v>
      </c>
      <c r="AT105" s="53"/>
      <c r="AU105" s="52"/>
      <c r="AV105" s="52"/>
      <c r="AW105" s="52"/>
      <c r="AX105" s="52"/>
      <c r="AY105" s="52"/>
      <c r="AZ105" s="54">
        <f t="shared" si="65"/>
        <v>0</v>
      </c>
      <c r="BA105" s="53"/>
      <c r="BB105" s="52"/>
      <c r="BC105" s="52"/>
      <c r="BD105" s="52"/>
      <c r="BE105" s="52"/>
      <c r="BF105" s="52"/>
      <c r="BG105" s="54">
        <f t="shared" si="66"/>
        <v>0</v>
      </c>
      <c r="BH105" s="53"/>
      <c r="BI105" s="52">
        <f>L105*VLOOKUP($A105,'I | Capex forecast'!$A$11:$AA$160,BI$8,0)</f>
        <v>0</v>
      </c>
      <c r="BJ105" s="52">
        <f>M105*VLOOKUP($A105,'I | Capex forecast'!$A$11:$AA$160,BJ$8,0)</f>
        <v>0</v>
      </c>
      <c r="BK105" s="52">
        <f>N105*VLOOKUP($A105,'I | Capex forecast'!$A$11:$AA$160,BK$8,0)</f>
        <v>0</v>
      </c>
      <c r="BL105" s="52">
        <f>O105*VLOOKUP($A105,'I | Capex forecast'!$A$11:$AA$160,BL$8,0)</f>
        <v>0</v>
      </c>
      <c r="BM105" s="52">
        <f>P105*VLOOKUP($A105,'I | Capex forecast'!$A$11:$AA$160,BM$8,0)</f>
        <v>0</v>
      </c>
      <c r="BN105" s="54">
        <f t="shared" si="67"/>
        <v>0</v>
      </c>
      <c r="BO105" s="53"/>
      <c r="BP105" s="52">
        <f t="shared" si="46"/>
        <v>0</v>
      </c>
      <c r="BQ105" s="52">
        <f t="shared" si="47"/>
        <v>0</v>
      </c>
      <c r="BR105" s="52">
        <f t="shared" si="48"/>
        <v>0</v>
      </c>
      <c r="BS105" s="52">
        <f t="shared" si="49"/>
        <v>0</v>
      </c>
      <c r="BT105" s="52">
        <f t="shared" si="50"/>
        <v>0</v>
      </c>
      <c r="BU105" s="54">
        <f t="shared" si="68"/>
        <v>0</v>
      </c>
      <c r="BW105" s="52">
        <f t="shared" si="51"/>
        <v>0</v>
      </c>
      <c r="BX105" s="52">
        <f t="shared" si="52"/>
        <v>0</v>
      </c>
      <c r="BY105" s="52">
        <f t="shared" si="53"/>
        <v>0</v>
      </c>
      <c r="BZ105" s="52">
        <f t="shared" si="54"/>
        <v>0</v>
      </c>
      <c r="CA105" s="52">
        <f t="shared" si="55"/>
        <v>0</v>
      </c>
      <c r="CB105" s="54">
        <f t="shared" si="69"/>
        <v>0</v>
      </c>
      <c r="CC105" s="53"/>
      <c r="CD105" s="52">
        <f t="shared" si="70"/>
        <v>0</v>
      </c>
      <c r="CE105" s="52">
        <f t="shared" si="71"/>
        <v>0</v>
      </c>
      <c r="CF105" s="52">
        <f t="shared" si="72"/>
        <v>0</v>
      </c>
      <c r="CG105" s="52">
        <f t="shared" si="73"/>
        <v>0</v>
      </c>
      <c r="CH105" s="52">
        <f t="shared" si="74"/>
        <v>0</v>
      </c>
      <c r="CI105" s="54">
        <f t="shared" si="75"/>
        <v>0</v>
      </c>
    </row>
    <row r="106" spans="1:87" s="4" customFormat="1" x14ac:dyDescent="0.3">
      <c r="A106" s="56">
        <v>96</v>
      </c>
      <c r="B106" s="48" t="str">
        <f>IF('I | Capex forecast'!B106="","",'I | Capex forecast'!B106)</f>
        <v/>
      </c>
      <c r="C106" s="48" t="str">
        <f>IF('I | Capex forecast'!C106="","",'I | Capex forecast'!C106)</f>
        <v/>
      </c>
      <c r="D106" s="48" t="str">
        <f>IF('I | Capex forecast'!D106="","",'I | Capex forecast'!D106)</f>
        <v/>
      </c>
      <c r="E106" s="48" t="str">
        <f>IF('I | Capex forecast'!E106="","",'I | Capex forecast'!E106)</f>
        <v/>
      </c>
      <c r="F106" s="48" t="str">
        <f>IF('I | Capex forecast'!F106="","",'I | Capex forecast'!F106)</f>
        <v/>
      </c>
      <c r="G106" s="48" t="str">
        <f>IF('I | Capex forecast'!G106="","",'I | Capex forecast'!G106)</f>
        <v/>
      </c>
      <c r="H106" s="48" t="str">
        <f>IF('I | Capex forecast'!H106="","",'I | Capex forecast'!H106)</f>
        <v/>
      </c>
      <c r="I106" s="48" t="str">
        <f>IF('I | Capex forecast'!I106="","",'I | Capex forecast'!I106)</f>
        <v/>
      </c>
      <c r="J106" s="48" t="str">
        <f>IF('I | Capex forecast'!J106="","",'I | Capex forecast'!J106)</f>
        <v/>
      </c>
      <c r="K106" s="50"/>
      <c r="L106" s="52">
        <f>IFERROR(VLOOKUP($A106,'I | Capex forecast'!$A$11:$AA$160,L$8,0)*INDEX('I | Inflation'!$F$46:$G$49,MATCH($I106,'I | Inflation'!$E$46:$E$49,0),MATCH($H106,'I | Inflation'!$F$45:$G$45,0)),0)</f>
        <v>0</v>
      </c>
      <c r="M106" s="52">
        <f>IFERROR(VLOOKUP($A106,'I | Capex forecast'!$A$11:$AA$160,M$8,0)*INDEX('I | Inflation'!$F$46:$G$49,MATCH($I106,'I | Inflation'!$E$46:$E$49,0),MATCH($H106,'I | Inflation'!$F$45:$G$45,0)),0)</f>
        <v>0</v>
      </c>
      <c r="N106" s="52">
        <f>IFERROR(VLOOKUP($A106,'I | Capex forecast'!$A$11:$AA$160,N$8,0)*INDEX('I | Inflation'!$F$46:$G$49,MATCH($I106,'I | Inflation'!$E$46:$E$49,0),MATCH($H106,'I | Inflation'!$F$45:$G$45,0)),0)</f>
        <v>0</v>
      </c>
      <c r="O106" s="52">
        <f>IFERROR(VLOOKUP($A106,'I | Capex forecast'!$A$11:$AA$160,O$8,0)*INDEX('I | Inflation'!$F$46:$G$49,MATCH($I106,'I | Inflation'!$E$46:$E$49,0),MATCH($H106,'I | Inflation'!$F$45:$G$45,0)),0)</f>
        <v>0</v>
      </c>
      <c r="P106" s="52">
        <f>IFERROR(VLOOKUP($A106,'I | Capex forecast'!$A$11:$AA$160,P$8,0)*INDEX('I | Inflation'!$F$46:$G$49,MATCH($I106,'I | Inflation'!$E$46:$E$49,0),MATCH($H106,'I | Inflation'!$F$45:$G$45,0)),0)</f>
        <v>0</v>
      </c>
      <c r="Q106" s="54">
        <f t="shared" si="44"/>
        <v>0</v>
      </c>
      <c r="R106" s="53"/>
      <c r="S106" s="226">
        <f>L106*VLOOKUP($A106,'I | Capex forecast'!$A$11:$AA$160,S$8,0)</f>
        <v>0</v>
      </c>
      <c r="T106" s="226">
        <f>M106*VLOOKUP($A106,'I | Capex forecast'!$A$11:$AA$160,T$8,0)</f>
        <v>0</v>
      </c>
      <c r="U106" s="226">
        <f>N106*VLOOKUP($A106,'I | Capex forecast'!$A$11:$AA$160,U$8,0)</f>
        <v>0</v>
      </c>
      <c r="V106" s="226">
        <f>O106*VLOOKUP($A106,'I | Capex forecast'!$A$11:$AA$160,V$8,0)</f>
        <v>0</v>
      </c>
      <c r="W106" s="226">
        <f>P106*VLOOKUP($A106,'I | Capex forecast'!$A$11:$AA$160,W$8,0)</f>
        <v>0</v>
      </c>
      <c r="X106" s="54">
        <f t="shared" si="56"/>
        <v>0</v>
      </c>
      <c r="Y106" s="53"/>
      <c r="Z106" s="52">
        <f>S106*(HLOOKUP(Z$10,'I | Inflation'!$E$57:$J$59,3,0)-1)</f>
        <v>0</v>
      </c>
      <c r="AA106" s="52">
        <f>T106*(HLOOKUP(AA$10,'I | Inflation'!$E$57:$J$59,3,0)-1)</f>
        <v>0</v>
      </c>
      <c r="AB106" s="52">
        <f>U106*(HLOOKUP(AB$10,'I | Inflation'!$E$57:$J$59,3,0)-1)</f>
        <v>0</v>
      </c>
      <c r="AC106" s="52">
        <f>V106*(HLOOKUP(AC$10,'I | Inflation'!$E$57:$J$59,3,0)-1)</f>
        <v>0</v>
      </c>
      <c r="AD106" s="52">
        <f>W106*(HLOOKUP(AD$10,'I | Inflation'!$E$57:$J$59,3,0)-1)</f>
        <v>0</v>
      </c>
      <c r="AE106" s="54">
        <f t="shared" si="57"/>
        <v>0</v>
      </c>
      <c r="AF106" s="53"/>
      <c r="AG106" s="226">
        <f t="shared" si="58"/>
        <v>0</v>
      </c>
      <c r="AH106" s="226">
        <f t="shared" si="59"/>
        <v>0</v>
      </c>
      <c r="AI106" s="226">
        <f t="shared" si="60"/>
        <v>0</v>
      </c>
      <c r="AJ106" s="226">
        <f t="shared" si="61"/>
        <v>0</v>
      </c>
      <c r="AK106" s="226">
        <f t="shared" si="62"/>
        <v>0</v>
      </c>
      <c r="AL106" s="54">
        <f t="shared" si="63"/>
        <v>0</v>
      </c>
      <c r="AM106" s="53"/>
      <c r="AN106" s="52"/>
      <c r="AO106" s="52"/>
      <c r="AP106" s="52"/>
      <c r="AQ106" s="52"/>
      <c r="AR106" s="52"/>
      <c r="AS106" s="54">
        <f t="shared" si="64"/>
        <v>0</v>
      </c>
      <c r="AT106" s="53"/>
      <c r="AU106" s="52"/>
      <c r="AV106" s="52"/>
      <c r="AW106" s="52"/>
      <c r="AX106" s="52"/>
      <c r="AY106" s="52"/>
      <c r="AZ106" s="54">
        <f t="shared" si="65"/>
        <v>0</v>
      </c>
      <c r="BA106" s="53"/>
      <c r="BB106" s="52"/>
      <c r="BC106" s="52"/>
      <c r="BD106" s="52"/>
      <c r="BE106" s="52"/>
      <c r="BF106" s="52"/>
      <c r="BG106" s="54">
        <f t="shared" si="66"/>
        <v>0</v>
      </c>
      <c r="BH106" s="53"/>
      <c r="BI106" s="52">
        <f>L106*VLOOKUP($A106,'I | Capex forecast'!$A$11:$AA$160,BI$8,0)</f>
        <v>0</v>
      </c>
      <c r="BJ106" s="52">
        <f>M106*VLOOKUP($A106,'I | Capex forecast'!$A$11:$AA$160,BJ$8,0)</f>
        <v>0</v>
      </c>
      <c r="BK106" s="52">
        <f>N106*VLOOKUP($A106,'I | Capex forecast'!$A$11:$AA$160,BK$8,0)</f>
        <v>0</v>
      </c>
      <c r="BL106" s="52">
        <f>O106*VLOOKUP($A106,'I | Capex forecast'!$A$11:$AA$160,BL$8,0)</f>
        <v>0</v>
      </c>
      <c r="BM106" s="52">
        <f>P106*VLOOKUP($A106,'I | Capex forecast'!$A$11:$AA$160,BM$8,0)</f>
        <v>0</v>
      </c>
      <c r="BN106" s="54">
        <f t="shared" si="67"/>
        <v>0</v>
      </c>
      <c r="BO106" s="53"/>
      <c r="BP106" s="52">
        <f t="shared" si="46"/>
        <v>0</v>
      </c>
      <c r="BQ106" s="52">
        <f t="shared" si="47"/>
        <v>0</v>
      </c>
      <c r="BR106" s="52">
        <f t="shared" si="48"/>
        <v>0</v>
      </c>
      <c r="BS106" s="52">
        <f t="shared" si="49"/>
        <v>0</v>
      </c>
      <c r="BT106" s="52">
        <f t="shared" si="50"/>
        <v>0</v>
      </c>
      <c r="BU106" s="54">
        <f t="shared" si="68"/>
        <v>0</v>
      </c>
      <c r="BW106" s="52">
        <f t="shared" si="51"/>
        <v>0</v>
      </c>
      <c r="BX106" s="52">
        <f t="shared" si="52"/>
        <v>0</v>
      </c>
      <c r="BY106" s="52">
        <f t="shared" si="53"/>
        <v>0</v>
      </c>
      <c r="BZ106" s="52">
        <f t="shared" si="54"/>
        <v>0</v>
      </c>
      <c r="CA106" s="52">
        <f t="shared" si="55"/>
        <v>0</v>
      </c>
      <c r="CB106" s="54">
        <f t="shared" si="69"/>
        <v>0</v>
      </c>
      <c r="CC106" s="53"/>
      <c r="CD106" s="52">
        <f t="shared" si="70"/>
        <v>0</v>
      </c>
      <c r="CE106" s="52">
        <f t="shared" si="71"/>
        <v>0</v>
      </c>
      <c r="CF106" s="52">
        <f t="shared" si="72"/>
        <v>0</v>
      </c>
      <c r="CG106" s="52">
        <f t="shared" si="73"/>
        <v>0</v>
      </c>
      <c r="CH106" s="52">
        <f t="shared" si="74"/>
        <v>0</v>
      </c>
      <c r="CI106" s="54">
        <f t="shared" si="75"/>
        <v>0</v>
      </c>
    </row>
    <row r="107" spans="1:87" s="4" customFormat="1" x14ac:dyDescent="0.3">
      <c r="A107" s="56">
        <v>97</v>
      </c>
      <c r="B107" s="48" t="str">
        <f>IF('I | Capex forecast'!B107="","",'I | Capex forecast'!B107)</f>
        <v/>
      </c>
      <c r="C107" s="48" t="str">
        <f>IF('I | Capex forecast'!C107="","",'I | Capex forecast'!C107)</f>
        <v/>
      </c>
      <c r="D107" s="48" t="str">
        <f>IF('I | Capex forecast'!D107="","",'I | Capex forecast'!D107)</f>
        <v/>
      </c>
      <c r="E107" s="48" t="str">
        <f>IF('I | Capex forecast'!E107="","",'I | Capex forecast'!E107)</f>
        <v/>
      </c>
      <c r="F107" s="48" t="str">
        <f>IF('I | Capex forecast'!F107="","",'I | Capex forecast'!F107)</f>
        <v/>
      </c>
      <c r="G107" s="48" t="str">
        <f>IF('I | Capex forecast'!G107="","",'I | Capex forecast'!G107)</f>
        <v/>
      </c>
      <c r="H107" s="48" t="str">
        <f>IF('I | Capex forecast'!H107="","",'I | Capex forecast'!H107)</f>
        <v/>
      </c>
      <c r="I107" s="48" t="str">
        <f>IF('I | Capex forecast'!I107="","",'I | Capex forecast'!I107)</f>
        <v/>
      </c>
      <c r="J107" s="48" t="str">
        <f>IF('I | Capex forecast'!J107="","",'I | Capex forecast'!J107)</f>
        <v/>
      </c>
      <c r="K107" s="50"/>
      <c r="L107" s="52">
        <f>IFERROR(VLOOKUP($A107,'I | Capex forecast'!$A$11:$AA$160,L$8,0)*INDEX('I | Inflation'!$F$46:$G$49,MATCH($I107,'I | Inflation'!$E$46:$E$49,0),MATCH($H107,'I | Inflation'!$F$45:$G$45,0)),0)</f>
        <v>0</v>
      </c>
      <c r="M107" s="52">
        <f>IFERROR(VLOOKUP($A107,'I | Capex forecast'!$A$11:$AA$160,M$8,0)*INDEX('I | Inflation'!$F$46:$G$49,MATCH($I107,'I | Inflation'!$E$46:$E$49,0),MATCH($H107,'I | Inflation'!$F$45:$G$45,0)),0)</f>
        <v>0</v>
      </c>
      <c r="N107" s="52">
        <f>IFERROR(VLOOKUP($A107,'I | Capex forecast'!$A$11:$AA$160,N$8,0)*INDEX('I | Inflation'!$F$46:$G$49,MATCH($I107,'I | Inflation'!$E$46:$E$49,0),MATCH($H107,'I | Inflation'!$F$45:$G$45,0)),0)</f>
        <v>0</v>
      </c>
      <c r="O107" s="52">
        <f>IFERROR(VLOOKUP($A107,'I | Capex forecast'!$A$11:$AA$160,O$8,0)*INDEX('I | Inflation'!$F$46:$G$49,MATCH($I107,'I | Inflation'!$E$46:$E$49,0),MATCH($H107,'I | Inflation'!$F$45:$G$45,0)),0)</f>
        <v>0</v>
      </c>
      <c r="P107" s="52">
        <f>IFERROR(VLOOKUP($A107,'I | Capex forecast'!$A$11:$AA$160,P$8,0)*INDEX('I | Inflation'!$F$46:$G$49,MATCH($I107,'I | Inflation'!$E$46:$E$49,0),MATCH($H107,'I | Inflation'!$F$45:$G$45,0)),0)</f>
        <v>0</v>
      </c>
      <c r="Q107" s="54">
        <f t="shared" si="44"/>
        <v>0</v>
      </c>
      <c r="R107" s="53"/>
      <c r="S107" s="226">
        <f>L107*VLOOKUP($A107,'I | Capex forecast'!$A$11:$AA$160,S$8,0)</f>
        <v>0</v>
      </c>
      <c r="T107" s="226">
        <f>M107*VLOOKUP($A107,'I | Capex forecast'!$A$11:$AA$160,T$8,0)</f>
        <v>0</v>
      </c>
      <c r="U107" s="226">
        <f>N107*VLOOKUP($A107,'I | Capex forecast'!$A$11:$AA$160,U$8,0)</f>
        <v>0</v>
      </c>
      <c r="V107" s="226">
        <f>O107*VLOOKUP($A107,'I | Capex forecast'!$A$11:$AA$160,V$8,0)</f>
        <v>0</v>
      </c>
      <c r="W107" s="226">
        <f>P107*VLOOKUP($A107,'I | Capex forecast'!$A$11:$AA$160,W$8,0)</f>
        <v>0</v>
      </c>
      <c r="X107" s="54">
        <f t="shared" si="56"/>
        <v>0</v>
      </c>
      <c r="Y107" s="53"/>
      <c r="Z107" s="52">
        <f>S107*(HLOOKUP(Z$10,'I | Inflation'!$E$57:$J$59,3,0)-1)</f>
        <v>0</v>
      </c>
      <c r="AA107" s="52">
        <f>T107*(HLOOKUP(AA$10,'I | Inflation'!$E$57:$J$59,3,0)-1)</f>
        <v>0</v>
      </c>
      <c r="AB107" s="52">
        <f>U107*(HLOOKUP(AB$10,'I | Inflation'!$E$57:$J$59,3,0)-1)</f>
        <v>0</v>
      </c>
      <c r="AC107" s="52">
        <f>V107*(HLOOKUP(AC$10,'I | Inflation'!$E$57:$J$59,3,0)-1)</f>
        <v>0</v>
      </c>
      <c r="AD107" s="52">
        <f>W107*(HLOOKUP(AD$10,'I | Inflation'!$E$57:$J$59,3,0)-1)</f>
        <v>0</v>
      </c>
      <c r="AE107" s="54">
        <f t="shared" si="57"/>
        <v>0</v>
      </c>
      <c r="AF107" s="53"/>
      <c r="AG107" s="226">
        <f t="shared" si="58"/>
        <v>0</v>
      </c>
      <c r="AH107" s="226">
        <f t="shared" si="59"/>
        <v>0</v>
      </c>
      <c r="AI107" s="226">
        <f t="shared" si="60"/>
        <v>0</v>
      </c>
      <c r="AJ107" s="226">
        <f t="shared" si="61"/>
        <v>0</v>
      </c>
      <c r="AK107" s="226">
        <f t="shared" si="62"/>
        <v>0</v>
      </c>
      <c r="AL107" s="54">
        <f t="shared" si="63"/>
        <v>0</v>
      </c>
      <c r="AM107" s="53"/>
      <c r="AN107" s="52"/>
      <c r="AO107" s="52"/>
      <c r="AP107" s="52"/>
      <c r="AQ107" s="52"/>
      <c r="AR107" s="52"/>
      <c r="AS107" s="54">
        <f t="shared" si="64"/>
        <v>0</v>
      </c>
      <c r="AT107" s="53"/>
      <c r="AU107" s="52"/>
      <c r="AV107" s="52"/>
      <c r="AW107" s="52"/>
      <c r="AX107" s="52"/>
      <c r="AY107" s="52"/>
      <c r="AZ107" s="54">
        <f t="shared" si="65"/>
        <v>0</v>
      </c>
      <c r="BA107" s="53"/>
      <c r="BB107" s="52"/>
      <c r="BC107" s="52"/>
      <c r="BD107" s="52"/>
      <c r="BE107" s="52"/>
      <c r="BF107" s="52"/>
      <c r="BG107" s="54">
        <f t="shared" si="66"/>
        <v>0</v>
      </c>
      <c r="BH107" s="53"/>
      <c r="BI107" s="52">
        <f>L107*VLOOKUP($A107,'I | Capex forecast'!$A$11:$AA$160,BI$8,0)</f>
        <v>0</v>
      </c>
      <c r="BJ107" s="52">
        <f>M107*VLOOKUP($A107,'I | Capex forecast'!$A$11:$AA$160,BJ$8,0)</f>
        <v>0</v>
      </c>
      <c r="BK107" s="52">
        <f>N107*VLOOKUP($A107,'I | Capex forecast'!$A$11:$AA$160,BK$8,0)</f>
        <v>0</v>
      </c>
      <c r="BL107" s="52">
        <f>O107*VLOOKUP($A107,'I | Capex forecast'!$A$11:$AA$160,BL$8,0)</f>
        <v>0</v>
      </c>
      <c r="BM107" s="52">
        <f>P107*VLOOKUP($A107,'I | Capex forecast'!$A$11:$AA$160,BM$8,0)</f>
        <v>0</v>
      </c>
      <c r="BN107" s="54">
        <f t="shared" si="67"/>
        <v>0</v>
      </c>
      <c r="BO107" s="53"/>
      <c r="BP107" s="52">
        <f t="shared" ref="BP107:BP138" si="76">L107+Z107+AN107+AU107+BB107+BI107</f>
        <v>0</v>
      </c>
      <c r="BQ107" s="52">
        <f t="shared" ref="BQ107:BQ138" si="77">M107+AA107+AO107+AV107+BC107+BJ107</f>
        <v>0</v>
      </c>
      <c r="BR107" s="52">
        <f t="shared" ref="BR107:BR138" si="78">N107+AB107+AP107+AW107+BD107+BK107</f>
        <v>0</v>
      </c>
      <c r="BS107" s="52">
        <f t="shared" ref="BS107:BS138" si="79">O107+AC107+AQ107+AX107+BE107+BL107</f>
        <v>0</v>
      </c>
      <c r="BT107" s="52">
        <f t="shared" ref="BT107:BT138" si="80">P107+AD107+AR107+AY107+BF107+BM107</f>
        <v>0</v>
      </c>
      <c r="BU107" s="54">
        <f t="shared" si="68"/>
        <v>0</v>
      </c>
      <c r="BW107" s="52">
        <f t="shared" ref="BW107:BW138" si="81">IF($G107="As incurred",BP107,IF($G107=BW$10,$BU107,0))</f>
        <v>0</v>
      </c>
      <c r="BX107" s="52">
        <f t="shared" ref="BX107:BX138" si="82">IF($G107="As incurred",BQ107,IF($G107=BX$10,$BU107,0))</f>
        <v>0</v>
      </c>
      <c r="BY107" s="52">
        <f t="shared" ref="BY107:BY138" si="83">IF($G107="As incurred",BR107,IF($G107=BY$10,$BU107,0))</f>
        <v>0</v>
      </c>
      <c r="BZ107" s="52">
        <f t="shared" ref="BZ107:BZ138" si="84">IF($G107="As incurred",BS107,IF($G107=BZ$10,$BU107,0))</f>
        <v>0</v>
      </c>
      <c r="CA107" s="52">
        <f t="shared" ref="CA107:CA138" si="85">IF($G107="As incurred",BT107,IF($G107=CA$10,$BU107,0))</f>
        <v>0</v>
      </c>
      <c r="CB107" s="54">
        <f t="shared" si="69"/>
        <v>0</v>
      </c>
      <c r="CC107" s="53"/>
      <c r="CD107" s="52">
        <f t="shared" si="70"/>
        <v>0</v>
      </c>
      <c r="CE107" s="52">
        <f t="shared" si="71"/>
        <v>0</v>
      </c>
      <c r="CF107" s="52">
        <f t="shared" si="72"/>
        <v>0</v>
      </c>
      <c r="CG107" s="52">
        <f t="shared" si="73"/>
        <v>0</v>
      </c>
      <c r="CH107" s="52">
        <f t="shared" si="74"/>
        <v>0</v>
      </c>
      <c r="CI107" s="54">
        <f t="shared" si="75"/>
        <v>0</v>
      </c>
    </row>
    <row r="108" spans="1:87" s="4" customFormat="1" x14ac:dyDescent="0.3">
      <c r="A108" s="56">
        <v>98</v>
      </c>
      <c r="B108" s="48" t="str">
        <f>IF('I | Capex forecast'!B108="","",'I | Capex forecast'!B108)</f>
        <v/>
      </c>
      <c r="C108" s="48" t="str">
        <f>IF('I | Capex forecast'!C108="","",'I | Capex forecast'!C108)</f>
        <v/>
      </c>
      <c r="D108" s="48" t="str">
        <f>IF('I | Capex forecast'!D108="","",'I | Capex forecast'!D108)</f>
        <v/>
      </c>
      <c r="E108" s="48" t="str">
        <f>IF('I | Capex forecast'!E108="","",'I | Capex forecast'!E108)</f>
        <v/>
      </c>
      <c r="F108" s="48" t="str">
        <f>IF('I | Capex forecast'!F108="","",'I | Capex forecast'!F108)</f>
        <v/>
      </c>
      <c r="G108" s="48" t="str">
        <f>IF('I | Capex forecast'!G108="","",'I | Capex forecast'!G108)</f>
        <v/>
      </c>
      <c r="H108" s="48" t="str">
        <f>IF('I | Capex forecast'!H108="","",'I | Capex forecast'!H108)</f>
        <v/>
      </c>
      <c r="I108" s="48" t="str">
        <f>IF('I | Capex forecast'!I108="","",'I | Capex forecast'!I108)</f>
        <v/>
      </c>
      <c r="J108" s="48" t="str">
        <f>IF('I | Capex forecast'!J108="","",'I | Capex forecast'!J108)</f>
        <v/>
      </c>
      <c r="K108" s="50"/>
      <c r="L108" s="52">
        <f>IFERROR(VLOOKUP($A108,'I | Capex forecast'!$A$11:$AA$160,L$8,0)*INDEX('I | Inflation'!$F$46:$G$49,MATCH($I108,'I | Inflation'!$E$46:$E$49,0),MATCH($H108,'I | Inflation'!$F$45:$G$45,0)),0)</f>
        <v>0</v>
      </c>
      <c r="M108" s="52">
        <f>IFERROR(VLOOKUP($A108,'I | Capex forecast'!$A$11:$AA$160,M$8,0)*INDEX('I | Inflation'!$F$46:$G$49,MATCH($I108,'I | Inflation'!$E$46:$E$49,0),MATCH($H108,'I | Inflation'!$F$45:$G$45,0)),0)</f>
        <v>0</v>
      </c>
      <c r="N108" s="52">
        <f>IFERROR(VLOOKUP($A108,'I | Capex forecast'!$A$11:$AA$160,N$8,0)*INDEX('I | Inflation'!$F$46:$G$49,MATCH($I108,'I | Inflation'!$E$46:$E$49,0),MATCH($H108,'I | Inflation'!$F$45:$G$45,0)),0)</f>
        <v>0</v>
      </c>
      <c r="O108" s="52">
        <f>IFERROR(VLOOKUP($A108,'I | Capex forecast'!$A$11:$AA$160,O$8,0)*INDEX('I | Inflation'!$F$46:$G$49,MATCH($I108,'I | Inflation'!$E$46:$E$49,0),MATCH($H108,'I | Inflation'!$F$45:$G$45,0)),0)</f>
        <v>0</v>
      </c>
      <c r="P108" s="52">
        <f>IFERROR(VLOOKUP($A108,'I | Capex forecast'!$A$11:$AA$160,P$8,0)*INDEX('I | Inflation'!$F$46:$G$49,MATCH($I108,'I | Inflation'!$E$46:$E$49,0),MATCH($H108,'I | Inflation'!$F$45:$G$45,0)),0)</f>
        <v>0</v>
      </c>
      <c r="Q108" s="54">
        <f t="shared" si="44"/>
        <v>0</v>
      </c>
      <c r="R108" s="53"/>
      <c r="S108" s="226">
        <f>L108*VLOOKUP($A108,'I | Capex forecast'!$A$11:$AA$160,S$8,0)</f>
        <v>0</v>
      </c>
      <c r="T108" s="226">
        <f>M108*VLOOKUP($A108,'I | Capex forecast'!$A$11:$AA$160,T$8,0)</f>
        <v>0</v>
      </c>
      <c r="U108" s="226">
        <f>N108*VLOOKUP($A108,'I | Capex forecast'!$A$11:$AA$160,U$8,0)</f>
        <v>0</v>
      </c>
      <c r="V108" s="226">
        <f>O108*VLOOKUP($A108,'I | Capex forecast'!$A$11:$AA$160,V$8,0)</f>
        <v>0</v>
      </c>
      <c r="W108" s="226">
        <f>P108*VLOOKUP($A108,'I | Capex forecast'!$A$11:$AA$160,W$8,0)</f>
        <v>0</v>
      </c>
      <c r="X108" s="54">
        <f t="shared" si="56"/>
        <v>0</v>
      </c>
      <c r="Y108" s="53"/>
      <c r="Z108" s="52">
        <f>S108*(HLOOKUP(Z$10,'I | Inflation'!$E$57:$J$59,3,0)-1)</f>
        <v>0</v>
      </c>
      <c r="AA108" s="52">
        <f>T108*(HLOOKUP(AA$10,'I | Inflation'!$E$57:$J$59,3,0)-1)</f>
        <v>0</v>
      </c>
      <c r="AB108" s="52">
        <f>U108*(HLOOKUP(AB$10,'I | Inflation'!$E$57:$J$59,3,0)-1)</f>
        <v>0</v>
      </c>
      <c r="AC108" s="52">
        <f>V108*(HLOOKUP(AC$10,'I | Inflation'!$E$57:$J$59,3,0)-1)</f>
        <v>0</v>
      </c>
      <c r="AD108" s="52">
        <f>W108*(HLOOKUP(AD$10,'I | Inflation'!$E$57:$J$59,3,0)-1)</f>
        <v>0</v>
      </c>
      <c r="AE108" s="54">
        <f t="shared" si="57"/>
        <v>0</v>
      </c>
      <c r="AF108" s="53"/>
      <c r="AG108" s="226">
        <f t="shared" si="58"/>
        <v>0</v>
      </c>
      <c r="AH108" s="226">
        <f t="shared" si="59"/>
        <v>0</v>
      </c>
      <c r="AI108" s="226">
        <f t="shared" si="60"/>
        <v>0</v>
      </c>
      <c r="AJ108" s="226">
        <f t="shared" si="61"/>
        <v>0</v>
      </c>
      <c r="AK108" s="226">
        <f t="shared" si="62"/>
        <v>0</v>
      </c>
      <c r="AL108" s="54">
        <f t="shared" si="63"/>
        <v>0</v>
      </c>
      <c r="AM108" s="53"/>
      <c r="AN108" s="52"/>
      <c r="AO108" s="52"/>
      <c r="AP108" s="52"/>
      <c r="AQ108" s="52"/>
      <c r="AR108" s="52"/>
      <c r="AS108" s="54">
        <f t="shared" si="64"/>
        <v>0</v>
      </c>
      <c r="AT108" s="53"/>
      <c r="AU108" s="52"/>
      <c r="AV108" s="52"/>
      <c r="AW108" s="52"/>
      <c r="AX108" s="52"/>
      <c r="AY108" s="52"/>
      <c r="AZ108" s="54">
        <f t="shared" si="65"/>
        <v>0</v>
      </c>
      <c r="BA108" s="53"/>
      <c r="BB108" s="52"/>
      <c r="BC108" s="52"/>
      <c r="BD108" s="52"/>
      <c r="BE108" s="52"/>
      <c r="BF108" s="52"/>
      <c r="BG108" s="54">
        <f t="shared" si="66"/>
        <v>0</v>
      </c>
      <c r="BH108" s="53"/>
      <c r="BI108" s="52">
        <f>L108*VLOOKUP($A108,'I | Capex forecast'!$A$11:$AA$160,BI$8,0)</f>
        <v>0</v>
      </c>
      <c r="BJ108" s="52">
        <f>M108*VLOOKUP($A108,'I | Capex forecast'!$A$11:$AA$160,BJ$8,0)</f>
        <v>0</v>
      </c>
      <c r="BK108" s="52">
        <f>N108*VLOOKUP($A108,'I | Capex forecast'!$A$11:$AA$160,BK$8,0)</f>
        <v>0</v>
      </c>
      <c r="BL108" s="52">
        <f>O108*VLOOKUP($A108,'I | Capex forecast'!$A$11:$AA$160,BL$8,0)</f>
        <v>0</v>
      </c>
      <c r="BM108" s="52">
        <f>P108*VLOOKUP($A108,'I | Capex forecast'!$A$11:$AA$160,BM$8,0)</f>
        <v>0</v>
      </c>
      <c r="BN108" s="54">
        <f t="shared" si="67"/>
        <v>0</v>
      </c>
      <c r="BO108" s="53"/>
      <c r="BP108" s="52">
        <f t="shared" si="76"/>
        <v>0</v>
      </c>
      <c r="BQ108" s="52">
        <f t="shared" si="77"/>
        <v>0</v>
      </c>
      <c r="BR108" s="52">
        <f t="shared" si="78"/>
        <v>0</v>
      </c>
      <c r="BS108" s="52">
        <f t="shared" si="79"/>
        <v>0</v>
      </c>
      <c r="BT108" s="52">
        <f t="shared" si="80"/>
        <v>0</v>
      </c>
      <c r="BU108" s="54">
        <f t="shared" si="68"/>
        <v>0</v>
      </c>
      <c r="BW108" s="52">
        <f t="shared" si="81"/>
        <v>0</v>
      </c>
      <c r="BX108" s="52">
        <f t="shared" si="82"/>
        <v>0</v>
      </c>
      <c r="BY108" s="52">
        <f t="shared" si="83"/>
        <v>0</v>
      </c>
      <c r="BZ108" s="52">
        <f t="shared" si="84"/>
        <v>0</v>
      </c>
      <c r="CA108" s="52">
        <f t="shared" si="85"/>
        <v>0</v>
      </c>
      <c r="CB108" s="54">
        <f t="shared" si="69"/>
        <v>0</v>
      </c>
      <c r="CC108" s="53"/>
      <c r="CD108" s="52">
        <f t="shared" si="70"/>
        <v>0</v>
      </c>
      <c r="CE108" s="52">
        <f t="shared" si="71"/>
        <v>0</v>
      </c>
      <c r="CF108" s="52">
        <f t="shared" si="72"/>
        <v>0</v>
      </c>
      <c r="CG108" s="52">
        <f t="shared" si="73"/>
        <v>0</v>
      </c>
      <c r="CH108" s="52">
        <f t="shared" si="74"/>
        <v>0</v>
      </c>
      <c r="CI108" s="54">
        <f t="shared" si="75"/>
        <v>0</v>
      </c>
    </row>
    <row r="109" spans="1:87" s="4" customFormat="1" x14ac:dyDescent="0.3">
      <c r="A109" s="56">
        <v>99</v>
      </c>
      <c r="B109" s="48" t="str">
        <f>IF('I | Capex forecast'!B109="","",'I | Capex forecast'!B109)</f>
        <v/>
      </c>
      <c r="C109" s="48" t="str">
        <f>IF('I | Capex forecast'!C109="","",'I | Capex forecast'!C109)</f>
        <v/>
      </c>
      <c r="D109" s="48" t="str">
        <f>IF('I | Capex forecast'!D109="","",'I | Capex forecast'!D109)</f>
        <v/>
      </c>
      <c r="E109" s="48" t="str">
        <f>IF('I | Capex forecast'!E109="","",'I | Capex forecast'!E109)</f>
        <v/>
      </c>
      <c r="F109" s="48" t="str">
        <f>IF('I | Capex forecast'!F109="","",'I | Capex forecast'!F109)</f>
        <v/>
      </c>
      <c r="G109" s="48" t="str">
        <f>IF('I | Capex forecast'!G109="","",'I | Capex forecast'!G109)</f>
        <v/>
      </c>
      <c r="H109" s="48" t="str">
        <f>IF('I | Capex forecast'!H109="","",'I | Capex forecast'!H109)</f>
        <v/>
      </c>
      <c r="I109" s="48" t="str">
        <f>IF('I | Capex forecast'!I109="","",'I | Capex forecast'!I109)</f>
        <v/>
      </c>
      <c r="J109" s="48" t="str">
        <f>IF('I | Capex forecast'!J109="","",'I | Capex forecast'!J109)</f>
        <v/>
      </c>
      <c r="K109" s="50"/>
      <c r="L109" s="52">
        <f>IFERROR(VLOOKUP($A109,'I | Capex forecast'!$A$11:$AA$160,L$8,0)*INDEX('I | Inflation'!$F$46:$G$49,MATCH($I109,'I | Inflation'!$E$46:$E$49,0),MATCH($H109,'I | Inflation'!$F$45:$G$45,0)),0)</f>
        <v>0</v>
      </c>
      <c r="M109" s="52">
        <f>IFERROR(VLOOKUP($A109,'I | Capex forecast'!$A$11:$AA$160,M$8,0)*INDEX('I | Inflation'!$F$46:$G$49,MATCH($I109,'I | Inflation'!$E$46:$E$49,0),MATCH($H109,'I | Inflation'!$F$45:$G$45,0)),0)</f>
        <v>0</v>
      </c>
      <c r="N109" s="52">
        <f>IFERROR(VLOOKUP($A109,'I | Capex forecast'!$A$11:$AA$160,N$8,0)*INDEX('I | Inflation'!$F$46:$G$49,MATCH($I109,'I | Inflation'!$E$46:$E$49,0),MATCH($H109,'I | Inflation'!$F$45:$G$45,0)),0)</f>
        <v>0</v>
      </c>
      <c r="O109" s="52">
        <f>IFERROR(VLOOKUP($A109,'I | Capex forecast'!$A$11:$AA$160,O$8,0)*INDEX('I | Inflation'!$F$46:$G$49,MATCH($I109,'I | Inflation'!$E$46:$E$49,0),MATCH($H109,'I | Inflation'!$F$45:$G$45,0)),0)</f>
        <v>0</v>
      </c>
      <c r="P109" s="52">
        <f>IFERROR(VLOOKUP($A109,'I | Capex forecast'!$A$11:$AA$160,P$8,0)*INDEX('I | Inflation'!$F$46:$G$49,MATCH($I109,'I | Inflation'!$E$46:$E$49,0),MATCH($H109,'I | Inflation'!$F$45:$G$45,0)),0)</f>
        <v>0</v>
      </c>
      <c r="Q109" s="54">
        <f t="shared" si="44"/>
        <v>0</v>
      </c>
      <c r="R109" s="53"/>
      <c r="S109" s="226">
        <f>L109*VLOOKUP($A109,'I | Capex forecast'!$A$11:$AA$160,S$8,0)</f>
        <v>0</v>
      </c>
      <c r="T109" s="226">
        <f>M109*VLOOKUP($A109,'I | Capex forecast'!$A$11:$AA$160,T$8,0)</f>
        <v>0</v>
      </c>
      <c r="U109" s="226">
        <f>N109*VLOOKUP($A109,'I | Capex forecast'!$A$11:$AA$160,U$8,0)</f>
        <v>0</v>
      </c>
      <c r="V109" s="226">
        <f>O109*VLOOKUP($A109,'I | Capex forecast'!$A$11:$AA$160,V$8,0)</f>
        <v>0</v>
      </c>
      <c r="W109" s="226">
        <f>P109*VLOOKUP($A109,'I | Capex forecast'!$A$11:$AA$160,W$8,0)</f>
        <v>0</v>
      </c>
      <c r="X109" s="54">
        <f t="shared" si="56"/>
        <v>0</v>
      </c>
      <c r="Y109" s="53"/>
      <c r="Z109" s="52">
        <f>S109*(HLOOKUP(Z$10,'I | Inflation'!$E$57:$J$59,3,0)-1)</f>
        <v>0</v>
      </c>
      <c r="AA109" s="52">
        <f>T109*(HLOOKUP(AA$10,'I | Inflation'!$E$57:$J$59,3,0)-1)</f>
        <v>0</v>
      </c>
      <c r="AB109" s="52">
        <f>U109*(HLOOKUP(AB$10,'I | Inflation'!$E$57:$J$59,3,0)-1)</f>
        <v>0</v>
      </c>
      <c r="AC109" s="52">
        <f>V109*(HLOOKUP(AC$10,'I | Inflation'!$E$57:$J$59,3,0)-1)</f>
        <v>0</v>
      </c>
      <c r="AD109" s="52">
        <f>W109*(HLOOKUP(AD$10,'I | Inflation'!$E$57:$J$59,3,0)-1)</f>
        <v>0</v>
      </c>
      <c r="AE109" s="54">
        <f t="shared" si="57"/>
        <v>0</v>
      </c>
      <c r="AF109" s="53"/>
      <c r="AG109" s="226">
        <f t="shared" si="58"/>
        <v>0</v>
      </c>
      <c r="AH109" s="226">
        <f t="shared" si="59"/>
        <v>0</v>
      </c>
      <c r="AI109" s="226">
        <f t="shared" si="60"/>
        <v>0</v>
      </c>
      <c r="AJ109" s="226">
        <f t="shared" si="61"/>
        <v>0</v>
      </c>
      <c r="AK109" s="226">
        <f t="shared" si="62"/>
        <v>0</v>
      </c>
      <c r="AL109" s="54">
        <f t="shared" si="63"/>
        <v>0</v>
      </c>
      <c r="AM109" s="53"/>
      <c r="AN109" s="52"/>
      <c r="AO109" s="52"/>
      <c r="AP109" s="52"/>
      <c r="AQ109" s="52"/>
      <c r="AR109" s="52"/>
      <c r="AS109" s="54">
        <f t="shared" si="64"/>
        <v>0</v>
      </c>
      <c r="AT109" s="53"/>
      <c r="AU109" s="52"/>
      <c r="AV109" s="52"/>
      <c r="AW109" s="52"/>
      <c r="AX109" s="52"/>
      <c r="AY109" s="52"/>
      <c r="AZ109" s="54">
        <f t="shared" si="65"/>
        <v>0</v>
      </c>
      <c r="BA109" s="53"/>
      <c r="BB109" s="52"/>
      <c r="BC109" s="52"/>
      <c r="BD109" s="52"/>
      <c r="BE109" s="52"/>
      <c r="BF109" s="52"/>
      <c r="BG109" s="54">
        <f t="shared" si="66"/>
        <v>0</v>
      </c>
      <c r="BH109" s="53"/>
      <c r="BI109" s="52">
        <f>L109*VLOOKUP($A109,'I | Capex forecast'!$A$11:$AA$160,BI$8,0)</f>
        <v>0</v>
      </c>
      <c r="BJ109" s="52">
        <f>M109*VLOOKUP($A109,'I | Capex forecast'!$A$11:$AA$160,BJ$8,0)</f>
        <v>0</v>
      </c>
      <c r="BK109" s="52">
        <f>N109*VLOOKUP($A109,'I | Capex forecast'!$A$11:$AA$160,BK$8,0)</f>
        <v>0</v>
      </c>
      <c r="BL109" s="52">
        <f>O109*VLOOKUP($A109,'I | Capex forecast'!$A$11:$AA$160,BL$8,0)</f>
        <v>0</v>
      </c>
      <c r="BM109" s="52">
        <f>P109*VLOOKUP($A109,'I | Capex forecast'!$A$11:$AA$160,BM$8,0)</f>
        <v>0</v>
      </c>
      <c r="BN109" s="54">
        <f t="shared" si="67"/>
        <v>0</v>
      </c>
      <c r="BO109" s="53"/>
      <c r="BP109" s="52">
        <f t="shared" si="76"/>
        <v>0</v>
      </c>
      <c r="BQ109" s="52">
        <f t="shared" si="77"/>
        <v>0</v>
      </c>
      <c r="BR109" s="52">
        <f t="shared" si="78"/>
        <v>0</v>
      </c>
      <c r="BS109" s="52">
        <f t="shared" si="79"/>
        <v>0</v>
      </c>
      <c r="BT109" s="52">
        <f t="shared" si="80"/>
        <v>0</v>
      </c>
      <c r="BU109" s="54">
        <f t="shared" si="68"/>
        <v>0</v>
      </c>
      <c r="BW109" s="52">
        <f t="shared" si="81"/>
        <v>0</v>
      </c>
      <c r="BX109" s="52">
        <f t="shared" si="82"/>
        <v>0</v>
      </c>
      <c r="BY109" s="52">
        <f t="shared" si="83"/>
        <v>0</v>
      </c>
      <c r="BZ109" s="52">
        <f t="shared" si="84"/>
        <v>0</v>
      </c>
      <c r="CA109" s="52">
        <f t="shared" si="85"/>
        <v>0</v>
      </c>
      <c r="CB109" s="54">
        <f t="shared" si="69"/>
        <v>0</v>
      </c>
      <c r="CC109" s="53"/>
      <c r="CD109" s="52">
        <f t="shared" si="70"/>
        <v>0</v>
      </c>
      <c r="CE109" s="52">
        <f t="shared" si="71"/>
        <v>0</v>
      </c>
      <c r="CF109" s="52">
        <f t="shared" si="72"/>
        <v>0</v>
      </c>
      <c r="CG109" s="52">
        <f t="shared" si="73"/>
        <v>0</v>
      </c>
      <c r="CH109" s="52">
        <f t="shared" si="74"/>
        <v>0</v>
      </c>
      <c r="CI109" s="54">
        <f t="shared" si="75"/>
        <v>0</v>
      </c>
    </row>
    <row r="110" spans="1:87" s="4" customFormat="1" x14ac:dyDescent="0.3">
      <c r="A110" s="56">
        <v>100</v>
      </c>
      <c r="B110" s="48" t="str">
        <f>IF('I | Capex forecast'!B110="","",'I | Capex forecast'!B110)</f>
        <v/>
      </c>
      <c r="C110" s="48" t="str">
        <f>IF('I | Capex forecast'!C110="","",'I | Capex forecast'!C110)</f>
        <v/>
      </c>
      <c r="D110" s="48" t="str">
        <f>IF('I | Capex forecast'!D110="","",'I | Capex forecast'!D110)</f>
        <v/>
      </c>
      <c r="E110" s="48" t="str">
        <f>IF('I | Capex forecast'!E110="","",'I | Capex forecast'!E110)</f>
        <v/>
      </c>
      <c r="F110" s="48" t="str">
        <f>IF('I | Capex forecast'!F110="","",'I | Capex forecast'!F110)</f>
        <v/>
      </c>
      <c r="G110" s="48" t="str">
        <f>IF('I | Capex forecast'!G110="","",'I | Capex forecast'!G110)</f>
        <v/>
      </c>
      <c r="H110" s="48" t="str">
        <f>IF('I | Capex forecast'!H110="","",'I | Capex forecast'!H110)</f>
        <v/>
      </c>
      <c r="I110" s="48" t="str">
        <f>IF('I | Capex forecast'!I110="","",'I | Capex forecast'!I110)</f>
        <v/>
      </c>
      <c r="J110" s="48" t="str">
        <f>IF('I | Capex forecast'!J110="","",'I | Capex forecast'!J110)</f>
        <v/>
      </c>
      <c r="K110" s="50"/>
      <c r="L110" s="52">
        <f>IFERROR(VLOOKUP($A110,'I | Capex forecast'!$A$11:$AA$160,L$8,0)*INDEX('I | Inflation'!$F$46:$G$49,MATCH($I110,'I | Inflation'!$E$46:$E$49,0),MATCH($H110,'I | Inflation'!$F$45:$G$45,0)),0)</f>
        <v>0</v>
      </c>
      <c r="M110" s="52">
        <f>IFERROR(VLOOKUP($A110,'I | Capex forecast'!$A$11:$AA$160,M$8,0)*INDEX('I | Inflation'!$F$46:$G$49,MATCH($I110,'I | Inflation'!$E$46:$E$49,0),MATCH($H110,'I | Inflation'!$F$45:$G$45,0)),0)</f>
        <v>0</v>
      </c>
      <c r="N110" s="52">
        <f>IFERROR(VLOOKUP($A110,'I | Capex forecast'!$A$11:$AA$160,N$8,0)*INDEX('I | Inflation'!$F$46:$G$49,MATCH($I110,'I | Inflation'!$E$46:$E$49,0),MATCH($H110,'I | Inflation'!$F$45:$G$45,0)),0)</f>
        <v>0</v>
      </c>
      <c r="O110" s="52">
        <f>IFERROR(VLOOKUP($A110,'I | Capex forecast'!$A$11:$AA$160,O$8,0)*INDEX('I | Inflation'!$F$46:$G$49,MATCH($I110,'I | Inflation'!$E$46:$E$49,0),MATCH($H110,'I | Inflation'!$F$45:$G$45,0)),0)</f>
        <v>0</v>
      </c>
      <c r="P110" s="52">
        <f>IFERROR(VLOOKUP($A110,'I | Capex forecast'!$A$11:$AA$160,P$8,0)*INDEX('I | Inflation'!$F$46:$G$49,MATCH($I110,'I | Inflation'!$E$46:$E$49,0),MATCH($H110,'I | Inflation'!$F$45:$G$45,0)),0)</f>
        <v>0</v>
      </c>
      <c r="Q110" s="54">
        <f t="shared" si="44"/>
        <v>0</v>
      </c>
      <c r="R110" s="53"/>
      <c r="S110" s="226">
        <f>L110*VLOOKUP($A110,'I | Capex forecast'!$A$11:$AA$160,S$8,0)</f>
        <v>0</v>
      </c>
      <c r="T110" s="226">
        <f>M110*VLOOKUP($A110,'I | Capex forecast'!$A$11:$AA$160,T$8,0)</f>
        <v>0</v>
      </c>
      <c r="U110" s="226">
        <f>N110*VLOOKUP($A110,'I | Capex forecast'!$A$11:$AA$160,U$8,0)</f>
        <v>0</v>
      </c>
      <c r="V110" s="226">
        <f>O110*VLOOKUP($A110,'I | Capex forecast'!$A$11:$AA$160,V$8,0)</f>
        <v>0</v>
      </c>
      <c r="W110" s="226">
        <f>P110*VLOOKUP($A110,'I | Capex forecast'!$A$11:$AA$160,W$8,0)</f>
        <v>0</v>
      </c>
      <c r="X110" s="54">
        <f t="shared" si="56"/>
        <v>0</v>
      </c>
      <c r="Y110" s="53"/>
      <c r="Z110" s="52">
        <f>S110*(HLOOKUP(Z$10,'I | Inflation'!$E$57:$J$59,3,0)-1)</f>
        <v>0</v>
      </c>
      <c r="AA110" s="52">
        <f>T110*(HLOOKUP(AA$10,'I | Inflation'!$E$57:$J$59,3,0)-1)</f>
        <v>0</v>
      </c>
      <c r="AB110" s="52">
        <f>U110*(HLOOKUP(AB$10,'I | Inflation'!$E$57:$J$59,3,0)-1)</f>
        <v>0</v>
      </c>
      <c r="AC110" s="52">
        <f>V110*(HLOOKUP(AC$10,'I | Inflation'!$E$57:$J$59,3,0)-1)</f>
        <v>0</v>
      </c>
      <c r="AD110" s="52">
        <f>W110*(HLOOKUP(AD$10,'I | Inflation'!$E$57:$J$59,3,0)-1)</f>
        <v>0</v>
      </c>
      <c r="AE110" s="54">
        <f t="shared" si="57"/>
        <v>0</v>
      </c>
      <c r="AF110" s="53"/>
      <c r="AG110" s="226">
        <f t="shared" si="58"/>
        <v>0</v>
      </c>
      <c r="AH110" s="226">
        <f t="shared" si="59"/>
        <v>0</v>
      </c>
      <c r="AI110" s="226">
        <f t="shared" si="60"/>
        <v>0</v>
      </c>
      <c r="AJ110" s="226">
        <f t="shared" si="61"/>
        <v>0</v>
      </c>
      <c r="AK110" s="226">
        <f t="shared" si="62"/>
        <v>0</v>
      </c>
      <c r="AL110" s="54">
        <f t="shared" si="63"/>
        <v>0</v>
      </c>
      <c r="AM110" s="53"/>
      <c r="AN110" s="52"/>
      <c r="AO110" s="52"/>
      <c r="AP110" s="52"/>
      <c r="AQ110" s="52"/>
      <c r="AR110" s="52"/>
      <c r="AS110" s="54">
        <f t="shared" si="64"/>
        <v>0</v>
      </c>
      <c r="AT110" s="53"/>
      <c r="AU110" s="52"/>
      <c r="AV110" s="52"/>
      <c r="AW110" s="52"/>
      <c r="AX110" s="52"/>
      <c r="AY110" s="52"/>
      <c r="AZ110" s="54">
        <f t="shared" si="65"/>
        <v>0</v>
      </c>
      <c r="BA110" s="53"/>
      <c r="BB110" s="52"/>
      <c r="BC110" s="52"/>
      <c r="BD110" s="52"/>
      <c r="BE110" s="52"/>
      <c r="BF110" s="52"/>
      <c r="BG110" s="54">
        <f t="shared" si="66"/>
        <v>0</v>
      </c>
      <c r="BH110" s="53"/>
      <c r="BI110" s="52">
        <f>L110*VLOOKUP($A110,'I | Capex forecast'!$A$11:$AA$160,BI$8,0)</f>
        <v>0</v>
      </c>
      <c r="BJ110" s="52">
        <f>M110*VLOOKUP($A110,'I | Capex forecast'!$A$11:$AA$160,BJ$8,0)</f>
        <v>0</v>
      </c>
      <c r="BK110" s="52">
        <f>N110*VLOOKUP($A110,'I | Capex forecast'!$A$11:$AA$160,BK$8,0)</f>
        <v>0</v>
      </c>
      <c r="BL110" s="52">
        <f>O110*VLOOKUP($A110,'I | Capex forecast'!$A$11:$AA$160,BL$8,0)</f>
        <v>0</v>
      </c>
      <c r="BM110" s="52">
        <f>P110*VLOOKUP($A110,'I | Capex forecast'!$A$11:$AA$160,BM$8,0)</f>
        <v>0</v>
      </c>
      <c r="BN110" s="54">
        <f t="shared" si="67"/>
        <v>0</v>
      </c>
      <c r="BO110" s="53"/>
      <c r="BP110" s="52">
        <f t="shared" si="76"/>
        <v>0</v>
      </c>
      <c r="BQ110" s="52">
        <f t="shared" si="77"/>
        <v>0</v>
      </c>
      <c r="BR110" s="52">
        <f t="shared" si="78"/>
        <v>0</v>
      </c>
      <c r="BS110" s="52">
        <f t="shared" si="79"/>
        <v>0</v>
      </c>
      <c r="BT110" s="52">
        <f t="shared" si="80"/>
        <v>0</v>
      </c>
      <c r="BU110" s="54">
        <f t="shared" si="68"/>
        <v>0</v>
      </c>
      <c r="BW110" s="52">
        <f t="shared" si="81"/>
        <v>0</v>
      </c>
      <c r="BX110" s="52">
        <f t="shared" si="82"/>
        <v>0</v>
      </c>
      <c r="BY110" s="52">
        <f t="shared" si="83"/>
        <v>0</v>
      </c>
      <c r="BZ110" s="52">
        <f t="shared" si="84"/>
        <v>0</v>
      </c>
      <c r="CA110" s="52">
        <f t="shared" si="85"/>
        <v>0</v>
      </c>
      <c r="CB110" s="54">
        <f t="shared" si="69"/>
        <v>0</v>
      </c>
      <c r="CC110" s="53"/>
      <c r="CD110" s="52">
        <f t="shared" si="70"/>
        <v>0</v>
      </c>
      <c r="CE110" s="52">
        <f t="shared" si="71"/>
        <v>0</v>
      </c>
      <c r="CF110" s="52">
        <f t="shared" si="72"/>
        <v>0</v>
      </c>
      <c r="CG110" s="52">
        <f t="shared" si="73"/>
        <v>0</v>
      </c>
      <c r="CH110" s="52">
        <f t="shared" si="74"/>
        <v>0</v>
      </c>
      <c r="CI110" s="54">
        <f t="shared" si="75"/>
        <v>0</v>
      </c>
    </row>
    <row r="111" spans="1:87" s="4" customFormat="1" x14ac:dyDescent="0.3">
      <c r="A111" s="56">
        <v>101</v>
      </c>
      <c r="B111" s="48" t="str">
        <f>IF('I | Capex forecast'!B111="","",'I | Capex forecast'!B111)</f>
        <v/>
      </c>
      <c r="C111" s="48" t="str">
        <f>IF('I | Capex forecast'!C111="","",'I | Capex forecast'!C111)</f>
        <v/>
      </c>
      <c r="D111" s="48" t="str">
        <f>IF('I | Capex forecast'!D111="","",'I | Capex forecast'!D111)</f>
        <v/>
      </c>
      <c r="E111" s="48" t="str">
        <f>IF('I | Capex forecast'!E111="","",'I | Capex forecast'!E111)</f>
        <v/>
      </c>
      <c r="F111" s="48" t="str">
        <f>IF('I | Capex forecast'!F111="","",'I | Capex forecast'!F111)</f>
        <v/>
      </c>
      <c r="G111" s="48" t="str">
        <f>IF('I | Capex forecast'!G111="","",'I | Capex forecast'!G111)</f>
        <v/>
      </c>
      <c r="H111" s="48" t="str">
        <f>IF('I | Capex forecast'!H111="","",'I | Capex forecast'!H111)</f>
        <v/>
      </c>
      <c r="I111" s="48" t="str">
        <f>IF('I | Capex forecast'!I111="","",'I | Capex forecast'!I111)</f>
        <v/>
      </c>
      <c r="J111" s="48" t="str">
        <f>IF('I | Capex forecast'!J111="","",'I | Capex forecast'!J111)</f>
        <v/>
      </c>
      <c r="K111" s="50"/>
      <c r="L111" s="52">
        <f>IFERROR(VLOOKUP($A111,'I | Capex forecast'!$A$11:$AA$160,L$8,0)*INDEX('I | Inflation'!$F$46:$G$49,MATCH($I111,'I | Inflation'!$E$46:$E$49,0),MATCH($H111,'I | Inflation'!$F$45:$G$45,0)),0)</f>
        <v>0</v>
      </c>
      <c r="M111" s="52">
        <f>IFERROR(VLOOKUP($A111,'I | Capex forecast'!$A$11:$AA$160,M$8,0)*INDEX('I | Inflation'!$F$46:$G$49,MATCH($I111,'I | Inflation'!$E$46:$E$49,0),MATCH($H111,'I | Inflation'!$F$45:$G$45,0)),0)</f>
        <v>0</v>
      </c>
      <c r="N111" s="52">
        <f>IFERROR(VLOOKUP($A111,'I | Capex forecast'!$A$11:$AA$160,N$8,0)*INDEX('I | Inflation'!$F$46:$G$49,MATCH($I111,'I | Inflation'!$E$46:$E$49,0),MATCH($H111,'I | Inflation'!$F$45:$G$45,0)),0)</f>
        <v>0</v>
      </c>
      <c r="O111" s="52">
        <f>IFERROR(VLOOKUP($A111,'I | Capex forecast'!$A$11:$AA$160,O$8,0)*INDEX('I | Inflation'!$F$46:$G$49,MATCH($I111,'I | Inflation'!$E$46:$E$49,0),MATCH($H111,'I | Inflation'!$F$45:$G$45,0)),0)</f>
        <v>0</v>
      </c>
      <c r="P111" s="52">
        <f>IFERROR(VLOOKUP($A111,'I | Capex forecast'!$A$11:$AA$160,P$8,0)*INDEX('I | Inflation'!$F$46:$G$49,MATCH($I111,'I | Inflation'!$E$46:$E$49,0),MATCH($H111,'I | Inflation'!$F$45:$G$45,0)),0)</f>
        <v>0</v>
      </c>
      <c r="Q111" s="54">
        <f t="shared" si="44"/>
        <v>0</v>
      </c>
      <c r="R111" s="53"/>
      <c r="S111" s="226">
        <f>L111*VLOOKUP($A111,'I | Capex forecast'!$A$11:$AA$160,S$8,0)</f>
        <v>0</v>
      </c>
      <c r="T111" s="226">
        <f>M111*VLOOKUP($A111,'I | Capex forecast'!$A$11:$AA$160,T$8,0)</f>
        <v>0</v>
      </c>
      <c r="U111" s="226">
        <f>N111*VLOOKUP($A111,'I | Capex forecast'!$A$11:$AA$160,U$8,0)</f>
        <v>0</v>
      </c>
      <c r="V111" s="226">
        <f>O111*VLOOKUP($A111,'I | Capex forecast'!$A$11:$AA$160,V$8,0)</f>
        <v>0</v>
      </c>
      <c r="W111" s="226">
        <f>P111*VLOOKUP($A111,'I | Capex forecast'!$A$11:$AA$160,W$8,0)</f>
        <v>0</v>
      </c>
      <c r="X111" s="54">
        <f t="shared" si="56"/>
        <v>0</v>
      </c>
      <c r="Y111" s="53"/>
      <c r="Z111" s="52">
        <f>S111*(HLOOKUP(Z$10,'I | Inflation'!$E$57:$J$59,3,0)-1)</f>
        <v>0</v>
      </c>
      <c r="AA111" s="52">
        <f>T111*(HLOOKUP(AA$10,'I | Inflation'!$E$57:$J$59,3,0)-1)</f>
        <v>0</v>
      </c>
      <c r="AB111" s="52">
        <f>U111*(HLOOKUP(AB$10,'I | Inflation'!$E$57:$J$59,3,0)-1)</f>
        <v>0</v>
      </c>
      <c r="AC111" s="52">
        <f>V111*(HLOOKUP(AC$10,'I | Inflation'!$E$57:$J$59,3,0)-1)</f>
        <v>0</v>
      </c>
      <c r="AD111" s="52">
        <f>W111*(HLOOKUP(AD$10,'I | Inflation'!$E$57:$J$59,3,0)-1)</f>
        <v>0</v>
      </c>
      <c r="AE111" s="54">
        <f t="shared" si="57"/>
        <v>0</v>
      </c>
      <c r="AF111" s="53"/>
      <c r="AG111" s="226">
        <f t="shared" si="58"/>
        <v>0</v>
      </c>
      <c r="AH111" s="226">
        <f t="shared" si="59"/>
        <v>0</v>
      </c>
      <c r="AI111" s="226">
        <f t="shared" si="60"/>
        <v>0</v>
      </c>
      <c r="AJ111" s="226">
        <f t="shared" si="61"/>
        <v>0</v>
      </c>
      <c r="AK111" s="226">
        <f t="shared" si="62"/>
        <v>0</v>
      </c>
      <c r="AL111" s="54">
        <f t="shared" si="63"/>
        <v>0</v>
      </c>
      <c r="AM111" s="53"/>
      <c r="AN111" s="52"/>
      <c r="AO111" s="52"/>
      <c r="AP111" s="52"/>
      <c r="AQ111" s="52"/>
      <c r="AR111" s="52"/>
      <c r="AS111" s="54">
        <f t="shared" si="64"/>
        <v>0</v>
      </c>
      <c r="AT111" s="53"/>
      <c r="AU111" s="52"/>
      <c r="AV111" s="52"/>
      <c r="AW111" s="52"/>
      <c r="AX111" s="52"/>
      <c r="AY111" s="52"/>
      <c r="AZ111" s="54">
        <f t="shared" si="65"/>
        <v>0</v>
      </c>
      <c r="BA111" s="53"/>
      <c r="BB111" s="52"/>
      <c r="BC111" s="52"/>
      <c r="BD111" s="52"/>
      <c r="BE111" s="52"/>
      <c r="BF111" s="52"/>
      <c r="BG111" s="54">
        <f t="shared" si="66"/>
        <v>0</v>
      </c>
      <c r="BH111" s="53"/>
      <c r="BI111" s="52">
        <f>L111*VLOOKUP($A111,'I | Capex forecast'!$A$11:$AA$160,BI$8,0)</f>
        <v>0</v>
      </c>
      <c r="BJ111" s="52">
        <f>M111*VLOOKUP($A111,'I | Capex forecast'!$A$11:$AA$160,BJ$8,0)</f>
        <v>0</v>
      </c>
      <c r="BK111" s="52">
        <f>N111*VLOOKUP($A111,'I | Capex forecast'!$A$11:$AA$160,BK$8,0)</f>
        <v>0</v>
      </c>
      <c r="BL111" s="52">
        <f>O111*VLOOKUP($A111,'I | Capex forecast'!$A$11:$AA$160,BL$8,0)</f>
        <v>0</v>
      </c>
      <c r="BM111" s="52">
        <f>P111*VLOOKUP($A111,'I | Capex forecast'!$A$11:$AA$160,BM$8,0)</f>
        <v>0</v>
      </c>
      <c r="BN111" s="54">
        <f t="shared" si="67"/>
        <v>0</v>
      </c>
      <c r="BO111" s="53"/>
      <c r="BP111" s="52">
        <f t="shared" si="76"/>
        <v>0</v>
      </c>
      <c r="BQ111" s="52">
        <f t="shared" si="77"/>
        <v>0</v>
      </c>
      <c r="BR111" s="52">
        <f t="shared" si="78"/>
        <v>0</v>
      </c>
      <c r="BS111" s="52">
        <f t="shared" si="79"/>
        <v>0</v>
      </c>
      <c r="BT111" s="52">
        <f t="shared" si="80"/>
        <v>0</v>
      </c>
      <c r="BU111" s="54">
        <f t="shared" si="68"/>
        <v>0</v>
      </c>
      <c r="BW111" s="52">
        <f t="shared" si="81"/>
        <v>0</v>
      </c>
      <c r="BX111" s="52">
        <f t="shared" si="82"/>
        <v>0</v>
      </c>
      <c r="BY111" s="52">
        <f t="shared" si="83"/>
        <v>0</v>
      </c>
      <c r="BZ111" s="52">
        <f t="shared" si="84"/>
        <v>0</v>
      </c>
      <c r="CA111" s="52">
        <f t="shared" si="85"/>
        <v>0</v>
      </c>
      <c r="CB111" s="54">
        <f t="shared" si="69"/>
        <v>0</v>
      </c>
      <c r="CC111" s="53"/>
      <c r="CD111" s="52">
        <f t="shared" si="70"/>
        <v>0</v>
      </c>
      <c r="CE111" s="52">
        <f t="shared" si="71"/>
        <v>0</v>
      </c>
      <c r="CF111" s="52">
        <f t="shared" si="72"/>
        <v>0</v>
      </c>
      <c r="CG111" s="52">
        <f t="shared" si="73"/>
        <v>0</v>
      </c>
      <c r="CH111" s="52">
        <f t="shared" si="74"/>
        <v>0</v>
      </c>
      <c r="CI111" s="54">
        <f t="shared" si="75"/>
        <v>0</v>
      </c>
    </row>
    <row r="112" spans="1:87" s="4" customFormat="1" x14ac:dyDescent="0.3">
      <c r="A112" s="56">
        <v>102</v>
      </c>
      <c r="B112" s="48" t="str">
        <f>IF('I | Capex forecast'!B112="","",'I | Capex forecast'!B112)</f>
        <v/>
      </c>
      <c r="C112" s="48" t="str">
        <f>IF('I | Capex forecast'!C112="","",'I | Capex forecast'!C112)</f>
        <v/>
      </c>
      <c r="D112" s="48" t="str">
        <f>IF('I | Capex forecast'!D112="","",'I | Capex forecast'!D112)</f>
        <v/>
      </c>
      <c r="E112" s="48" t="str">
        <f>IF('I | Capex forecast'!E112="","",'I | Capex forecast'!E112)</f>
        <v/>
      </c>
      <c r="F112" s="48" t="str">
        <f>IF('I | Capex forecast'!F112="","",'I | Capex forecast'!F112)</f>
        <v/>
      </c>
      <c r="G112" s="48" t="str">
        <f>IF('I | Capex forecast'!G112="","",'I | Capex forecast'!G112)</f>
        <v/>
      </c>
      <c r="H112" s="48" t="str">
        <f>IF('I | Capex forecast'!H112="","",'I | Capex forecast'!H112)</f>
        <v/>
      </c>
      <c r="I112" s="48" t="str">
        <f>IF('I | Capex forecast'!I112="","",'I | Capex forecast'!I112)</f>
        <v/>
      </c>
      <c r="J112" s="48" t="str">
        <f>IF('I | Capex forecast'!J112="","",'I | Capex forecast'!J112)</f>
        <v/>
      </c>
      <c r="K112" s="50"/>
      <c r="L112" s="52">
        <f>IFERROR(VLOOKUP($A112,'I | Capex forecast'!$A$11:$AA$160,L$8,0)*INDEX('I | Inflation'!$F$46:$G$49,MATCH($I112,'I | Inflation'!$E$46:$E$49,0),MATCH($H112,'I | Inflation'!$F$45:$G$45,0)),0)</f>
        <v>0</v>
      </c>
      <c r="M112" s="52">
        <f>IFERROR(VLOOKUP($A112,'I | Capex forecast'!$A$11:$AA$160,M$8,0)*INDEX('I | Inflation'!$F$46:$G$49,MATCH($I112,'I | Inflation'!$E$46:$E$49,0),MATCH($H112,'I | Inflation'!$F$45:$G$45,0)),0)</f>
        <v>0</v>
      </c>
      <c r="N112" s="52">
        <f>IFERROR(VLOOKUP($A112,'I | Capex forecast'!$A$11:$AA$160,N$8,0)*INDEX('I | Inflation'!$F$46:$G$49,MATCH($I112,'I | Inflation'!$E$46:$E$49,0),MATCH($H112,'I | Inflation'!$F$45:$G$45,0)),0)</f>
        <v>0</v>
      </c>
      <c r="O112" s="52">
        <f>IFERROR(VLOOKUP($A112,'I | Capex forecast'!$A$11:$AA$160,O$8,0)*INDEX('I | Inflation'!$F$46:$G$49,MATCH($I112,'I | Inflation'!$E$46:$E$49,0),MATCH($H112,'I | Inflation'!$F$45:$G$45,0)),0)</f>
        <v>0</v>
      </c>
      <c r="P112" s="52">
        <f>IFERROR(VLOOKUP($A112,'I | Capex forecast'!$A$11:$AA$160,P$8,0)*INDEX('I | Inflation'!$F$46:$G$49,MATCH($I112,'I | Inflation'!$E$46:$E$49,0),MATCH($H112,'I | Inflation'!$F$45:$G$45,0)),0)</f>
        <v>0</v>
      </c>
      <c r="Q112" s="54">
        <f t="shared" si="44"/>
        <v>0</v>
      </c>
      <c r="R112" s="53"/>
      <c r="S112" s="226">
        <f>L112*VLOOKUP($A112,'I | Capex forecast'!$A$11:$AA$160,S$8,0)</f>
        <v>0</v>
      </c>
      <c r="T112" s="226">
        <f>M112*VLOOKUP($A112,'I | Capex forecast'!$A$11:$AA$160,T$8,0)</f>
        <v>0</v>
      </c>
      <c r="U112" s="226">
        <f>N112*VLOOKUP($A112,'I | Capex forecast'!$A$11:$AA$160,U$8,0)</f>
        <v>0</v>
      </c>
      <c r="V112" s="226">
        <f>O112*VLOOKUP($A112,'I | Capex forecast'!$A$11:$AA$160,V$8,0)</f>
        <v>0</v>
      </c>
      <c r="W112" s="226">
        <f>P112*VLOOKUP($A112,'I | Capex forecast'!$A$11:$AA$160,W$8,0)</f>
        <v>0</v>
      </c>
      <c r="X112" s="54">
        <f t="shared" si="56"/>
        <v>0</v>
      </c>
      <c r="Y112" s="53"/>
      <c r="Z112" s="52">
        <f>S112*(HLOOKUP(Z$10,'I | Inflation'!$E$57:$J$59,3,0)-1)</f>
        <v>0</v>
      </c>
      <c r="AA112" s="52">
        <f>T112*(HLOOKUP(AA$10,'I | Inflation'!$E$57:$J$59,3,0)-1)</f>
        <v>0</v>
      </c>
      <c r="AB112" s="52">
        <f>U112*(HLOOKUP(AB$10,'I | Inflation'!$E$57:$J$59,3,0)-1)</f>
        <v>0</v>
      </c>
      <c r="AC112" s="52">
        <f>V112*(HLOOKUP(AC$10,'I | Inflation'!$E$57:$J$59,3,0)-1)</f>
        <v>0</v>
      </c>
      <c r="AD112" s="52">
        <f>W112*(HLOOKUP(AD$10,'I | Inflation'!$E$57:$J$59,3,0)-1)</f>
        <v>0</v>
      </c>
      <c r="AE112" s="54">
        <f t="shared" si="57"/>
        <v>0</v>
      </c>
      <c r="AF112" s="53"/>
      <c r="AG112" s="226">
        <f t="shared" si="58"/>
        <v>0</v>
      </c>
      <c r="AH112" s="226">
        <f t="shared" si="59"/>
        <v>0</v>
      </c>
      <c r="AI112" s="226">
        <f t="shared" si="60"/>
        <v>0</v>
      </c>
      <c r="AJ112" s="226">
        <f t="shared" si="61"/>
        <v>0</v>
      </c>
      <c r="AK112" s="226">
        <f t="shared" si="62"/>
        <v>0</v>
      </c>
      <c r="AL112" s="54">
        <f t="shared" si="63"/>
        <v>0</v>
      </c>
      <c r="AM112" s="53"/>
      <c r="AN112" s="52"/>
      <c r="AO112" s="52"/>
      <c r="AP112" s="52"/>
      <c r="AQ112" s="52"/>
      <c r="AR112" s="52"/>
      <c r="AS112" s="54">
        <f t="shared" si="64"/>
        <v>0</v>
      </c>
      <c r="AT112" s="53"/>
      <c r="AU112" s="52"/>
      <c r="AV112" s="52"/>
      <c r="AW112" s="52"/>
      <c r="AX112" s="52"/>
      <c r="AY112" s="52"/>
      <c r="AZ112" s="54">
        <f t="shared" si="65"/>
        <v>0</v>
      </c>
      <c r="BA112" s="53"/>
      <c r="BB112" s="52"/>
      <c r="BC112" s="52"/>
      <c r="BD112" s="52"/>
      <c r="BE112" s="52"/>
      <c r="BF112" s="52"/>
      <c r="BG112" s="54">
        <f t="shared" si="66"/>
        <v>0</v>
      </c>
      <c r="BH112" s="53"/>
      <c r="BI112" s="52">
        <f>L112*VLOOKUP($A112,'I | Capex forecast'!$A$11:$AA$160,BI$8,0)</f>
        <v>0</v>
      </c>
      <c r="BJ112" s="52">
        <f>M112*VLOOKUP($A112,'I | Capex forecast'!$A$11:$AA$160,BJ$8,0)</f>
        <v>0</v>
      </c>
      <c r="BK112" s="52">
        <f>N112*VLOOKUP($A112,'I | Capex forecast'!$A$11:$AA$160,BK$8,0)</f>
        <v>0</v>
      </c>
      <c r="BL112" s="52">
        <f>O112*VLOOKUP($A112,'I | Capex forecast'!$A$11:$AA$160,BL$8,0)</f>
        <v>0</v>
      </c>
      <c r="BM112" s="52">
        <f>P112*VLOOKUP($A112,'I | Capex forecast'!$A$11:$AA$160,BM$8,0)</f>
        <v>0</v>
      </c>
      <c r="BN112" s="54">
        <f t="shared" si="67"/>
        <v>0</v>
      </c>
      <c r="BO112" s="53"/>
      <c r="BP112" s="52">
        <f t="shared" si="76"/>
        <v>0</v>
      </c>
      <c r="BQ112" s="52">
        <f t="shared" si="77"/>
        <v>0</v>
      </c>
      <c r="BR112" s="52">
        <f t="shared" si="78"/>
        <v>0</v>
      </c>
      <c r="BS112" s="52">
        <f t="shared" si="79"/>
        <v>0</v>
      </c>
      <c r="BT112" s="52">
        <f t="shared" si="80"/>
        <v>0</v>
      </c>
      <c r="BU112" s="54">
        <f t="shared" si="68"/>
        <v>0</v>
      </c>
      <c r="BW112" s="52">
        <f t="shared" si="81"/>
        <v>0</v>
      </c>
      <c r="BX112" s="52">
        <f t="shared" si="82"/>
        <v>0</v>
      </c>
      <c r="BY112" s="52">
        <f t="shared" si="83"/>
        <v>0</v>
      </c>
      <c r="BZ112" s="52">
        <f t="shared" si="84"/>
        <v>0</v>
      </c>
      <c r="CA112" s="52">
        <f t="shared" si="85"/>
        <v>0</v>
      </c>
      <c r="CB112" s="54">
        <f t="shared" si="69"/>
        <v>0</v>
      </c>
      <c r="CC112" s="53"/>
      <c r="CD112" s="52">
        <f t="shared" si="70"/>
        <v>0</v>
      </c>
      <c r="CE112" s="52">
        <f t="shared" si="71"/>
        <v>0</v>
      </c>
      <c r="CF112" s="52">
        <f t="shared" si="72"/>
        <v>0</v>
      </c>
      <c r="CG112" s="52">
        <f t="shared" si="73"/>
        <v>0</v>
      </c>
      <c r="CH112" s="52">
        <f t="shared" si="74"/>
        <v>0</v>
      </c>
      <c r="CI112" s="54">
        <f t="shared" si="75"/>
        <v>0</v>
      </c>
    </row>
    <row r="113" spans="1:87" s="4" customFormat="1" x14ac:dyDescent="0.3">
      <c r="A113" s="56">
        <v>103</v>
      </c>
      <c r="B113" s="48" t="str">
        <f>IF('I | Capex forecast'!B113="","",'I | Capex forecast'!B113)</f>
        <v/>
      </c>
      <c r="C113" s="48" t="str">
        <f>IF('I | Capex forecast'!C113="","",'I | Capex forecast'!C113)</f>
        <v/>
      </c>
      <c r="D113" s="48" t="str">
        <f>IF('I | Capex forecast'!D113="","",'I | Capex forecast'!D113)</f>
        <v/>
      </c>
      <c r="E113" s="48" t="str">
        <f>IF('I | Capex forecast'!E113="","",'I | Capex forecast'!E113)</f>
        <v/>
      </c>
      <c r="F113" s="48" t="str">
        <f>IF('I | Capex forecast'!F113="","",'I | Capex forecast'!F113)</f>
        <v/>
      </c>
      <c r="G113" s="48" t="str">
        <f>IF('I | Capex forecast'!G113="","",'I | Capex forecast'!G113)</f>
        <v/>
      </c>
      <c r="H113" s="48" t="str">
        <f>IF('I | Capex forecast'!H113="","",'I | Capex forecast'!H113)</f>
        <v/>
      </c>
      <c r="I113" s="48" t="str">
        <f>IF('I | Capex forecast'!I113="","",'I | Capex forecast'!I113)</f>
        <v/>
      </c>
      <c r="J113" s="48" t="str">
        <f>IF('I | Capex forecast'!J113="","",'I | Capex forecast'!J113)</f>
        <v/>
      </c>
      <c r="K113" s="50"/>
      <c r="L113" s="52">
        <f>IFERROR(VLOOKUP($A113,'I | Capex forecast'!$A$11:$AA$160,L$8,0)*INDEX('I | Inflation'!$F$46:$G$49,MATCH($I113,'I | Inflation'!$E$46:$E$49,0),MATCH($H113,'I | Inflation'!$F$45:$G$45,0)),0)</f>
        <v>0</v>
      </c>
      <c r="M113" s="52">
        <f>IFERROR(VLOOKUP($A113,'I | Capex forecast'!$A$11:$AA$160,M$8,0)*INDEX('I | Inflation'!$F$46:$G$49,MATCH($I113,'I | Inflation'!$E$46:$E$49,0),MATCH($H113,'I | Inflation'!$F$45:$G$45,0)),0)</f>
        <v>0</v>
      </c>
      <c r="N113" s="52">
        <f>IFERROR(VLOOKUP($A113,'I | Capex forecast'!$A$11:$AA$160,N$8,0)*INDEX('I | Inflation'!$F$46:$G$49,MATCH($I113,'I | Inflation'!$E$46:$E$49,0),MATCH($H113,'I | Inflation'!$F$45:$G$45,0)),0)</f>
        <v>0</v>
      </c>
      <c r="O113" s="52">
        <f>IFERROR(VLOOKUP($A113,'I | Capex forecast'!$A$11:$AA$160,O$8,0)*INDEX('I | Inflation'!$F$46:$G$49,MATCH($I113,'I | Inflation'!$E$46:$E$49,0),MATCH($H113,'I | Inflation'!$F$45:$G$45,0)),0)</f>
        <v>0</v>
      </c>
      <c r="P113" s="52">
        <f>IFERROR(VLOOKUP($A113,'I | Capex forecast'!$A$11:$AA$160,P$8,0)*INDEX('I | Inflation'!$F$46:$G$49,MATCH($I113,'I | Inflation'!$E$46:$E$49,0),MATCH($H113,'I | Inflation'!$F$45:$G$45,0)),0)</f>
        <v>0</v>
      </c>
      <c r="Q113" s="54">
        <f t="shared" si="44"/>
        <v>0</v>
      </c>
      <c r="R113" s="53"/>
      <c r="S113" s="226">
        <f>L113*VLOOKUP($A113,'I | Capex forecast'!$A$11:$AA$160,S$8,0)</f>
        <v>0</v>
      </c>
      <c r="T113" s="226">
        <f>M113*VLOOKUP($A113,'I | Capex forecast'!$A$11:$AA$160,T$8,0)</f>
        <v>0</v>
      </c>
      <c r="U113" s="226">
        <f>N113*VLOOKUP($A113,'I | Capex forecast'!$A$11:$AA$160,U$8,0)</f>
        <v>0</v>
      </c>
      <c r="V113" s="226">
        <f>O113*VLOOKUP($A113,'I | Capex forecast'!$A$11:$AA$160,V$8,0)</f>
        <v>0</v>
      </c>
      <c r="W113" s="226">
        <f>P113*VLOOKUP($A113,'I | Capex forecast'!$A$11:$AA$160,W$8,0)</f>
        <v>0</v>
      </c>
      <c r="X113" s="54">
        <f t="shared" si="56"/>
        <v>0</v>
      </c>
      <c r="Y113" s="53"/>
      <c r="Z113" s="52">
        <f>S113*(HLOOKUP(Z$10,'I | Inflation'!$E$57:$J$59,3,0)-1)</f>
        <v>0</v>
      </c>
      <c r="AA113" s="52">
        <f>T113*(HLOOKUP(AA$10,'I | Inflation'!$E$57:$J$59,3,0)-1)</f>
        <v>0</v>
      </c>
      <c r="AB113" s="52">
        <f>U113*(HLOOKUP(AB$10,'I | Inflation'!$E$57:$J$59,3,0)-1)</f>
        <v>0</v>
      </c>
      <c r="AC113" s="52">
        <f>V113*(HLOOKUP(AC$10,'I | Inflation'!$E$57:$J$59,3,0)-1)</f>
        <v>0</v>
      </c>
      <c r="AD113" s="52">
        <f>W113*(HLOOKUP(AD$10,'I | Inflation'!$E$57:$J$59,3,0)-1)</f>
        <v>0</v>
      </c>
      <c r="AE113" s="54">
        <f t="shared" si="57"/>
        <v>0</v>
      </c>
      <c r="AF113" s="53"/>
      <c r="AG113" s="226">
        <f t="shared" si="58"/>
        <v>0</v>
      </c>
      <c r="AH113" s="226">
        <f t="shared" si="59"/>
        <v>0</v>
      </c>
      <c r="AI113" s="226">
        <f t="shared" si="60"/>
        <v>0</v>
      </c>
      <c r="AJ113" s="226">
        <f t="shared" si="61"/>
        <v>0</v>
      </c>
      <c r="AK113" s="226">
        <f t="shared" si="62"/>
        <v>0</v>
      </c>
      <c r="AL113" s="54">
        <f t="shared" si="63"/>
        <v>0</v>
      </c>
      <c r="AM113" s="53"/>
      <c r="AN113" s="52"/>
      <c r="AO113" s="52"/>
      <c r="AP113" s="52"/>
      <c r="AQ113" s="52"/>
      <c r="AR113" s="52"/>
      <c r="AS113" s="54">
        <f t="shared" si="64"/>
        <v>0</v>
      </c>
      <c r="AT113" s="53"/>
      <c r="AU113" s="52"/>
      <c r="AV113" s="52"/>
      <c r="AW113" s="52"/>
      <c r="AX113" s="52"/>
      <c r="AY113" s="52"/>
      <c r="AZ113" s="54">
        <f t="shared" si="65"/>
        <v>0</v>
      </c>
      <c r="BA113" s="53"/>
      <c r="BB113" s="52"/>
      <c r="BC113" s="52"/>
      <c r="BD113" s="52"/>
      <c r="BE113" s="52"/>
      <c r="BF113" s="52"/>
      <c r="BG113" s="54">
        <f t="shared" si="66"/>
        <v>0</v>
      </c>
      <c r="BH113" s="53"/>
      <c r="BI113" s="52">
        <f>L113*VLOOKUP($A113,'I | Capex forecast'!$A$11:$AA$160,BI$8,0)</f>
        <v>0</v>
      </c>
      <c r="BJ113" s="52">
        <f>M113*VLOOKUP($A113,'I | Capex forecast'!$A$11:$AA$160,BJ$8,0)</f>
        <v>0</v>
      </c>
      <c r="BK113" s="52">
        <f>N113*VLOOKUP($A113,'I | Capex forecast'!$A$11:$AA$160,BK$8,0)</f>
        <v>0</v>
      </c>
      <c r="BL113" s="52">
        <f>O113*VLOOKUP($A113,'I | Capex forecast'!$A$11:$AA$160,BL$8,0)</f>
        <v>0</v>
      </c>
      <c r="BM113" s="52">
        <f>P113*VLOOKUP($A113,'I | Capex forecast'!$A$11:$AA$160,BM$8,0)</f>
        <v>0</v>
      </c>
      <c r="BN113" s="54">
        <f t="shared" si="67"/>
        <v>0</v>
      </c>
      <c r="BO113" s="53"/>
      <c r="BP113" s="52">
        <f t="shared" si="76"/>
        <v>0</v>
      </c>
      <c r="BQ113" s="52">
        <f t="shared" si="77"/>
        <v>0</v>
      </c>
      <c r="BR113" s="52">
        <f t="shared" si="78"/>
        <v>0</v>
      </c>
      <c r="BS113" s="52">
        <f t="shared" si="79"/>
        <v>0</v>
      </c>
      <c r="BT113" s="52">
        <f t="shared" si="80"/>
        <v>0</v>
      </c>
      <c r="BU113" s="54">
        <f t="shared" si="68"/>
        <v>0</v>
      </c>
      <c r="BW113" s="52">
        <f t="shared" si="81"/>
        <v>0</v>
      </c>
      <c r="BX113" s="52">
        <f t="shared" si="82"/>
        <v>0</v>
      </c>
      <c r="BY113" s="52">
        <f t="shared" si="83"/>
        <v>0</v>
      </c>
      <c r="BZ113" s="52">
        <f t="shared" si="84"/>
        <v>0</v>
      </c>
      <c r="CA113" s="52">
        <f t="shared" si="85"/>
        <v>0</v>
      </c>
      <c r="CB113" s="54">
        <f t="shared" si="69"/>
        <v>0</v>
      </c>
      <c r="CC113" s="53"/>
      <c r="CD113" s="52">
        <f t="shared" si="70"/>
        <v>0</v>
      </c>
      <c r="CE113" s="52">
        <f t="shared" si="71"/>
        <v>0</v>
      </c>
      <c r="CF113" s="52">
        <f t="shared" si="72"/>
        <v>0</v>
      </c>
      <c r="CG113" s="52">
        <f t="shared" si="73"/>
        <v>0</v>
      </c>
      <c r="CH113" s="52">
        <f t="shared" si="74"/>
        <v>0</v>
      </c>
      <c r="CI113" s="54">
        <f t="shared" si="75"/>
        <v>0</v>
      </c>
    </row>
    <row r="114" spans="1:87" s="4" customFormat="1" x14ac:dyDescent="0.3">
      <c r="A114" s="56">
        <v>104</v>
      </c>
      <c r="B114" s="48" t="str">
        <f>IF('I | Capex forecast'!B114="","",'I | Capex forecast'!B114)</f>
        <v/>
      </c>
      <c r="C114" s="48" t="str">
        <f>IF('I | Capex forecast'!C114="","",'I | Capex forecast'!C114)</f>
        <v/>
      </c>
      <c r="D114" s="48" t="str">
        <f>IF('I | Capex forecast'!D114="","",'I | Capex forecast'!D114)</f>
        <v/>
      </c>
      <c r="E114" s="48" t="str">
        <f>IF('I | Capex forecast'!E114="","",'I | Capex forecast'!E114)</f>
        <v/>
      </c>
      <c r="F114" s="48" t="str">
        <f>IF('I | Capex forecast'!F114="","",'I | Capex forecast'!F114)</f>
        <v/>
      </c>
      <c r="G114" s="48" t="str">
        <f>IF('I | Capex forecast'!G114="","",'I | Capex forecast'!G114)</f>
        <v/>
      </c>
      <c r="H114" s="48" t="str">
        <f>IF('I | Capex forecast'!H114="","",'I | Capex forecast'!H114)</f>
        <v/>
      </c>
      <c r="I114" s="48" t="str">
        <f>IF('I | Capex forecast'!I114="","",'I | Capex forecast'!I114)</f>
        <v/>
      </c>
      <c r="J114" s="48" t="str">
        <f>IF('I | Capex forecast'!J114="","",'I | Capex forecast'!J114)</f>
        <v/>
      </c>
      <c r="K114" s="50"/>
      <c r="L114" s="52">
        <f>IFERROR(VLOOKUP($A114,'I | Capex forecast'!$A$11:$AA$160,L$8,0)*INDEX('I | Inflation'!$F$46:$G$49,MATCH($I114,'I | Inflation'!$E$46:$E$49,0),MATCH($H114,'I | Inflation'!$F$45:$G$45,0)),0)</f>
        <v>0</v>
      </c>
      <c r="M114" s="52">
        <f>IFERROR(VLOOKUP($A114,'I | Capex forecast'!$A$11:$AA$160,M$8,0)*INDEX('I | Inflation'!$F$46:$G$49,MATCH($I114,'I | Inflation'!$E$46:$E$49,0),MATCH($H114,'I | Inflation'!$F$45:$G$45,0)),0)</f>
        <v>0</v>
      </c>
      <c r="N114" s="52">
        <f>IFERROR(VLOOKUP($A114,'I | Capex forecast'!$A$11:$AA$160,N$8,0)*INDEX('I | Inflation'!$F$46:$G$49,MATCH($I114,'I | Inflation'!$E$46:$E$49,0),MATCH($H114,'I | Inflation'!$F$45:$G$45,0)),0)</f>
        <v>0</v>
      </c>
      <c r="O114" s="52">
        <f>IFERROR(VLOOKUP($A114,'I | Capex forecast'!$A$11:$AA$160,O$8,0)*INDEX('I | Inflation'!$F$46:$G$49,MATCH($I114,'I | Inflation'!$E$46:$E$49,0),MATCH($H114,'I | Inflation'!$F$45:$G$45,0)),0)</f>
        <v>0</v>
      </c>
      <c r="P114" s="52">
        <f>IFERROR(VLOOKUP($A114,'I | Capex forecast'!$A$11:$AA$160,P$8,0)*INDEX('I | Inflation'!$F$46:$G$49,MATCH($I114,'I | Inflation'!$E$46:$E$49,0),MATCH($H114,'I | Inflation'!$F$45:$G$45,0)),0)</f>
        <v>0</v>
      </c>
      <c r="Q114" s="54">
        <f t="shared" si="44"/>
        <v>0</v>
      </c>
      <c r="R114" s="53"/>
      <c r="S114" s="226">
        <f>L114*VLOOKUP($A114,'I | Capex forecast'!$A$11:$AA$160,S$8,0)</f>
        <v>0</v>
      </c>
      <c r="T114" s="226">
        <f>M114*VLOOKUP($A114,'I | Capex forecast'!$A$11:$AA$160,T$8,0)</f>
        <v>0</v>
      </c>
      <c r="U114" s="226">
        <f>N114*VLOOKUP($A114,'I | Capex forecast'!$A$11:$AA$160,U$8,0)</f>
        <v>0</v>
      </c>
      <c r="V114" s="226">
        <f>O114*VLOOKUP($A114,'I | Capex forecast'!$A$11:$AA$160,V$8,0)</f>
        <v>0</v>
      </c>
      <c r="W114" s="226">
        <f>P114*VLOOKUP($A114,'I | Capex forecast'!$A$11:$AA$160,W$8,0)</f>
        <v>0</v>
      </c>
      <c r="X114" s="54">
        <f t="shared" si="56"/>
        <v>0</v>
      </c>
      <c r="Y114" s="53"/>
      <c r="Z114" s="52">
        <f>S114*(HLOOKUP(Z$10,'I | Inflation'!$E$57:$J$59,3,0)-1)</f>
        <v>0</v>
      </c>
      <c r="AA114" s="52">
        <f>T114*(HLOOKUP(AA$10,'I | Inflation'!$E$57:$J$59,3,0)-1)</f>
        <v>0</v>
      </c>
      <c r="AB114" s="52">
        <f>U114*(HLOOKUP(AB$10,'I | Inflation'!$E$57:$J$59,3,0)-1)</f>
        <v>0</v>
      </c>
      <c r="AC114" s="52">
        <f>V114*(HLOOKUP(AC$10,'I | Inflation'!$E$57:$J$59,3,0)-1)</f>
        <v>0</v>
      </c>
      <c r="AD114" s="52">
        <f>W114*(HLOOKUP(AD$10,'I | Inflation'!$E$57:$J$59,3,0)-1)</f>
        <v>0</v>
      </c>
      <c r="AE114" s="54">
        <f t="shared" si="57"/>
        <v>0</v>
      </c>
      <c r="AF114" s="53"/>
      <c r="AG114" s="226">
        <f t="shared" si="58"/>
        <v>0</v>
      </c>
      <c r="AH114" s="226">
        <f t="shared" si="59"/>
        <v>0</v>
      </c>
      <c r="AI114" s="226">
        <f t="shared" si="60"/>
        <v>0</v>
      </c>
      <c r="AJ114" s="226">
        <f t="shared" si="61"/>
        <v>0</v>
      </c>
      <c r="AK114" s="226">
        <f t="shared" si="62"/>
        <v>0</v>
      </c>
      <c r="AL114" s="54">
        <f t="shared" si="63"/>
        <v>0</v>
      </c>
      <c r="AM114" s="53"/>
      <c r="AN114" s="52"/>
      <c r="AO114" s="52"/>
      <c r="AP114" s="52"/>
      <c r="AQ114" s="52"/>
      <c r="AR114" s="52"/>
      <c r="AS114" s="54">
        <f t="shared" si="64"/>
        <v>0</v>
      </c>
      <c r="AT114" s="53"/>
      <c r="AU114" s="52"/>
      <c r="AV114" s="52"/>
      <c r="AW114" s="52"/>
      <c r="AX114" s="52"/>
      <c r="AY114" s="52"/>
      <c r="AZ114" s="54">
        <f t="shared" si="65"/>
        <v>0</v>
      </c>
      <c r="BA114" s="53"/>
      <c r="BB114" s="52"/>
      <c r="BC114" s="52"/>
      <c r="BD114" s="52"/>
      <c r="BE114" s="52"/>
      <c r="BF114" s="52"/>
      <c r="BG114" s="54">
        <f t="shared" si="66"/>
        <v>0</v>
      </c>
      <c r="BH114" s="53"/>
      <c r="BI114" s="52">
        <f>L114*VLOOKUP($A114,'I | Capex forecast'!$A$11:$AA$160,BI$8,0)</f>
        <v>0</v>
      </c>
      <c r="BJ114" s="52">
        <f>M114*VLOOKUP($A114,'I | Capex forecast'!$A$11:$AA$160,BJ$8,0)</f>
        <v>0</v>
      </c>
      <c r="BK114" s="52">
        <f>N114*VLOOKUP($A114,'I | Capex forecast'!$A$11:$AA$160,BK$8,0)</f>
        <v>0</v>
      </c>
      <c r="BL114" s="52">
        <f>O114*VLOOKUP($A114,'I | Capex forecast'!$A$11:$AA$160,BL$8,0)</f>
        <v>0</v>
      </c>
      <c r="BM114" s="52">
        <f>P114*VLOOKUP($A114,'I | Capex forecast'!$A$11:$AA$160,BM$8,0)</f>
        <v>0</v>
      </c>
      <c r="BN114" s="54">
        <f t="shared" si="67"/>
        <v>0</v>
      </c>
      <c r="BO114" s="53"/>
      <c r="BP114" s="52">
        <f t="shared" si="76"/>
        <v>0</v>
      </c>
      <c r="BQ114" s="52">
        <f t="shared" si="77"/>
        <v>0</v>
      </c>
      <c r="BR114" s="52">
        <f t="shared" si="78"/>
        <v>0</v>
      </c>
      <c r="BS114" s="52">
        <f t="shared" si="79"/>
        <v>0</v>
      </c>
      <c r="BT114" s="52">
        <f t="shared" si="80"/>
        <v>0</v>
      </c>
      <c r="BU114" s="54">
        <f t="shared" si="68"/>
        <v>0</v>
      </c>
      <c r="BW114" s="52">
        <f t="shared" si="81"/>
        <v>0</v>
      </c>
      <c r="BX114" s="52">
        <f t="shared" si="82"/>
        <v>0</v>
      </c>
      <c r="BY114" s="52">
        <f t="shared" si="83"/>
        <v>0</v>
      </c>
      <c r="BZ114" s="52">
        <f t="shared" si="84"/>
        <v>0</v>
      </c>
      <c r="CA114" s="52">
        <f t="shared" si="85"/>
        <v>0</v>
      </c>
      <c r="CB114" s="54">
        <f t="shared" si="69"/>
        <v>0</v>
      </c>
      <c r="CC114" s="53"/>
      <c r="CD114" s="52">
        <f t="shared" si="70"/>
        <v>0</v>
      </c>
      <c r="CE114" s="52">
        <f t="shared" si="71"/>
        <v>0</v>
      </c>
      <c r="CF114" s="52">
        <f t="shared" si="72"/>
        <v>0</v>
      </c>
      <c r="CG114" s="52">
        <f t="shared" si="73"/>
        <v>0</v>
      </c>
      <c r="CH114" s="52">
        <f t="shared" si="74"/>
        <v>0</v>
      </c>
      <c r="CI114" s="54">
        <f t="shared" si="75"/>
        <v>0</v>
      </c>
    </row>
    <row r="115" spans="1:87" s="4" customFormat="1" x14ac:dyDescent="0.3">
      <c r="A115" s="56">
        <v>105</v>
      </c>
      <c r="B115" s="48" t="str">
        <f>IF('I | Capex forecast'!B115="","",'I | Capex forecast'!B115)</f>
        <v/>
      </c>
      <c r="C115" s="48" t="str">
        <f>IF('I | Capex forecast'!C115="","",'I | Capex forecast'!C115)</f>
        <v/>
      </c>
      <c r="D115" s="48" t="str">
        <f>IF('I | Capex forecast'!D115="","",'I | Capex forecast'!D115)</f>
        <v/>
      </c>
      <c r="E115" s="48" t="str">
        <f>IF('I | Capex forecast'!E115="","",'I | Capex forecast'!E115)</f>
        <v/>
      </c>
      <c r="F115" s="48" t="str">
        <f>IF('I | Capex forecast'!F115="","",'I | Capex forecast'!F115)</f>
        <v/>
      </c>
      <c r="G115" s="48" t="str">
        <f>IF('I | Capex forecast'!G115="","",'I | Capex forecast'!G115)</f>
        <v/>
      </c>
      <c r="H115" s="48" t="str">
        <f>IF('I | Capex forecast'!H115="","",'I | Capex forecast'!H115)</f>
        <v/>
      </c>
      <c r="I115" s="48" t="str">
        <f>IF('I | Capex forecast'!I115="","",'I | Capex forecast'!I115)</f>
        <v/>
      </c>
      <c r="J115" s="48" t="str">
        <f>IF('I | Capex forecast'!J115="","",'I | Capex forecast'!J115)</f>
        <v/>
      </c>
      <c r="K115" s="50"/>
      <c r="L115" s="52">
        <f>IFERROR(VLOOKUP($A115,'I | Capex forecast'!$A$11:$AA$160,L$8,0)*INDEX('I | Inflation'!$F$46:$G$49,MATCH($I115,'I | Inflation'!$E$46:$E$49,0),MATCH($H115,'I | Inflation'!$F$45:$G$45,0)),0)</f>
        <v>0</v>
      </c>
      <c r="M115" s="52">
        <f>IFERROR(VLOOKUP($A115,'I | Capex forecast'!$A$11:$AA$160,M$8,0)*INDEX('I | Inflation'!$F$46:$G$49,MATCH($I115,'I | Inflation'!$E$46:$E$49,0),MATCH($H115,'I | Inflation'!$F$45:$G$45,0)),0)</f>
        <v>0</v>
      </c>
      <c r="N115" s="52">
        <f>IFERROR(VLOOKUP($A115,'I | Capex forecast'!$A$11:$AA$160,N$8,0)*INDEX('I | Inflation'!$F$46:$G$49,MATCH($I115,'I | Inflation'!$E$46:$E$49,0),MATCH($H115,'I | Inflation'!$F$45:$G$45,0)),0)</f>
        <v>0</v>
      </c>
      <c r="O115" s="52">
        <f>IFERROR(VLOOKUP($A115,'I | Capex forecast'!$A$11:$AA$160,O$8,0)*INDEX('I | Inflation'!$F$46:$G$49,MATCH($I115,'I | Inflation'!$E$46:$E$49,0),MATCH($H115,'I | Inflation'!$F$45:$G$45,0)),0)</f>
        <v>0</v>
      </c>
      <c r="P115" s="52">
        <f>IFERROR(VLOOKUP($A115,'I | Capex forecast'!$A$11:$AA$160,P$8,0)*INDEX('I | Inflation'!$F$46:$G$49,MATCH($I115,'I | Inflation'!$E$46:$E$49,0),MATCH($H115,'I | Inflation'!$F$45:$G$45,0)),0)</f>
        <v>0</v>
      </c>
      <c r="Q115" s="54">
        <f t="shared" si="44"/>
        <v>0</v>
      </c>
      <c r="R115" s="53"/>
      <c r="S115" s="226">
        <f>L115*VLOOKUP($A115,'I | Capex forecast'!$A$11:$AA$160,S$8,0)</f>
        <v>0</v>
      </c>
      <c r="T115" s="226">
        <f>M115*VLOOKUP($A115,'I | Capex forecast'!$A$11:$AA$160,T$8,0)</f>
        <v>0</v>
      </c>
      <c r="U115" s="226">
        <f>N115*VLOOKUP($A115,'I | Capex forecast'!$A$11:$AA$160,U$8,0)</f>
        <v>0</v>
      </c>
      <c r="V115" s="226">
        <f>O115*VLOOKUP($A115,'I | Capex forecast'!$A$11:$AA$160,V$8,0)</f>
        <v>0</v>
      </c>
      <c r="W115" s="226">
        <f>P115*VLOOKUP($A115,'I | Capex forecast'!$A$11:$AA$160,W$8,0)</f>
        <v>0</v>
      </c>
      <c r="X115" s="54">
        <f t="shared" si="56"/>
        <v>0</v>
      </c>
      <c r="Y115" s="53"/>
      <c r="Z115" s="52">
        <f>S115*(HLOOKUP(Z$10,'I | Inflation'!$E$57:$J$59,3,0)-1)</f>
        <v>0</v>
      </c>
      <c r="AA115" s="52">
        <f>T115*(HLOOKUP(AA$10,'I | Inflation'!$E$57:$J$59,3,0)-1)</f>
        <v>0</v>
      </c>
      <c r="AB115" s="52">
        <f>U115*(HLOOKUP(AB$10,'I | Inflation'!$E$57:$J$59,3,0)-1)</f>
        <v>0</v>
      </c>
      <c r="AC115" s="52">
        <f>V115*(HLOOKUP(AC$10,'I | Inflation'!$E$57:$J$59,3,0)-1)</f>
        <v>0</v>
      </c>
      <c r="AD115" s="52">
        <f>W115*(HLOOKUP(AD$10,'I | Inflation'!$E$57:$J$59,3,0)-1)</f>
        <v>0</v>
      </c>
      <c r="AE115" s="54">
        <f t="shared" si="57"/>
        <v>0</v>
      </c>
      <c r="AF115" s="53"/>
      <c r="AG115" s="226">
        <f t="shared" si="58"/>
        <v>0</v>
      </c>
      <c r="AH115" s="226">
        <f t="shared" si="59"/>
        <v>0</v>
      </c>
      <c r="AI115" s="226">
        <f t="shared" si="60"/>
        <v>0</v>
      </c>
      <c r="AJ115" s="226">
        <f t="shared" si="61"/>
        <v>0</v>
      </c>
      <c r="AK115" s="226">
        <f t="shared" si="62"/>
        <v>0</v>
      </c>
      <c r="AL115" s="54">
        <f t="shared" si="63"/>
        <v>0</v>
      </c>
      <c r="AM115" s="53"/>
      <c r="AN115" s="52"/>
      <c r="AO115" s="52"/>
      <c r="AP115" s="52"/>
      <c r="AQ115" s="52"/>
      <c r="AR115" s="52"/>
      <c r="AS115" s="54">
        <f t="shared" si="64"/>
        <v>0</v>
      </c>
      <c r="AT115" s="53"/>
      <c r="AU115" s="52"/>
      <c r="AV115" s="52"/>
      <c r="AW115" s="52"/>
      <c r="AX115" s="52"/>
      <c r="AY115" s="52"/>
      <c r="AZ115" s="54">
        <f t="shared" si="65"/>
        <v>0</v>
      </c>
      <c r="BA115" s="53"/>
      <c r="BB115" s="52"/>
      <c r="BC115" s="52"/>
      <c r="BD115" s="52"/>
      <c r="BE115" s="52"/>
      <c r="BF115" s="52"/>
      <c r="BG115" s="54">
        <f t="shared" si="66"/>
        <v>0</v>
      </c>
      <c r="BH115" s="53"/>
      <c r="BI115" s="52">
        <f>L115*VLOOKUP($A115,'I | Capex forecast'!$A$11:$AA$160,BI$8,0)</f>
        <v>0</v>
      </c>
      <c r="BJ115" s="52">
        <f>M115*VLOOKUP($A115,'I | Capex forecast'!$A$11:$AA$160,BJ$8,0)</f>
        <v>0</v>
      </c>
      <c r="BK115" s="52">
        <f>N115*VLOOKUP($A115,'I | Capex forecast'!$A$11:$AA$160,BK$8,0)</f>
        <v>0</v>
      </c>
      <c r="BL115" s="52">
        <f>O115*VLOOKUP($A115,'I | Capex forecast'!$A$11:$AA$160,BL$8,0)</f>
        <v>0</v>
      </c>
      <c r="BM115" s="52">
        <f>P115*VLOOKUP($A115,'I | Capex forecast'!$A$11:$AA$160,BM$8,0)</f>
        <v>0</v>
      </c>
      <c r="BN115" s="54">
        <f t="shared" si="67"/>
        <v>0</v>
      </c>
      <c r="BO115" s="53"/>
      <c r="BP115" s="52">
        <f t="shared" si="76"/>
        <v>0</v>
      </c>
      <c r="BQ115" s="52">
        <f t="shared" si="77"/>
        <v>0</v>
      </c>
      <c r="BR115" s="52">
        <f t="shared" si="78"/>
        <v>0</v>
      </c>
      <c r="BS115" s="52">
        <f t="shared" si="79"/>
        <v>0</v>
      </c>
      <c r="BT115" s="52">
        <f t="shared" si="80"/>
        <v>0</v>
      </c>
      <c r="BU115" s="54">
        <f t="shared" si="68"/>
        <v>0</v>
      </c>
      <c r="BW115" s="52">
        <f t="shared" si="81"/>
        <v>0</v>
      </c>
      <c r="BX115" s="52">
        <f t="shared" si="82"/>
        <v>0</v>
      </c>
      <c r="BY115" s="52">
        <f t="shared" si="83"/>
        <v>0</v>
      </c>
      <c r="BZ115" s="52">
        <f t="shared" si="84"/>
        <v>0</v>
      </c>
      <c r="CA115" s="52">
        <f t="shared" si="85"/>
        <v>0</v>
      </c>
      <c r="CB115" s="54">
        <f t="shared" si="69"/>
        <v>0</v>
      </c>
      <c r="CC115" s="53"/>
      <c r="CD115" s="52">
        <f t="shared" si="70"/>
        <v>0</v>
      </c>
      <c r="CE115" s="52">
        <f t="shared" si="71"/>
        <v>0</v>
      </c>
      <c r="CF115" s="52">
        <f t="shared" si="72"/>
        <v>0</v>
      </c>
      <c r="CG115" s="52">
        <f t="shared" si="73"/>
        <v>0</v>
      </c>
      <c r="CH115" s="52">
        <f t="shared" si="74"/>
        <v>0</v>
      </c>
      <c r="CI115" s="54">
        <f t="shared" si="75"/>
        <v>0</v>
      </c>
    </row>
    <row r="116" spans="1:87" s="4" customFormat="1" x14ac:dyDescent="0.3">
      <c r="A116" s="56">
        <v>106</v>
      </c>
      <c r="B116" s="48" t="str">
        <f>IF('I | Capex forecast'!B116="","",'I | Capex forecast'!B116)</f>
        <v/>
      </c>
      <c r="C116" s="48" t="str">
        <f>IF('I | Capex forecast'!C116="","",'I | Capex forecast'!C116)</f>
        <v/>
      </c>
      <c r="D116" s="48" t="str">
        <f>IF('I | Capex forecast'!D116="","",'I | Capex forecast'!D116)</f>
        <v/>
      </c>
      <c r="E116" s="48" t="str">
        <f>IF('I | Capex forecast'!E116="","",'I | Capex forecast'!E116)</f>
        <v/>
      </c>
      <c r="F116" s="48" t="str">
        <f>IF('I | Capex forecast'!F116="","",'I | Capex forecast'!F116)</f>
        <v/>
      </c>
      <c r="G116" s="48" t="str">
        <f>IF('I | Capex forecast'!G116="","",'I | Capex forecast'!G116)</f>
        <v/>
      </c>
      <c r="H116" s="48" t="str">
        <f>IF('I | Capex forecast'!H116="","",'I | Capex forecast'!H116)</f>
        <v/>
      </c>
      <c r="I116" s="48" t="str">
        <f>IF('I | Capex forecast'!I116="","",'I | Capex forecast'!I116)</f>
        <v/>
      </c>
      <c r="J116" s="48" t="str">
        <f>IF('I | Capex forecast'!J116="","",'I | Capex forecast'!J116)</f>
        <v/>
      </c>
      <c r="K116" s="50"/>
      <c r="L116" s="52">
        <f>IFERROR(VLOOKUP($A116,'I | Capex forecast'!$A$11:$AA$160,L$8,0)*INDEX('I | Inflation'!$F$46:$G$49,MATCH($I116,'I | Inflation'!$E$46:$E$49,0),MATCH($H116,'I | Inflation'!$F$45:$G$45,0)),0)</f>
        <v>0</v>
      </c>
      <c r="M116" s="52">
        <f>IFERROR(VLOOKUP($A116,'I | Capex forecast'!$A$11:$AA$160,M$8,0)*INDEX('I | Inflation'!$F$46:$G$49,MATCH($I116,'I | Inflation'!$E$46:$E$49,0),MATCH($H116,'I | Inflation'!$F$45:$G$45,0)),0)</f>
        <v>0</v>
      </c>
      <c r="N116" s="52">
        <f>IFERROR(VLOOKUP($A116,'I | Capex forecast'!$A$11:$AA$160,N$8,0)*INDEX('I | Inflation'!$F$46:$G$49,MATCH($I116,'I | Inflation'!$E$46:$E$49,0),MATCH($H116,'I | Inflation'!$F$45:$G$45,0)),0)</f>
        <v>0</v>
      </c>
      <c r="O116" s="52">
        <f>IFERROR(VLOOKUP($A116,'I | Capex forecast'!$A$11:$AA$160,O$8,0)*INDEX('I | Inflation'!$F$46:$G$49,MATCH($I116,'I | Inflation'!$E$46:$E$49,0),MATCH($H116,'I | Inflation'!$F$45:$G$45,0)),0)</f>
        <v>0</v>
      </c>
      <c r="P116" s="52">
        <f>IFERROR(VLOOKUP($A116,'I | Capex forecast'!$A$11:$AA$160,P$8,0)*INDEX('I | Inflation'!$F$46:$G$49,MATCH($I116,'I | Inflation'!$E$46:$E$49,0),MATCH($H116,'I | Inflation'!$F$45:$G$45,0)),0)</f>
        <v>0</v>
      </c>
      <c r="Q116" s="54">
        <f t="shared" si="44"/>
        <v>0</v>
      </c>
      <c r="R116" s="53"/>
      <c r="S116" s="226">
        <f>L116*VLOOKUP($A116,'I | Capex forecast'!$A$11:$AA$160,S$8,0)</f>
        <v>0</v>
      </c>
      <c r="T116" s="226">
        <f>M116*VLOOKUP($A116,'I | Capex forecast'!$A$11:$AA$160,T$8,0)</f>
        <v>0</v>
      </c>
      <c r="U116" s="226">
        <f>N116*VLOOKUP($A116,'I | Capex forecast'!$A$11:$AA$160,U$8,0)</f>
        <v>0</v>
      </c>
      <c r="V116" s="226">
        <f>O116*VLOOKUP($A116,'I | Capex forecast'!$A$11:$AA$160,V$8,0)</f>
        <v>0</v>
      </c>
      <c r="W116" s="226">
        <f>P116*VLOOKUP($A116,'I | Capex forecast'!$A$11:$AA$160,W$8,0)</f>
        <v>0</v>
      </c>
      <c r="X116" s="54">
        <f t="shared" si="56"/>
        <v>0</v>
      </c>
      <c r="Y116" s="53"/>
      <c r="Z116" s="52">
        <f>S116*(HLOOKUP(Z$10,'I | Inflation'!$E$57:$J$59,3,0)-1)</f>
        <v>0</v>
      </c>
      <c r="AA116" s="52">
        <f>T116*(HLOOKUP(AA$10,'I | Inflation'!$E$57:$J$59,3,0)-1)</f>
        <v>0</v>
      </c>
      <c r="AB116" s="52">
        <f>U116*(HLOOKUP(AB$10,'I | Inflation'!$E$57:$J$59,3,0)-1)</f>
        <v>0</v>
      </c>
      <c r="AC116" s="52">
        <f>V116*(HLOOKUP(AC$10,'I | Inflation'!$E$57:$J$59,3,0)-1)</f>
        <v>0</v>
      </c>
      <c r="AD116" s="52">
        <f>W116*(HLOOKUP(AD$10,'I | Inflation'!$E$57:$J$59,3,0)-1)</f>
        <v>0</v>
      </c>
      <c r="AE116" s="54">
        <f t="shared" si="57"/>
        <v>0</v>
      </c>
      <c r="AF116" s="53"/>
      <c r="AG116" s="226">
        <f t="shared" si="58"/>
        <v>0</v>
      </c>
      <c r="AH116" s="226">
        <f t="shared" si="59"/>
        <v>0</v>
      </c>
      <c r="AI116" s="226">
        <f t="shared" si="60"/>
        <v>0</v>
      </c>
      <c r="AJ116" s="226">
        <f t="shared" si="61"/>
        <v>0</v>
      </c>
      <c r="AK116" s="226">
        <f t="shared" si="62"/>
        <v>0</v>
      </c>
      <c r="AL116" s="54">
        <f t="shared" si="63"/>
        <v>0</v>
      </c>
      <c r="AM116" s="53"/>
      <c r="AN116" s="52"/>
      <c r="AO116" s="52"/>
      <c r="AP116" s="52"/>
      <c r="AQ116" s="52"/>
      <c r="AR116" s="52"/>
      <c r="AS116" s="54">
        <f t="shared" si="64"/>
        <v>0</v>
      </c>
      <c r="AT116" s="53"/>
      <c r="AU116" s="52"/>
      <c r="AV116" s="52"/>
      <c r="AW116" s="52"/>
      <c r="AX116" s="52"/>
      <c r="AY116" s="52"/>
      <c r="AZ116" s="54">
        <f t="shared" si="65"/>
        <v>0</v>
      </c>
      <c r="BA116" s="53"/>
      <c r="BB116" s="52"/>
      <c r="BC116" s="52"/>
      <c r="BD116" s="52"/>
      <c r="BE116" s="52"/>
      <c r="BF116" s="52"/>
      <c r="BG116" s="54">
        <f t="shared" si="66"/>
        <v>0</v>
      </c>
      <c r="BH116" s="53"/>
      <c r="BI116" s="52">
        <f>L116*VLOOKUP($A116,'I | Capex forecast'!$A$11:$AA$160,BI$8,0)</f>
        <v>0</v>
      </c>
      <c r="BJ116" s="52">
        <f>M116*VLOOKUP($A116,'I | Capex forecast'!$A$11:$AA$160,BJ$8,0)</f>
        <v>0</v>
      </c>
      <c r="BK116" s="52">
        <f>N116*VLOOKUP($A116,'I | Capex forecast'!$A$11:$AA$160,BK$8,0)</f>
        <v>0</v>
      </c>
      <c r="BL116" s="52">
        <f>O116*VLOOKUP($A116,'I | Capex forecast'!$A$11:$AA$160,BL$8,0)</f>
        <v>0</v>
      </c>
      <c r="BM116" s="52">
        <f>P116*VLOOKUP($A116,'I | Capex forecast'!$A$11:$AA$160,BM$8,0)</f>
        <v>0</v>
      </c>
      <c r="BN116" s="54">
        <f t="shared" si="67"/>
        <v>0</v>
      </c>
      <c r="BO116" s="53"/>
      <c r="BP116" s="52">
        <f t="shared" si="76"/>
        <v>0</v>
      </c>
      <c r="BQ116" s="52">
        <f t="shared" si="77"/>
        <v>0</v>
      </c>
      <c r="BR116" s="52">
        <f t="shared" si="78"/>
        <v>0</v>
      </c>
      <c r="BS116" s="52">
        <f t="shared" si="79"/>
        <v>0</v>
      </c>
      <c r="BT116" s="52">
        <f t="shared" si="80"/>
        <v>0</v>
      </c>
      <c r="BU116" s="54">
        <f t="shared" si="68"/>
        <v>0</v>
      </c>
      <c r="BW116" s="52">
        <f t="shared" si="81"/>
        <v>0</v>
      </c>
      <c r="BX116" s="52">
        <f t="shared" si="82"/>
        <v>0</v>
      </c>
      <c r="BY116" s="52">
        <f t="shared" si="83"/>
        <v>0</v>
      </c>
      <c r="BZ116" s="52">
        <f t="shared" si="84"/>
        <v>0</v>
      </c>
      <c r="CA116" s="52">
        <f t="shared" si="85"/>
        <v>0</v>
      </c>
      <c r="CB116" s="54">
        <f t="shared" si="69"/>
        <v>0</v>
      </c>
      <c r="CC116" s="53"/>
      <c r="CD116" s="52">
        <f t="shared" si="70"/>
        <v>0</v>
      </c>
      <c r="CE116" s="52">
        <f t="shared" si="71"/>
        <v>0</v>
      </c>
      <c r="CF116" s="52">
        <f t="shared" si="72"/>
        <v>0</v>
      </c>
      <c r="CG116" s="52">
        <f t="shared" si="73"/>
        <v>0</v>
      </c>
      <c r="CH116" s="52">
        <f t="shared" si="74"/>
        <v>0</v>
      </c>
      <c r="CI116" s="54">
        <f t="shared" si="75"/>
        <v>0</v>
      </c>
    </row>
    <row r="117" spans="1:87" s="4" customFormat="1" x14ac:dyDescent="0.3">
      <c r="A117" s="56">
        <v>107</v>
      </c>
      <c r="B117" s="48" t="str">
        <f>IF('I | Capex forecast'!B117="","",'I | Capex forecast'!B117)</f>
        <v/>
      </c>
      <c r="C117" s="48" t="str">
        <f>IF('I | Capex forecast'!C117="","",'I | Capex forecast'!C117)</f>
        <v/>
      </c>
      <c r="D117" s="48" t="str">
        <f>IF('I | Capex forecast'!D117="","",'I | Capex forecast'!D117)</f>
        <v/>
      </c>
      <c r="E117" s="48" t="str">
        <f>IF('I | Capex forecast'!E117="","",'I | Capex forecast'!E117)</f>
        <v/>
      </c>
      <c r="F117" s="48" t="str">
        <f>IF('I | Capex forecast'!F117="","",'I | Capex forecast'!F117)</f>
        <v/>
      </c>
      <c r="G117" s="48" t="str">
        <f>IF('I | Capex forecast'!G117="","",'I | Capex forecast'!G117)</f>
        <v/>
      </c>
      <c r="H117" s="48" t="str">
        <f>IF('I | Capex forecast'!H117="","",'I | Capex forecast'!H117)</f>
        <v/>
      </c>
      <c r="I117" s="48" t="str">
        <f>IF('I | Capex forecast'!I117="","",'I | Capex forecast'!I117)</f>
        <v/>
      </c>
      <c r="J117" s="48" t="str">
        <f>IF('I | Capex forecast'!J117="","",'I | Capex forecast'!J117)</f>
        <v/>
      </c>
      <c r="K117" s="50"/>
      <c r="L117" s="52">
        <f>IFERROR(VLOOKUP($A117,'I | Capex forecast'!$A$11:$AA$160,L$8,0)*INDEX('I | Inflation'!$F$46:$G$49,MATCH($I117,'I | Inflation'!$E$46:$E$49,0),MATCH($H117,'I | Inflation'!$F$45:$G$45,0)),0)</f>
        <v>0</v>
      </c>
      <c r="M117" s="52">
        <f>IFERROR(VLOOKUP($A117,'I | Capex forecast'!$A$11:$AA$160,M$8,0)*INDEX('I | Inflation'!$F$46:$G$49,MATCH($I117,'I | Inflation'!$E$46:$E$49,0),MATCH($H117,'I | Inflation'!$F$45:$G$45,0)),0)</f>
        <v>0</v>
      </c>
      <c r="N117" s="52">
        <f>IFERROR(VLOOKUP($A117,'I | Capex forecast'!$A$11:$AA$160,N$8,0)*INDEX('I | Inflation'!$F$46:$G$49,MATCH($I117,'I | Inflation'!$E$46:$E$49,0),MATCH($H117,'I | Inflation'!$F$45:$G$45,0)),0)</f>
        <v>0</v>
      </c>
      <c r="O117" s="52">
        <f>IFERROR(VLOOKUP($A117,'I | Capex forecast'!$A$11:$AA$160,O$8,0)*INDEX('I | Inflation'!$F$46:$G$49,MATCH($I117,'I | Inflation'!$E$46:$E$49,0),MATCH($H117,'I | Inflation'!$F$45:$G$45,0)),0)</f>
        <v>0</v>
      </c>
      <c r="P117" s="52">
        <f>IFERROR(VLOOKUP($A117,'I | Capex forecast'!$A$11:$AA$160,P$8,0)*INDEX('I | Inflation'!$F$46:$G$49,MATCH($I117,'I | Inflation'!$E$46:$E$49,0),MATCH($H117,'I | Inflation'!$F$45:$G$45,0)),0)</f>
        <v>0</v>
      </c>
      <c r="Q117" s="54">
        <f t="shared" ref="Q117:Q155" si="86">SUM(L117:P117)</f>
        <v>0</v>
      </c>
      <c r="R117" s="53"/>
      <c r="S117" s="226">
        <f>L117*VLOOKUP($A117,'I | Capex forecast'!$A$11:$AA$160,S$8,0)</f>
        <v>0</v>
      </c>
      <c r="T117" s="226">
        <f>M117*VLOOKUP($A117,'I | Capex forecast'!$A$11:$AA$160,T$8,0)</f>
        <v>0</v>
      </c>
      <c r="U117" s="226">
        <f>N117*VLOOKUP($A117,'I | Capex forecast'!$A$11:$AA$160,U$8,0)</f>
        <v>0</v>
      </c>
      <c r="V117" s="226">
        <f>O117*VLOOKUP($A117,'I | Capex forecast'!$A$11:$AA$160,V$8,0)</f>
        <v>0</v>
      </c>
      <c r="W117" s="226">
        <f>P117*VLOOKUP($A117,'I | Capex forecast'!$A$11:$AA$160,W$8,0)</f>
        <v>0</v>
      </c>
      <c r="X117" s="54">
        <f t="shared" si="56"/>
        <v>0</v>
      </c>
      <c r="Y117" s="53"/>
      <c r="Z117" s="52">
        <f>S117*(HLOOKUP(Z$10,'I | Inflation'!$E$57:$J$59,3,0)-1)</f>
        <v>0</v>
      </c>
      <c r="AA117" s="52">
        <f>T117*(HLOOKUP(AA$10,'I | Inflation'!$E$57:$J$59,3,0)-1)</f>
        <v>0</v>
      </c>
      <c r="AB117" s="52">
        <f>U117*(HLOOKUP(AB$10,'I | Inflation'!$E$57:$J$59,3,0)-1)</f>
        <v>0</v>
      </c>
      <c r="AC117" s="52">
        <f>V117*(HLOOKUP(AC$10,'I | Inflation'!$E$57:$J$59,3,0)-1)</f>
        <v>0</v>
      </c>
      <c r="AD117" s="52">
        <f>W117*(HLOOKUP(AD$10,'I | Inflation'!$E$57:$J$59,3,0)-1)</f>
        <v>0</v>
      </c>
      <c r="AE117" s="54">
        <f t="shared" si="57"/>
        <v>0</v>
      </c>
      <c r="AF117" s="53"/>
      <c r="AG117" s="226">
        <f t="shared" si="58"/>
        <v>0</v>
      </c>
      <c r="AH117" s="226">
        <f t="shared" si="59"/>
        <v>0</v>
      </c>
      <c r="AI117" s="226">
        <f t="shared" si="60"/>
        <v>0</v>
      </c>
      <c r="AJ117" s="226">
        <f t="shared" si="61"/>
        <v>0</v>
      </c>
      <c r="AK117" s="226">
        <f t="shared" si="62"/>
        <v>0</v>
      </c>
      <c r="AL117" s="54">
        <f t="shared" si="63"/>
        <v>0</v>
      </c>
      <c r="AM117" s="53"/>
      <c r="AN117" s="52"/>
      <c r="AO117" s="52"/>
      <c r="AP117" s="52"/>
      <c r="AQ117" s="52"/>
      <c r="AR117" s="52"/>
      <c r="AS117" s="54">
        <f t="shared" si="64"/>
        <v>0</v>
      </c>
      <c r="AT117" s="53"/>
      <c r="AU117" s="52"/>
      <c r="AV117" s="52"/>
      <c r="AW117" s="52"/>
      <c r="AX117" s="52"/>
      <c r="AY117" s="52"/>
      <c r="AZ117" s="54">
        <f t="shared" si="65"/>
        <v>0</v>
      </c>
      <c r="BA117" s="53"/>
      <c r="BB117" s="52"/>
      <c r="BC117" s="52"/>
      <c r="BD117" s="52"/>
      <c r="BE117" s="52"/>
      <c r="BF117" s="52"/>
      <c r="BG117" s="54">
        <f t="shared" si="66"/>
        <v>0</v>
      </c>
      <c r="BH117" s="53"/>
      <c r="BI117" s="52">
        <f>L117*VLOOKUP($A117,'I | Capex forecast'!$A$11:$AA$160,BI$8,0)</f>
        <v>0</v>
      </c>
      <c r="BJ117" s="52">
        <f>M117*VLOOKUP($A117,'I | Capex forecast'!$A$11:$AA$160,BJ$8,0)</f>
        <v>0</v>
      </c>
      <c r="BK117" s="52">
        <f>N117*VLOOKUP($A117,'I | Capex forecast'!$A$11:$AA$160,BK$8,0)</f>
        <v>0</v>
      </c>
      <c r="BL117" s="52">
        <f>O117*VLOOKUP($A117,'I | Capex forecast'!$A$11:$AA$160,BL$8,0)</f>
        <v>0</v>
      </c>
      <c r="BM117" s="52">
        <f>P117*VLOOKUP($A117,'I | Capex forecast'!$A$11:$AA$160,BM$8,0)</f>
        <v>0</v>
      </c>
      <c r="BN117" s="54">
        <f t="shared" si="67"/>
        <v>0</v>
      </c>
      <c r="BO117" s="53"/>
      <c r="BP117" s="52">
        <f t="shared" si="76"/>
        <v>0</v>
      </c>
      <c r="BQ117" s="52">
        <f t="shared" si="77"/>
        <v>0</v>
      </c>
      <c r="BR117" s="52">
        <f t="shared" si="78"/>
        <v>0</v>
      </c>
      <c r="BS117" s="52">
        <f t="shared" si="79"/>
        <v>0</v>
      </c>
      <c r="BT117" s="52">
        <f t="shared" si="80"/>
        <v>0</v>
      </c>
      <c r="BU117" s="54">
        <f t="shared" si="68"/>
        <v>0</v>
      </c>
      <c r="BW117" s="52">
        <f t="shared" si="81"/>
        <v>0</v>
      </c>
      <c r="BX117" s="52">
        <f t="shared" si="82"/>
        <v>0</v>
      </c>
      <c r="BY117" s="52">
        <f t="shared" si="83"/>
        <v>0</v>
      </c>
      <c r="BZ117" s="52">
        <f t="shared" si="84"/>
        <v>0</v>
      </c>
      <c r="CA117" s="52">
        <f t="shared" si="85"/>
        <v>0</v>
      </c>
      <c r="CB117" s="54">
        <f t="shared" si="69"/>
        <v>0</v>
      </c>
      <c r="CC117" s="53"/>
      <c r="CD117" s="52">
        <f t="shared" si="70"/>
        <v>0</v>
      </c>
      <c r="CE117" s="52">
        <f t="shared" si="71"/>
        <v>0</v>
      </c>
      <c r="CF117" s="52">
        <f t="shared" si="72"/>
        <v>0</v>
      </c>
      <c r="CG117" s="52">
        <f t="shared" si="73"/>
        <v>0</v>
      </c>
      <c r="CH117" s="52">
        <f t="shared" si="74"/>
        <v>0</v>
      </c>
      <c r="CI117" s="54">
        <f t="shared" si="75"/>
        <v>0</v>
      </c>
    </row>
    <row r="118" spans="1:87" s="4" customFormat="1" x14ac:dyDescent="0.3">
      <c r="A118" s="56">
        <v>108</v>
      </c>
      <c r="B118" s="48" t="str">
        <f>IF('I | Capex forecast'!B118="","",'I | Capex forecast'!B118)</f>
        <v/>
      </c>
      <c r="C118" s="48" t="str">
        <f>IF('I | Capex forecast'!C118="","",'I | Capex forecast'!C118)</f>
        <v/>
      </c>
      <c r="D118" s="48" t="str">
        <f>IF('I | Capex forecast'!D118="","",'I | Capex forecast'!D118)</f>
        <v/>
      </c>
      <c r="E118" s="48" t="str">
        <f>IF('I | Capex forecast'!E118="","",'I | Capex forecast'!E118)</f>
        <v/>
      </c>
      <c r="F118" s="48" t="str">
        <f>IF('I | Capex forecast'!F118="","",'I | Capex forecast'!F118)</f>
        <v/>
      </c>
      <c r="G118" s="48" t="str">
        <f>IF('I | Capex forecast'!G118="","",'I | Capex forecast'!G118)</f>
        <v/>
      </c>
      <c r="H118" s="48" t="str">
        <f>IF('I | Capex forecast'!H118="","",'I | Capex forecast'!H118)</f>
        <v/>
      </c>
      <c r="I118" s="48" t="str">
        <f>IF('I | Capex forecast'!I118="","",'I | Capex forecast'!I118)</f>
        <v/>
      </c>
      <c r="J118" s="48" t="str">
        <f>IF('I | Capex forecast'!J118="","",'I | Capex forecast'!J118)</f>
        <v/>
      </c>
      <c r="K118" s="50"/>
      <c r="L118" s="52">
        <f>IFERROR(VLOOKUP($A118,'I | Capex forecast'!$A$11:$AA$160,L$8,0)*INDEX('I | Inflation'!$F$46:$G$49,MATCH($I118,'I | Inflation'!$E$46:$E$49,0),MATCH($H118,'I | Inflation'!$F$45:$G$45,0)),0)</f>
        <v>0</v>
      </c>
      <c r="M118" s="52">
        <f>IFERROR(VLOOKUP($A118,'I | Capex forecast'!$A$11:$AA$160,M$8,0)*INDEX('I | Inflation'!$F$46:$G$49,MATCH($I118,'I | Inflation'!$E$46:$E$49,0),MATCH($H118,'I | Inflation'!$F$45:$G$45,0)),0)</f>
        <v>0</v>
      </c>
      <c r="N118" s="52">
        <f>IFERROR(VLOOKUP($A118,'I | Capex forecast'!$A$11:$AA$160,N$8,0)*INDEX('I | Inflation'!$F$46:$G$49,MATCH($I118,'I | Inflation'!$E$46:$E$49,0),MATCH($H118,'I | Inflation'!$F$45:$G$45,0)),0)</f>
        <v>0</v>
      </c>
      <c r="O118" s="52">
        <f>IFERROR(VLOOKUP($A118,'I | Capex forecast'!$A$11:$AA$160,O$8,0)*INDEX('I | Inflation'!$F$46:$G$49,MATCH($I118,'I | Inflation'!$E$46:$E$49,0),MATCH($H118,'I | Inflation'!$F$45:$G$45,0)),0)</f>
        <v>0</v>
      </c>
      <c r="P118" s="52">
        <f>IFERROR(VLOOKUP($A118,'I | Capex forecast'!$A$11:$AA$160,P$8,0)*INDEX('I | Inflation'!$F$46:$G$49,MATCH($I118,'I | Inflation'!$E$46:$E$49,0),MATCH($H118,'I | Inflation'!$F$45:$G$45,0)),0)</f>
        <v>0</v>
      </c>
      <c r="Q118" s="54">
        <f t="shared" si="86"/>
        <v>0</v>
      </c>
      <c r="R118" s="53"/>
      <c r="S118" s="226">
        <f>L118*VLOOKUP($A118,'I | Capex forecast'!$A$11:$AA$160,S$8,0)</f>
        <v>0</v>
      </c>
      <c r="T118" s="226">
        <f>M118*VLOOKUP($A118,'I | Capex forecast'!$A$11:$AA$160,T$8,0)</f>
        <v>0</v>
      </c>
      <c r="U118" s="226">
        <f>N118*VLOOKUP($A118,'I | Capex forecast'!$A$11:$AA$160,U$8,0)</f>
        <v>0</v>
      </c>
      <c r="V118" s="226">
        <f>O118*VLOOKUP($A118,'I | Capex forecast'!$A$11:$AA$160,V$8,0)</f>
        <v>0</v>
      </c>
      <c r="W118" s="226">
        <f>P118*VLOOKUP($A118,'I | Capex forecast'!$A$11:$AA$160,W$8,0)</f>
        <v>0</v>
      </c>
      <c r="X118" s="54">
        <f t="shared" si="56"/>
        <v>0</v>
      </c>
      <c r="Y118" s="53"/>
      <c r="Z118" s="52">
        <f>S118*(HLOOKUP(Z$10,'I | Inflation'!$E$57:$J$59,3,0)-1)</f>
        <v>0</v>
      </c>
      <c r="AA118" s="52">
        <f>T118*(HLOOKUP(AA$10,'I | Inflation'!$E$57:$J$59,3,0)-1)</f>
        <v>0</v>
      </c>
      <c r="AB118" s="52">
        <f>U118*(HLOOKUP(AB$10,'I | Inflation'!$E$57:$J$59,3,0)-1)</f>
        <v>0</v>
      </c>
      <c r="AC118" s="52">
        <f>V118*(HLOOKUP(AC$10,'I | Inflation'!$E$57:$J$59,3,0)-1)</f>
        <v>0</v>
      </c>
      <c r="AD118" s="52">
        <f>W118*(HLOOKUP(AD$10,'I | Inflation'!$E$57:$J$59,3,0)-1)</f>
        <v>0</v>
      </c>
      <c r="AE118" s="54">
        <f t="shared" si="57"/>
        <v>0</v>
      </c>
      <c r="AF118" s="53"/>
      <c r="AG118" s="226">
        <f t="shared" si="58"/>
        <v>0</v>
      </c>
      <c r="AH118" s="226">
        <f t="shared" si="59"/>
        <v>0</v>
      </c>
      <c r="AI118" s="226">
        <f t="shared" si="60"/>
        <v>0</v>
      </c>
      <c r="AJ118" s="226">
        <f t="shared" si="61"/>
        <v>0</v>
      </c>
      <c r="AK118" s="226">
        <f t="shared" si="62"/>
        <v>0</v>
      </c>
      <c r="AL118" s="54">
        <f t="shared" si="63"/>
        <v>0</v>
      </c>
      <c r="AM118" s="53"/>
      <c r="AN118" s="52"/>
      <c r="AO118" s="52"/>
      <c r="AP118" s="52"/>
      <c r="AQ118" s="52"/>
      <c r="AR118" s="52"/>
      <c r="AS118" s="54">
        <f t="shared" si="64"/>
        <v>0</v>
      </c>
      <c r="AT118" s="53"/>
      <c r="AU118" s="52"/>
      <c r="AV118" s="52"/>
      <c r="AW118" s="52"/>
      <c r="AX118" s="52"/>
      <c r="AY118" s="52"/>
      <c r="AZ118" s="54">
        <f t="shared" si="65"/>
        <v>0</v>
      </c>
      <c r="BA118" s="53"/>
      <c r="BB118" s="52"/>
      <c r="BC118" s="52"/>
      <c r="BD118" s="52"/>
      <c r="BE118" s="52"/>
      <c r="BF118" s="52"/>
      <c r="BG118" s="54">
        <f t="shared" si="66"/>
        <v>0</v>
      </c>
      <c r="BH118" s="53"/>
      <c r="BI118" s="52">
        <f>L118*VLOOKUP($A118,'I | Capex forecast'!$A$11:$AA$160,BI$8,0)</f>
        <v>0</v>
      </c>
      <c r="BJ118" s="52">
        <f>M118*VLOOKUP($A118,'I | Capex forecast'!$A$11:$AA$160,BJ$8,0)</f>
        <v>0</v>
      </c>
      <c r="BK118" s="52">
        <f>N118*VLOOKUP($A118,'I | Capex forecast'!$A$11:$AA$160,BK$8,0)</f>
        <v>0</v>
      </c>
      <c r="BL118" s="52">
        <f>O118*VLOOKUP($A118,'I | Capex forecast'!$A$11:$AA$160,BL$8,0)</f>
        <v>0</v>
      </c>
      <c r="BM118" s="52">
        <f>P118*VLOOKUP($A118,'I | Capex forecast'!$A$11:$AA$160,BM$8,0)</f>
        <v>0</v>
      </c>
      <c r="BN118" s="54">
        <f t="shared" si="67"/>
        <v>0</v>
      </c>
      <c r="BO118" s="53"/>
      <c r="BP118" s="52">
        <f t="shared" si="76"/>
        <v>0</v>
      </c>
      <c r="BQ118" s="52">
        <f t="shared" si="77"/>
        <v>0</v>
      </c>
      <c r="BR118" s="52">
        <f t="shared" si="78"/>
        <v>0</v>
      </c>
      <c r="BS118" s="52">
        <f t="shared" si="79"/>
        <v>0</v>
      </c>
      <c r="BT118" s="52">
        <f t="shared" si="80"/>
        <v>0</v>
      </c>
      <c r="BU118" s="54">
        <f t="shared" si="68"/>
        <v>0</v>
      </c>
      <c r="BW118" s="52">
        <f t="shared" si="81"/>
        <v>0</v>
      </c>
      <c r="BX118" s="52">
        <f t="shared" si="82"/>
        <v>0</v>
      </c>
      <c r="BY118" s="52">
        <f t="shared" si="83"/>
        <v>0</v>
      </c>
      <c r="BZ118" s="52">
        <f t="shared" si="84"/>
        <v>0</v>
      </c>
      <c r="CA118" s="52">
        <f t="shared" si="85"/>
        <v>0</v>
      </c>
      <c r="CB118" s="54">
        <f t="shared" si="69"/>
        <v>0</v>
      </c>
      <c r="CC118" s="53"/>
      <c r="CD118" s="52">
        <f t="shared" si="70"/>
        <v>0</v>
      </c>
      <c r="CE118" s="52">
        <f t="shared" si="71"/>
        <v>0</v>
      </c>
      <c r="CF118" s="52">
        <f t="shared" si="72"/>
        <v>0</v>
      </c>
      <c r="CG118" s="52">
        <f t="shared" si="73"/>
        <v>0</v>
      </c>
      <c r="CH118" s="52">
        <f t="shared" si="74"/>
        <v>0</v>
      </c>
      <c r="CI118" s="54">
        <f t="shared" si="75"/>
        <v>0</v>
      </c>
    </row>
    <row r="119" spans="1:87" s="4" customFormat="1" x14ac:dyDescent="0.3">
      <c r="A119" s="56">
        <v>109</v>
      </c>
      <c r="B119" s="48" t="str">
        <f>IF('I | Capex forecast'!B119="","",'I | Capex forecast'!B119)</f>
        <v/>
      </c>
      <c r="C119" s="48" t="str">
        <f>IF('I | Capex forecast'!C119="","",'I | Capex forecast'!C119)</f>
        <v/>
      </c>
      <c r="D119" s="48" t="str">
        <f>IF('I | Capex forecast'!D119="","",'I | Capex forecast'!D119)</f>
        <v/>
      </c>
      <c r="E119" s="48" t="str">
        <f>IF('I | Capex forecast'!E119="","",'I | Capex forecast'!E119)</f>
        <v/>
      </c>
      <c r="F119" s="48" t="str">
        <f>IF('I | Capex forecast'!F119="","",'I | Capex forecast'!F119)</f>
        <v/>
      </c>
      <c r="G119" s="48" t="str">
        <f>IF('I | Capex forecast'!G119="","",'I | Capex forecast'!G119)</f>
        <v/>
      </c>
      <c r="H119" s="48" t="str">
        <f>IF('I | Capex forecast'!H119="","",'I | Capex forecast'!H119)</f>
        <v/>
      </c>
      <c r="I119" s="48" t="str">
        <f>IF('I | Capex forecast'!I119="","",'I | Capex forecast'!I119)</f>
        <v/>
      </c>
      <c r="J119" s="48" t="str">
        <f>IF('I | Capex forecast'!J119="","",'I | Capex forecast'!J119)</f>
        <v/>
      </c>
      <c r="K119" s="50"/>
      <c r="L119" s="52">
        <f>IFERROR(VLOOKUP($A119,'I | Capex forecast'!$A$11:$AA$160,L$8,0)*INDEX('I | Inflation'!$F$46:$G$49,MATCH($I119,'I | Inflation'!$E$46:$E$49,0),MATCH($H119,'I | Inflation'!$F$45:$G$45,0)),0)</f>
        <v>0</v>
      </c>
      <c r="M119" s="52">
        <f>IFERROR(VLOOKUP($A119,'I | Capex forecast'!$A$11:$AA$160,M$8,0)*INDEX('I | Inflation'!$F$46:$G$49,MATCH($I119,'I | Inflation'!$E$46:$E$49,0),MATCH($H119,'I | Inflation'!$F$45:$G$45,0)),0)</f>
        <v>0</v>
      </c>
      <c r="N119" s="52">
        <f>IFERROR(VLOOKUP($A119,'I | Capex forecast'!$A$11:$AA$160,N$8,0)*INDEX('I | Inflation'!$F$46:$G$49,MATCH($I119,'I | Inflation'!$E$46:$E$49,0),MATCH($H119,'I | Inflation'!$F$45:$G$45,0)),0)</f>
        <v>0</v>
      </c>
      <c r="O119" s="52">
        <f>IFERROR(VLOOKUP($A119,'I | Capex forecast'!$A$11:$AA$160,O$8,0)*INDEX('I | Inflation'!$F$46:$G$49,MATCH($I119,'I | Inflation'!$E$46:$E$49,0),MATCH($H119,'I | Inflation'!$F$45:$G$45,0)),0)</f>
        <v>0</v>
      </c>
      <c r="P119" s="52">
        <f>IFERROR(VLOOKUP($A119,'I | Capex forecast'!$A$11:$AA$160,P$8,0)*INDEX('I | Inflation'!$F$46:$G$49,MATCH($I119,'I | Inflation'!$E$46:$E$49,0),MATCH($H119,'I | Inflation'!$F$45:$G$45,0)),0)</f>
        <v>0</v>
      </c>
      <c r="Q119" s="54">
        <f t="shared" si="86"/>
        <v>0</v>
      </c>
      <c r="R119" s="53"/>
      <c r="S119" s="226">
        <f>L119*VLOOKUP($A119,'I | Capex forecast'!$A$11:$AA$160,S$8,0)</f>
        <v>0</v>
      </c>
      <c r="T119" s="226">
        <f>M119*VLOOKUP($A119,'I | Capex forecast'!$A$11:$AA$160,T$8,0)</f>
        <v>0</v>
      </c>
      <c r="U119" s="226">
        <f>N119*VLOOKUP($A119,'I | Capex forecast'!$A$11:$AA$160,U$8,0)</f>
        <v>0</v>
      </c>
      <c r="V119" s="226">
        <f>O119*VLOOKUP($A119,'I | Capex forecast'!$A$11:$AA$160,V$8,0)</f>
        <v>0</v>
      </c>
      <c r="W119" s="226">
        <f>P119*VLOOKUP($A119,'I | Capex forecast'!$A$11:$AA$160,W$8,0)</f>
        <v>0</v>
      </c>
      <c r="X119" s="54">
        <f t="shared" si="56"/>
        <v>0</v>
      </c>
      <c r="Y119" s="53"/>
      <c r="Z119" s="52">
        <f>S119*(HLOOKUP(Z$10,'I | Inflation'!$E$57:$J$59,3,0)-1)</f>
        <v>0</v>
      </c>
      <c r="AA119" s="52">
        <f>T119*(HLOOKUP(AA$10,'I | Inflation'!$E$57:$J$59,3,0)-1)</f>
        <v>0</v>
      </c>
      <c r="AB119" s="52">
        <f>U119*(HLOOKUP(AB$10,'I | Inflation'!$E$57:$J$59,3,0)-1)</f>
        <v>0</v>
      </c>
      <c r="AC119" s="52">
        <f>V119*(HLOOKUP(AC$10,'I | Inflation'!$E$57:$J$59,3,0)-1)</f>
        <v>0</v>
      </c>
      <c r="AD119" s="52">
        <f>W119*(HLOOKUP(AD$10,'I | Inflation'!$E$57:$J$59,3,0)-1)</f>
        <v>0</v>
      </c>
      <c r="AE119" s="54">
        <f t="shared" si="57"/>
        <v>0</v>
      </c>
      <c r="AF119" s="53"/>
      <c r="AG119" s="226">
        <f t="shared" si="58"/>
        <v>0</v>
      </c>
      <c r="AH119" s="226">
        <f t="shared" si="59"/>
        <v>0</v>
      </c>
      <c r="AI119" s="226">
        <f t="shared" si="60"/>
        <v>0</v>
      </c>
      <c r="AJ119" s="226">
        <f t="shared" si="61"/>
        <v>0</v>
      </c>
      <c r="AK119" s="226">
        <f t="shared" si="62"/>
        <v>0</v>
      </c>
      <c r="AL119" s="54">
        <f t="shared" si="63"/>
        <v>0</v>
      </c>
      <c r="AM119" s="53"/>
      <c r="AN119" s="52"/>
      <c r="AO119" s="52"/>
      <c r="AP119" s="52"/>
      <c r="AQ119" s="52"/>
      <c r="AR119" s="52"/>
      <c r="AS119" s="54">
        <f t="shared" si="64"/>
        <v>0</v>
      </c>
      <c r="AT119" s="53"/>
      <c r="AU119" s="52"/>
      <c r="AV119" s="52"/>
      <c r="AW119" s="52"/>
      <c r="AX119" s="52"/>
      <c r="AY119" s="52"/>
      <c r="AZ119" s="54">
        <f t="shared" si="65"/>
        <v>0</v>
      </c>
      <c r="BA119" s="53"/>
      <c r="BB119" s="52"/>
      <c r="BC119" s="52"/>
      <c r="BD119" s="52"/>
      <c r="BE119" s="52"/>
      <c r="BF119" s="52"/>
      <c r="BG119" s="54">
        <f t="shared" si="66"/>
        <v>0</v>
      </c>
      <c r="BH119" s="53"/>
      <c r="BI119" s="52">
        <f>L119*VLOOKUP($A119,'I | Capex forecast'!$A$11:$AA$160,BI$8,0)</f>
        <v>0</v>
      </c>
      <c r="BJ119" s="52">
        <f>M119*VLOOKUP($A119,'I | Capex forecast'!$A$11:$AA$160,BJ$8,0)</f>
        <v>0</v>
      </c>
      <c r="BK119" s="52">
        <f>N119*VLOOKUP($A119,'I | Capex forecast'!$A$11:$AA$160,BK$8,0)</f>
        <v>0</v>
      </c>
      <c r="BL119" s="52">
        <f>O119*VLOOKUP($A119,'I | Capex forecast'!$A$11:$AA$160,BL$8,0)</f>
        <v>0</v>
      </c>
      <c r="BM119" s="52">
        <f>P119*VLOOKUP($A119,'I | Capex forecast'!$A$11:$AA$160,BM$8,0)</f>
        <v>0</v>
      </c>
      <c r="BN119" s="54">
        <f t="shared" si="67"/>
        <v>0</v>
      </c>
      <c r="BO119" s="53"/>
      <c r="BP119" s="52">
        <f t="shared" si="76"/>
        <v>0</v>
      </c>
      <c r="BQ119" s="52">
        <f t="shared" si="77"/>
        <v>0</v>
      </c>
      <c r="BR119" s="52">
        <f t="shared" si="78"/>
        <v>0</v>
      </c>
      <c r="BS119" s="52">
        <f t="shared" si="79"/>
        <v>0</v>
      </c>
      <c r="BT119" s="52">
        <f t="shared" si="80"/>
        <v>0</v>
      </c>
      <c r="BU119" s="54">
        <f t="shared" si="68"/>
        <v>0</v>
      </c>
      <c r="BW119" s="52">
        <f t="shared" si="81"/>
        <v>0</v>
      </c>
      <c r="BX119" s="52">
        <f t="shared" si="82"/>
        <v>0</v>
      </c>
      <c r="BY119" s="52">
        <f t="shared" si="83"/>
        <v>0</v>
      </c>
      <c r="BZ119" s="52">
        <f t="shared" si="84"/>
        <v>0</v>
      </c>
      <c r="CA119" s="52">
        <f t="shared" si="85"/>
        <v>0</v>
      </c>
      <c r="CB119" s="54">
        <f t="shared" si="69"/>
        <v>0</v>
      </c>
      <c r="CC119" s="53"/>
      <c r="CD119" s="52">
        <f t="shared" si="70"/>
        <v>0</v>
      </c>
      <c r="CE119" s="52">
        <f t="shared" si="71"/>
        <v>0</v>
      </c>
      <c r="CF119" s="52">
        <f t="shared" si="72"/>
        <v>0</v>
      </c>
      <c r="CG119" s="52">
        <f t="shared" si="73"/>
        <v>0</v>
      </c>
      <c r="CH119" s="52">
        <f t="shared" si="74"/>
        <v>0</v>
      </c>
      <c r="CI119" s="54">
        <f t="shared" si="75"/>
        <v>0</v>
      </c>
    </row>
    <row r="120" spans="1:87" s="4" customFormat="1" x14ac:dyDescent="0.3">
      <c r="A120" s="56">
        <v>110</v>
      </c>
      <c r="B120" s="48" t="str">
        <f>IF('I | Capex forecast'!B120="","",'I | Capex forecast'!B120)</f>
        <v/>
      </c>
      <c r="C120" s="48" t="str">
        <f>IF('I | Capex forecast'!C120="","",'I | Capex forecast'!C120)</f>
        <v/>
      </c>
      <c r="D120" s="48" t="str">
        <f>IF('I | Capex forecast'!D120="","",'I | Capex forecast'!D120)</f>
        <v/>
      </c>
      <c r="E120" s="48" t="str">
        <f>IF('I | Capex forecast'!E120="","",'I | Capex forecast'!E120)</f>
        <v/>
      </c>
      <c r="F120" s="48" t="str">
        <f>IF('I | Capex forecast'!F120="","",'I | Capex forecast'!F120)</f>
        <v/>
      </c>
      <c r="G120" s="48" t="str">
        <f>IF('I | Capex forecast'!G120="","",'I | Capex forecast'!G120)</f>
        <v/>
      </c>
      <c r="H120" s="48" t="str">
        <f>IF('I | Capex forecast'!H120="","",'I | Capex forecast'!H120)</f>
        <v/>
      </c>
      <c r="I120" s="48" t="str">
        <f>IF('I | Capex forecast'!I120="","",'I | Capex forecast'!I120)</f>
        <v/>
      </c>
      <c r="J120" s="48" t="str">
        <f>IF('I | Capex forecast'!J120="","",'I | Capex forecast'!J120)</f>
        <v/>
      </c>
      <c r="K120" s="50"/>
      <c r="L120" s="52">
        <f>IFERROR(VLOOKUP($A120,'I | Capex forecast'!$A$11:$AA$160,L$8,0)*INDEX('I | Inflation'!$F$46:$G$49,MATCH($I120,'I | Inflation'!$E$46:$E$49,0),MATCH($H120,'I | Inflation'!$F$45:$G$45,0)),0)</f>
        <v>0</v>
      </c>
      <c r="M120" s="52">
        <f>IFERROR(VLOOKUP($A120,'I | Capex forecast'!$A$11:$AA$160,M$8,0)*INDEX('I | Inflation'!$F$46:$G$49,MATCH($I120,'I | Inflation'!$E$46:$E$49,0),MATCH($H120,'I | Inflation'!$F$45:$G$45,0)),0)</f>
        <v>0</v>
      </c>
      <c r="N120" s="52">
        <f>IFERROR(VLOOKUP($A120,'I | Capex forecast'!$A$11:$AA$160,N$8,0)*INDEX('I | Inflation'!$F$46:$G$49,MATCH($I120,'I | Inflation'!$E$46:$E$49,0),MATCH($H120,'I | Inflation'!$F$45:$G$45,0)),0)</f>
        <v>0</v>
      </c>
      <c r="O120" s="52">
        <f>IFERROR(VLOOKUP($A120,'I | Capex forecast'!$A$11:$AA$160,O$8,0)*INDEX('I | Inflation'!$F$46:$G$49,MATCH($I120,'I | Inflation'!$E$46:$E$49,0),MATCH($H120,'I | Inflation'!$F$45:$G$45,0)),0)</f>
        <v>0</v>
      </c>
      <c r="P120" s="52">
        <f>IFERROR(VLOOKUP($A120,'I | Capex forecast'!$A$11:$AA$160,P$8,0)*INDEX('I | Inflation'!$F$46:$G$49,MATCH($I120,'I | Inflation'!$E$46:$E$49,0),MATCH($H120,'I | Inflation'!$F$45:$G$45,0)),0)</f>
        <v>0</v>
      </c>
      <c r="Q120" s="54">
        <f t="shared" si="86"/>
        <v>0</v>
      </c>
      <c r="R120" s="53"/>
      <c r="S120" s="226">
        <f>L120*VLOOKUP($A120,'I | Capex forecast'!$A$11:$AA$160,S$8,0)</f>
        <v>0</v>
      </c>
      <c r="T120" s="226">
        <f>M120*VLOOKUP($A120,'I | Capex forecast'!$A$11:$AA$160,T$8,0)</f>
        <v>0</v>
      </c>
      <c r="U120" s="226">
        <f>N120*VLOOKUP($A120,'I | Capex forecast'!$A$11:$AA$160,U$8,0)</f>
        <v>0</v>
      </c>
      <c r="V120" s="226">
        <f>O120*VLOOKUP($A120,'I | Capex forecast'!$A$11:$AA$160,V$8,0)</f>
        <v>0</v>
      </c>
      <c r="W120" s="226">
        <f>P120*VLOOKUP($A120,'I | Capex forecast'!$A$11:$AA$160,W$8,0)</f>
        <v>0</v>
      </c>
      <c r="X120" s="54">
        <f t="shared" si="56"/>
        <v>0</v>
      </c>
      <c r="Y120" s="53"/>
      <c r="Z120" s="52">
        <f>S120*(HLOOKUP(Z$10,'I | Inflation'!$E$57:$J$59,3,0)-1)</f>
        <v>0</v>
      </c>
      <c r="AA120" s="52">
        <f>T120*(HLOOKUP(AA$10,'I | Inflation'!$E$57:$J$59,3,0)-1)</f>
        <v>0</v>
      </c>
      <c r="AB120" s="52">
        <f>U120*(HLOOKUP(AB$10,'I | Inflation'!$E$57:$J$59,3,0)-1)</f>
        <v>0</v>
      </c>
      <c r="AC120" s="52">
        <f>V120*(HLOOKUP(AC$10,'I | Inflation'!$E$57:$J$59,3,0)-1)</f>
        <v>0</v>
      </c>
      <c r="AD120" s="52">
        <f>W120*(HLOOKUP(AD$10,'I | Inflation'!$E$57:$J$59,3,0)-1)</f>
        <v>0</v>
      </c>
      <c r="AE120" s="54">
        <f t="shared" si="57"/>
        <v>0</v>
      </c>
      <c r="AF120" s="53"/>
      <c r="AG120" s="226">
        <f t="shared" si="58"/>
        <v>0</v>
      </c>
      <c r="AH120" s="226">
        <f t="shared" si="59"/>
        <v>0</v>
      </c>
      <c r="AI120" s="226">
        <f t="shared" si="60"/>
        <v>0</v>
      </c>
      <c r="AJ120" s="226">
        <f t="shared" si="61"/>
        <v>0</v>
      </c>
      <c r="AK120" s="226">
        <f t="shared" si="62"/>
        <v>0</v>
      </c>
      <c r="AL120" s="54">
        <f t="shared" si="63"/>
        <v>0</v>
      </c>
      <c r="AM120" s="53"/>
      <c r="AN120" s="52"/>
      <c r="AO120" s="52"/>
      <c r="AP120" s="52"/>
      <c r="AQ120" s="52"/>
      <c r="AR120" s="52"/>
      <c r="AS120" s="54">
        <f t="shared" si="64"/>
        <v>0</v>
      </c>
      <c r="AT120" s="53"/>
      <c r="AU120" s="52"/>
      <c r="AV120" s="52"/>
      <c r="AW120" s="52"/>
      <c r="AX120" s="52"/>
      <c r="AY120" s="52"/>
      <c r="AZ120" s="54">
        <f t="shared" si="65"/>
        <v>0</v>
      </c>
      <c r="BA120" s="53"/>
      <c r="BB120" s="52"/>
      <c r="BC120" s="52"/>
      <c r="BD120" s="52"/>
      <c r="BE120" s="52"/>
      <c r="BF120" s="52"/>
      <c r="BG120" s="54">
        <f t="shared" si="66"/>
        <v>0</v>
      </c>
      <c r="BH120" s="53"/>
      <c r="BI120" s="52">
        <f>L120*VLOOKUP($A120,'I | Capex forecast'!$A$11:$AA$160,BI$8,0)</f>
        <v>0</v>
      </c>
      <c r="BJ120" s="52">
        <f>M120*VLOOKUP($A120,'I | Capex forecast'!$A$11:$AA$160,BJ$8,0)</f>
        <v>0</v>
      </c>
      <c r="BK120" s="52">
        <f>N120*VLOOKUP($A120,'I | Capex forecast'!$A$11:$AA$160,BK$8,0)</f>
        <v>0</v>
      </c>
      <c r="BL120" s="52">
        <f>O120*VLOOKUP($A120,'I | Capex forecast'!$A$11:$AA$160,BL$8,0)</f>
        <v>0</v>
      </c>
      <c r="BM120" s="52">
        <f>P120*VLOOKUP($A120,'I | Capex forecast'!$A$11:$AA$160,BM$8,0)</f>
        <v>0</v>
      </c>
      <c r="BN120" s="54">
        <f t="shared" si="67"/>
        <v>0</v>
      </c>
      <c r="BO120" s="53"/>
      <c r="BP120" s="52">
        <f t="shared" si="76"/>
        <v>0</v>
      </c>
      <c r="BQ120" s="52">
        <f t="shared" si="77"/>
        <v>0</v>
      </c>
      <c r="BR120" s="52">
        <f t="shared" si="78"/>
        <v>0</v>
      </c>
      <c r="BS120" s="52">
        <f t="shared" si="79"/>
        <v>0</v>
      </c>
      <c r="BT120" s="52">
        <f t="shared" si="80"/>
        <v>0</v>
      </c>
      <c r="BU120" s="54">
        <f t="shared" si="68"/>
        <v>0</v>
      </c>
      <c r="BW120" s="52">
        <f t="shared" si="81"/>
        <v>0</v>
      </c>
      <c r="BX120" s="52">
        <f t="shared" si="82"/>
        <v>0</v>
      </c>
      <c r="BY120" s="52">
        <f t="shared" si="83"/>
        <v>0</v>
      </c>
      <c r="BZ120" s="52">
        <f t="shared" si="84"/>
        <v>0</v>
      </c>
      <c r="CA120" s="52">
        <f t="shared" si="85"/>
        <v>0</v>
      </c>
      <c r="CB120" s="54">
        <f t="shared" si="69"/>
        <v>0</v>
      </c>
      <c r="CC120" s="53"/>
      <c r="CD120" s="52">
        <f t="shared" si="70"/>
        <v>0</v>
      </c>
      <c r="CE120" s="52">
        <f t="shared" si="71"/>
        <v>0</v>
      </c>
      <c r="CF120" s="52">
        <f t="shared" si="72"/>
        <v>0</v>
      </c>
      <c r="CG120" s="52">
        <f t="shared" si="73"/>
        <v>0</v>
      </c>
      <c r="CH120" s="52">
        <f t="shared" si="74"/>
        <v>0</v>
      </c>
      <c r="CI120" s="54">
        <f t="shared" si="75"/>
        <v>0</v>
      </c>
    </row>
    <row r="121" spans="1:87" s="4" customFormat="1" x14ac:dyDescent="0.3">
      <c r="A121" s="56">
        <v>111</v>
      </c>
      <c r="B121" s="48" t="str">
        <f>IF('I | Capex forecast'!B121="","",'I | Capex forecast'!B121)</f>
        <v/>
      </c>
      <c r="C121" s="48" t="str">
        <f>IF('I | Capex forecast'!C121="","",'I | Capex forecast'!C121)</f>
        <v/>
      </c>
      <c r="D121" s="48" t="str">
        <f>IF('I | Capex forecast'!D121="","",'I | Capex forecast'!D121)</f>
        <v/>
      </c>
      <c r="E121" s="48" t="str">
        <f>IF('I | Capex forecast'!E121="","",'I | Capex forecast'!E121)</f>
        <v/>
      </c>
      <c r="F121" s="48" t="str">
        <f>IF('I | Capex forecast'!F121="","",'I | Capex forecast'!F121)</f>
        <v/>
      </c>
      <c r="G121" s="48" t="str">
        <f>IF('I | Capex forecast'!G121="","",'I | Capex forecast'!G121)</f>
        <v/>
      </c>
      <c r="H121" s="48" t="str">
        <f>IF('I | Capex forecast'!H121="","",'I | Capex forecast'!H121)</f>
        <v/>
      </c>
      <c r="I121" s="48" t="str">
        <f>IF('I | Capex forecast'!I121="","",'I | Capex forecast'!I121)</f>
        <v/>
      </c>
      <c r="J121" s="48" t="str">
        <f>IF('I | Capex forecast'!J121="","",'I | Capex forecast'!J121)</f>
        <v/>
      </c>
      <c r="K121" s="50"/>
      <c r="L121" s="52">
        <f>IFERROR(VLOOKUP($A121,'I | Capex forecast'!$A$11:$AA$160,L$8,0)*INDEX('I | Inflation'!$F$46:$G$49,MATCH($I121,'I | Inflation'!$E$46:$E$49,0),MATCH($H121,'I | Inflation'!$F$45:$G$45,0)),0)</f>
        <v>0</v>
      </c>
      <c r="M121" s="52">
        <f>IFERROR(VLOOKUP($A121,'I | Capex forecast'!$A$11:$AA$160,M$8,0)*INDEX('I | Inflation'!$F$46:$G$49,MATCH($I121,'I | Inflation'!$E$46:$E$49,0),MATCH($H121,'I | Inflation'!$F$45:$G$45,0)),0)</f>
        <v>0</v>
      </c>
      <c r="N121" s="52">
        <f>IFERROR(VLOOKUP($A121,'I | Capex forecast'!$A$11:$AA$160,N$8,0)*INDEX('I | Inflation'!$F$46:$G$49,MATCH($I121,'I | Inflation'!$E$46:$E$49,0),MATCH($H121,'I | Inflation'!$F$45:$G$45,0)),0)</f>
        <v>0</v>
      </c>
      <c r="O121" s="52">
        <f>IFERROR(VLOOKUP($A121,'I | Capex forecast'!$A$11:$AA$160,O$8,0)*INDEX('I | Inflation'!$F$46:$G$49,MATCH($I121,'I | Inflation'!$E$46:$E$49,0),MATCH($H121,'I | Inflation'!$F$45:$G$45,0)),0)</f>
        <v>0</v>
      </c>
      <c r="P121" s="52">
        <f>IFERROR(VLOOKUP($A121,'I | Capex forecast'!$A$11:$AA$160,P$8,0)*INDEX('I | Inflation'!$F$46:$G$49,MATCH($I121,'I | Inflation'!$E$46:$E$49,0),MATCH($H121,'I | Inflation'!$F$45:$G$45,0)),0)</f>
        <v>0</v>
      </c>
      <c r="Q121" s="54">
        <f t="shared" si="86"/>
        <v>0</v>
      </c>
      <c r="R121" s="53"/>
      <c r="S121" s="226">
        <f>L121*VLOOKUP($A121,'I | Capex forecast'!$A$11:$AA$160,S$8,0)</f>
        <v>0</v>
      </c>
      <c r="T121" s="226">
        <f>M121*VLOOKUP($A121,'I | Capex forecast'!$A$11:$AA$160,T$8,0)</f>
        <v>0</v>
      </c>
      <c r="U121" s="226">
        <f>N121*VLOOKUP($A121,'I | Capex forecast'!$A$11:$AA$160,U$8,0)</f>
        <v>0</v>
      </c>
      <c r="V121" s="226">
        <f>O121*VLOOKUP($A121,'I | Capex forecast'!$A$11:$AA$160,V$8,0)</f>
        <v>0</v>
      </c>
      <c r="W121" s="226">
        <f>P121*VLOOKUP($A121,'I | Capex forecast'!$A$11:$AA$160,W$8,0)</f>
        <v>0</v>
      </c>
      <c r="X121" s="54">
        <f t="shared" si="56"/>
        <v>0</v>
      </c>
      <c r="Y121" s="53"/>
      <c r="Z121" s="52">
        <f>S121*(HLOOKUP(Z$10,'I | Inflation'!$E$57:$J$59,3,0)-1)</f>
        <v>0</v>
      </c>
      <c r="AA121" s="52">
        <f>T121*(HLOOKUP(AA$10,'I | Inflation'!$E$57:$J$59,3,0)-1)</f>
        <v>0</v>
      </c>
      <c r="AB121" s="52">
        <f>U121*(HLOOKUP(AB$10,'I | Inflation'!$E$57:$J$59,3,0)-1)</f>
        <v>0</v>
      </c>
      <c r="AC121" s="52">
        <f>V121*(HLOOKUP(AC$10,'I | Inflation'!$E$57:$J$59,3,0)-1)</f>
        <v>0</v>
      </c>
      <c r="AD121" s="52">
        <f>W121*(HLOOKUP(AD$10,'I | Inflation'!$E$57:$J$59,3,0)-1)</f>
        <v>0</v>
      </c>
      <c r="AE121" s="54">
        <f t="shared" si="57"/>
        <v>0</v>
      </c>
      <c r="AF121" s="53"/>
      <c r="AG121" s="226">
        <f t="shared" si="58"/>
        <v>0</v>
      </c>
      <c r="AH121" s="226">
        <f t="shared" si="59"/>
        <v>0</v>
      </c>
      <c r="AI121" s="226">
        <f t="shared" si="60"/>
        <v>0</v>
      </c>
      <c r="AJ121" s="226">
        <f t="shared" si="61"/>
        <v>0</v>
      </c>
      <c r="AK121" s="226">
        <f t="shared" si="62"/>
        <v>0</v>
      </c>
      <c r="AL121" s="54">
        <f t="shared" si="63"/>
        <v>0</v>
      </c>
      <c r="AM121" s="53"/>
      <c r="AN121" s="52"/>
      <c r="AO121" s="52"/>
      <c r="AP121" s="52"/>
      <c r="AQ121" s="52"/>
      <c r="AR121" s="52"/>
      <c r="AS121" s="54">
        <f t="shared" si="64"/>
        <v>0</v>
      </c>
      <c r="AT121" s="53"/>
      <c r="AU121" s="52"/>
      <c r="AV121" s="52"/>
      <c r="AW121" s="52"/>
      <c r="AX121" s="52"/>
      <c r="AY121" s="52"/>
      <c r="AZ121" s="54">
        <f t="shared" si="65"/>
        <v>0</v>
      </c>
      <c r="BA121" s="53"/>
      <c r="BB121" s="52"/>
      <c r="BC121" s="52"/>
      <c r="BD121" s="52"/>
      <c r="BE121" s="52"/>
      <c r="BF121" s="52"/>
      <c r="BG121" s="54">
        <f t="shared" si="66"/>
        <v>0</v>
      </c>
      <c r="BH121" s="53"/>
      <c r="BI121" s="52">
        <f>L121*VLOOKUP($A121,'I | Capex forecast'!$A$11:$AA$160,BI$8,0)</f>
        <v>0</v>
      </c>
      <c r="BJ121" s="52">
        <f>M121*VLOOKUP($A121,'I | Capex forecast'!$A$11:$AA$160,BJ$8,0)</f>
        <v>0</v>
      </c>
      <c r="BK121" s="52">
        <f>N121*VLOOKUP($A121,'I | Capex forecast'!$A$11:$AA$160,BK$8,0)</f>
        <v>0</v>
      </c>
      <c r="BL121" s="52">
        <f>O121*VLOOKUP($A121,'I | Capex forecast'!$A$11:$AA$160,BL$8,0)</f>
        <v>0</v>
      </c>
      <c r="BM121" s="52">
        <f>P121*VLOOKUP($A121,'I | Capex forecast'!$A$11:$AA$160,BM$8,0)</f>
        <v>0</v>
      </c>
      <c r="BN121" s="54">
        <f t="shared" si="67"/>
        <v>0</v>
      </c>
      <c r="BO121" s="53"/>
      <c r="BP121" s="52">
        <f t="shared" si="76"/>
        <v>0</v>
      </c>
      <c r="BQ121" s="52">
        <f t="shared" si="77"/>
        <v>0</v>
      </c>
      <c r="BR121" s="52">
        <f t="shared" si="78"/>
        <v>0</v>
      </c>
      <c r="BS121" s="52">
        <f t="shared" si="79"/>
        <v>0</v>
      </c>
      <c r="BT121" s="52">
        <f t="shared" si="80"/>
        <v>0</v>
      </c>
      <c r="BU121" s="54">
        <f t="shared" si="68"/>
        <v>0</v>
      </c>
      <c r="BW121" s="52">
        <f t="shared" si="81"/>
        <v>0</v>
      </c>
      <c r="BX121" s="52">
        <f t="shared" si="82"/>
        <v>0</v>
      </c>
      <c r="BY121" s="52">
        <f t="shared" si="83"/>
        <v>0</v>
      </c>
      <c r="BZ121" s="52">
        <f t="shared" si="84"/>
        <v>0</v>
      </c>
      <c r="CA121" s="52">
        <f t="shared" si="85"/>
        <v>0</v>
      </c>
      <c r="CB121" s="54">
        <f t="shared" si="69"/>
        <v>0</v>
      </c>
      <c r="CC121" s="53"/>
      <c r="CD121" s="52">
        <f t="shared" si="70"/>
        <v>0</v>
      </c>
      <c r="CE121" s="52">
        <f t="shared" si="71"/>
        <v>0</v>
      </c>
      <c r="CF121" s="52">
        <f t="shared" si="72"/>
        <v>0</v>
      </c>
      <c r="CG121" s="52">
        <f t="shared" si="73"/>
        <v>0</v>
      </c>
      <c r="CH121" s="52">
        <f t="shared" si="74"/>
        <v>0</v>
      </c>
      <c r="CI121" s="54">
        <f t="shared" si="75"/>
        <v>0</v>
      </c>
    </row>
    <row r="122" spans="1:87" s="4" customFormat="1" x14ac:dyDescent="0.3">
      <c r="A122" s="56">
        <v>112</v>
      </c>
      <c r="B122" s="48" t="str">
        <f>IF('I | Capex forecast'!B122="","",'I | Capex forecast'!B122)</f>
        <v/>
      </c>
      <c r="C122" s="48" t="str">
        <f>IF('I | Capex forecast'!C122="","",'I | Capex forecast'!C122)</f>
        <v/>
      </c>
      <c r="D122" s="48" t="str">
        <f>IF('I | Capex forecast'!D122="","",'I | Capex forecast'!D122)</f>
        <v/>
      </c>
      <c r="E122" s="48" t="str">
        <f>IF('I | Capex forecast'!E122="","",'I | Capex forecast'!E122)</f>
        <v/>
      </c>
      <c r="F122" s="48" t="str">
        <f>IF('I | Capex forecast'!F122="","",'I | Capex forecast'!F122)</f>
        <v/>
      </c>
      <c r="G122" s="48" t="str">
        <f>IF('I | Capex forecast'!G122="","",'I | Capex forecast'!G122)</f>
        <v/>
      </c>
      <c r="H122" s="48" t="str">
        <f>IF('I | Capex forecast'!H122="","",'I | Capex forecast'!H122)</f>
        <v/>
      </c>
      <c r="I122" s="48" t="str">
        <f>IF('I | Capex forecast'!I122="","",'I | Capex forecast'!I122)</f>
        <v/>
      </c>
      <c r="J122" s="48" t="str">
        <f>IF('I | Capex forecast'!J122="","",'I | Capex forecast'!J122)</f>
        <v/>
      </c>
      <c r="K122" s="50"/>
      <c r="L122" s="52">
        <f>IFERROR(VLOOKUP($A122,'I | Capex forecast'!$A$11:$AA$160,L$8,0)*INDEX('I | Inflation'!$F$46:$G$49,MATCH($I122,'I | Inflation'!$E$46:$E$49,0),MATCH($H122,'I | Inflation'!$F$45:$G$45,0)),0)</f>
        <v>0</v>
      </c>
      <c r="M122" s="52">
        <f>IFERROR(VLOOKUP($A122,'I | Capex forecast'!$A$11:$AA$160,M$8,0)*INDEX('I | Inflation'!$F$46:$G$49,MATCH($I122,'I | Inflation'!$E$46:$E$49,0),MATCH($H122,'I | Inflation'!$F$45:$G$45,0)),0)</f>
        <v>0</v>
      </c>
      <c r="N122" s="52">
        <f>IFERROR(VLOOKUP($A122,'I | Capex forecast'!$A$11:$AA$160,N$8,0)*INDEX('I | Inflation'!$F$46:$G$49,MATCH($I122,'I | Inflation'!$E$46:$E$49,0),MATCH($H122,'I | Inflation'!$F$45:$G$45,0)),0)</f>
        <v>0</v>
      </c>
      <c r="O122" s="52">
        <f>IFERROR(VLOOKUP($A122,'I | Capex forecast'!$A$11:$AA$160,O$8,0)*INDEX('I | Inflation'!$F$46:$G$49,MATCH($I122,'I | Inflation'!$E$46:$E$49,0),MATCH($H122,'I | Inflation'!$F$45:$G$45,0)),0)</f>
        <v>0</v>
      </c>
      <c r="P122" s="52">
        <f>IFERROR(VLOOKUP($A122,'I | Capex forecast'!$A$11:$AA$160,P$8,0)*INDEX('I | Inflation'!$F$46:$G$49,MATCH($I122,'I | Inflation'!$E$46:$E$49,0),MATCH($H122,'I | Inflation'!$F$45:$G$45,0)),0)</f>
        <v>0</v>
      </c>
      <c r="Q122" s="54">
        <f t="shared" si="86"/>
        <v>0</v>
      </c>
      <c r="R122" s="53"/>
      <c r="S122" s="226">
        <f>L122*VLOOKUP($A122,'I | Capex forecast'!$A$11:$AA$160,S$8,0)</f>
        <v>0</v>
      </c>
      <c r="T122" s="226">
        <f>M122*VLOOKUP($A122,'I | Capex forecast'!$A$11:$AA$160,T$8,0)</f>
        <v>0</v>
      </c>
      <c r="U122" s="226">
        <f>N122*VLOOKUP($A122,'I | Capex forecast'!$A$11:$AA$160,U$8,0)</f>
        <v>0</v>
      </c>
      <c r="V122" s="226">
        <f>O122*VLOOKUP($A122,'I | Capex forecast'!$A$11:$AA$160,V$8,0)</f>
        <v>0</v>
      </c>
      <c r="W122" s="226">
        <f>P122*VLOOKUP($A122,'I | Capex forecast'!$A$11:$AA$160,W$8,0)</f>
        <v>0</v>
      </c>
      <c r="X122" s="54">
        <f t="shared" si="56"/>
        <v>0</v>
      </c>
      <c r="Y122" s="53"/>
      <c r="Z122" s="52">
        <f>S122*(HLOOKUP(Z$10,'I | Inflation'!$E$57:$J$59,3,0)-1)</f>
        <v>0</v>
      </c>
      <c r="AA122" s="52">
        <f>T122*(HLOOKUP(AA$10,'I | Inflation'!$E$57:$J$59,3,0)-1)</f>
        <v>0</v>
      </c>
      <c r="AB122" s="52">
        <f>U122*(HLOOKUP(AB$10,'I | Inflation'!$E$57:$J$59,3,0)-1)</f>
        <v>0</v>
      </c>
      <c r="AC122" s="52">
        <f>V122*(HLOOKUP(AC$10,'I | Inflation'!$E$57:$J$59,3,0)-1)</f>
        <v>0</v>
      </c>
      <c r="AD122" s="52">
        <f>W122*(HLOOKUP(AD$10,'I | Inflation'!$E$57:$J$59,3,0)-1)</f>
        <v>0</v>
      </c>
      <c r="AE122" s="54">
        <f t="shared" si="57"/>
        <v>0</v>
      </c>
      <c r="AF122" s="53"/>
      <c r="AG122" s="226">
        <f t="shared" si="58"/>
        <v>0</v>
      </c>
      <c r="AH122" s="226">
        <f t="shared" si="59"/>
        <v>0</v>
      </c>
      <c r="AI122" s="226">
        <f t="shared" si="60"/>
        <v>0</v>
      </c>
      <c r="AJ122" s="226">
        <f t="shared" si="61"/>
        <v>0</v>
      </c>
      <c r="AK122" s="226">
        <f t="shared" si="62"/>
        <v>0</v>
      </c>
      <c r="AL122" s="54">
        <f t="shared" si="63"/>
        <v>0</v>
      </c>
      <c r="AM122" s="53"/>
      <c r="AN122" s="52"/>
      <c r="AO122" s="52"/>
      <c r="AP122" s="52"/>
      <c r="AQ122" s="52"/>
      <c r="AR122" s="52"/>
      <c r="AS122" s="54">
        <f t="shared" si="64"/>
        <v>0</v>
      </c>
      <c r="AT122" s="53"/>
      <c r="AU122" s="52"/>
      <c r="AV122" s="52"/>
      <c r="AW122" s="52"/>
      <c r="AX122" s="52"/>
      <c r="AY122" s="52"/>
      <c r="AZ122" s="54">
        <f t="shared" si="65"/>
        <v>0</v>
      </c>
      <c r="BA122" s="53"/>
      <c r="BB122" s="52"/>
      <c r="BC122" s="52"/>
      <c r="BD122" s="52"/>
      <c r="BE122" s="52"/>
      <c r="BF122" s="52"/>
      <c r="BG122" s="54">
        <f t="shared" si="66"/>
        <v>0</v>
      </c>
      <c r="BH122" s="53"/>
      <c r="BI122" s="52">
        <f>L122*VLOOKUP($A122,'I | Capex forecast'!$A$11:$AA$160,BI$8,0)</f>
        <v>0</v>
      </c>
      <c r="BJ122" s="52">
        <f>M122*VLOOKUP($A122,'I | Capex forecast'!$A$11:$AA$160,BJ$8,0)</f>
        <v>0</v>
      </c>
      <c r="BK122" s="52">
        <f>N122*VLOOKUP($A122,'I | Capex forecast'!$A$11:$AA$160,BK$8,0)</f>
        <v>0</v>
      </c>
      <c r="BL122" s="52">
        <f>O122*VLOOKUP($A122,'I | Capex forecast'!$A$11:$AA$160,BL$8,0)</f>
        <v>0</v>
      </c>
      <c r="BM122" s="52">
        <f>P122*VLOOKUP($A122,'I | Capex forecast'!$A$11:$AA$160,BM$8,0)</f>
        <v>0</v>
      </c>
      <c r="BN122" s="54">
        <f t="shared" si="67"/>
        <v>0</v>
      </c>
      <c r="BO122" s="53"/>
      <c r="BP122" s="52">
        <f t="shared" si="76"/>
        <v>0</v>
      </c>
      <c r="BQ122" s="52">
        <f t="shared" si="77"/>
        <v>0</v>
      </c>
      <c r="BR122" s="52">
        <f t="shared" si="78"/>
        <v>0</v>
      </c>
      <c r="BS122" s="52">
        <f t="shared" si="79"/>
        <v>0</v>
      </c>
      <c r="BT122" s="52">
        <f t="shared" si="80"/>
        <v>0</v>
      </c>
      <c r="BU122" s="54">
        <f t="shared" si="68"/>
        <v>0</v>
      </c>
      <c r="BW122" s="52">
        <f t="shared" si="81"/>
        <v>0</v>
      </c>
      <c r="BX122" s="52">
        <f t="shared" si="82"/>
        <v>0</v>
      </c>
      <c r="BY122" s="52">
        <f t="shared" si="83"/>
        <v>0</v>
      </c>
      <c r="BZ122" s="52">
        <f t="shared" si="84"/>
        <v>0</v>
      </c>
      <c r="CA122" s="52">
        <f t="shared" si="85"/>
        <v>0</v>
      </c>
      <c r="CB122" s="54">
        <f t="shared" si="69"/>
        <v>0</v>
      </c>
      <c r="CC122" s="53"/>
      <c r="CD122" s="52">
        <f t="shared" si="70"/>
        <v>0</v>
      </c>
      <c r="CE122" s="52">
        <f t="shared" si="71"/>
        <v>0</v>
      </c>
      <c r="CF122" s="52">
        <f t="shared" si="72"/>
        <v>0</v>
      </c>
      <c r="CG122" s="52">
        <f t="shared" si="73"/>
        <v>0</v>
      </c>
      <c r="CH122" s="52">
        <f t="shared" si="74"/>
        <v>0</v>
      </c>
      <c r="CI122" s="54">
        <f t="shared" si="75"/>
        <v>0</v>
      </c>
    </row>
    <row r="123" spans="1:87" s="4" customFormat="1" x14ac:dyDescent="0.3">
      <c r="A123" s="56">
        <v>113</v>
      </c>
      <c r="B123" s="48" t="str">
        <f>IF('I | Capex forecast'!B123="","",'I | Capex forecast'!B123)</f>
        <v/>
      </c>
      <c r="C123" s="48" t="str">
        <f>IF('I | Capex forecast'!C123="","",'I | Capex forecast'!C123)</f>
        <v/>
      </c>
      <c r="D123" s="48" t="str">
        <f>IF('I | Capex forecast'!D123="","",'I | Capex forecast'!D123)</f>
        <v/>
      </c>
      <c r="E123" s="48" t="str">
        <f>IF('I | Capex forecast'!E123="","",'I | Capex forecast'!E123)</f>
        <v/>
      </c>
      <c r="F123" s="48" t="str">
        <f>IF('I | Capex forecast'!F123="","",'I | Capex forecast'!F123)</f>
        <v/>
      </c>
      <c r="G123" s="48" t="str">
        <f>IF('I | Capex forecast'!G123="","",'I | Capex forecast'!G123)</f>
        <v/>
      </c>
      <c r="H123" s="48" t="str">
        <f>IF('I | Capex forecast'!H123="","",'I | Capex forecast'!H123)</f>
        <v/>
      </c>
      <c r="I123" s="48" t="str">
        <f>IF('I | Capex forecast'!I123="","",'I | Capex forecast'!I123)</f>
        <v/>
      </c>
      <c r="J123" s="48" t="str">
        <f>IF('I | Capex forecast'!J123="","",'I | Capex forecast'!J123)</f>
        <v/>
      </c>
      <c r="K123" s="50"/>
      <c r="L123" s="52">
        <f>IFERROR(VLOOKUP($A123,'I | Capex forecast'!$A$11:$AA$160,L$8,0)*INDEX('I | Inflation'!$F$46:$G$49,MATCH($I123,'I | Inflation'!$E$46:$E$49,0),MATCH($H123,'I | Inflation'!$F$45:$G$45,0)),0)</f>
        <v>0</v>
      </c>
      <c r="M123" s="52">
        <f>IFERROR(VLOOKUP($A123,'I | Capex forecast'!$A$11:$AA$160,M$8,0)*INDEX('I | Inflation'!$F$46:$G$49,MATCH($I123,'I | Inflation'!$E$46:$E$49,0),MATCH($H123,'I | Inflation'!$F$45:$G$45,0)),0)</f>
        <v>0</v>
      </c>
      <c r="N123" s="52">
        <f>IFERROR(VLOOKUP($A123,'I | Capex forecast'!$A$11:$AA$160,N$8,0)*INDEX('I | Inflation'!$F$46:$G$49,MATCH($I123,'I | Inflation'!$E$46:$E$49,0),MATCH($H123,'I | Inflation'!$F$45:$G$45,0)),0)</f>
        <v>0</v>
      </c>
      <c r="O123" s="52">
        <f>IFERROR(VLOOKUP($A123,'I | Capex forecast'!$A$11:$AA$160,O$8,0)*INDEX('I | Inflation'!$F$46:$G$49,MATCH($I123,'I | Inflation'!$E$46:$E$49,0),MATCH($H123,'I | Inflation'!$F$45:$G$45,0)),0)</f>
        <v>0</v>
      </c>
      <c r="P123" s="52">
        <f>IFERROR(VLOOKUP($A123,'I | Capex forecast'!$A$11:$AA$160,P$8,0)*INDEX('I | Inflation'!$F$46:$G$49,MATCH($I123,'I | Inflation'!$E$46:$E$49,0),MATCH($H123,'I | Inflation'!$F$45:$G$45,0)),0)</f>
        <v>0</v>
      </c>
      <c r="Q123" s="54">
        <f t="shared" si="86"/>
        <v>0</v>
      </c>
      <c r="R123" s="53"/>
      <c r="S123" s="226">
        <f>L123*VLOOKUP($A123,'I | Capex forecast'!$A$11:$AA$160,S$8,0)</f>
        <v>0</v>
      </c>
      <c r="T123" s="226">
        <f>M123*VLOOKUP($A123,'I | Capex forecast'!$A$11:$AA$160,T$8,0)</f>
        <v>0</v>
      </c>
      <c r="U123" s="226">
        <f>N123*VLOOKUP($A123,'I | Capex forecast'!$A$11:$AA$160,U$8,0)</f>
        <v>0</v>
      </c>
      <c r="V123" s="226">
        <f>O123*VLOOKUP($A123,'I | Capex forecast'!$A$11:$AA$160,V$8,0)</f>
        <v>0</v>
      </c>
      <c r="W123" s="226">
        <f>P123*VLOOKUP($A123,'I | Capex forecast'!$A$11:$AA$160,W$8,0)</f>
        <v>0</v>
      </c>
      <c r="X123" s="54">
        <f t="shared" si="56"/>
        <v>0</v>
      </c>
      <c r="Y123" s="53"/>
      <c r="Z123" s="52">
        <f>S123*(HLOOKUP(Z$10,'I | Inflation'!$E$57:$J$59,3,0)-1)</f>
        <v>0</v>
      </c>
      <c r="AA123" s="52">
        <f>T123*(HLOOKUP(AA$10,'I | Inflation'!$E$57:$J$59,3,0)-1)</f>
        <v>0</v>
      </c>
      <c r="AB123" s="52">
        <f>U123*(HLOOKUP(AB$10,'I | Inflation'!$E$57:$J$59,3,0)-1)</f>
        <v>0</v>
      </c>
      <c r="AC123" s="52">
        <f>V123*(HLOOKUP(AC$10,'I | Inflation'!$E$57:$J$59,3,0)-1)</f>
        <v>0</v>
      </c>
      <c r="AD123" s="52">
        <f>W123*(HLOOKUP(AD$10,'I | Inflation'!$E$57:$J$59,3,0)-1)</f>
        <v>0</v>
      </c>
      <c r="AE123" s="54">
        <f t="shared" si="57"/>
        <v>0</v>
      </c>
      <c r="AF123" s="53"/>
      <c r="AG123" s="226">
        <f t="shared" si="58"/>
        <v>0</v>
      </c>
      <c r="AH123" s="226">
        <f t="shared" si="59"/>
        <v>0</v>
      </c>
      <c r="AI123" s="226">
        <f t="shared" si="60"/>
        <v>0</v>
      </c>
      <c r="AJ123" s="226">
        <f t="shared" si="61"/>
        <v>0</v>
      </c>
      <c r="AK123" s="226">
        <f t="shared" si="62"/>
        <v>0</v>
      </c>
      <c r="AL123" s="54">
        <f t="shared" si="63"/>
        <v>0</v>
      </c>
      <c r="AM123" s="53"/>
      <c r="AN123" s="52"/>
      <c r="AO123" s="52"/>
      <c r="AP123" s="52"/>
      <c r="AQ123" s="52"/>
      <c r="AR123" s="52"/>
      <c r="AS123" s="54">
        <f t="shared" si="64"/>
        <v>0</v>
      </c>
      <c r="AT123" s="53"/>
      <c r="AU123" s="52"/>
      <c r="AV123" s="52"/>
      <c r="AW123" s="52"/>
      <c r="AX123" s="52"/>
      <c r="AY123" s="52"/>
      <c r="AZ123" s="54">
        <f t="shared" si="65"/>
        <v>0</v>
      </c>
      <c r="BA123" s="53"/>
      <c r="BB123" s="52"/>
      <c r="BC123" s="52"/>
      <c r="BD123" s="52"/>
      <c r="BE123" s="52"/>
      <c r="BF123" s="52"/>
      <c r="BG123" s="54">
        <f t="shared" si="66"/>
        <v>0</v>
      </c>
      <c r="BH123" s="53"/>
      <c r="BI123" s="52">
        <f>L123*VLOOKUP($A123,'I | Capex forecast'!$A$11:$AA$160,BI$8,0)</f>
        <v>0</v>
      </c>
      <c r="BJ123" s="52">
        <f>M123*VLOOKUP($A123,'I | Capex forecast'!$A$11:$AA$160,BJ$8,0)</f>
        <v>0</v>
      </c>
      <c r="BK123" s="52">
        <f>N123*VLOOKUP($A123,'I | Capex forecast'!$A$11:$AA$160,BK$8,0)</f>
        <v>0</v>
      </c>
      <c r="BL123" s="52">
        <f>O123*VLOOKUP($A123,'I | Capex forecast'!$A$11:$AA$160,BL$8,0)</f>
        <v>0</v>
      </c>
      <c r="BM123" s="52">
        <f>P123*VLOOKUP($A123,'I | Capex forecast'!$A$11:$AA$160,BM$8,0)</f>
        <v>0</v>
      </c>
      <c r="BN123" s="54">
        <f t="shared" si="67"/>
        <v>0</v>
      </c>
      <c r="BO123" s="53"/>
      <c r="BP123" s="52">
        <f t="shared" si="76"/>
        <v>0</v>
      </c>
      <c r="BQ123" s="52">
        <f t="shared" si="77"/>
        <v>0</v>
      </c>
      <c r="BR123" s="52">
        <f t="shared" si="78"/>
        <v>0</v>
      </c>
      <c r="BS123" s="52">
        <f t="shared" si="79"/>
        <v>0</v>
      </c>
      <c r="BT123" s="52">
        <f t="shared" si="80"/>
        <v>0</v>
      </c>
      <c r="BU123" s="54">
        <f t="shared" si="68"/>
        <v>0</v>
      </c>
      <c r="BW123" s="52">
        <f t="shared" si="81"/>
        <v>0</v>
      </c>
      <c r="BX123" s="52">
        <f t="shared" si="82"/>
        <v>0</v>
      </c>
      <c r="BY123" s="52">
        <f t="shared" si="83"/>
        <v>0</v>
      </c>
      <c r="BZ123" s="52">
        <f t="shared" si="84"/>
        <v>0</v>
      </c>
      <c r="CA123" s="52">
        <f t="shared" si="85"/>
        <v>0</v>
      </c>
      <c r="CB123" s="54">
        <f t="shared" si="69"/>
        <v>0</v>
      </c>
      <c r="CC123" s="53"/>
      <c r="CD123" s="52">
        <f t="shared" si="70"/>
        <v>0</v>
      </c>
      <c r="CE123" s="52">
        <f t="shared" si="71"/>
        <v>0</v>
      </c>
      <c r="CF123" s="52">
        <f t="shared" si="72"/>
        <v>0</v>
      </c>
      <c r="CG123" s="52">
        <f t="shared" si="73"/>
        <v>0</v>
      </c>
      <c r="CH123" s="52">
        <f t="shared" si="74"/>
        <v>0</v>
      </c>
      <c r="CI123" s="54">
        <f t="shared" si="75"/>
        <v>0</v>
      </c>
    </row>
    <row r="124" spans="1:87" s="4" customFormat="1" x14ac:dyDescent="0.3">
      <c r="A124" s="56">
        <v>114</v>
      </c>
      <c r="B124" s="48" t="str">
        <f>IF('I | Capex forecast'!B124="","",'I | Capex forecast'!B124)</f>
        <v/>
      </c>
      <c r="C124" s="48" t="str">
        <f>IF('I | Capex forecast'!C124="","",'I | Capex forecast'!C124)</f>
        <v/>
      </c>
      <c r="D124" s="48" t="str">
        <f>IF('I | Capex forecast'!D124="","",'I | Capex forecast'!D124)</f>
        <v/>
      </c>
      <c r="E124" s="48" t="str">
        <f>IF('I | Capex forecast'!E124="","",'I | Capex forecast'!E124)</f>
        <v/>
      </c>
      <c r="F124" s="48" t="str">
        <f>IF('I | Capex forecast'!F124="","",'I | Capex forecast'!F124)</f>
        <v/>
      </c>
      <c r="G124" s="48" t="str">
        <f>IF('I | Capex forecast'!G124="","",'I | Capex forecast'!G124)</f>
        <v/>
      </c>
      <c r="H124" s="48" t="str">
        <f>IF('I | Capex forecast'!H124="","",'I | Capex forecast'!H124)</f>
        <v/>
      </c>
      <c r="I124" s="48" t="str">
        <f>IF('I | Capex forecast'!I124="","",'I | Capex forecast'!I124)</f>
        <v/>
      </c>
      <c r="J124" s="48" t="str">
        <f>IF('I | Capex forecast'!J124="","",'I | Capex forecast'!J124)</f>
        <v/>
      </c>
      <c r="K124" s="50"/>
      <c r="L124" s="52">
        <f>IFERROR(VLOOKUP($A124,'I | Capex forecast'!$A$11:$AA$160,L$8,0)*INDEX('I | Inflation'!$F$46:$G$49,MATCH($I124,'I | Inflation'!$E$46:$E$49,0),MATCH($H124,'I | Inflation'!$F$45:$G$45,0)),0)</f>
        <v>0</v>
      </c>
      <c r="M124" s="52">
        <f>IFERROR(VLOOKUP($A124,'I | Capex forecast'!$A$11:$AA$160,M$8,0)*INDEX('I | Inflation'!$F$46:$G$49,MATCH($I124,'I | Inflation'!$E$46:$E$49,0),MATCH($H124,'I | Inflation'!$F$45:$G$45,0)),0)</f>
        <v>0</v>
      </c>
      <c r="N124" s="52">
        <f>IFERROR(VLOOKUP($A124,'I | Capex forecast'!$A$11:$AA$160,N$8,0)*INDEX('I | Inflation'!$F$46:$G$49,MATCH($I124,'I | Inflation'!$E$46:$E$49,0),MATCH($H124,'I | Inflation'!$F$45:$G$45,0)),0)</f>
        <v>0</v>
      </c>
      <c r="O124" s="52">
        <f>IFERROR(VLOOKUP($A124,'I | Capex forecast'!$A$11:$AA$160,O$8,0)*INDEX('I | Inflation'!$F$46:$G$49,MATCH($I124,'I | Inflation'!$E$46:$E$49,0),MATCH($H124,'I | Inflation'!$F$45:$G$45,0)),0)</f>
        <v>0</v>
      </c>
      <c r="P124" s="52">
        <f>IFERROR(VLOOKUP($A124,'I | Capex forecast'!$A$11:$AA$160,P$8,0)*INDEX('I | Inflation'!$F$46:$G$49,MATCH($I124,'I | Inflation'!$E$46:$E$49,0),MATCH($H124,'I | Inflation'!$F$45:$G$45,0)),0)</f>
        <v>0</v>
      </c>
      <c r="Q124" s="54">
        <f t="shared" si="86"/>
        <v>0</v>
      </c>
      <c r="R124" s="53"/>
      <c r="S124" s="226">
        <f>L124*VLOOKUP($A124,'I | Capex forecast'!$A$11:$AA$160,S$8,0)</f>
        <v>0</v>
      </c>
      <c r="T124" s="226">
        <f>M124*VLOOKUP($A124,'I | Capex forecast'!$A$11:$AA$160,T$8,0)</f>
        <v>0</v>
      </c>
      <c r="U124" s="226">
        <f>N124*VLOOKUP($A124,'I | Capex forecast'!$A$11:$AA$160,U$8,0)</f>
        <v>0</v>
      </c>
      <c r="V124" s="226">
        <f>O124*VLOOKUP($A124,'I | Capex forecast'!$A$11:$AA$160,V$8,0)</f>
        <v>0</v>
      </c>
      <c r="W124" s="226">
        <f>P124*VLOOKUP($A124,'I | Capex forecast'!$A$11:$AA$160,W$8,0)</f>
        <v>0</v>
      </c>
      <c r="X124" s="54">
        <f t="shared" si="56"/>
        <v>0</v>
      </c>
      <c r="Y124" s="53"/>
      <c r="Z124" s="52">
        <f>S124*(HLOOKUP(Z$10,'I | Inflation'!$E$57:$J$59,3,0)-1)</f>
        <v>0</v>
      </c>
      <c r="AA124" s="52">
        <f>T124*(HLOOKUP(AA$10,'I | Inflation'!$E$57:$J$59,3,0)-1)</f>
        <v>0</v>
      </c>
      <c r="AB124" s="52">
        <f>U124*(HLOOKUP(AB$10,'I | Inflation'!$E$57:$J$59,3,0)-1)</f>
        <v>0</v>
      </c>
      <c r="AC124" s="52">
        <f>V124*(HLOOKUP(AC$10,'I | Inflation'!$E$57:$J$59,3,0)-1)</f>
        <v>0</v>
      </c>
      <c r="AD124" s="52">
        <f>W124*(HLOOKUP(AD$10,'I | Inflation'!$E$57:$J$59,3,0)-1)</f>
        <v>0</v>
      </c>
      <c r="AE124" s="54">
        <f t="shared" si="57"/>
        <v>0</v>
      </c>
      <c r="AF124" s="53"/>
      <c r="AG124" s="226">
        <f t="shared" si="58"/>
        <v>0</v>
      </c>
      <c r="AH124" s="226">
        <f t="shared" si="59"/>
        <v>0</v>
      </c>
      <c r="AI124" s="226">
        <f t="shared" si="60"/>
        <v>0</v>
      </c>
      <c r="AJ124" s="226">
        <f t="shared" si="61"/>
        <v>0</v>
      </c>
      <c r="AK124" s="226">
        <f t="shared" si="62"/>
        <v>0</v>
      </c>
      <c r="AL124" s="54">
        <f t="shared" si="63"/>
        <v>0</v>
      </c>
      <c r="AM124" s="53"/>
      <c r="AN124" s="52"/>
      <c r="AO124" s="52"/>
      <c r="AP124" s="52"/>
      <c r="AQ124" s="52"/>
      <c r="AR124" s="52"/>
      <c r="AS124" s="54">
        <f t="shared" si="64"/>
        <v>0</v>
      </c>
      <c r="AT124" s="53"/>
      <c r="AU124" s="52"/>
      <c r="AV124" s="52"/>
      <c r="AW124" s="52"/>
      <c r="AX124" s="52"/>
      <c r="AY124" s="52"/>
      <c r="AZ124" s="54">
        <f t="shared" si="65"/>
        <v>0</v>
      </c>
      <c r="BA124" s="53"/>
      <c r="BB124" s="52"/>
      <c r="BC124" s="52"/>
      <c r="BD124" s="52"/>
      <c r="BE124" s="52"/>
      <c r="BF124" s="52"/>
      <c r="BG124" s="54">
        <f t="shared" si="66"/>
        <v>0</v>
      </c>
      <c r="BH124" s="53"/>
      <c r="BI124" s="52">
        <f>L124*VLOOKUP($A124,'I | Capex forecast'!$A$11:$AA$160,BI$8,0)</f>
        <v>0</v>
      </c>
      <c r="BJ124" s="52">
        <f>M124*VLOOKUP($A124,'I | Capex forecast'!$A$11:$AA$160,BJ$8,0)</f>
        <v>0</v>
      </c>
      <c r="BK124" s="52">
        <f>N124*VLOOKUP($A124,'I | Capex forecast'!$A$11:$AA$160,BK$8,0)</f>
        <v>0</v>
      </c>
      <c r="BL124" s="52">
        <f>O124*VLOOKUP($A124,'I | Capex forecast'!$A$11:$AA$160,BL$8,0)</f>
        <v>0</v>
      </c>
      <c r="BM124" s="52">
        <f>P124*VLOOKUP($A124,'I | Capex forecast'!$A$11:$AA$160,BM$8,0)</f>
        <v>0</v>
      </c>
      <c r="BN124" s="54">
        <f t="shared" si="67"/>
        <v>0</v>
      </c>
      <c r="BO124" s="53"/>
      <c r="BP124" s="52">
        <f t="shared" si="76"/>
        <v>0</v>
      </c>
      <c r="BQ124" s="52">
        <f t="shared" si="77"/>
        <v>0</v>
      </c>
      <c r="BR124" s="52">
        <f t="shared" si="78"/>
        <v>0</v>
      </c>
      <c r="BS124" s="52">
        <f t="shared" si="79"/>
        <v>0</v>
      </c>
      <c r="BT124" s="52">
        <f t="shared" si="80"/>
        <v>0</v>
      </c>
      <c r="BU124" s="54">
        <f t="shared" si="68"/>
        <v>0</v>
      </c>
      <c r="BW124" s="52">
        <f t="shared" si="81"/>
        <v>0</v>
      </c>
      <c r="BX124" s="52">
        <f t="shared" si="82"/>
        <v>0</v>
      </c>
      <c r="BY124" s="52">
        <f t="shared" si="83"/>
        <v>0</v>
      </c>
      <c r="BZ124" s="52">
        <f t="shared" si="84"/>
        <v>0</v>
      </c>
      <c r="CA124" s="52">
        <f t="shared" si="85"/>
        <v>0</v>
      </c>
      <c r="CB124" s="54">
        <f t="shared" si="69"/>
        <v>0</v>
      </c>
      <c r="CC124" s="53"/>
      <c r="CD124" s="52">
        <f t="shared" si="70"/>
        <v>0</v>
      </c>
      <c r="CE124" s="52">
        <f t="shared" si="71"/>
        <v>0</v>
      </c>
      <c r="CF124" s="52">
        <f t="shared" si="72"/>
        <v>0</v>
      </c>
      <c r="CG124" s="52">
        <f t="shared" si="73"/>
        <v>0</v>
      </c>
      <c r="CH124" s="52">
        <f t="shared" si="74"/>
        <v>0</v>
      </c>
      <c r="CI124" s="54">
        <f t="shared" si="75"/>
        <v>0</v>
      </c>
    </row>
    <row r="125" spans="1:87" x14ac:dyDescent="0.3">
      <c r="A125" s="56">
        <v>115</v>
      </c>
      <c r="B125" s="48" t="str">
        <f>IF('I | Capex forecast'!B125="","",'I | Capex forecast'!B125)</f>
        <v/>
      </c>
      <c r="C125" s="48" t="str">
        <f>IF('I | Capex forecast'!C125="","",'I | Capex forecast'!C125)</f>
        <v/>
      </c>
      <c r="D125" s="48" t="str">
        <f>IF('I | Capex forecast'!D125="","",'I | Capex forecast'!D125)</f>
        <v/>
      </c>
      <c r="E125" s="48" t="str">
        <f>IF('I | Capex forecast'!E125="","",'I | Capex forecast'!E125)</f>
        <v/>
      </c>
      <c r="F125" s="48" t="str">
        <f>IF('I | Capex forecast'!F125="","",'I | Capex forecast'!F125)</f>
        <v/>
      </c>
      <c r="G125" s="48" t="str">
        <f>IF('I | Capex forecast'!G125="","",'I | Capex forecast'!G125)</f>
        <v/>
      </c>
      <c r="H125" s="48" t="str">
        <f>IF('I | Capex forecast'!H125="","",'I | Capex forecast'!H125)</f>
        <v/>
      </c>
      <c r="I125" s="48" t="str">
        <f>IF('I | Capex forecast'!I125="","",'I | Capex forecast'!I125)</f>
        <v/>
      </c>
      <c r="J125" s="48" t="str">
        <f>IF('I | Capex forecast'!J125="","",'I | Capex forecast'!J125)</f>
        <v/>
      </c>
      <c r="K125" s="50"/>
      <c r="L125" s="52">
        <f>IFERROR(VLOOKUP($A125,'I | Capex forecast'!$A$11:$AA$160,L$8,0)*INDEX('I | Inflation'!$F$46:$G$49,MATCH($I125,'I | Inflation'!$E$46:$E$49,0),MATCH($H125,'I | Inflation'!$F$45:$G$45,0)),0)</f>
        <v>0</v>
      </c>
      <c r="M125" s="52">
        <f>IFERROR(VLOOKUP($A125,'I | Capex forecast'!$A$11:$AA$160,M$8,0)*INDEX('I | Inflation'!$F$46:$G$49,MATCH($I125,'I | Inflation'!$E$46:$E$49,0),MATCH($H125,'I | Inflation'!$F$45:$G$45,0)),0)</f>
        <v>0</v>
      </c>
      <c r="N125" s="52">
        <f>IFERROR(VLOOKUP($A125,'I | Capex forecast'!$A$11:$AA$160,N$8,0)*INDEX('I | Inflation'!$F$46:$G$49,MATCH($I125,'I | Inflation'!$E$46:$E$49,0),MATCH($H125,'I | Inflation'!$F$45:$G$45,0)),0)</f>
        <v>0</v>
      </c>
      <c r="O125" s="52">
        <f>IFERROR(VLOOKUP($A125,'I | Capex forecast'!$A$11:$AA$160,O$8,0)*INDEX('I | Inflation'!$F$46:$G$49,MATCH($I125,'I | Inflation'!$E$46:$E$49,0),MATCH($H125,'I | Inflation'!$F$45:$G$45,0)),0)</f>
        <v>0</v>
      </c>
      <c r="P125" s="52">
        <f>IFERROR(VLOOKUP($A125,'I | Capex forecast'!$A$11:$AA$160,P$8,0)*INDEX('I | Inflation'!$F$46:$G$49,MATCH($I125,'I | Inflation'!$E$46:$E$49,0),MATCH($H125,'I | Inflation'!$F$45:$G$45,0)),0)</f>
        <v>0</v>
      </c>
      <c r="Q125" s="54">
        <f t="shared" si="86"/>
        <v>0</v>
      </c>
      <c r="R125" s="53"/>
      <c r="S125" s="226">
        <f>L125*VLOOKUP($A125,'I | Capex forecast'!$A$11:$AA$160,S$8,0)</f>
        <v>0</v>
      </c>
      <c r="T125" s="226">
        <f>M125*VLOOKUP($A125,'I | Capex forecast'!$A$11:$AA$160,T$8,0)</f>
        <v>0</v>
      </c>
      <c r="U125" s="226">
        <f>N125*VLOOKUP($A125,'I | Capex forecast'!$A$11:$AA$160,U$8,0)</f>
        <v>0</v>
      </c>
      <c r="V125" s="226">
        <f>O125*VLOOKUP($A125,'I | Capex forecast'!$A$11:$AA$160,V$8,0)</f>
        <v>0</v>
      </c>
      <c r="W125" s="226">
        <f>P125*VLOOKUP($A125,'I | Capex forecast'!$A$11:$AA$160,W$8,0)</f>
        <v>0</v>
      </c>
      <c r="X125" s="54">
        <f t="shared" si="56"/>
        <v>0</v>
      </c>
      <c r="Y125" s="53"/>
      <c r="Z125" s="52">
        <f>S125*(HLOOKUP(Z$10,'I | Inflation'!$E$57:$J$59,3,0)-1)</f>
        <v>0</v>
      </c>
      <c r="AA125" s="52">
        <f>T125*(HLOOKUP(AA$10,'I | Inflation'!$E$57:$J$59,3,0)-1)</f>
        <v>0</v>
      </c>
      <c r="AB125" s="52">
        <f>U125*(HLOOKUP(AB$10,'I | Inflation'!$E$57:$J$59,3,0)-1)</f>
        <v>0</v>
      </c>
      <c r="AC125" s="52">
        <f>V125*(HLOOKUP(AC$10,'I | Inflation'!$E$57:$J$59,3,0)-1)</f>
        <v>0</v>
      </c>
      <c r="AD125" s="52">
        <f>W125*(HLOOKUP(AD$10,'I | Inflation'!$E$57:$J$59,3,0)-1)</f>
        <v>0</v>
      </c>
      <c r="AE125" s="54">
        <f t="shared" si="57"/>
        <v>0</v>
      </c>
      <c r="AF125" s="53"/>
      <c r="AG125" s="226">
        <f t="shared" si="58"/>
        <v>0</v>
      </c>
      <c r="AH125" s="226">
        <f t="shared" si="59"/>
        <v>0</v>
      </c>
      <c r="AI125" s="226">
        <f t="shared" si="60"/>
        <v>0</v>
      </c>
      <c r="AJ125" s="226">
        <f t="shared" si="61"/>
        <v>0</v>
      </c>
      <c r="AK125" s="226">
        <f t="shared" si="62"/>
        <v>0</v>
      </c>
      <c r="AL125" s="54">
        <f t="shared" si="63"/>
        <v>0</v>
      </c>
      <c r="AM125" s="53"/>
      <c r="AN125" s="52"/>
      <c r="AO125" s="52"/>
      <c r="AP125" s="52"/>
      <c r="AQ125" s="52"/>
      <c r="AR125" s="52"/>
      <c r="AS125" s="54">
        <f t="shared" si="64"/>
        <v>0</v>
      </c>
      <c r="AT125" s="53"/>
      <c r="AU125" s="52"/>
      <c r="AV125" s="52"/>
      <c r="AW125" s="52"/>
      <c r="AX125" s="52"/>
      <c r="AY125" s="52"/>
      <c r="AZ125" s="54">
        <f t="shared" si="65"/>
        <v>0</v>
      </c>
      <c r="BA125" s="53"/>
      <c r="BB125" s="52"/>
      <c r="BC125" s="52"/>
      <c r="BD125" s="52"/>
      <c r="BE125" s="52"/>
      <c r="BF125" s="52"/>
      <c r="BG125" s="54">
        <f t="shared" si="66"/>
        <v>0</v>
      </c>
      <c r="BH125" s="53"/>
      <c r="BI125" s="52">
        <f>L125*VLOOKUP($A125,'I | Capex forecast'!$A$11:$AA$160,BI$8,0)</f>
        <v>0</v>
      </c>
      <c r="BJ125" s="52">
        <f>M125*VLOOKUP($A125,'I | Capex forecast'!$A$11:$AA$160,BJ$8,0)</f>
        <v>0</v>
      </c>
      <c r="BK125" s="52">
        <f>N125*VLOOKUP($A125,'I | Capex forecast'!$A$11:$AA$160,BK$8,0)</f>
        <v>0</v>
      </c>
      <c r="BL125" s="52">
        <f>O125*VLOOKUP($A125,'I | Capex forecast'!$A$11:$AA$160,BL$8,0)</f>
        <v>0</v>
      </c>
      <c r="BM125" s="52">
        <f>P125*VLOOKUP($A125,'I | Capex forecast'!$A$11:$AA$160,BM$8,0)</f>
        <v>0</v>
      </c>
      <c r="BN125" s="54">
        <f t="shared" si="67"/>
        <v>0</v>
      </c>
      <c r="BO125" s="53"/>
      <c r="BP125" s="52">
        <f t="shared" si="76"/>
        <v>0</v>
      </c>
      <c r="BQ125" s="52">
        <f t="shared" si="77"/>
        <v>0</v>
      </c>
      <c r="BR125" s="52">
        <f t="shared" si="78"/>
        <v>0</v>
      </c>
      <c r="BS125" s="52">
        <f t="shared" si="79"/>
        <v>0</v>
      </c>
      <c r="BT125" s="52">
        <f t="shared" si="80"/>
        <v>0</v>
      </c>
      <c r="BU125" s="54">
        <f t="shared" si="68"/>
        <v>0</v>
      </c>
      <c r="BW125" s="52">
        <f t="shared" si="81"/>
        <v>0</v>
      </c>
      <c r="BX125" s="52">
        <f t="shared" si="82"/>
        <v>0</v>
      </c>
      <c r="BY125" s="52">
        <f t="shared" si="83"/>
        <v>0</v>
      </c>
      <c r="BZ125" s="52">
        <f t="shared" si="84"/>
        <v>0</v>
      </c>
      <c r="CA125" s="52">
        <f t="shared" si="85"/>
        <v>0</v>
      </c>
      <c r="CB125" s="54">
        <f t="shared" si="69"/>
        <v>0</v>
      </c>
      <c r="CC125" s="53"/>
      <c r="CD125" s="52">
        <f t="shared" si="70"/>
        <v>0</v>
      </c>
      <c r="CE125" s="52">
        <f t="shared" si="71"/>
        <v>0</v>
      </c>
      <c r="CF125" s="52">
        <f t="shared" si="72"/>
        <v>0</v>
      </c>
      <c r="CG125" s="52">
        <f t="shared" si="73"/>
        <v>0</v>
      </c>
      <c r="CH125" s="52">
        <f t="shared" si="74"/>
        <v>0</v>
      </c>
      <c r="CI125" s="54">
        <f t="shared" si="75"/>
        <v>0</v>
      </c>
    </row>
    <row r="126" spans="1:87" x14ac:dyDescent="0.3">
      <c r="A126" s="56">
        <v>116</v>
      </c>
      <c r="B126" s="48" t="str">
        <f>IF('I | Capex forecast'!B126="","",'I | Capex forecast'!B126)</f>
        <v/>
      </c>
      <c r="C126" s="48" t="str">
        <f>IF('I | Capex forecast'!C126="","",'I | Capex forecast'!C126)</f>
        <v/>
      </c>
      <c r="D126" s="48" t="str">
        <f>IF('I | Capex forecast'!D126="","",'I | Capex forecast'!D126)</f>
        <v/>
      </c>
      <c r="E126" s="48" t="str">
        <f>IF('I | Capex forecast'!E126="","",'I | Capex forecast'!E126)</f>
        <v/>
      </c>
      <c r="F126" s="48" t="str">
        <f>IF('I | Capex forecast'!F126="","",'I | Capex forecast'!F126)</f>
        <v/>
      </c>
      <c r="G126" s="48" t="str">
        <f>IF('I | Capex forecast'!G126="","",'I | Capex forecast'!G126)</f>
        <v/>
      </c>
      <c r="H126" s="48" t="str">
        <f>IF('I | Capex forecast'!H126="","",'I | Capex forecast'!H126)</f>
        <v/>
      </c>
      <c r="I126" s="48" t="str">
        <f>IF('I | Capex forecast'!I126="","",'I | Capex forecast'!I126)</f>
        <v/>
      </c>
      <c r="J126" s="48" t="str">
        <f>IF('I | Capex forecast'!J126="","",'I | Capex forecast'!J126)</f>
        <v/>
      </c>
      <c r="K126" s="50"/>
      <c r="L126" s="52">
        <f>IFERROR(VLOOKUP($A126,'I | Capex forecast'!$A$11:$AA$160,L$8,0)*INDEX('I | Inflation'!$F$46:$G$49,MATCH($I126,'I | Inflation'!$E$46:$E$49,0),MATCH($H126,'I | Inflation'!$F$45:$G$45,0)),0)</f>
        <v>0</v>
      </c>
      <c r="M126" s="52">
        <f>IFERROR(VLOOKUP($A126,'I | Capex forecast'!$A$11:$AA$160,M$8,0)*INDEX('I | Inflation'!$F$46:$G$49,MATCH($I126,'I | Inflation'!$E$46:$E$49,0),MATCH($H126,'I | Inflation'!$F$45:$G$45,0)),0)</f>
        <v>0</v>
      </c>
      <c r="N126" s="52">
        <f>IFERROR(VLOOKUP($A126,'I | Capex forecast'!$A$11:$AA$160,N$8,0)*INDEX('I | Inflation'!$F$46:$G$49,MATCH($I126,'I | Inflation'!$E$46:$E$49,0),MATCH($H126,'I | Inflation'!$F$45:$G$45,0)),0)</f>
        <v>0</v>
      </c>
      <c r="O126" s="52">
        <f>IFERROR(VLOOKUP($A126,'I | Capex forecast'!$A$11:$AA$160,O$8,0)*INDEX('I | Inflation'!$F$46:$G$49,MATCH($I126,'I | Inflation'!$E$46:$E$49,0),MATCH($H126,'I | Inflation'!$F$45:$G$45,0)),0)</f>
        <v>0</v>
      </c>
      <c r="P126" s="52">
        <f>IFERROR(VLOOKUP($A126,'I | Capex forecast'!$A$11:$AA$160,P$8,0)*INDEX('I | Inflation'!$F$46:$G$49,MATCH($I126,'I | Inflation'!$E$46:$E$49,0),MATCH($H126,'I | Inflation'!$F$45:$G$45,0)),0)</f>
        <v>0</v>
      </c>
      <c r="Q126" s="54">
        <f t="shared" si="86"/>
        <v>0</v>
      </c>
      <c r="R126" s="53"/>
      <c r="S126" s="226">
        <f>L126*VLOOKUP($A126,'I | Capex forecast'!$A$11:$AA$160,S$8,0)</f>
        <v>0</v>
      </c>
      <c r="T126" s="226">
        <f>M126*VLOOKUP($A126,'I | Capex forecast'!$A$11:$AA$160,T$8,0)</f>
        <v>0</v>
      </c>
      <c r="U126" s="226">
        <f>N126*VLOOKUP($A126,'I | Capex forecast'!$A$11:$AA$160,U$8,0)</f>
        <v>0</v>
      </c>
      <c r="V126" s="226">
        <f>O126*VLOOKUP($A126,'I | Capex forecast'!$A$11:$AA$160,V$8,0)</f>
        <v>0</v>
      </c>
      <c r="W126" s="226">
        <f>P126*VLOOKUP($A126,'I | Capex forecast'!$A$11:$AA$160,W$8,0)</f>
        <v>0</v>
      </c>
      <c r="X126" s="54">
        <f t="shared" si="56"/>
        <v>0</v>
      </c>
      <c r="Y126" s="53"/>
      <c r="Z126" s="52">
        <f>S126*(HLOOKUP(Z$10,'I | Inflation'!$E$57:$J$59,3,0)-1)</f>
        <v>0</v>
      </c>
      <c r="AA126" s="52">
        <f>T126*(HLOOKUP(AA$10,'I | Inflation'!$E$57:$J$59,3,0)-1)</f>
        <v>0</v>
      </c>
      <c r="AB126" s="52">
        <f>U126*(HLOOKUP(AB$10,'I | Inflation'!$E$57:$J$59,3,0)-1)</f>
        <v>0</v>
      </c>
      <c r="AC126" s="52">
        <f>V126*(HLOOKUP(AC$10,'I | Inflation'!$E$57:$J$59,3,0)-1)</f>
        <v>0</v>
      </c>
      <c r="AD126" s="52">
        <f>W126*(HLOOKUP(AD$10,'I | Inflation'!$E$57:$J$59,3,0)-1)</f>
        <v>0</v>
      </c>
      <c r="AE126" s="54">
        <f t="shared" si="57"/>
        <v>0</v>
      </c>
      <c r="AF126" s="53"/>
      <c r="AG126" s="226">
        <f t="shared" si="58"/>
        <v>0</v>
      </c>
      <c r="AH126" s="226">
        <f t="shared" si="59"/>
        <v>0</v>
      </c>
      <c r="AI126" s="226">
        <f t="shared" si="60"/>
        <v>0</v>
      </c>
      <c r="AJ126" s="226">
        <f t="shared" si="61"/>
        <v>0</v>
      </c>
      <c r="AK126" s="226">
        <f t="shared" si="62"/>
        <v>0</v>
      </c>
      <c r="AL126" s="54">
        <f t="shared" si="63"/>
        <v>0</v>
      </c>
      <c r="AM126" s="53"/>
      <c r="AN126" s="52"/>
      <c r="AO126" s="52"/>
      <c r="AP126" s="52"/>
      <c r="AQ126" s="52"/>
      <c r="AR126" s="52"/>
      <c r="AS126" s="54">
        <f t="shared" si="64"/>
        <v>0</v>
      </c>
      <c r="AT126" s="53"/>
      <c r="AU126" s="52"/>
      <c r="AV126" s="52"/>
      <c r="AW126" s="52"/>
      <c r="AX126" s="52"/>
      <c r="AY126" s="52"/>
      <c r="AZ126" s="54">
        <f t="shared" si="65"/>
        <v>0</v>
      </c>
      <c r="BA126" s="53"/>
      <c r="BB126" s="52"/>
      <c r="BC126" s="52"/>
      <c r="BD126" s="52"/>
      <c r="BE126" s="52"/>
      <c r="BF126" s="52"/>
      <c r="BG126" s="54">
        <f t="shared" si="66"/>
        <v>0</v>
      </c>
      <c r="BH126" s="53"/>
      <c r="BI126" s="52">
        <f>L126*VLOOKUP($A126,'I | Capex forecast'!$A$11:$AA$160,BI$8,0)</f>
        <v>0</v>
      </c>
      <c r="BJ126" s="52">
        <f>M126*VLOOKUP($A126,'I | Capex forecast'!$A$11:$AA$160,BJ$8,0)</f>
        <v>0</v>
      </c>
      <c r="BK126" s="52">
        <f>N126*VLOOKUP($A126,'I | Capex forecast'!$A$11:$AA$160,BK$8,0)</f>
        <v>0</v>
      </c>
      <c r="BL126" s="52">
        <f>O126*VLOOKUP($A126,'I | Capex forecast'!$A$11:$AA$160,BL$8,0)</f>
        <v>0</v>
      </c>
      <c r="BM126" s="52">
        <f>P126*VLOOKUP($A126,'I | Capex forecast'!$A$11:$AA$160,BM$8,0)</f>
        <v>0</v>
      </c>
      <c r="BN126" s="54">
        <f t="shared" si="67"/>
        <v>0</v>
      </c>
      <c r="BO126" s="53"/>
      <c r="BP126" s="52">
        <f t="shared" si="76"/>
        <v>0</v>
      </c>
      <c r="BQ126" s="52">
        <f t="shared" si="77"/>
        <v>0</v>
      </c>
      <c r="BR126" s="52">
        <f t="shared" si="78"/>
        <v>0</v>
      </c>
      <c r="BS126" s="52">
        <f t="shared" si="79"/>
        <v>0</v>
      </c>
      <c r="BT126" s="52">
        <f t="shared" si="80"/>
        <v>0</v>
      </c>
      <c r="BU126" s="54">
        <f t="shared" si="68"/>
        <v>0</v>
      </c>
      <c r="BW126" s="52">
        <f t="shared" si="81"/>
        <v>0</v>
      </c>
      <c r="BX126" s="52">
        <f t="shared" si="82"/>
        <v>0</v>
      </c>
      <c r="BY126" s="52">
        <f t="shared" si="83"/>
        <v>0</v>
      </c>
      <c r="BZ126" s="52">
        <f t="shared" si="84"/>
        <v>0</v>
      </c>
      <c r="CA126" s="52">
        <f t="shared" si="85"/>
        <v>0</v>
      </c>
      <c r="CB126" s="54">
        <f t="shared" si="69"/>
        <v>0</v>
      </c>
      <c r="CC126" s="53"/>
      <c r="CD126" s="52">
        <f t="shared" si="70"/>
        <v>0</v>
      </c>
      <c r="CE126" s="52">
        <f t="shared" si="71"/>
        <v>0</v>
      </c>
      <c r="CF126" s="52">
        <f t="shared" si="72"/>
        <v>0</v>
      </c>
      <c r="CG126" s="52">
        <f t="shared" si="73"/>
        <v>0</v>
      </c>
      <c r="CH126" s="52">
        <f t="shared" si="74"/>
        <v>0</v>
      </c>
      <c r="CI126" s="54">
        <f t="shared" si="75"/>
        <v>0</v>
      </c>
    </row>
    <row r="127" spans="1:87" x14ac:dyDescent="0.3">
      <c r="A127" s="56">
        <v>117</v>
      </c>
      <c r="B127" s="48" t="str">
        <f>IF('I | Capex forecast'!B127="","",'I | Capex forecast'!B127)</f>
        <v/>
      </c>
      <c r="C127" s="48" t="str">
        <f>IF('I | Capex forecast'!C127="","",'I | Capex forecast'!C127)</f>
        <v/>
      </c>
      <c r="D127" s="48" t="str">
        <f>IF('I | Capex forecast'!D127="","",'I | Capex forecast'!D127)</f>
        <v/>
      </c>
      <c r="E127" s="48" t="str">
        <f>IF('I | Capex forecast'!E127="","",'I | Capex forecast'!E127)</f>
        <v/>
      </c>
      <c r="F127" s="48" t="str">
        <f>IF('I | Capex forecast'!F127="","",'I | Capex forecast'!F127)</f>
        <v/>
      </c>
      <c r="G127" s="48" t="str">
        <f>IF('I | Capex forecast'!G127="","",'I | Capex forecast'!G127)</f>
        <v/>
      </c>
      <c r="H127" s="48" t="str">
        <f>IF('I | Capex forecast'!H127="","",'I | Capex forecast'!H127)</f>
        <v/>
      </c>
      <c r="I127" s="48" t="str">
        <f>IF('I | Capex forecast'!I127="","",'I | Capex forecast'!I127)</f>
        <v/>
      </c>
      <c r="J127" s="48" t="str">
        <f>IF('I | Capex forecast'!J127="","",'I | Capex forecast'!J127)</f>
        <v/>
      </c>
      <c r="K127" s="50"/>
      <c r="L127" s="52">
        <f>IFERROR(VLOOKUP($A127,'I | Capex forecast'!$A$11:$AA$160,L$8,0)*INDEX('I | Inflation'!$F$46:$G$49,MATCH($I127,'I | Inflation'!$E$46:$E$49,0),MATCH($H127,'I | Inflation'!$F$45:$G$45,0)),0)</f>
        <v>0</v>
      </c>
      <c r="M127" s="52">
        <f>IFERROR(VLOOKUP($A127,'I | Capex forecast'!$A$11:$AA$160,M$8,0)*INDEX('I | Inflation'!$F$46:$G$49,MATCH($I127,'I | Inflation'!$E$46:$E$49,0),MATCH($H127,'I | Inflation'!$F$45:$G$45,0)),0)</f>
        <v>0</v>
      </c>
      <c r="N127" s="52">
        <f>IFERROR(VLOOKUP($A127,'I | Capex forecast'!$A$11:$AA$160,N$8,0)*INDEX('I | Inflation'!$F$46:$G$49,MATCH($I127,'I | Inflation'!$E$46:$E$49,0),MATCH($H127,'I | Inflation'!$F$45:$G$45,0)),0)</f>
        <v>0</v>
      </c>
      <c r="O127" s="52">
        <f>IFERROR(VLOOKUP($A127,'I | Capex forecast'!$A$11:$AA$160,O$8,0)*INDEX('I | Inflation'!$F$46:$G$49,MATCH($I127,'I | Inflation'!$E$46:$E$49,0),MATCH($H127,'I | Inflation'!$F$45:$G$45,0)),0)</f>
        <v>0</v>
      </c>
      <c r="P127" s="52">
        <f>IFERROR(VLOOKUP($A127,'I | Capex forecast'!$A$11:$AA$160,P$8,0)*INDEX('I | Inflation'!$F$46:$G$49,MATCH($I127,'I | Inflation'!$E$46:$E$49,0),MATCH($H127,'I | Inflation'!$F$45:$G$45,0)),0)</f>
        <v>0</v>
      </c>
      <c r="Q127" s="54">
        <f t="shared" si="86"/>
        <v>0</v>
      </c>
      <c r="R127" s="53"/>
      <c r="S127" s="226">
        <f>L127*VLOOKUP($A127,'I | Capex forecast'!$A$11:$AA$160,S$8,0)</f>
        <v>0</v>
      </c>
      <c r="T127" s="226">
        <f>M127*VLOOKUP($A127,'I | Capex forecast'!$A$11:$AA$160,T$8,0)</f>
        <v>0</v>
      </c>
      <c r="U127" s="226">
        <f>N127*VLOOKUP($A127,'I | Capex forecast'!$A$11:$AA$160,U$8,0)</f>
        <v>0</v>
      </c>
      <c r="V127" s="226">
        <f>O127*VLOOKUP($A127,'I | Capex forecast'!$A$11:$AA$160,V$8,0)</f>
        <v>0</v>
      </c>
      <c r="W127" s="226">
        <f>P127*VLOOKUP($A127,'I | Capex forecast'!$A$11:$AA$160,W$8,0)</f>
        <v>0</v>
      </c>
      <c r="X127" s="54">
        <f t="shared" si="56"/>
        <v>0</v>
      </c>
      <c r="Y127" s="53"/>
      <c r="Z127" s="52">
        <f>S127*(HLOOKUP(Z$10,'I | Inflation'!$E$57:$J$59,3,0)-1)</f>
        <v>0</v>
      </c>
      <c r="AA127" s="52">
        <f>T127*(HLOOKUP(AA$10,'I | Inflation'!$E$57:$J$59,3,0)-1)</f>
        <v>0</v>
      </c>
      <c r="AB127" s="52">
        <f>U127*(HLOOKUP(AB$10,'I | Inflation'!$E$57:$J$59,3,0)-1)</f>
        <v>0</v>
      </c>
      <c r="AC127" s="52">
        <f>V127*(HLOOKUP(AC$10,'I | Inflation'!$E$57:$J$59,3,0)-1)</f>
        <v>0</v>
      </c>
      <c r="AD127" s="52">
        <f>W127*(HLOOKUP(AD$10,'I | Inflation'!$E$57:$J$59,3,0)-1)</f>
        <v>0</v>
      </c>
      <c r="AE127" s="54">
        <f t="shared" si="57"/>
        <v>0</v>
      </c>
      <c r="AF127" s="53"/>
      <c r="AG127" s="226">
        <f t="shared" si="58"/>
        <v>0</v>
      </c>
      <c r="AH127" s="226">
        <f t="shared" si="59"/>
        <v>0</v>
      </c>
      <c r="AI127" s="226">
        <f t="shared" si="60"/>
        <v>0</v>
      </c>
      <c r="AJ127" s="226">
        <f t="shared" si="61"/>
        <v>0</v>
      </c>
      <c r="AK127" s="226">
        <f t="shared" si="62"/>
        <v>0</v>
      </c>
      <c r="AL127" s="54">
        <f t="shared" si="63"/>
        <v>0</v>
      </c>
      <c r="AM127" s="53"/>
      <c r="AN127" s="52"/>
      <c r="AO127" s="52"/>
      <c r="AP127" s="52"/>
      <c r="AQ127" s="52"/>
      <c r="AR127" s="52"/>
      <c r="AS127" s="54">
        <f t="shared" si="64"/>
        <v>0</v>
      </c>
      <c r="AT127" s="53"/>
      <c r="AU127" s="52"/>
      <c r="AV127" s="52"/>
      <c r="AW127" s="52"/>
      <c r="AX127" s="52"/>
      <c r="AY127" s="52"/>
      <c r="AZ127" s="54">
        <f t="shared" si="65"/>
        <v>0</v>
      </c>
      <c r="BA127" s="53"/>
      <c r="BB127" s="52"/>
      <c r="BC127" s="52"/>
      <c r="BD127" s="52"/>
      <c r="BE127" s="52"/>
      <c r="BF127" s="52"/>
      <c r="BG127" s="54">
        <f t="shared" si="66"/>
        <v>0</v>
      </c>
      <c r="BH127" s="53"/>
      <c r="BI127" s="52">
        <f>L127*VLOOKUP($A127,'I | Capex forecast'!$A$11:$AA$160,BI$8,0)</f>
        <v>0</v>
      </c>
      <c r="BJ127" s="52">
        <f>M127*VLOOKUP($A127,'I | Capex forecast'!$A$11:$AA$160,BJ$8,0)</f>
        <v>0</v>
      </c>
      <c r="BK127" s="52">
        <f>N127*VLOOKUP($A127,'I | Capex forecast'!$A$11:$AA$160,BK$8,0)</f>
        <v>0</v>
      </c>
      <c r="BL127" s="52">
        <f>O127*VLOOKUP($A127,'I | Capex forecast'!$A$11:$AA$160,BL$8,0)</f>
        <v>0</v>
      </c>
      <c r="BM127" s="52">
        <f>P127*VLOOKUP($A127,'I | Capex forecast'!$A$11:$AA$160,BM$8,0)</f>
        <v>0</v>
      </c>
      <c r="BN127" s="54">
        <f t="shared" si="67"/>
        <v>0</v>
      </c>
      <c r="BO127" s="53"/>
      <c r="BP127" s="52">
        <f t="shared" si="76"/>
        <v>0</v>
      </c>
      <c r="BQ127" s="52">
        <f t="shared" si="77"/>
        <v>0</v>
      </c>
      <c r="BR127" s="52">
        <f t="shared" si="78"/>
        <v>0</v>
      </c>
      <c r="BS127" s="52">
        <f t="shared" si="79"/>
        <v>0</v>
      </c>
      <c r="BT127" s="52">
        <f t="shared" si="80"/>
        <v>0</v>
      </c>
      <c r="BU127" s="54">
        <f t="shared" si="68"/>
        <v>0</v>
      </c>
      <c r="BW127" s="52">
        <f t="shared" si="81"/>
        <v>0</v>
      </c>
      <c r="BX127" s="52">
        <f t="shared" si="82"/>
        <v>0</v>
      </c>
      <c r="BY127" s="52">
        <f t="shared" si="83"/>
        <v>0</v>
      </c>
      <c r="BZ127" s="52">
        <f t="shared" si="84"/>
        <v>0</v>
      </c>
      <c r="CA127" s="52">
        <f t="shared" si="85"/>
        <v>0</v>
      </c>
      <c r="CB127" s="54">
        <f t="shared" si="69"/>
        <v>0</v>
      </c>
      <c r="CC127" s="53"/>
      <c r="CD127" s="52">
        <f t="shared" si="70"/>
        <v>0</v>
      </c>
      <c r="CE127" s="52">
        <f t="shared" si="71"/>
        <v>0</v>
      </c>
      <c r="CF127" s="52">
        <f t="shared" si="72"/>
        <v>0</v>
      </c>
      <c r="CG127" s="52">
        <f t="shared" si="73"/>
        <v>0</v>
      </c>
      <c r="CH127" s="52">
        <f t="shared" si="74"/>
        <v>0</v>
      </c>
      <c r="CI127" s="54">
        <f t="shared" si="75"/>
        <v>0</v>
      </c>
    </row>
    <row r="128" spans="1:87" x14ac:dyDescent="0.3">
      <c r="A128" s="56">
        <v>118</v>
      </c>
      <c r="B128" s="48" t="str">
        <f>IF('I | Capex forecast'!B128="","",'I | Capex forecast'!B128)</f>
        <v/>
      </c>
      <c r="C128" s="48" t="str">
        <f>IF('I | Capex forecast'!C128="","",'I | Capex forecast'!C128)</f>
        <v/>
      </c>
      <c r="D128" s="48" t="str">
        <f>IF('I | Capex forecast'!D128="","",'I | Capex forecast'!D128)</f>
        <v/>
      </c>
      <c r="E128" s="48" t="str">
        <f>IF('I | Capex forecast'!E128="","",'I | Capex forecast'!E128)</f>
        <v/>
      </c>
      <c r="F128" s="48" t="str">
        <f>IF('I | Capex forecast'!F128="","",'I | Capex forecast'!F128)</f>
        <v/>
      </c>
      <c r="G128" s="48" t="str">
        <f>IF('I | Capex forecast'!G128="","",'I | Capex forecast'!G128)</f>
        <v/>
      </c>
      <c r="H128" s="48" t="str">
        <f>IF('I | Capex forecast'!H128="","",'I | Capex forecast'!H128)</f>
        <v/>
      </c>
      <c r="I128" s="48" t="str">
        <f>IF('I | Capex forecast'!I128="","",'I | Capex forecast'!I128)</f>
        <v/>
      </c>
      <c r="J128" s="48" t="str">
        <f>IF('I | Capex forecast'!J128="","",'I | Capex forecast'!J128)</f>
        <v/>
      </c>
      <c r="K128" s="50"/>
      <c r="L128" s="52">
        <f>IFERROR(VLOOKUP($A128,'I | Capex forecast'!$A$11:$AA$160,L$8,0)*INDEX('I | Inflation'!$F$46:$G$49,MATCH($I128,'I | Inflation'!$E$46:$E$49,0),MATCH($H128,'I | Inflation'!$F$45:$G$45,0)),0)</f>
        <v>0</v>
      </c>
      <c r="M128" s="52">
        <f>IFERROR(VLOOKUP($A128,'I | Capex forecast'!$A$11:$AA$160,M$8,0)*INDEX('I | Inflation'!$F$46:$G$49,MATCH($I128,'I | Inflation'!$E$46:$E$49,0),MATCH($H128,'I | Inflation'!$F$45:$G$45,0)),0)</f>
        <v>0</v>
      </c>
      <c r="N128" s="52">
        <f>IFERROR(VLOOKUP($A128,'I | Capex forecast'!$A$11:$AA$160,N$8,0)*INDEX('I | Inflation'!$F$46:$G$49,MATCH($I128,'I | Inflation'!$E$46:$E$49,0),MATCH($H128,'I | Inflation'!$F$45:$G$45,0)),0)</f>
        <v>0</v>
      </c>
      <c r="O128" s="52">
        <f>IFERROR(VLOOKUP($A128,'I | Capex forecast'!$A$11:$AA$160,O$8,0)*INDEX('I | Inflation'!$F$46:$G$49,MATCH($I128,'I | Inflation'!$E$46:$E$49,0),MATCH($H128,'I | Inflation'!$F$45:$G$45,0)),0)</f>
        <v>0</v>
      </c>
      <c r="P128" s="52">
        <f>IFERROR(VLOOKUP($A128,'I | Capex forecast'!$A$11:$AA$160,P$8,0)*INDEX('I | Inflation'!$F$46:$G$49,MATCH($I128,'I | Inflation'!$E$46:$E$49,0),MATCH($H128,'I | Inflation'!$F$45:$G$45,0)),0)</f>
        <v>0</v>
      </c>
      <c r="Q128" s="54">
        <f t="shared" si="86"/>
        <v>0</v>
      </c>
      <c r="R128" s="53"/>
      <c r="S128" s="226">
        <f>L128*VLOOKUP($A128,'I | Capex forecast'!$A$11:$AA$160,S$8,0)</f>
        <v>0</v>
      </c>
      <c r="T128" s="226">
        <f>M128*VLOOKUP($A128,'I | Capex forecast'!$A$11:$AA$160,T$8,0)</f>
        <v>0</v>
      </c>
      <c r="U128" s="226">
        <f>N128*VLOOKUP($A128,'I | Capex forecast'!$A$11:$AA$160,U$8,0)</f>
        <v>0</v>
      </c>
      <c r="V128" s="226">
        <f>O128*VLOOKUP($A128,'I | Capex forecast'!$A$11:$AA$160,V$8,0)</f>
        <v>0</v>
      </c>
      <c r="W128" s="226">
        <f>P128*VLOOKUP($A128,'I | Capex forecast'!$A$11:$AA$160,W$8,0)</f>
        <v>0</v>
      </c>
      <c r="X128" s="54">
        <f t="shared" si="56"/>
        <v>0</v>
      </c>
      <c r="Y128" s="53"/>
      <c r="Z128" s="52">
        <f>S128*(HLOOKUP(Z$10,'I | Inflation'!$E$57:$J$59,3,0)-1)</f>
        <v>0</v>
      </c>
      <c r="AA128" s="52">
        <f>T128*(HLOOKUP(AA$10,'I | Inflation'!$E$57:$J$59,3,0)-1)</f>
        <v>0</v>
      </c>
      <c r="AB128" s="52">
        <f>U128*(HLOOKUP(AB$10,'I | Inflation'!$E$57:$J$59,3,0)-1)</f>
        <v>0</v>
      </c>
      <c r="AC128" s="52">
        <f>V128*(HLOOKUP(AC$10,'I | Inflation'!$E$57:$J$59,3,0)-1)</f>
        <v>0</v>
      </c>
      <c r="AD128" s="52">
        <f>W128*(HLOOKUP(AD$10,'I | Inflation'!$E$57:$J$59,3,0)-1)</f>
        <v>0</v>
      </c>
      <c r="AE128" s="54">
        <f t="shared" si="57"/>
        <v>0</v>
      </c>
      <c r="AF128" s="53"/>
      <c r="AG128" s="226">
        <f t="shared" si="58"/>
        <v>0</v>
      </c>
      <c r="AH128" s="226">
        <f t="shared" si="59"/>
        <v>0</v>
      </c>
      <c r="AI128" s="226">
        <f t="shared" si="60"/>
        <v>0</v>
      </c>
      <c r="AJ128" s="226">
        <f t="shared" si="61"/>
        <v>0</v>
      </c>
      <c r="AK128" s="226">
        <f t="shared" si="62"/>
        <v>0</v>
      </c>
      <c r="AL128" s="54">
        <f t="shared" si="63"/>
        <v>0</v>
      </c>
      <c r="AM128" s="53"/>
      <c r="AN128" s="52"/>
      <c r="AO128" s="52"/>
      <c r="AP128" s="52"/>
      <c r="AQ128" s="52"/>
      <c r="AR128" s="52"/>
      <c r="AS128" s="54">
        <f t="shared" si="64"/>
        <v>0</v>
      </c>
      <c r="AT128" s="53"/>
      <c r="AU128" s="52"/>
      <c r="AV128" s="52"/>
      <c r="AW128" s="52"/>
      <c r="AX128" s="52"/>
      <c r="AY128" s="52"/>
      <c r="AZ128" s="54">
        <f t="shared" si="65"/>
        <v>0</v>
      </c>
      <c r="BA128" s="53"/>
      <c r="BB128" s="52"/>
      <c r="BC128" s="52"/>
      <c r="BD128" s="52"/>
      <c r="BE128" s="52"/>
      <c r="BF128" s="52"/>
      <c r="BG128" s="54">
        <f t="shared" si="66"/>
        <v>0</v>
      </c>
      <c r="BH128" s="53"/>
      <c r="BI128" s="52">
        <f>L128*VLOOKUP($A128,'I | Capex forecast'!$A$11:$AA$160,BI$8,0)</f>
        <v>0</v>
      </c>
      <c r="BJ128" s="52">
        <f>M128*VLOOKUP($A128,'I | Capex forecast'!$A$11:$AA$160,BJ$8,0)</f>
        <v>0</v>
      </c>
      <c r="BK128" s="52">
        <f>N128*VLOOKUP($A128,'I | Capex forecast'!$A$11:$AA$160,BK$8,0)</f>
        <v>0</v>
      </c>
      <c r="BL128" s="52">
        <f>O128*VLOOKUP($A128,'I | Capex forecast'!$A$11:$AA$160,BL$8,0)</f>
        <v>0</v>
      </c>
      <c r="BM128" s="52">
        <f>P128*VLOOKUP($A128,'I | Capex forecast'!$A$11:$AA$160,BM$8,0)</f>
        <v>0</v>
      </c>
      <c r="BN128" s="54">
        <f t="shared" si="67"/>
        <v>0</v>
      </c>
      <c r="BO128" s="53"/>
      <c r="BP128" s="52">
        <f t="shared" si="76"/>
        <v>0</v>
      </c>
      <c r="BQ128" s="52">
        <f t="shared" si="77"/>
        <v>0</v>
      </c>
      <c r="BR128" s="52">
        <f t="shared" si="78"/>
        <v>0</v>
      </c>
      <c r="BS128" s="52">
        <f t="shared" si="79"/>
        <v>0</v>
      </c>
      <c r="BT128" s="52">
        <f t="shared" si="80"/>
        <v>0</v>
      </c>
      <c r="BU128" s="54">
        <f t="shared" si="68"/>
        <v>0</v>
      </c>
      <c r="BW128" s="52">
        <f t="shared" si="81"/>
        <v>0</v>
      </c>
      <c r="BX128" s="52">
        <f t="shared" si="82"/>
        <v>0</v>
      </c>
      <c r="BY128" s="52">
        <f t="shared" si="83"/>
        <v>0</v>
      </c>
      <c r="BZ128" s="52">
        <f t="shared" si="84"/>
        <v>0</v>
      </c>
      <c r="CA128" s="52">
        <f t="shared" si="85"/>
        <v>0</v>
      </c>
      <c r="CB128" s="54">
        <f t="shared" si="69"/>
        <v>0</v>
      </c>
      <c r="CC128" s="53"/>
      <c r="CD128" s="52">
        <f t="shared" si="70"/>
        <v>0</v>
      </c>
      <c r="CE128" s="52">
        <f t="shared" si="71"/>
        <v>0</v>
      </c>
      <c r="CF128" s="52">
        <f t="shared" si="72"/>
        <v>0</v>
      </c>
      <c r="CG128" s="52">
        <f t="shared" si="73"/>
        <v>0</v>
      </c>
      <c r="CH128" s="52">
        <f t="shared" si="74"/>
        <v>0</v>
      </c>
      <c r="CI128" s="54">
        <f t="shared" si="75"/>
        <v>0</v>
      </c>
    </row>
    <row r="129" spans="1:87" x14ac:dyDescent="0.3">
      <c r="A129" s="56">
        <v>119</v>
      </c>
      <c r="B129" s="48" t="str">
        <f>IF('I | Capex forecast'!B129="","",'I | Capex forecast'!B129)</f>
        <v/>
      </c>
      <c r="C129" s="48" t="str">
        <f>IF('I | Capex forecast'!C129="","",'I | Capex forecast'!C129)</f>
        <v/>
      </c>
      <c r="D129" s="48" t="str">
        <f>IF('I | Capex forecast'!D129="","",'I | Capex forecast'!D129)</f>
        <v/>
      </c>
      <c r="E129" s="48" t="str">
        <f>IF('I | Capex forecast'!E129="","",'I | Capex forecast'!E129)</f>
        <v/>
      </c>
      <c r="F129" s="48" t="str">
        <f>IF('I | Capex forecast'!F129="","",'I | Capex forecast'!F129)</f>
        <v/>
      </c>
      <c r="G129" s="48" t="str">
        <f>IF('I | Capex forecast'!G129="","",'I | Capex forecast'!G129)</f>
        <v/>
      </c>
      <c r="H129" s="48" t="str">
        <f>IF('I | Capex forecast'!H129="","",'I | Capex forecast'!H129)</f>
        <v/>
      </c>
      <c r="I129" s="48" t="str">
        <f>IF('I | Capex forecast'!I129="","",'I | Capex forecast'!I129)</f>
        <v/>
      </c>
      <c r="J129" s="48" t="str">
        <f>IF('I | Capex forecast'!J129="","",'I | Capex forecast'!J129)</f>
        <v/>
      </c>
      <c r="K129" s="50"/>
      <c r="L129" s="52">
        <f>IFERROR(VLOOKUP($A129,'I | Capex forecast'!$A$11:$AA$160,L$8,0)*INDEX('I | Inflation'!$F$46:$G$49,MATCH($I129,'I | Inflation'!$E$46:$E$49,0),MATCH($H129,'I | Inflation'!$F$45:$G$45,0)),0)</f>
        <v>0</v>
      </c>
      <c r="M129" s="52">
        <f>IFERROR(VLOOKUP($A129,'I | Capex forecast'!$A$11:$AA$160,M$8,0)*INDEX('I | Inflation'!$F$46:$G$49,MATCH($I129,'I | Inflation'!$E$46:$E$49,0),MATCH($H129,'I | Inflation'!$F$45:$G$45,0)),0)</f>
        <v>0</v>
      </c>
      <c r="N129" s="52">
        <f>IFERROR(VLOOKUP($A129,'I | Capex forecast'!$A$11:$AA$160,N$8,0)*INDEX('I | Inflation'!$F$46:$G$49,MATCH($I129,'I | Inflation'!$E$46:$E$49,0),MATCH($H129,'I | Inflation'!$F$45:$G$45,0)),0)</f>
        <v>0</v>
      </c>
      <c r="O129" s="52">
        <f>IFERROR(VLOOKUP($A129,'I | Capex forecast'!$A$11:$AA$160,O$8,0)*INDEX('I | Inflation'!$F$46:$G$49,MATCH($I129,'I | Inflation'!$E$46:$E$49,0),MATCH($H129,'I | Inflation'!$F$45:$G$45,0)),0)</f>
        <v>0</v>
      </c>
      <c r="P129" s="52">
        <f>IFERROR(VLOOKUP($A129,'I | Capex forecast'!$A$11:$AA$160,P$8,0)*INDEX('I | Inflation'!$F$46:$G$49,MATCH($I129,'I | Inflation'!$E$46:$E$49,0),MATCH($H129,'I | Inflation'!$F$45:$G$45,0)),0)</f>
        <v>0</v>
      </c>
      <c r="Q129" s="54">
        <f t="shared" si="86"/>
        <v>0</v>
      </c>
      <c r="R129" s="53"/>
      <c r="S129" s="226">
        <f>L129*VLOOKUP($A129,'I | Capex forecast'!$A$11:$AA$160,S$8,0)</f>
        <v>0</v>
      </c>
      <c r="T129" s="226">
        <f>M129*VLOOKUP($A129,'I | Capex forecast'!$A$11:$AA$160,T$8,0)</f>
        <v>0</v>
      </c>
      <c r="U129" s="226">
        <f>N129*VLOOKUP($A129,'I | Capex forecast'!$A$11:$AA$160,U$8,0)</f>
        <v>0</v>
      </c>
      <c r="V129" s="226">
        <f>O129*VLOOKUP($A129,'I | Capex forecast'!$A$11:$AA$160,V$8,0)</f>
        <v>0</v>
      </c>
      <c r="W129" s="226">
        <f>P129*VLOOKUP($A129,'I | Capex forecast'!$A$11:$AA$160,W$8,0)</f>
        <v>0</v>
      </c>
      <c r="X129" s="54">
        <f t="shared" si="56"/>
        <v>0</v>
      </c>
      <c r="Y129" s="53"/>
      <c r="Z129" s="52">
        <f>S129*(HLOOKUP(Z$10,'I | Inflation'!$E$57:$J$59,3,0)-1)</f>
        <v>0</v>
      </c>
      <c r="AA129" s="52">
        <f>T129*(HLOOKUP(AA$10,'I | Inflation'!$E$57:$J$59,3,0)-1)</f>
        <v>0</v>
      </c>
      <c r="AB129" s="52">
        <f>U129*(HLOOKUP(AB$10,'I | Inflation'!$E$57:$J$59,3,0)-1)</f>
        <v>0</v>
      </c>
      <c r="AC129" s="52">
        <f>V129*(HLOOKUP(AC$10,'I | Inflation'!$E$57:$J$59,3,0)-1)</f>
        <v>0</v>
      </c>
      <c r="AD129" s="52">
        <f>W129*(HLOOKUP(AD$10,'I | Inflation'!$E$57:$J$59,3,0)-1)</f>
        <v>0</v>
      </c>
      <c r="AE129" s="54">
        <f t="shared" si="57"/>
        <v>0</v>
      </c>
      <c r="AF129" s="53"/>
      <c r="AG129" s="226">
        <f t="shared" si="58"/>
        <v>0</v>
      </c>
      <c r="AH129" s="226">
        <f t="shared" si="59"/>
        <v>0</v>
      </c>
      <c r="AI129" s="226">
        <f t="shared" si="60"/>
        <v>0</v>
      </c>
      <c r="AJ129" s="226">
        <f t="shared" si="61"/>
        <v>0</v>
      </c>
      <c r="AK129" s="226">
        <f t="shared" si="62"/>
        <v>0</v>
      </c>
      <c r="AL129" s="54">
        <f t="shared" si="63"/>
        <v>0</v>
      </c>
      <c r="AM129" s="53"/>
      <c r="AN129" s="52"/>
      <c r="AO129" s="52"/>
      <c r="AP129" s="52"/>
      <c r="AQ129" s="52"/>
      <c r="AR129" s="52"/>
      <c r="AS129" s="54">
        <f t="shared" si="64"/>
        <v>0</v>
      </c>
      <c r="AT129" s="53"/>
      <c r="AU129" s="52"/>
      <c r="AV129" s="52"/>
      <c r="AW129" s="52"/>
      <c r="AX129" s="52"/>
      <c r="AY129" s="52"/>
      <c r="AZ129" s="54">
        <f t="shared" si="65"/>
        <v>0</v>
      </c>
      <c r="BA129" s="53"/>
      <c r="BB129" s="52"/>
      <c r="BC129" s="52"/>
      <c r="BD129" s="52"/>
      <c r="BE129" s="52"/>
      <c r="BF129" s="52"/>
      <c r="BG129" s="54">
        <f t="shared" si="66"/>
        <v>0</v>
      </c>
      <c r="BH129" s="53"/>
      <c r="BI129" s="52">
        <f>L129*VLOOKUP($A129,'I | Capex forecast'!$A$11:$AA$160,BI$8,0)</f>
        <v>0</v>
      </c>
      <c r="BJ129" s="52">
        <f>M129*VLOOKUP($A129,'I | Capex forecast'!$A$11:$AA$160,BJ$8,0)</f>
        <v>0</v>
      </c>
      <c r="BK129" s="52">
        <f>N129*VLOOKUP($A129,'I | Capex forecast'!$A$11:$AA$160,BK$8,0)</f>
        <v>0</v>
      </c>
      <c r="BL129" s="52">
        <f>O129*VLOOKUP($A129,'I | Capex forecast'!$A$11:$AA$160,BL$8,0)</f>
        <v>0</v>
      </c>
      <c r="BM129" s="52">
        <f>P129*VLOOKUP($A129,'I | Capex forecast'!$A$11:$AA$160,BM$8,0)</f>
        <v>0</v>
      </c>
      <c r="BN129" s="54">
        <f t="shared" si="67"/>
        <v>0</v>
      </c>
      <c r="BO129" s="53"/>
      <c r="BP129" s="52">
        <f t="shared" si="76"/>
        <v>0</v>
      </c>
      <c r="BQ129" s="52">
        <f t="shared" si="77"/>
        <v>0</v>
      </c>
      <c r="BR129" s="52">
        <f t="shared" si="78"/>
        <v>0</v>
      </c>
      <c r="BS129" s="52">
        <f t="shared" si="79"/>
        <v>0</v>
      </c>
      <c r="BT129" s="52">
        <f t="shared" si="80"/>
        <v>0</v>
      </c>
      <c r="BU129" s="54">
        <f t="shared" si="68"/>
        <v>0</v>
      </c>
      <c r="BW129" s="52">
        <f t="shared" si="81"/>
        <v>0</v>
      </c>
      <c r="BX129" s="52">
        <f t="shared" si="82"/>
        <v>0</v>
      </c>
      <c r="BY129" s="52">
        <f t="shared" si="83"/>
        <v>0</v>
      </c>
      <c r="BZ129" s="52">
        <f t="shared" si="84"/>
        <v>0</v>
      </c>
      <c r="CA129" s="52">
        <f t="shared" si="85"/>
        <v>0</v>
      </c>
      <c r="CB129" s="54">
        <f t="shared" si="69"/>
        <v>0</v>
      </c>
      <c r="CC129" s="53"/>
      <c r="CD129" s="52">
        <f t="shared" si="70"/>
        <v>0</v>
      </c>
      <c r="CE129" s="52">
        <f t="shared" si="71"/>
        <v>0</v>
      </c>
      <c r="CF129" s="52">
        <f t="shared" si="72"/>
        <v>0</v>
      </c>
      <c r="CG129" s="52">
        <f t="shared" si="73"/>
        <v>0</v>
      </c>
      <c r="CH129" s="52">
        <f t="shared" si="74"/>
        <v>0</v>
      </c>
      <c r="CI129" s="54">
        <f t="shared" si="75"/>
        <v>0</v>
      </c>
    </row>
    <row r="130" spans="1:87" s="4" customFormat="1" x14ac:dyDescent="0.3">
      <c r="A130" s="56">
        <v>120</v>
      </c>
      <c r="B130" s="48" t="str">
        <f>IF('I | Capex forecast'!B130="","",'I | Capex forecast'!B130)</f>
        <v/>
      </c>
      <c r="C130" s="48" t="str">
        <f>IF('I | Capex forecast'!C130="","",'I | Capex forecast'!C130)</f>
        <v/>
      </c>
      <c r="D130" s="48" t="str">
        <f>IF('I | Capex forecast'!D130="","",'I | Capex forecast'!D130)</f>
        <v/>
      </c>
      <c r="E130" s="48" t="str">
        <f>IF('I | Capex forecast'!E130="","",'I | Capex forecast'!E130)</f>
        <v/>
      </c>
      <c r="F130" s="48" t="str">
        <f>IF('I | Capex forecast'!F130="","",'I | Capex forecast'!F130)</f>
        <v/>
      </c>
      <c r="G130" s="48" t="str">
        <f>IF('I | Capex forecast'!G130="","",'I | Capex forecast'!G130)</f>
        <v/>
      </c>
      <c r="H130" s="48" t="str">
        <f>IF('I | Capex forecast'!H130="","",'I | Capex forecast'!H130)</f>
        <v/>
      </c>
      <c r="I130" s="48" t="str">
        <f>IF('I | Capex forecast'!I130="","",'I | Capex forecast'!I130)</f>
        <v/>
      </c>
      <c r="J130" s="48" t="str">
        <f>IF('I | Capex forecast'!J130="","",'I | Capex forecast'!J130)</f>
        <v/>
      </c>
      <c r="K130" s="50"/>
      <c r="L130" s="52">
        <f>IFERROR(VLOOKUP($A130,'I | Capex forecast'!$A$11:$AA$160,L$8,0)*INDEX('I | Inflation'!$F$46:$G$49,MATCH($I130,'I | Inflation'!$E$46:$E$49,0),MATCH($H130,'I | Inflation'!$F$45:$G$45,0)),0)</f>
        <v>0</v>
      </c>
      <c r="M130" s="52">
        <f>IFERROR(VLOOKUP($A130,'I | Capex forecast'!$A$11:$AA$160,M$8,0)*INDEX('I | Inflation'!$F$46:$G$49,MATCH($I130,'I | Inflation'!$E$46:$E$49,0),MATCH($H130,'I | Inflation'!$F$45:$G$45,0)),0)</f>
        <v>0</v>
      </c>
      <c r="N130" s="52">
        <f>IFERROR(VLOOKUP($A130,'I | Capex forecast'!$A$11:$AA$160,N$8,0)*INDEX('I | Inflation'!$F$46:$G$49,MATCH($I130,'I | Inflation'!$E$46:$E$49,0),MATCH($H130,'I | Inflation'!$F$45:$G$45,0)),0)</f>
        <v>0</v>
      </c>
      <c r="O130" s="52">
        <f>IFERROR(VLOOKUP($A130,'I | Capex forecast'!$A$11:$AA$160,O$8,0)*INDEX('I | Inflation'!$F$46:$G$49,MATCH($I130,'I | Inflation'!$E$46:$E$49,0),MATCH($H130,'I | Inflation'!$F$45:$G$45,0)),0)</f>
        <v>0</v>
      </c>
      <c r="P130" s="52">
        <f>IFERROR(VLOOKUP($A130,'I | Capex forecast'!$A$11:$AA$160,P$8,0)*INDEX('I | Inflation'!$F$46:$G$49,MATCH($I130,'I | Inflation'!$E$46:$E$49,0),MATCH($H130,'I | Inflation'!$F$45:$G$45,0)),0)</f>
        <v>0</v>
      </c>
      <c r="Q130" s="54">
        <f t="shared" si="86"/>
        <v>0</v>
      </c>
      <c r="R130" s="53"/>
      <c r="S130" s="226">
        <f>L130*VLOOKUP($A130,'I | Capex forecast'!$A$11:$AA$160,S$8,0)</f>
        <v>0</v>
      </c>
      <c r="T130" s="226">
        <f>M130*VLOOKUP($A130,'I | Capex forecast'!$A$11:$AA$160,T$8,0)</f>
        <v>0</v>
      </c>
      <c r="U130" s="226">
        <f>N130*VLOOKUP($A130,'I | Capex forecast'!$A$11:$AA$160,U$8,0)</f>
        <v>0</v>
      </c>
      <c r="V130" s="226">
        <f>O130*VLOOKUP($A130,'I | Capex forecast'!$A$11:$AA$160,V$8,0)</f>
        <v>0</v>
      </c>
      <c r="W130" s="226">
        <f>P130*VLOOKUP($A130,'I | Capex forecast'!$A$11:$AA$160,W$8,0)</f>
        <v>0</v>
      </c>
      <c r="X130" s="54">
        <f t="shared" si="56"/>
        <v>0</v>
      </c>
      <c r="Y130" s="53"/>
      <c r="Z130" s="52">
        <f>S130*(HLOOKUP(Z$10,'I | Inflation'!$E$57:$J$59,3,0)-1)</f>
        <v>0</v>
      </c>
      <c r="AA130" s="52">
        <f>T130*(HLOOKUP(AA$10,'I | Inflation'!$E$57:$J$59,3,0)-1)</f>
        <v>0</v>
      </c>
      <c r="AB130" s="52">
        <f>U130*(HLOOKUP(AB$10,'I | Inflation'!$E$57:$J$59,3,0)-1)</f>
        <v>0</v>
      </c>
      <c r="AC130" s="52">
        <f>V130*(HLOOKUP(AC$10,'I | Inflation'!$E$57:$J$59,3,0)-1)</f>
        <v>0</v>
      </c>
      <c r="AD130" s="52">
        <f>W130*(HLOOKUP(AD$10,'I | Inflation'!$E$57:$J$59,3,0)-1)</f>
        <v>0</v>
      </c>
      <c r="AE130" s="54">
        <f t="shared" si="57"/>
        <v>0</v>
      </c>
      <c r="AF130" s="53"/>
      <c r="AG130" s="226">
        <f t="shared" si="58"/>
        <v>0</v>
      </c>
      <c r="AH130" s="226">
        <f t="shared" si="59"/>
        <v>0</v>
      </c>
      <c r="AI130" s="226">
        <f t="shared" si="60"/>
        <v>0</v>
      </c>
      <c r="AJ130" s="226">
        <f t="shared" si="61"/>
        <v>0</v>
      </c>
      <c r="AK130" s="226">
        <f t="shared" si="62"/>
        <v>0</v>
      </c>
      <c r="AL130" s="54">
        <f t="shared" si="63"/>
        <v>0</v>
      </c>
      <c r="AM130" s="53"/>
      <c r="AN130" s="52"/>
      <c r="AO130" s="52"/>
      <c r="AP130" s="52"/>
      <c r="AQ130" s="52"/>
      <c r="AR130" s="52"/>
      <c r="AS130" s="54">
        <f t="shared" si="64"/>
        <v>0</v>
      </c>
      <c r="AT130" s="53"/>
      <c r="AU130" s="52"/>
      <c r="AV130" s="52"/>
      <c r="AW130" s="52"/>
      <c r="AX130" s="52"/>
      <c r="AY130" s="52"/>
      <c r="AZ130" s="54">
        <f t="shared" si="65"/>
        <v>0</v>
      </c>
      <c r="BA130" s="53"/>
      <c r="BB130" s="52"/>
      <c r="BC130" s="52"/>
      <c r="BD130" s="52"/>
      <c r="BE130" s="52"/>
      <c r="BF130" s="52"/>
      <c r="BG130" s="54">
        <f t="shared" si="66"/>
        <v>0</v>
      </c>
      <c r="BH130" s="53"/>
      <c r="BI130" s="52">
        <f>L130*VLOOKUP($A130,'I | Capex forecast'!$A$11:$AA$160,BI$8,0)</f>
        <v>0</v>
      </c>
      <c r="BJ130" s="52">
        <f>M130*VLOOKUP($A130,'I | Capex forecast'!$A$11:$AA$160,BJ$8,0)</f>
        <v>0</v>
      </c>
      <c r="BK130" s="52">
        <f>N130*VLOOKUP($A130,'I | Capex forecast'!$A$11:$AA$160,BK$8,0)</f>
        <v>0</v>
      </c>
      <c r="BL130" s="52">
        <f>O130*VLOOKUP($A130,'I | Capex forecast'!$A$11:$AA$160,BL$8,0)</f>
        <v>0</v>
      </c>
      <c r="BM130" s="52">
        <f>P130*VLOOKUP($A130,'I | Capex forecast'!$A$11:$AA$160,BM$8,0)</f>
        <v>0</v>
      </c>
      <c r="BN130" s="54">
        <f t="shared" si="67"/>
        <v>0</v>
      </c>
      <c r="BO130" s="53"/>
      <c r="BP130" s="52">
        <f t="shared" si="76"/>
        <v>0</v>
      </c>
      <c r="BQ130" s="52">
        <f t="shared" si="77"/>
        <v>0</v>
      </c>
      <c r="BR130" s="52">
        <f t="shared" si="78"/>
        <v>0</v>
      </c>
      <c r="BS130" s="52">
        <f t="shared" si="79"/>
        <v>0</v>
      </c>
      <c r="BT130" s="52">
        <f t="shared" si="80"/>
        <v>0</v>
      </c>
      <c r="BU130" s="54">
        <f t="shared" si="68"/>
        <v>0</v>
      </c>
      <c r="BW130" s="52">
        <f t="shared" si="81"/>
        <v>0</v>
      </c>
      <c r="BX130" s="52">
        <f t="shared" si="82"/>
        <v>0</v>
      </c>
      <c r="BY130" s="52">
        <f t="shared" si="83"/>
        <v>0</v>
      </c>
      <c r="BZ130" s="52">
        <f t="shared" si="84"/>
        <v>0</v>
      </c>
      <c r="CA130" s="52">
        <f t="shared" si="85"/>
        <v>0</v>
      </c>
      <c r="CB130" s="54">
        <f t="shared" si="69"/>
        <v>0</v>
      </c>
      <c r="CC130" s="53"/>
      <c r="CD130" s="52">
        <f t="shared" si="70"/>
        <v>0</v>
      </c>
      <c r="CE130" s="52">
        <f t="shared" si="71"/>
        <v>0</v>
      </c>
      <c r="CF130" s="52">
        <f t="shared" si="72"/>
        <v>0</v>
      </c>
      <c r="CG130" s="52">
        <f t="shared" si="73"/>
        <v>0</v>
      </c>
      <c r="CH130" s="52">
        <f t="shared" si="74"/>
        <v>0</v>
      </c>
      <c r="CI130" s="54">
        <f t="shared" si="75"/>
        <v>0</v>
      </c>
    </row>
    <row r="131" spans="1:87" s="4" customFormat="1" x14ac:dyDescent="0.3">
      <c r="A131" s="56">
        <v>121</v>
      </c>
      <c r="B131" s="48" t="str">
        <f>IF('I | Capex forecast'!B131="","",'I | Capex forecast'!B131)</f>
        <v/>
      </c>
      <c r="C131" s="48" t="str">
        <f>IF('I | Capex forecast'!C131="","",'I | Capex forecast'!C131)</f>
        <v/>
      </c>
      <c r="D131" s="48" t="str">
        <f>IF('I | Capex forecast'!D131="","",'I | Capex forecast'!D131)</f>
        <v/>
      </c>
      <c r="E131" s="48" t="str">
        <f>IF('I | Capex forecast'!E131="","",'I | Capex forecast'!E131)</f>
        <v/>
      </c>
      <c r="F131" s="48" t="str">
        <f>IF('I | Capex forecast'!F131="","",'I | Capex forecast'!F131)</f>
        <v/>
      </c>
      <c r="G131" s="48" t="str">
        <f>IF('I | Capex forecast'!G131="","",'I | Capex forecast'!G131)</f>
        <v/>
      </c>
      <c r="H131" s="48" t="str">
        <f>IF('I | Capex forecast'!H131="","",'I | Capex forecast'!H131)</f>
        <v/>
      </c>
      <c r="I131" s="48" t="str">
        <f>IF('I | Capex forecast'!I131="","",'I | Capex forecast'!I131)</f>
        <v/>
      </c>
      <c r="J131" s="48" t="str">
        <f>IF('I | Capex forecast'!J131="","",'I | Capex forecast'!J131)</f>
        <v/>
      </c>
      <c r="K131" s="50"/>
      <c r="L131" s="52">
        <f>IFERROR(VLOOKUP($A131,'I | Capex forecast'!$A$11:$AA$160,L$8,0)*INDEX('I | Inflation'!$F$46:$G$49,MATCH($I131,'I | Inflation'!$E$46:$E$49,0),MATCH($H131,'I | Inflation'!$F$45:$G$45,0)),0)</f>
        <v>0</v>
      </c>
      <c r="M131" s="52">
        <f>IFERROR(VLOOKUP($A131,'I | Capex forecast'!$A$11:$AA$160,M$8,0)*INDEX('I | Inflation'!$F$46:$G$49,MATCH($I131,'I | Inflation'!$E$46:$E$49,0),MATCH($H131,'I | Inflation'!$F$45:$G$45,0)),0)</f>
        <v>0</v>
      </c>
      <c r="N131" s="52">
        <f>IFERROR(VLOOKUP($A131,'I | Capex forecast'!$A$11:$AA$160,N$8,0)*INDEX('I | Inflation'!$F$46:$G$49,MATCH($I131,'I | Inflation'!$E$46:$E$49,0),MATCH($H131,'I | Inflation'!$F$45:$G$45,0)),0)</f>
        <v>0</v>
      </c>
      <c r="O131" s="52">
        <f>IFERROR(VLOOKUP($A131,'I | Capex forecast'!$A$11:$AA$160,O$8,0)*INDEX('I | Inflation'!$F$46:$G$49,MATCH($I131,'I | Inflation'!$E$46:$E$49,0),MATCH($H131,'I | Inflation'!$F$45:$G$45,0)),0)</f>
        <v>0</v>
      </c>
      <c r="P131" s="52">
        <f>IFERROR(VLOOKUP($A131,'I | Capex forecast'!$A$11:$AA$160,P$8,0)*INDEX('I | Inflation'!$F$46:$G$49,MATCH($I131,'I | Inflation'!$E$46:$E$49,0),MATCH($H131,'I | Inflation'!$F$45:$G$45,0)),0)</f>
        <v>0</v>
      </c>
      <c r="Q131" s="54">
        <f t="shared" si="86"/>
        <v>0</v>
      </c>
      <c r="R131" s="53"/>
      <c r="S131" s="226">
        <f>L131*VLOOKUP($A131,'I | Capex forecast'!$A$11:$AA$160,S$8,0)</f>
        <v>0</v>
      </c>
      <c r="T131" s="226">
        <f>M131*VLOOKUP($A131,'I | Capex forecast'!$A$11:$AA$160,T$8,0)</f>
        <v>0</v>
      </c>
      <c r="U131" s="226">
        <f>N131*VLOOKUP($A131,'I | Capex forecast'!$A$11:$AA$160,U$8,0)</f>
        <v>0</v>
      </c>
      <c r="V131" s="226">
        <f>O131*VLOOKUP($A131,'I | Capex forecast'!$A$11:$AA$160,V$8,0)</f>
        <v>0</v>
      </c>
      <c r="W131" s="226">
        <f>P131*VLOOKUP($A131,'I | Capex forecast'!$A$11:$AA$160,W$8,0)</f>
        <v>0</v>
      </c>
      <c r="X131" s="54">
        <f t="shared" si="56"/>
        <v>0</v>
      </c>
      <c r="Y131" s="53"/>
      <c r="Z131" s="52">
        <f>S131*(HLOOKUP(Z$10,'I | Inflation'!$E$57:$J$59,3,0)-1)</f>
        <v>0</v>
      </c>
      <c r="AA131" s="52">
        <f>T131*(HLOOKUP(AA$10,'I | Inflation'!$E$57:$J$59,3,0)-1)</f>
        <v>0</v>
      </c>
      <c r="AB131" s="52">
        <f>U131*(HLOOKUP(AB$10,'I | Inflation'!$E$57:$J$59,3,0)-1)</f>
        <v>0</v>
      </c>
      <c r="AC131" s="52">
        <f>V131*(HLOOKUP(AC$10,'I | Inflation'!$E$57:$J$59,3,0)-1)</f>
        <v>0</v>
      </c>
      <c r="AD131" s="52">
        <f>W131*(HLOOKUP(AD$10,'I | Inflation'!$E$57:$J$59,3,0)-1)</f>
        <v>0</v>
      </c>
      <c r="AE131" s="54">
        <f t="shared" si="57"/>
        <v>0</v>
      </c>
      <c r="AF131" s="53"/>
      <c r="AG131" s="226">
        <f t="shared" si="58"/>
        <v>0</v>
      </c>
      <c r="AH131" s="226">
        <f t="shared" si="59"/>
        <v>0</v>
      </c>
      <c r="AI131" s="226">
        <f t="shared" si="60"/>
        <v>0</v>
      </c>
      <c r="AJ131" s="226">
        <f t="shared" si="61"/>
        <v>0</v>
      </c>
      <c r="AK131" s="226">
        <f t="shared" si="62"/>
        <v>0</v>
      </c>
      <c r="AL131" s="54">
        <f t="shared" si="63"/>
        <v>0</v>
      </c>
      <c r="AM131" s="53"/>
      <c r="AN131" s="52"/>
      <c r="AO131" s="52"/>
      <c r="AP131" s="52"/>
      <c r="AQ131" s="52"/>
      <c r="AR131" s="52"/>
      <c r="AS131" s="54">
        <f t="shared" si="64"/>
        <v>0</v>
      </c>
      <c r="AT131" s="53"/>
      <c r="AU131" s="52"/>
      <c r="AV131" s="52"/>
      <c r="AW131" s="52"/>
      <c r="AX131" s="52"/>
      <c r="AY131" s="52"/>
      <c r="AZ131" s="54">
        <f t="shared" si="65"/>
        <v>0</v>
      </c>
      <c r="BA131" s="53"/>
      <c r="BB131" s="52"/>
      <c r="BC131" s="52"/>
      <c r="BD131" s="52"/>
      <c r="BE131" s="52"/>
      <c r="BF131" s="52"/>
      <c r="BG131" s="54">
        <f t="shared" si="66"/>
        <v>0</v>
      </c>
      <c r="BH131" s="53"/>
      <c r="BI131" s="52">
        <f>L131*VLOOKUP($A131,'I | Capex forecast'!$A$11:$AA$160,BI$8,0)</f>
        <v>0</v>
      </c>
      <c r="BJ131" s="52">
        <f>M131*VLOOKUP($A131,'I | Capex forecast'!$A$11:$AA$160,BJ$8,0)</f>
        <v>0</v>
      </c>
      <c r="BK131" s="52">
        <f>N131*VLOOKUP($A131,'I | Capex forecast'!$A$11:$AA$160,BK$8,0)</f>
        <v>0</v>
      </c>
      <c r="BL131" s="52">
        <f>O131*VLOOKUP($A131,'I | Capex forecast'!$A$11:$AA$160,BL$8,0)</f>
        <v>0</v>
      </c>
      <c r="BM131" s="52">
        <f>P131*VLOOKUP($A131,'I | Capex forecast'!$A$11:$AA$160,BM$8,0)</f>
        <v>0</v>
      </c>
      <c r="BN131" s="54">
        <f t="shared" si="67"/>
        <v>0</v>
      </c>
      <c r="BO131" s="53"/>
      <c r="BP131" s="52">
        <f t="shared" si="76"/>
        <v>0</v>
      </c>
      <c r="BQ131" s="52">
        <f t="shared" si="77"/>
        <v>0</v>
      </c>
      <c r="BR131" s="52">
        <f t="shared" si="78"/>
        <v>0</v>
      </c>
      <c r="BS131" s="52">
        <f t="shared" si="79"/>
        <v>0</v>
      </c>
      <c r="BT131" s="52">
        <f t="shared" si="80"/>
        <v>0</v>
      </c>
      <c r="BU131" s="54">
        <f t="shared" si="68"/>
        <v>0</v>
      </c>
      <c r="BW131" s="52">
        <f t="shared" si="81"/>
        <v>0</v>
      </c>
      <c r="BX131" s="52">
        <f t="shared" si="82"/>
        <v>0</v>
      </c>
      <c r="BY131" s="52">
        <f t="shared" si="83"/>
        <v>0</v>
      </c>
      <c r="BZ131" s="52">
        <f t="shared" si="84"/>
        <v>0</v>
      </c>
      <c r="CA131" s="52">
        <f t="shared" si="85"/>
        <v>0</v>
      </c>
      <c r="CB131" s="54">
        <f t="shared" si="69"/>
        <v>0</v>
      </c>
      <c r="CC131" s="53"/>
      <c r="CD131" s="52">
        <f t="shared" si="70"/>
        <v>0</v>
      </c>
      <c r="CE131" s="52">
        <f t="shared" si="71"/>
        <v>0</v>
      </c>
      <c r="CF131" s="52">
        <f t="shared" si="72"/>
        <v>0</v>
      </c>
      <c r="CG131" s="52">
        <f t="shared" si="73"/>
        <v>0</v>
      </c>
      <c r="CH131" s="52">
        <f t="shared" si="74"/>
        <v>0</v>
      </c>
      <c r="CI131" s="54">
        <f t="shared" si="75"/>
        <v>0</v>
      </c>
    </row>
    <row r="132" spans="1:87" s="4" customFormat="1" x14ac:dyDescent="0.3">
      <c r="A132" s="56">
        <v>122</v>
      </c>
      <c r="B132" s="48" t="str">
        <f>IF('I | Capex forecast'!B132="","",'I | Capex forecast'!B132)</f>
        <v/>
      </c>
      <c r="C132" s="48" t="str">
        <f>IF('I | Capex forecast'!C132="","",'I | Capex forecast'!C132)</f>
        <v/>
      </c>
      <c r="D132" s="48" t="str">
        <f>IF('I | Capex forecast'!D132="","",'I | Capex forecast'!D132)</f>
        <v/>
      </c>
      <c r="E132" s="48" t="str">
        <f>IF('I | Capex forecast'!E132="","",'I | Capex forecast'!E132)</f>
        <v/>
      </c>
      <c r="F132" s="48" t="str">
        <f>IF('I | Capex forecast'!F132="","",'I | Capex forecast'!F132)</f>
        <v/>
      </c>
      <c r="G132" s="48" t="str">
        <f>IF('I | Capex forecast'!G132="","",'I | Capex forecast'!G132)</f>
        <v/>
      </c>
      <c r="H132" s="48" t="str">
        <f>IF('I | Capex forecast'!H132="","",'I | Capex forecast'!H132)</f>
        <v/>
      </c>
      <c r="I132" s="48" t="str">
        <f>IF('I | Capex forecast'!I132="","",'I | Capex forecast'!I132)</f>
        <v/>
      </c>
      <c r="J132" s="48" t="str">
        <f>IF('I | Capex forecast'!J132="","",'I | Capex forecast'!J132)</f>
        <v/>
      </c>
      <c r="K132" s="50"/>
      <c r="L132" s="52">
        <f>IFERROR(VLOOKUP($A132,'I | Capex forecast'!$A$11:$AA$160,L$8,0)*INDEX('I | Inflation'!$F$46:$G$49,MATCH($I132,'I | Inflation'!$E$46:$E$49,0),MATCH($H132,'I | Inflation'!$F$45:$G$45,0)),0)</f>
        <v>0</v>
      </c>
      <c r="M132" s="52">
        <f>IFERROR(VLOOKUP($A132,'I | Capex forecast'!$A$11:$AA$160,M$8,0)*INDEX('I | Inflation'!$F$46:$G$49,MATCH($I132,'I | Inflation'!$E$46:$E$49,0),MATCH($H132,'I | Inflation'!$F$45:$G$45,0)),0)</f>
        <v>0</v>
      </c>
      <c r="N132" s="52">
        <f>IFERROR(VLOOKUP($A132,'I | Capex forecast'!$A$11:$AA$160,N$8,0)*INDEX('I | Inflation'!$F$46:$G$49,MATCH($I132,'I | Inflation'!$E$46:$E$49,0),MATCH($H132,'I | Inflation'!$F$45:$G$45,0)),0)</f>
        <v>0</v>
      </c>
      <c r="O132" s="52">
        <f>IFERROR(VLOOKUP($A132,'I | Capex forecast'!$A$11:$AA$160,O$8,0)*INDEX('I | Inflation'!$F$46:$G$49,MATCH($I132,'I | Inflation'!$E$46:$E$49,0),MATCH($H132,'I | Inflation'!$F$45:$G$45,0)),0)</f>
        <v>0</v>
      </c>
      <c r="P132" s="52">
        <f>IFERROR(VLOOKUP($A132,'I | Capex forecast'!$A$11:$AA$160,P$8,0)*INDEX('I | Inflation'!$F$46:$G$49,MATCH($I132,'I | Inflation'!$E$46:$E$49,0),MATCH($H132,'I | Inflation'!$F$45:$G$45,0)),0)</f>
        <v>0</v>
      </c>
      <c r="Q132" s="54">
        <f t="shared" si="86"/>
        <v>0</v>
      </c>
      <c r="R132" s="53"/>
      <c r="S132" s="226">
        <f>L132*VLOOKUP($A132,'I | Capex forecast'!$A$11:$AA$160,S$8,0)</f>
        <v>0</v>
      </c>
      <c r="T132" s="226">
        <f>M132*VLOOKUP($A132,'I | Capex forecast'!$A$11:$AA$160,T$8,0)</f>
        <v>0</v>
      </c>
      <c r="U132" s="226">
        <f>N132*VLOOKUP($A132,'I | Capex forecast'!$A$11:$AA$160,U$8,0)</f>
        <v>0</v>
      </c>
      <c r="V132" s="226">
        <f>O132*VLOOKUP($A132,'I | Capex forecast'!$A$11:$AA$160,V$8,0)</f>
        <v>0</v>
      </c>
      <c r="W132" s="226">
        <f>P132*VLOOKUP($A132,'I | Capex forecast'!$A$11:$AA$160,W$8,0)</f>
        <v>0</v>
      </c>
      <c r="X132" s="54">
        <f t="shared" si="56"/>
        <v>0</v>
      </c>
      <c r="Y132" s="53"/>
      <c r="Z132" s="52">
        <f>S132*(HLOOKUP(Z$10,'I | Inflation'!$E$57:$J$59,3,0)-1)</f>
        <v>0</v>
      </c>
      <c r="AA132" s="52">
        <f>T132*(HLOOKUP(AA$10,'I | Inflation'!$E$57:$J$59,3,0)-1)</f>
        <v>0</v>
      </c>
      <c r="AB132" s="52">
        <f>U132*(HLOOKUP(AB$10,'I | Inflation'!$E$57:$J$59,3,0)-1)</f>
        <v>0</v>
      </c>
      <c r="AC132" s="52">
        <f>V132*(HLOOKUP(AC$10,'I | Inflation'!$E$57:$J$59,3,0)-1)</f>
        <v>0</v>
      </c>
      <c r="AD132" s="52">
        <f>W132*(HLOOKUP(AD$10,'I | Inflation'!$E$57:$J$59,3,0)-1)</f>
        <v>0</v>
      </c>
      <c r="AE132" s="54">
        <f t="shared" si="57"/>
        <v>0</v>
      </c>
      <c r="AF132" s="53"/>
      <c r="AG132" s="226">
        <f t="shared" si="58"/>
        <v>0</v>
      </c>
      <c r="AH132" s="226">
        <f t="shared" si="59"/>
        <v>0</v>
      </c>
      <c r="AI132" s="226">
        <f t="shared" si="60"/>
        <v>0</v>
      </c>
      <c r="AJ132" s="226">
        <f t="shared" si="61"/>
        <v>0</v>
      </c>
      <c r="AK132" s="226">
        <f t="shared" si="62"/>
        <v>0</v>
      </c>
      <c r="AL132" s="54">
        <f t="shared" si="63"/>
        <v>0</v>
      </c>
      <c r="AM132" s="53"/>
      <c r="AN132" s="52"/>
      <c r="AO132" s="52"/>
      <c r="AP132" s="52"/>
      <c r="AQ132" s="52"/>
      <c r="AR132" s="52"/>
      <c r="AS132" s="54">
        <f t="shared" si="64"/>
        <v>0</v>
      </c>
      <c r="AT132" s="53"/>
      <c r="AU132" s="52"/>
      <c r="AV132" s="52"/>
      <c r="AW132" s="52"/>
      <c r="AX132" s="52"/>
      <c r="AY132" s="52"/>
      <c r="AZ132" s="54">
        <f t="shared" si="65"/>
        <v>0</v>
      </c>
      <c r="BA132" s="53"/>
      <c r="BB132" s="52"/>
      <c r="BC132" s="52"/>
      <c r="BD132" s="52"/>
      <c r="BE132" s="52"/>
      <c r="BF132" s="52"/>
      <c r="BG132" s="54">
        <f t="shared" si="66"/>
        <v>0</v>
      </c>
      <c r="BH132" s="53"/>
      <c r="BI132" s="52">
        <f>L132*VLOOKUP($A132,'I | Capex forecast'!$A$11:$AA$160,BI$8,0)</f>
        <v>0</v>
      </c>
      <c r="BJ132" s="52">
        <f>M132*VLOOKUP($A132,'I | Capex forecast'!$A$11:$AA$160,BJ$8,0)</f>
        <v>0</v>
      </c>
      <c r="BK132" s="52">
        <f>N132*VLOOKUP($A132,'I | Capex forecast'!$A$11:$AA$160,BK$8,0)</f>
        <v>0</v>
      </c>
      <c r="BL132" s="52">
        <f>O132*VLOOKUP($A132,'I | Capex forecast'!$A$11:$AA$160,BL$8,0)</f>
        <v>0</v>
      </c>
      <c r="BM132" s="52">
        <f>P132*VLOOKUP($A132,'I | Capex forecast'!$A$11:$AA$160,BM$8,0)</f>
        <v>0</v>
      </c>
      <c r="BN132" s="54">
        <f t="shared" si="67"/>
        <v>0</v>
      </c>
      <c r="BO132" s="53"/>
      <c r="BP132" s="52">
        <f t="shared" si="76"/>
        <v>0</v>
      </c>
      <c r="BQ132" s="52">
        <f t="shared" si="77"/>
        <v>0</v>
      </c>
      <c r="BR132" s="52">
        <f t="shared" si="78"/>
        <v>0</v>
      </c>
      <c r="BS132" s="52">
        <f t="shared" si="79"/>
        <v>0</v>
      </c>
      <c r="BT132" s="52">
        <f t="shared" si="80"/>
        <v>0</v>
      </c>
      <c r="BU132" s="54">
        <f t="shared" si="68"/>
        <v>0</v>
      </c>
      <c r="BW132" s="52">
        <f t="shared" si="81"/>
        <v>0</v>
      </c>
      <c r="BX132" s="52">
        <f t="shared" si="82"/>
        <v>0</v>
      </c>
      <c r="BY132" s="52">
        <f t="shared" si="83"/>
        <v>0</v>
      </c>
      <c r="BZ132" s="52">
        <f t="shared" si="84"/>
        <v>0</v>
      </c>
      <c r="CA132" s="52">
        <f t="shared" si="85"/>
        <v>0</v>
      </c>
      <c r="CB132" s="54">
        <f t="shared" si="69"/>
        <v>0</v>
      </c>
      <c r="CC132" s="53"/>
      <c r="CD132" s="52">
        <f t="shared" si="70"/>
        <v>0</v>
      </c>
      <c r="CE132" s="52">
        <f t="shared" si="71"/>
        <v>0</v>
      </c>
      <c r="CF132" s="52">
        <f t="shared" si="72"/>
        <v>0</v>
      </c>
      <c r="CG132" s="52">
        <f t="shared" si="73"/>
        <v>0</v>
      </c>
      <c r="CH132" s="52">
        <f t="shared" si="74"/>
        <v>0</v>
      </c>
      <c r="CI132" s="54">
        <f t="shared" si="75"/>
        <v>0</v>
      </c>
    </row>
    <row r="133" spans="1:87" x14ac:dyDescent="0.3">
      <c r="A133" s="56">
        <v>123</v>
      </c>
      <c r="B133" s="48" t="str">
        <f>IF('I | Capex forecast'!B133="","",'I | Capex forecast'!B133)</f>
        <v/>
      </c>
      <c r="C133" s="48" t="str">
        <f>IF('I | Capex forecast'!C133="","",'I | Capex forecast'!C133)</f>
        <v/>
      </c>
      <c r="D133" s="48" t="str">
        <f>IF('I | Capex forecast'!D133="","",'I | Capex forecast'!D133)</f>
        <v/>
      </c>
      <c r="E133" s="48" t="str">
        <f>IF('I | Capex forecast'!E133="","",'I | Capex forecast'!E133)</f>
        <v/>
      </c>
      <c r="F133" s="48" t="str">
        <f>IF('I | Capex forecast'!F133="","",'I | Capex forecast'!F133)</f>
        <v/>
      </c>
      <c r="G133" s="48" t="str">
        <f>IF('I | Capex forecast'!G133="","",'I | Capex forecast'!G133)</f>
        <v/>
      </c>
      <c r="H133" s="48" t="str">
        <f>IF('I | Capex forecast'!H133="","",'I | Capex forecast'!H133)</f>
        <v/>
      </c>
      <c r="I133" s="48" t="str">
        <f>IF('I | Capex forecast'!I133="","",'I | Capex forecast'!I133)</f>
        <v/>
      </c>
      <c r="J133" s="48" t="str">
        <f>IF('I | Capex forecast'!J133="","",'I | Capex forecast'!J133)</f>
        <v/>
      </c>
      <c r="K133" s="50"/>
      <c r="L133" s="52">
        <f>IFERROR(VLOOKUP($A133,'I | Capex forecast'!$A$11:$AA$160,L$8,0)*INDEX('I | Inflation'!$F$46:$G$49,MATCH($I133,'I | Inflation'!$E$46:$E$49,0),MATCH($H133,'I | Inflation'!$F$45:$G$45,0)),0)</f>
        <v>0</v>
      </c>
      <c r="M133" s="52">
        <f>IFERROR(VLOOKUP($A133,'I | Capex forecast'!$A$11:$AA$160,M$8,0)*INDEX('I | Inflation'!$F$46:$G$49,MATCH($I133,'I | Inflation'!$E$46:$E$49,0),MATCH($H133,'I | Inflation'!$F$45:$G$45,0)),0)</f>
        <v>0</v>
      </c>
      <c r="N133" s="52">
        <f>IFERROR(VLOOKUP($A133,'I | Capex forecast'!$A$11:$AA$160,N$8,0)*INDEX('I | Inflation'!$F$46:$G$49,MATCH($I133,'I | Inflation'!$E$46:$E$49,0),MATCH($H133,'I | Inflation'!$F$45:$G$45,0)),0)</f>
        <v>0</v>
      </c>
      <c r="O133" s="52">
        <f>IFERROR(VLOOKUP($A133,'I | Capex forecast'!$A$11:$AA$160,O$8,0)*INDEX('I | Inflation'!$F$46:$G$49,MATCH($I133,'I | Inflation'!$E$46:$E$49,0),MATCH($H133,'I | Inflation'!$F$45:$G$45,0)),0)</f>
        <v>0</v>
      </c>
      <c r="P133" s="52">
        <f>IFERROR(VLOOKUP($A133,'I | Capex forecast'!$A$11:$AA$160,P$8,0)*INDEX('I | Inflation'!$F$46:$G$49,MATCH($I133,'I | Inflation'!$E$46:$E$49,0),MATCH($H133,'I | Inflation'!$F$45:$G$45,0)),0)</f>
        <v>0</v>
      </c>
      <c r="Q133" s="54">
        <f t="shared" si="86"/>
        <v>0</v>
      </c>
      <c r="R133" s="53"/>
      <c r="S133" s="226">
        <f>L133*VLOOKUP($A133,'I | Capex forecast'!$A$11:$AA$160,S$8,0)</f>
        <v>0</v>
      </c>
      <c r="T133" s="226">
        <f>M133*VLOOKUP($A133,'I | Capex forecast'!$A$11:$AA$160,T$8,0)</f>
        <v>0</v>
      </c>
      <c r="U133" s="226">
        <f>N133*VLOOKUP($A133,'I | Capex forecast'!$A$11:$AA$160,U$8,0)</f>
        <v>0</v>
      </c>
      <c r="V133" s="226">
        <f>O133*VLOOKUP($A133,'I | Capex forecast'!$A$11:$AA$160,V$8,0)</f>
        <v>0</v>
      </c>
      <c r="W133" s="226">
        <f>P133*VLOOKUP($A133,'I | Capex forecast'!$A$11:$AA$160,W$8,0)</f>
        <v>0</v>
      </c>
      <c r="X133" s="54">
        <f t="shared" si="56"/>
        <v>0</v>
      </c>
      <c r="Y133" s="53"/>
      <c r="Z133" s="52">
        <f>S133*(HLOOKUP(Z$10,'I | Inflation'!$E$57:$J$59,3,0)-1)</f>
        <v>0</v>
      </c>
      <c r="AA133" s="52">
        <f>T133*(HLOOKUP(AA$10,'I | Inflation'!$E$57:$J$59,3,0)-1)</f>
        <v>0</v>
      </c>
      <c r="AB133" s="52">
        <f>U133*(HLOOKUP(AB$10,'I | Inflation'!$E$57:$J$59,3,0)-1)</f>
        <v>0</v>
      </c>
      <c r="AC133" s="52">
        <f>V133*(HLOOKUP(AC$10,'I | Inflation'!$E$57:$J$59,3,0)-1)</f>
        <v>0</v>
      </c>
      <c r="AD133" s="52">
        <f>W133*(HLOOKUP(AD$10,'I | Inflation'!$E$57:$J$59,3,0)-1)</f>
        <v>0</v>
      </c>
      <c r="AE133" s="54">
        <f t="shared" si="57"/>
        <v>0</v>
      </c>
      <c r="AF133" s="53"/>
      <c r="AG133" s="226">
        <f t="shared" si="58"/>
        <v>0</v>
      </c>
      <c r="AH133" s="226">
        <f t="shared" si="59"/>
        <v>0</v>
      </c>
      <c r="AI133" s="226">
        <f t="shared" si="60"/>
        <v>0</v>
      </c>
      <c r="AJ133" s="226">
        <f t="shared" si="61"/>
        <v>0</v>
      </c>
      <c r="AK133" s="226">
        <f t="shared" si="62"/>
        <v>0</v>
      </c>
      <c r="AL133" s="54">
        <f t="shared" si="63"/>
        <v>0</v>
      </c>
      <c r="AM133" s="53"/>
      <c r="AN133" s="52"/>
      <c r="AO133" s="52"/>
      <c r="AP133" s="52"/>
      <c r="AQ133" s="52"/>
      <c r="AR133" s="52"/>
      <c r="AS133" s="54">
        <f t="shared" si="64"/>
        <v>0</v>
      </c>
      <c r="AT133" s="53"/>
      <c r="AU133" s="52"/>
      <c r="AV133" s="52"/>
      <c r="AW133" s="52"/>
      <c r="AX133" s="52"/>
      <c r="AY133" s="52"/>
      <c r="AZ133" s="54">
        <f t="shared" si="65"/>
        <v>0</v>
      </c>
      <c r="BA133" s="53"/>
      <c r="BB133" s="52"/>
      <c r="BC133" s="52"/>
      <c r="BD133" s="52"/>
      <c r="BE133" s="52"/>
      <c r="BF133" s="52"/>
      <c r="BG133" s="54">
        <f t="shared" si="66"/>
        <v>0</v>
      </c>
      <c r="BH133" s="53"/>
      <c r="BI133" s="52">
        <f>L133*VLOOKUP($A133,'I | Capex forecast'!$A$11:$AA$160,BI$8,0)</f>
        <v>0</v>
      </c>
      <c r="BJ133" s="52">
        <f>M133*VLOOKUP($A133,'I | Capex forecast'!$A$11:$AA$160,BJ$8,0)</f>
        <v>0</v>
      </c>
      <c r="BK133" s="52">
        <f>N133*VLOOKUP($A133,'I | Capex forecast'!$A$11:$AA$160,BK$8,0)</f>
        <v>0</v>
      </c>
      <c r="BL133" s="52">
        <f>O133*VLOOKUP($A133,'I | Capex forecast'!$A$11:$AA$160,BL$8,0)</f>
        <v>0</v>
      </c>
      <c r="BM133" s="52">
        <f>P133*VLOOKUP($A133,'I | Capex forecast'!$A$11:$AA$160,BM$8,0)</f>
        <v>0</v>
      </c>
      <c r="BN133" s="54">
        <f t="shared" si="67"/>
        <v>0</v>
      </c>
      <c r="BO133" s="53"/>
      <c r="BP133" s="52">
        <f t="shared" si="76"/>
        <v>0</v>
      </c>
      <c r="BQ133" s="52">
        <f t="shared" si="77"/>
        <v>0</v>
      </c>
      <c r="BR133" s="52">
        <f t="shared" si="78"/>
        <v>0</v>
      </c>
      <c r="BS133" s="52">
        <f t="shared" si="79"/>
        <v>0</v>
      </c>
      <c r="BT133" s="52">
        <f t="shared" si="80"/>
        <v>0</v>
      </c>
      <c r="BU133" s="54">
        <f t="shared" si="68"/>
        <v>0</v>
      </c>
      <c r="BW133" s="52">
        <f t="shared" si="81"/>
        <v>0</v>
      </c>
      <c r="BX133" s="52">
        <f t="shared" si="82"/>
        <v>0</v>
      </c>
      <c r="BY133" s="52">
        <f t="shared" si="83"/>
        <v>0</v>
      </c>
      <c r="BZ133" s="52">
        <f t="shared" si="84"/>
        <v>0</v>
      </c>
      <c r="CA133" s="52">
        <f t="shared" si="85"/>
        <v>0</v>
      </c>
      <c r="CB133" s="54">
        <f t="shared" si="69"/>
        <v>0</v>
      </c>
      <c r="CC133" s="53"/>
      <c r="CD133" s="52">
        <f t="shared" si="70"/>
        <v>0</v>
      </c>
      <c r="CE133" s="52">
        <f t="shared" si="71"/>
        <v>0</v>
      </c>
      <c r="CF133" s="52">
        <f t="shared" si="72"/>
        <v>0</v>
      </c>
      <c r="CG133" s="52">
        <f t="shared" si="73"/>
        <v>0</v>
      </c>
      <c r="CH133" s="52">
        <f t="shared" si="74"/>
        <v>0</v>
      </c>
      <c r="CI133" s="54">
        <f t="shared" si="75"/>
        <v>0</v>
      </c>
    </row>
    <row r="134" spans="1:87" x14ac:dyDescent="0.3">
      <c r="A134" s="56">
        <v>124</v>
      </c>
      <c r="B134" s="48" t="str">
        <f>IF('I | Capex forecast'!B134="","",'I | Capex forecast'!B134)</f>
        <v/>
      </c>
      <c r="C134" s="48" t="str">
        <f>IF('I | Capex forecast'!C134="","",'I | Capex forecast'!C134)</f>
        <v/>
      </c>
      <c r="D134" s="48" t="str">
        <f>IF('I | Capex forecast'!D134="","",'I | Capex forecast'!D134)</f>
        <v/>
      </c>
      <c r="E134" s="48" t="str">
        <f>IF('I | Capex forecast'!E134="","",'I | Capex forecast'!E134)</f>
        <v/>
      </c>
      <c r="F134" s="48" t="str">
        <f>IF('I | Capex forecast'!F134="","",'I | Capex forecast'!F134)</f>
        <v/>
      </c>
      <c r="G134" s="48" t="str">
        <f>IF('I | Capex forecast'!G134="","",'I | Capex forecast'!G134)</f>
        <v/>
      </c>
      <c r="H134" s="48" t="str">
        <f>IF('I | Capex forecast'!H134="","",'I | Capex forecast'!H134)</f>
        <v/>
      </c>
      <c r="I134" s="48" t="str">
        <f>IF('I | Capex forecast'!I134="","",'I | Capex forecast'!I134)</f>
        <v/>
      </c>
      <c r="J134" s="48" t="str">
        <f>IF('I | Capex forecast'!J134="","",'I | Capex forecast'!J134)</f>
        <v/>
      </c>
      <c r="K134" s="50"/>
      <c r="L134" s="52">
        <f>IFERROR(VLOOKUP($A134,'I | Capex forecast'!$A$11:$AA$160,L$8,0)*INDEX('I | Inflation'!$F$46:$G$49,MATCH($I134,'I | Inflation'!$E$46:$E$49,0),MATCH($H134,'I | Inflation'!$F$45:$G$45,0)),0)</f>
        <v>0</v>
      </c>
      <c r="M134" s="52">
        <f>IFERROR(VLOOKUP($A134,'I | Capex forecast'!$A$11:$AA$160,M$8,0)*INDEX('I | Inflation'!$F$46:$G$49,MATCH($I134,'I | Inflation'!$E$46:$E$49,0),MATCH($H134,'I | Inflation'!$F$45:$G$45,0)),0)</f>
        <v>0</v>
      </c>
      <c r="N134" s="52">
        <f>IFERROR(VLOOKUP($A134,'I | Capex forecast'!$A$11:$AA$160,N$8,0)*INDEX('I | Inflation'!$F$46:$G$49,MATCH($I134,'I | Inflation'!$E$46:$E$49,0),MATCH($H134,'I | Inflation'!$F$45:$G$45,0)),0)</f>
        <v>0</v>
      </c>
      <c r="O134" s="52">
        <f>IFERROR(VLOOKUP($A134,'I | Capex forecast'!$A$11:$AA$160,O$8,0)*INDEX('I | Inflation'!$F$46:$G$49,MATCH($I134,'I | Inflation'!$E$46:$E$49,0),MATCH($H134,'I | Inflation'!$F$45:$G$45,0)),0)</f>
        <v>0</v>
      </c>
      <c r="P134" s="52">
        <f>IFERROR(VLOOKUP($A134,'I | Capex forecast'!$A$11:$AA$160,P$8,0)*INDEX('I | Inflation'!$F$46:$G$49,MATCH($I134,'I | Inflation'!$E$46:$E$49,0),MATCH($H134,'I | Inflation'!$F$45:$G$45,0)),0)</f>
        <v>0</v>
      </c>
      <c r="Q134" s="54">
        <f t="shared" si="86"/>
        <v>0</v>
      </c>
      <c r="R134" s="53"/>
      <c r="S134" s="226">
        <f>L134*VLOOKUP($A134,'I | Capex forecast'!$A$11:$AA$160,S$8,0)</f>
        <v>0</v>
      </c>
      <c r="T134" s="226">
        <f>M134*VLOOKUP($A134,'I | Capex forecast'!$A$11:$AA$160,T$8,0)</f>
        <v>0</v>
      </c>
      <c r="U134" s="226">
        <f>N134*VLOOKUP($A134,'I | Capex forecast'!$A$11:$AA$160,U$8,0)</f>
        <v>0</v>
      </c>
      <c r="V134" s="226">
        <f>O134*VLOOKUP($A134,'I | Capex forecast'!$A$11:$AA$160,V$8,0)</f>
        <v>0</v>
      </c>
      <c r="W134" s="226">
        <f>P134*VLOOKUP($A134,'I | Capex forecast'!$A$11:$AA$160,W$8,0)</f>
        <v>0</v>
      </c>
      <c r="X134" s="54">
        <f t="shared" si="56"/>
        <v>0</v>
      </c>
      <c r="Y134" s="53"/>
      <c r="Z134" s="52">
        <f>S134*(HLOOKUP(Z$10,'I | Inflation'!$E$57:$J$59,3,0)-1)</f>
        <v>0</v>
      </c>
      <c r="AA134" s="52">
        <f>T134*(HLOOKUP(AA$10,'I | Inflation'!$E$57:$J$59,3,0)-1)</f>
        <v>0</v>
      </c>
      <c r="AB134" s="52">
        <f>U134*(HLOOKUP(AB$10,'I | Inflation'!$E$57:$J$59,3,0)-1)</f>
        <v>0</v>
      </c>
      <c r="AC134" s="52">
        <f>V134*(HLOOKUP(AC$10,'I | Inflation'!$E$57:$J$59,3,0)-1)</f>
        <v>0</v>
      </c>
      <c r="AD134" s="52">
        <f>W134*(HLOOKUP(AD$10,'I | Inflation'!$E$57:$J$59,3,0)-1)</f>
        <v>0</v>
      </c>
      <c r="AE134" s="54">
        <f t="shared" si="57"/>
        <v>0</v>
      </c>
      <c r="AF134" s="53"/>
      <c r="AG134" s="226">
        <f t="shared" si="58"/>
        <v>0</v>
      </c>
      <c r="AH134" s="226">
        <f t="shared" si="59"/>
        <v>0</v>
      </c>
      <c r="AI134" s="226">
        <f t="shared" si="60"/>
        <v>0</v>
      </c>
      <c r="AJ134" s="226">
        <f t="shared" si="61"/>
        <v>0</v>
      </c>
      <c r="AK134" s="226">
        <f t="shared" si="62"/>
        <v>0</v>
      </c>
      <c r="AL134" s="54">
        <f t="shared" si="63"/>
        <v>0</v>
      </c>
      <c r="AM134" s="53"/>
      <c r="AN134" s="52"/>
      <c r="AO134" s="52"/>
      <c r="AP134" s="52"/>
      <c r="AQ134" s="52"/>
      <c r="AR134" s="52"/>
      <c r="AS134" s="54">
        <f t="shared" si="64"/>
        <v>0</v>
      </c>
      <c r="AT134" s="53"/>
      <c r="AU134" s="52"/>
      <c r="AV134" s="52"/>
      <c r="AW134" s="52"/>
      <c r="AX134" s="52"/>
      <c r="AY134" s="52"/>
      <c r="AZ134" s="54">
        <f t="shared" si="65"/>
        <v>0</v>
      </c>
      <c r="BA134" s="53"/>
      <c r="BB134" s="52"/>
      <c r="BC134" s="52"/>
      <c r="BD134" s="52"/>
      <c r="BE134" s="52"/>
      <c r="BF134" s="52"/>
      <c r="BG134" s="54">
        <f t="shared" si="66"/>
        <v>0</v>
      </c>
      <c r="BH134" s="53"/>
      <c r="BI134" s="52">
        <f>L134*VLOOKUP($A134,'I | Capex forecast'!$A$11:$AA$160,BI$8,0)</f>
        <v>0</v>
      </c>
      <c r="BJ134" s="52">
        <f>M134*VLOOKUP($A134,'I | Capex forecast'!$A$11:$AA$160,BJ$8,0)</f>
        <v>0</v>
      </c>
      <c r="BK134" s="52">
        <f>N134*VLOOKUP($A134,'I | Capex forecast'!$A$11:$AA$160,BK$8,0)</f>
        <v>0</v>
      </c>
      <c r="BL134" s="52">
        <f>O134*VLOOKUP($A134,'I | Capex forecast'!$A$11:$AA$160,BL$8,0)</f>
        <v>0</v>
      </c>
      <c r="BM134" s="52">
        <f>P134*VLOOKUP($A134,'I | Capex forecast'!$A$11:$AA$160,BM$8,0)</f>
        <v>0</v>
      </c>
      <c r="BN134" s="54">
        <f t="shared" si="67"/>
        <v>0</v>
      </c>
      <c r="BO134" s="53"/>
      <c r="BP134" s="52">
        <f t="shared" si="76"/>
        <v>0</v>
      </c>
      <c r="BQ134" s="52">
        <f t="shared" si="77"/>
        <v>0</v>
      </c>
      <c r="BR134" s="52">
        <f t="shared" si="78"/>
        <v>0</v>
      </c>
      <c r="BS134" s="52">
        <f t="shared" si="79"/>
        <v>0</v>
      </c>
      <c r="BT134" s="52">
        <f t="shared" si="80"/>
        <v>0</v>
      </c>
      <c r="BU134" s="54">
        <f t="shared" si="68"/>
        <v>0</v>
      </c>
      <c r="BW134" s="52">
        <f t="shared" si="81"/>
        <v>0</v>
      </c>
      <c r="BX134" s="52">
        <f t="shared" si="82"/>
        <v>0</v>
      </c>
      <c r="BY134" s="52">
        <f t="shared" si="83"/>
        <v>0</v>
      </c>
      <c r="BZ134" s="52">
        <f t="shared" si="84"/>
        <v>0</v>
      </c>
      <c r="CA134" s="52">
        <f t="shared" si="85"/>
        <v>0</v>
      </c>
      <c r="CB134" s="54">
        <f t="shared" si="69"/>
        <v>0</v>
      </c>
      <c r="CC134" s="53"/>
      <c r="CD134" s="52">
        <f t="shared" si="70"/>
        <v>0</v>
      </c>
      <c r="CE134" s="52">
        <f t="shared" si="71"/>
        <v>0</v>
      </c>
      <c r="CF134" s="52">
        <f t="shared" si="72"/>
        <v>0</v>
      </c>
      <c r="CG134" s="52">
        <f t="shared" si="73"/>
        <v>0</v>
      </c>
      <c r="CH134" s="52">
        <f t="shared" si="74"/>
        <v>0</v>
      </c>
      <c r="CI134" s="54">
        <f t="shared" si="75"/>
        <v>0</v>
      </c>
    </row>
    <row r="135" spans="1:87" x14ac:dyDescent="0.3">
      <c r="A135" s="56">
        <v>125</v>
      </c>
      <c r="B135" s="48" t="str">
        <f>IF('I | Capex forecast'!B135="","",'I | Capex forecast'!B135)</f>
        <v/>
      </c>
      <c r="C135" s="48" t="str">
        <f>IF('I | Capex forecast'!C135="","",'I | Capex forecast'!C135)</f>
        <v/>
      </c>
      <c r="D135" s="48" t="str">
        <f>IF('I | Capex forecast'!D135="","",'I | Capex forecast'!D135)</f>
        <v/>
      </c>
      <c r="E135" s="48" t="str">
        <f>IF('I | Capex forecast'!E135="","",'I | Capex forecast'!E135)</f>
        <v/>
      </c>
      <c r="F135" s="48" t="str">
        <f>IF('I | Capex forecast'!F135="","",'I | Capex forecast'!F135)</f>
        <v/>
      </c>
      <c r="G135" s="48" t="str">
        <f>IF('I | Capex forecast'!G135="","",'I | Capex forecast'!G135)</f>
        <v/>
      </c>
      <c r="H135" s="48" t="str">
        <f>IF('I | Capex forecast'!H135="","",'I | Capex forecast'!H135)</f>
        <v/>
      </c>
      <c r="I135" s="48" t="str">
        <f>IF('I | Capex forecast'!I135="","",'I | Capex forecast'!I135)</f>
        <v/>
      </c>
      <c r="J135" s="48" t="str">
        <f>IF('I | Capex forecast'!J135="","",'I | Capex forecast'!J135)</f>
        <v/>
      </c>
      <c r="K135" s="50"/>
      <c r="L135" s="52">
        <f>IFERROR(VLOOKUP($A135,'I | Capex forecast'!$A$11:$AA$160,L$8,0)*INDEX('I | Inflation'!$F$46:$G$49,MATCH($I135,'I | Inflation'!$E$46:$E$49,0),MATCH($H135,'I | Inflation'!$F$45:$G$45,0)),0)</f>
        <v>0</v>
      </c>
      <c r="M135" s="52">
        <f>IFERROR(VLOOKUP($A135,'I | Capex forecast'!$A$11:$AA$160,M$8,0)*INDEX('I | Inflation'!$F$46:$G$49,MATCH($I135,'I | Inflation'!$E$46:$E$49,0),MATCH($H135,'I | Inflation'!$F$45:$G$45,0)),0)</f>
        <v>0</v>
      </c>
      <c r="N135" s="52">
        <f>IFERROR(VLOOKUP($A135,'I | Capex forecast'!$A$11:$AA$160,N$8,0)*INDEX('I | Inflation'!$F$46:$G$49,MATCH($I135,'I | Inflation'!$E$46:$E$49,0),MATCH($H135,'I | Inflation'!$F$45:$G$45,0)),0)</f>
        <v>0</v>
      </c>
      <c r="O135" s="52">
        <f>IFERROR(VLOOKUP($A135,'I | Capex forecast'!$A$11:$AA$160,O$8,0)*INDEX('I | Inflation'!$F$46:$G$49,MATCH($I135,'I | Inflation'!$E$46:$E$49,0),MATCH($H135,'I | Inflation'!$F$45:$G$45,0)),0)</f>
        <v>0</v>
      </c>
      <c r="P135" s="52">
        <f>IFERROR(VLOOKUP($A135,'I | Capex forecast'!$A$11:$AA$160,P$8,0)*INDEX('I | Inflation'!$F$46:$G$49,MATCH($I135,'I | Inflation'!$E$46:$E$49,0),MATCH($H135,'I | Inflation'!$F$45:$G$45,0)),0)</f>
        <v>0</v>
      </c>
      <c r="Q135" s="54">
        <f t="shared" si="86"/>
        <v>0</v>
      </c>
      <c r="R135" s="53"/>
      <c r="S135" s="226">
        <f>L135*VLOOKUP($A135,'I | Capex forecast'!$A$11:$AA$160,S$8,0)</f>
        <v>0</v>
      </c>
      <c r="T135" s="226">
        <f>M135*VLOOKUP($A135,'I | Capex forecast'!$A$11:$AA$160,T$8,0)</f>
        <v>0</v>
      </c>
      <c r="U135" s="226">
        <f>N135*VLOOKUP($A135,'I | Capex forecast'!$A$11:$AA$160,U$8,0)</f>
        <v>0</v>
      </c>
      <c r="V135" s="226">
        <f>O135*VLOOKUP($A135,'I | Capex forecast'!$A$11:$AA$160,V$8,0)</f>
        <v>0</v>
      </c>
      <c r="W135" s="226">
        <f>P135*VLOOKUP($A135,'I | Capex forecast'!$A$11:$AA$160,W$8,0)</f>
        <v>0</v>
      </c>
      <c r="X135" s="54">
        <f t="shared" si="56"/>
        <v>0</v>
      </c>
      <c r="Y135" s="53"/>
      <c r="Z135" s="52">
        <f>S135*(HLOOKUP(Z$10,'I | Inflation'!$E$57:$J$59,3,0)-1)</f>
        <v>0</v>
      </c>
      <c r="AA135" s="52">
        <f>T135*(HLOOKUP(AA$10,'I | Inflation'!$E$57:$J$59,3,0)-1)</f>
        <v>0</v>
      </c>
      <c r="AB135" s="52">
        <f>U135*(HLOOKUP(AB$10,'I | Inflation'!$E$57:$J$59,3,0)-1)</f>
        <v>0</v>
      </c>
      <c r="AC135" s="52">
        <f>V135*(HLOOKUP(AC$10,'I | Inflation'!$E$57:$J$59,3,0)-1)</f>
        <v>0</v>
      </c>
      <c r="AD135" s="52">
        <f>W135*(HLOOKUP(AD$10,'I | Inflation'!$E$57:$J$59,3,0)-1)</f>
        <v>0</v>
      </c>
      <c r="AE135" s="54">
        <f t="shared" si="57"/>
        <v>0</v>
      </c>
      <c r="AF135" s="53"/>
      <c r="AG135" s="226">
        <f t="shared" si="58"/>
        <v>0</v>
      </c>
      <c r="AH135" s="226">
        <f t="shared" si="59"/>
        <v>0</v>
      </c>
      <c r="AI135" s="226">
        <f t="shared" si="60"/>
        <v>0</v>
      </c>
      <c r="AJ135" s="226">
        <f t="shared" si="61"/>
        <v>0</v>
      </c>
      <c r="AK135" s="226">
        <f t="shared" si="62"/>
        <v>0</v>
      </c>
      <c r="AL135" s="54">
        <f t="shared" si="63"/>
        <v>0</v>
      </c>
      <c r="AM135" s="53"/>
      <c r="AN135" s="52"/>
      <c r="AO135" s="52"/>
      <c r="AP135" s="52"/>
      <c r="AQ135" s="52"/>
      <c r="AR135" s="52"/>
      <c r="AS135" s="54">
        <f t="shared" si="64"/>
        <v>0</v>
      </c>
      <c r="AT135" s="53"/>
      <c r="AU135" s="52"/>
      <c r="AV135" s="52"/>
      <c r="AW135" s="52"/>
      <c r="AX135" s="52"/>
      <c r="AY135" s="52"/>
      <c r="AZ135" s="54">
        <f t="shared" si="65"/>
        <v>0</v>
      </c>
      <c r="BA135" s="53"/>
      <c r="BB135" s="52"/>
      <c r="BC135" s="52"/>
      <c r="BD135" s="52"/>
      <c r="BE135" s="52"/>
      <c r="BF135" s="52"/>
      <c r="BG135" s="54">
        <f t="shared" si="66"/>
        <v>0</v>
      </c>
      <c r="BH135" s="53"/>
      <c r="BI135" s="52">
        <f>L135*VLOOKUP($A135,'I | Capex forecast'!$A$11:$AA$160,BI$8,0)</f>
        <v>0</v>
      </c>
      <c r="BJ135" s="52">
        <f>M135*VLOOKUP($A135,'I | Capex forecast'!$A$11:$AA$160,BJ$8,0)</f>
        <v>0</v>
      </c>
      <c r="BK135" s="52">
        <f>N135*VLOOKUP($A135,'I | Capex forecast'!$A$11:$AA$160,BK$8,0)</f>
        <v>0</v>
      </c>
      <c r="BL135" s="52">
        <f>O135*VLOOKUP($A135,'I | Capex forecast'!$A$11:$AA$160,BL$8,0)</f>
        <v>0</v>
      </c>
      <c r="BM135" s="52">
        <f>P135*VLOOKUP($A135,'I | Capex forecast'!$A$11:$AA$160,BM$8,0)</f>
        <v>0</v>
      </c>
      <c r="BN135" s="54">
        <f t="shared" si="67"/>
        <v>0</v>
      </c>
      <c r="BO135" s="53"/>
      <c r="BP135" s="52">
        <f t="shared" si="76"/>
        <v>0</v>
      </c>
      <c r="BQ135" s="52">
        <f t="shared" si="77"/>
        <v>0</v>
      </c>
      <c r="BR135" s="52">
        <f t="shared" si="78"/>
        <v>0</v>
      </c>
      <c r="BS135" s="52">
        <f t="shared" si="79"/>
        <v>0</v>
      </c>
      <c r="BT135" s="52">
        <f t="shared" si="80"/>
        <v>0</v>
      </c>
      <c r="BU135" s="54">
        <f t="shared" si="68"/>
        <v>0</v>
      </c>
      <c r="BW135" s="52">
        <f t="shared" si="81"/>
        <v>0</v>
      </c>
      <c r="BX135" s="52">
        <f t="shared" si="82"/>
        <v>0</v>
      </c>
      <c r="BY135" s="52">
        <f t="shared" si="83"/>
        <v>0</v>
      </c>
      <c r="BZ135" s="52">
        <f t="shared" si="84"/>
        <v>0</v>
      </c>
      <c r="CA135" s="52">
        <f t="shared" si="85"/>
        <v>0</v>
      </c>
      <c r="CB135" s="54">
        <f t="shared" si="69"/>
        <v>0</v>
      </c>
      <c r="CC135" s="53"/>
      <c r="CD135" s="52">
        <f t="shared" si="70"/>
        <v>0</v>
      </c>
      <c r="CE135" s="52">
        <f t="shared" si="71"/>
        <v>0</v>
      </c>
      <c r="CF135" s="52">
        <f t="shared" si="72"/>
        <v>0</v>
      </c>
      <c r="CG135" s="52">
        <f t="shared" si="73"/>
        <v>0</v>
      </c>
      <c r="CH135" s="52">
        <f t="shared" si="74"/>
        <v>0</v>
      </c>
      <c r="CI135" s="54">
        <f t="shared" si="75"/>
        <v>0</v>
      </c>
    </row>
    <row r="136" spans="1:87" x14ac:dyDescent="0.3">
      <c r="A136" s="56">
        <v>126</v>
      </c>
      <c r="B136" s="48" t="str">
        <f>IF('I | Capex forecast'!B136="","",'I | Capex forecast'!B136)</f>
        <v/>
      </c>
      <c r="C136" s="48" t="str">
        <f>IF('I | Capex forecast'!C136="","",'I | Capex forecast'!C136)</f>
        <v/>
      </c>
      <c r="D136" s="48" t="str">
        <f>IF('I | Capex forecast'!D136="","",'I | Capex forecast'!D136)</f>
        <v/>
      </c>
      <c r="E136" s="48" t="str">
        <f>IF('I | Capex forecast'!E136="","",'I | Capex forecast'!E136)</f>
        <v/>
      </c>
      <c r="F136" s="48" t="str">
        <f>IF('I | Capex forecast'!F136="","",'I | Capex forecast'!F136)</f>
        <v/>
      </c>
      <c r="G136" s="48" t="str">
        <f>IF('I | Capex forecast'!G136="","",'I | Capex forecast'!G136)</f>
        <v/>
      </c>
      <c r="H136" s="48" t="str">
        <f>IF('I | Capex forecast'!H136="","",'I | Capex forecast'!H136)</f>
        <v/>
      </c>
      <c r="I136" s="48" t="str">
        <f>IF('I | Capex forecast'!I136="","",'I | Capex forecast'!I136)</f>
        <v/>
      </c>
      <c r="J136" s="48" t="str">
        <f>IF('I | Capex forecast'!J136="","",'I | Capex forecast'!J136)</f>
        <v/>
      </c>
      <c r="K136" s="50"/>
      <c r="L136" s="52">
        <f>IFERROR(VLOOKUP($A136,'I | Capex forecast'!$A$11:$AA$160,L$8,0)*INDEX('I | Inflation'!$F$46:$G$49,MATCH($I136,'I | Inflation'!$E$46:$E$49,0),MATCH($H136,'I | Inflation'!$F$45:$G$45,0)),0)</f>
        <v>0</v>
      </c>
      <c r="M136" s="52">
        <f>IFERROR(VLOOKUP($A136,'I | Capex forecast'!$A$11:$AA$160,M$8,0)*INDEX('I | Inflation'!$F$46:$G$49,MATCH($I136,'I | Inflation'!$E$46:$E$49,0),MATCH($H136,'I | Inflation'!$F$45:$G$45,0)),0)</f>
        <v>0</v>
      </c>
      <c r="N136" s="52">
        <f>IFERROR(VLOOKUP($A136,'I | Capex forecast'!$A$11:$AA$160,N$8,0)*INDEX('I | Inflation'!$F$46:$G$49,MATCH($I136,'I | Inflation'!$E$46:$E$49,0),MATCH($H136,'I | Inflation'!$F$45:$G$45,0)),0)</f>
        <v>0</v>
      </c>
      <c r="O136" s="52">
        <f>IFERROR(VLOOKUP($A136,'I | Capex forecast'!$A$11:$AA$160,O$8,0)*INDEX('I | Inflation'!$F$46:$G$49,MATCH($I136,'I | Inflation'!$E$46:$E$49,0),MATCH($H136,'I | Inflation'!$F$45:$G$45,0)),0)</f>
        <v>0</v>
      </c>
      <c r="P136" s="52">
        <f>IFERROR(VLOOKUP($A136,'I | Capex forecast'!$A$11:$AA$160,P$8,0)*INDEX('I | Inflation'!$F$46:$G$49,MATCH($I136,'I | Inflation'!$E$46:$E$49,0),MATCH($H136,'I | Inflation'!$F$45:$G$45,0)),0)</f>
        <v>0</v>
      </c>
      <c r="Q136" s="54">
        <f t="shared" si="86"/>
        <v>0</v>
      </c>
      <c r="R136" s="53"/>
      <c r="S136" s="226">
        <f>L136*VLOOKUP($A136,'I | Capex forecast'!$A$11:$AA$160,S$8,0)</f>
        <v>0</v>
      </c>
      <c r="T136" s="226">
        <f>M136*VLOOKUP($A136,'I | Capex forecast'!$A$11:$AA$160,T$8,0)</f>
        <v>0</v>
      </c>
      <c r="U136" s="226">
        <f>N136*VLOOKUP($A136,'I | Capex forecast'!$A$11:$AA$160,U$8,0)</f>
        <v>0</v>
      </c>
      <c r="V136" s="226">
        <f>O136*VLOOKUP($A136,'I | Capex forecast'!$A$11:$AA$160,V$8,0)</f>
        <v>0</v>
      </c>
      <c r="W136" s="226">
        <f>P136*VLOOKUP($A136,'I | Capex forecast'!$A$11:$AA$160,W$8,0)</f>
        <v>0</v>
      </c>
      <c r="X136" s="54">
        <f t="shared" si="56"/>
        <v>0</v>
      </c>
      <c r="Y136" s="53"/>
      <c r="Z136" s="52">
        <f>S136*(HLOOKUP(Z$10,'I | Inflation'!$E$57:$J$59,3,0)-1)</f>
        <v>0</v>
      </c>
      <c r="AA136" s="52">
        <f>T136*(HLOOKUP(AA$10,'I | Inflation'!$E$57:$J$59,3,0)-1)</f>
        <v>0</v>
      </c>
      <c r="AB136" s="52">
        <f>U136*(HLOOKUP(AB$10,'I | Inflation'!$E$57:$J$59,3,0)-1)</f>
        <v>0</v>
      </c>
      <c r="AC136" s="52">
        <f>V136*(HLOOKUP(AC$10,'I | Inflation'!$E$57:$J$59,3,0)-1)</f>
        <v>0</v>
      </c>
      <c r="AD136" s="52">
        <f>W136*(HLOOKUP(AD$10,'I | Inflation'!$E$57:$J$59,3,0)-1)</f>
        <v>0</v>
      </c>
      <c r="AE136" s="54">
        <f t="shared" si="57"/>
        <v>0</v>
      </c>
      <c r="AF136" s="53"/>
      <c r="AG136" s="226">
        <f t="shared" si="58"/>
        <v>0</v>
      </c>
      <c r="AH136" s="226">
        <f t="shared" si="59"/>
        <v>0</v>
      </c>
      <c r="AI136" s="226">
        <f t="shared" si="60"/>
        <v>0</v>
      </c>
      <c r="AJ136" s="226">
        <f t="shared" si="61"/>
        <v>0</v>
      </c>
      <c r="AK136" s="226">
        <f t="shared" si="62"/>
        <v>0</v>
      </c>
      <c r="AL136" s="54">
        <f t="shared" si="63"/>
        <v>0</v>
      </c>
      <c r="AM136" s="53"/>
      <c r="AN136" s="52"/>
      <c r="AO136" s="52"/>
      <c r="AP136" s="52"/>
      <c r="AQ136" s="52"/>
      <c r="AR136" s="52"/>
      <c r="AS136" s="54">
        <f t="shared" si="64"/>
        <v>0</v>
      </c>
      <c r="AT136" s="53"/>
      <c r="AU136" s="52"/>
      <c r="AV136" s="52"/>
      <c r="AW136" s="52"/>
      <c r="AX136" s="52"/>
      <c r="AY136" s="52"/>
      <c r="AZ136" s="54">
        <f t="shared" si="65"/>
        <v>0</v>
      </c>
      <c r="BA136" s="53"/>
      <c r="BB136" s="52"/>
      <c r="BC136" s="52"/>
      <c r="BD136" s="52"/>
      <c r="BE136" s="52"/>
      <c r="BF136" s="52"/>
      <c r="BG136" s="54">
        <f t="shared" si="66"/>
        <v>0</v>
      </c>
      <c r="BH136" s="53"/>
      <c r="BI136" s="52">
        <f>L136*VLOOKUP($A136,'I | Capex forecast'!$A$11:$AA$160,BI$8,0)</f>
        <v>0</v>
      </c>
      <c r="BJ136" s="52">
        <f>M136*VLOOKUP($A136,'I | Capex forecast'!$A$11:$AA$160,BJ$8,0)</f>
        <v>0</v>
      </c>
      <c r="BK136" s="52">
        <f>N136*VLOOKUP($A136,'I | Capex forecast'!$A$11:$AA$160,BK$8,0)</f>
        <v>0</v>
      </c>
      <c r="BL136" s="52">
        <f>O136*VLOOKUP($A136,'I | Capex forecast'!$A$11:$AA$160,BL$8,0)</f>
        <v>0</v>
      </c>
      <c r="BM136" s="52">
        <f>P136*VLOOKUP($A136,'I | Capex forecast'!$A$11:$AA$160,BM$8,0)</f>
        <v>0</v>
      </c>
      <c r="BN136" s="54">
        <f t="shared" si="67"/>
        <v>0</v>
      </c>
      <c r="BO136" s="53"/>
      <c r="BP136" s="52">
        <f t="shared" si="76"/>
        <v>0</v>
      </c>
      <c r="BQ136" s="52">
        <f t="shared" si="77"/>
        <v>0</v>
      </c>
      <c r="BR136" s="52">
        <f t="shared" si="78"/>
        <v>0</v>
      </c>
      <c r="BS136" s="52">
        <f t="shared" si="79"/>
        <v>0</v>
      </c>
      <c r="BT136" s="52">
        <f t="shared" si="80"/>
        <v>0</v>
      </c>
      <c r="BU136" s="54">
        <f t="shared" si="68"/>
        <v>0</v>
      </c>
      <c r="BW136" s="52">
        <f t="shared" si="81"/>
        <v>0</v>
      </c>
      <c r="BX136" s="52">
        <f t="shared" si="82"/>
        <v>0</v>
      </c>
      <c r="BY136" s="52">
        <f t="shared" si="83"/>
        <v>0</v>
      </c>
      <c r="BZ136" s="52">
        <f t="shared" si="84"/>
        <v>0</v>
      </c>
      <c r="CA136" s="52">
        <f t="shared" si="85"/>
        <v>0</v>
      </c>
      <c r="CB136" s="54">
        <f t="shared" si="69"/>
        <v>0</v>
      </c>
      <c r="CC136" s="53"/>
      <c r="CD136" s="52">
        <f t="shared" si="70"/>
        <v>0</v>
      </c>
      <c r="CE136" s="52">
        <f t="shared" si="71"/>
        <v>0</v>
      </c>
      <c r="CF136" s="52">
        <f t="shared" si="72"/>
        <v>0</v>
      </c>
      <c r="CG136" s="52">
        <f t="shared" si="73"/>
        <v>0</v>
      </c>
      <c r="CH136" s="52">
        <f t="shared" si="74"/>
        <v>0</v>
      </c>
      <c r="CI136" s="54">
        <f t="shared" si="75"/>
        <v>0</v>
      </c>
    </row>
    <row r="137" spans="1:87" x14ac:dyDescent="0.3">
      <c r="A137" s="56">
        <v>127</v>
      </c>
      <c r="B137" s="48" t="str">
        <f>IF('I | Capex forecast'!B137="","",'I | Capex forecast'!B137)</f>
        <v/>
      </c>
      <c r="C137" s="48" t="str">
        <f>IF('I | Capex forecast'!C137="","",'I | Capex forecast'!C137)</f>
        <v/>
      </c>
      <c r="D137" s="48" t="str">
        <f>IF('I | Capex forecast'!D137="","",'I | Capex forecast'!D137)</f>
        <v/>
      </c>
      <c r="E137" s="48" t="str">
        <f>IF('I | Capex forecast'!E137="","",'I | Capex forecast'!E137)</f>
        <v/>
      </c>
      <c r="F137" s="48" t="str">
        <f>IF('I | Capex forecast'!F137="","",'I | Capex forecast'!F137)</f>
        <v/>
      </c>
      <c r="G137" s="48" t="str">
        <f>IF('I | Capex forecast'!G137="","",'I | Capex forecast'!G137)</f>
        <v/>
      </c>
      <c r="H137" s="48" t="str">
        <f>IF('I | Capex forecast'!H137="","",'I | Capex forecast'!H137)</f>
        <v/>
      </c>
      <c r="I137" s="48" t="str">
        <f>IF('I | Capex forecast'!I137="","",'I | Capex forecast'!I137)</f>
        <v/>
      </c>
      <c r="J137" s="48" t="str">
        <f>IF('I | Capex forecast'!J137="","",'I | Capex forecast'!J137)</f>
        <v/>
      </c>
      <c r="K137" s="50"/>
      <c r="L137" s="52">
        <f>IFERROR(VLOOKUP($A137,'I | Capex forecast'!$A$11:$AA$160,L$8,0)*INDEX('I | Inflation'!$F$46:$G$49,MATCH($I137,'I | Inflation'!$E$46:$E$49,0),MATCH($H137,'I | Inflation'!$F$45:$G$45,0)),0)</f>
        <v>0</v>
      </c>
      <c r="M137" s="52">
        <f>IFERROR(VLOOKUP($A137,'I | Capex forecast'!$A$11:$AA$160,M$8,0)*INDEX('I | Inflation'!$F$46:$G$49,MATCH($I137,'I | Inflation'!$E$46:$E$49,0),MATCH($H137,'I | Inflation'!$F$45:$G$45,0)),0)</f>
        <v>0</v>
      </c>
      <c r="N137" s="52">
        <f>IFERROR(VLOOKUP($A137,'I | Capex forecast'!$A$11:$AA$160,N$8,0)*INDEX('I | Inflation'!$F$46:$G$49,MATCH($I137,'I | Inflation'!$E$46:$E$49,0),MATCH($H137,'I | Inflation'!$F$45:$G$45,0)),0)</f>
        <v>0</v>
      </c>
      <c r="O137" s="52">
        <f>IFERROR(VLOOKUP($A137,'I | Capex forecast'!$A$11:$AA$160,O$8,0)*INDEX('I | Inflation'!$F$46:$G$49,MATCH($I137,'I | Inflation'!$E$46:$E$49,0),MATCH($H137,'I | Inflation'!$F$45:$G$45,0)),0)</f>
        <v>0</v>
      </c>
      <c r="P137" s="52">
        <f>IFERROR(VLOOKUP($A137,'I | Capex forecast'!$A$11:$AA$160,P$8,0)*INDEX('I | Inflation'!$F$46:$G$49,MATCH($I137,'I | Inflation'!$E$46:$E$49,0),MATCH($H137,'I | Inflation'!$F$45:$G$45,0)),0)</f>
        <v>0</v>
      </c>
      <c r="Q137" s="54">
        <f t="shared" si="86"/>
        <v>0</v>
      </c>
      <c r="R137" s="53"/>
      <c r="S137" s="226">
        <f>L137*VLOOKUP($A137,'I | Capex forecast'!$A$11:$AA$160,S$8,0)</f>
        <v>0</v>
      </c>
      <c r="T137" s="226">
        <f>M137*VLOOKUP($A137,'I | Capex forecast'!$A$11:$AA$160,T$8,0)</f>
        <v>0</v>
      </c>
      <c r="U137" s="226">
        <f>N137*VLOOKUP($A137,'I | Capex forecast'!$A$11:$AA$160,U$8,0)</f>
        <v>0</v>
      </c>
      <c r="V137" s="226">
        <f>O137*VLOOKUP($A137,'I | Capex forecast'!$A$11:$AA$160,V$8,0)</f>
        <v>0</v>
      </c>
      <c r="W137" s="226">
        <f>P137*VLOOKUP($A137,'I | Capex forecast'!$A$11:$AA$160,W$8,0)</f>
        <v>0</v>
      </c>
      <c r="X137" s="54">
        <f t="shared" si="56"/>
        <v>0</v>
      </c>
      <c r="Y137" s="53"/>
      <c r="Z137" s="52">
        <f>S137*(HLOOKUP(Z$10,'I | Inflation'!$E$57:$J$59,3,0)-1)</f>
        <v>0</v>
      </c>
      <c r="AA137" s="52">
        <f>T137*(HLOOKUP(AA$10,'I | Inflation'!$E$57:$J$59,3,0)-1)</f>
        <v>0</v>
      </c>
      <c r="AB137" s="52">
        <f>U137*(HLOOKUP(AB$10,'I | Inflation'!$E$57:$J$59,3,0)-1)</f>
        <v>0</v>
      </c>
      <c r="AC137" s="52">
        <f>V137*(HLOOKUP(AC$10,'I | Inflation'!$E$57:$J$59,3,0)-1)</f>
        <v>0</v>
      </c>
      <c r="AD137" s="52">
        <f>W137*(HLOOKUP(AD$10,'I | Inflation'!$E$57:$J$59,3,0)-1)</f>
        <v>0</v>
      </c>
      <c r="AE137" s="54">
        <f t="shared" si="57"/>
        <v>0</v>
      </c>
      <c r="AF137" s="53"/>
      <c r="AG137" s="226">
        <f t="shared" si="58"/>
        <v>0</v>
      </c>
      <c r="AH137" s="226">
        <f t="shared" si="59"/>
        <v>0</v>
      </c>
      <c r="AI137" s="226">
        <f t="shared" si="60"/>
        <v>0</v>
      </c>
      <c r="AJ137" s="226">
        <f t="shared" si="61"/>
        <v>0</v>
      </c>
      <c r="AK137" s="226">
        <f t="shared" si="62"/>
        <v>0</v>
      </c>
      <c r="AL137" s="54">
        <f t="shared" si="63"/>
        <v>0</v>
      </c>
      <c r="AM137" s="53"/>
      <c r="AN137" s="52"/>
      <c r="AO137" s="52"/>
      <c r="AP137" s="52"/>
      <c r="AQ137" s="52"/>
      <c r="AR137" s="52"/>
      <c r="AS137" s="54">
        <f t="shared" si="64"/>
        <v>0</v>
      </c>
      <c r="AT137" s="53"/>
      <c r="AU137" s="52"/>
      <c r="AV137" s="52"/>
      <c r="AW137" s="52"/>
      <c r="AX137" s="52"/>
      <c r="AY137" s="52"/>
      <c r="AZ137" s="54">
        <f t="shared" si="65"/>
        <v>0</v>
      </c>
      <c r="BA137" s="53"/>
      <c r="BB137" s="52"/>
      <c r="BC137" s="52"/>
      <c r="BD137" s="52"/>
      <c r="BE137" s="52"/>
      <c r="BF137" s="52"/>
      <c r="BG137" s="54">
        <f t="shared" si="66"/>
        <v>0</v>
      </c>
      <c r="BH137" s="53"/>
      <c r="BI137" s="52">
        <f>L137*VLOOKUP($A137,'I | Capex forecast'!$A$11:$AA$160,BI$8,0)</f>
        <v>0</v>
      </c>
      <c r="BJ137" s="52">
        <f>M137*VLOOKUP($A137,'I | Capex forecast'!$A$11:$AA$160,BJ$8,0)</f>
        <v>0</v>
      </c>
      <c r="BK137" s="52">
        <f>N137*VLOOKUP($A137,'I | Capex forecast'!$A$11:$AA$160,BK$8,0)</f>
        <v>0</v>
      </c>
      <c r="BL137" s="52">
        <f>O137*VLOOKUP($A137,'I | Capex forecast'!$A$11:$AA$160,BL$8,0)</f>
        <v>0</v>
      </c>
      <c r="BM137" s="52">
        <f>P137*VLOOKUP($A137,'I | Capex forecast'!$A$11:$AA$160,BM$8,0)</f>
        <v>0</v>
      </c>
      <c r="BN137" s="54">
        <f t="shared" si="67"/>
        <v>0</v>
      </c>
      <c r="BO137" s="53"/>
      <c r="BP137" s="52">
        <f t="shared" si="76"/>
        <v>0</v>
      </c>
      <c r="BQ137" s="52">
        <f t="shared" si="77"/>
        <v>0</v>
      </c>
      <c r="BR137" s="52">
        <f t="shared" si="78"/>
        <v>0</v>
      </c>
      <c r="BS137" s="52">
        <f t="shared" si="79"/>
        <v>0</v>
      </c>
      <c r="BT137" s="52">
        <f t="shared" si="80"/>
        <v>0</v>
      </c>
      <c r="BU137" s="54">
        <f t="shared" si="68"/>
        <v>0</v>
      </c>
      <c r="BW137" s="52">
        <f t="shared" si="81"/>
        <v>0</v>
      </c>
      <c r="BX137" s="52">
        <f t="shared" si="82"/>
        <v>0</v>
      </c>
      <c r="BY137" s="52">
        <f t="shared" si="83"/>
        <v>0</v>
      </c>
      <c r="BZ137" s="52">
        <f t="shared" si="84"/>
        <v>0</v>
      </c>
      <c r="CA137" s="52">
        <f t="shared" si="85"/>
        <v>0</v>
      </c>
      <c r="CB137" s="54">
        <f t="shared" si="69"/>
        <v>0</v>
      </c>
      <c r="CC137" s="53"/>
      <c r="CD137" s="52">
        <f t="shared" si="70"/>
        <v>0</v>
      </c>
      <c r="CE137" s="52">
        <f t="shared" si="71"/>
        <v>0</v>
      </c>
      <c r="CF137" s="52">
        <f t="shared" si="72"/>
        <v>0</v>
      </c>
      <c r="CG137" s="52">
        <f t="shared" si="73"/>
        <v>0</v>
      </c>
      <c r="CH137" s="52">
        <f t="shared" si="74"/>
        <v>0</v>
      </c>
      <c r="CI137" s="54">
        <f t="shared" si="75"/>
        <v>0</v>
      </c>
    </row>
    <row r="138" spans="1:87" x14ac:dyDescent="0.3">
      <c r="A138" s="56">
        <v>128</v>
      </c>
      <c r="B138" s="48" t="str">
        <f>IF('I | Capex forecast'!B138="","",'I | Capex forecast'!B138)</f>
        <v/>
      </c>
      <c r="C138" s="48" t="str">
        <f>IF('I | Capex forecast'!C138="","",'I | Capex forecast'!C138)</f>
        <v/>
      </c>
      <c r="D138" s="48" t="str">
        <f>IF('I | Capex forecast'!D138="","",'I | Capex forecast'!D138)</f>
        <v/>
      </c>
      <c r="E138" s="48" t="str">
        <f>IF('I | Capex forecast'!E138="","",'I | Capex forecast'!E138)</f>
        <v/>
      </c>
      <c r="F138" s="48" t="str">
        <f>IF('I | Capex forecast'!F138="","",'I | Capex forecast'!F138)</f>
        <v/>
      </c>
      <c r="G138" s="48" t="str">
        <f>IF('I | Capex forecast'!G138="","",'I | Capex forecast'!G138)</f>
        <v/>
      </c>
      <c r="H138" s="48" t="str">
        <f>IF('I | Capex forecast'!H138="","",'I | Capex forecast'!H138)</f>
        <v/>
      </c>
      <c r="I138" s="48" t="str">
        <f>IF('I | Capex forecast'!I138="","",'I | Capex forecast'!I138)</f>
        <v/>
      </c>
      <c r="J138" s="48" t="str">
        <f>IF('I | Capex forecast'!J138="","",'I | Capex forecast'!J138)</f>
        <v/>
      </c>
      <c r="K138" s="50"/>
      <c r="L138" s="52">
        <f>IFERROR(VLOOKUP($A138,'I | Capex forecast'!$A$11:$AA$160,L$8,0)*INDEX('I | Inflation'!$F$46:$G$49,MATCH($I138,'I | Inflation'!$E$46:$E$49,0),MATCH($H138,'I | Inflation'!$F$45:$G$45,0)),0)</f>
        <v>0</v>
      </c>
      <c r="M138" s="52">
        <f>IFERROR(VLOOKUP($A138,'I | Capex forecast'!$A$11:$AA$160,M$8,0)*INDEX('I | Inflation'!$F$46:$G$49,MATCH($I138,'I | Inflation'!$E$46:$E$49,0),MATCH($H138,'I | Inflation'!$F$45:$G$45,0)),0)</f>
        <v>0</v>
      </c>
      <c r="N138" s="52">
        <f>IFERROR(VLOOKUP($A138,'I | Capex forecast'!$A$11:$AA$160,N$8,0)*INDEX('I | Inflation'!$F$46:$G$49,MATCH($I138,'I | Inflation'!$E$46:$E$49,0),MATCH($H138,'I | Inflation'!$F$45:$G$45,0)),0)</f>
        <v>0</v>
      </c>
      <c r="O138" s="52">
        <f>IFERROR(VLOOKUP($A138,'I | Capex forecast'!$A$11:$AA$160,O$8,0)*INDEX('I | Inflation'!$F$46:$G$49,MATCH($I138,'I | Inflation'!$E$46:$E$49,0),MATCH($H138,'I | Inflation'!$F$45:$G$45,0)),0)</f>
        <v>0</v>
      </c>
      <c r="P138" s="52">
        <f>IFERROR(VLOOKUP($A138,'I | Capex forecast'!$A$11:$AA$160,P$8,0)*INDEX('I | Inflation'!$F$46:$G$49,MATCH($I138,'I | Inflation'!$E$46:$E$49,0),MATCH($H138,'I | Inflation'!$F$45:$G$45,0)),0)</f>
        <v>0</v>
      </c>
      <c r="Q138" s="54">
        <f t="shared" si="86"/>
        <v>0</v>
      </c>
      <c r="R138" s="53"/>
      <c r="S138" s="226">
        <f>L138*VLOOKUP($A138,'I | Capex forecast'!$A$11:$AA$160,S$8,0)</f>
        <v>0</v>
      </c>
      <c r="T138" s="226">
        <f>M138*VLOOKUP($A138,'I | Capex forecast'!$A$11:$AA$160,T$8,0)</f>
        <v>0</v>
      </c>
      <c r="U138" s="226">
        <f>N138*VLOOKUP($A138,'I | Capex forecast'!$A$11:$AA$160,U$8,0)</f>
        <v>0</v>
      </c>
      <c r="V138" s="226">
        <f>O138*VLOOKUP($A138,'I | Capex forecast'!$A$11:$AA$160,V$8,0)</f>
        <v>0</v>
      </c>
      <c r="W138" s="226">
        <f>P138*VLOOKUP($A138,'I | Capex forecast'!$A$11:$AA$160,W$8,0)</f>
        <v>0</v>
      </c>
      <c r="X138" s="54">
        <f t="shared" si="56"/>
        <v>0</v>
      </c>
      <c r="Y138" s="53"/>
      <c r="Z138" s="52">
        <f>S138*(HLOOKUP(Z$10,'I | Inflation'!$E$57:$J$59,3,0)-1)</f>
        <v>0</v>
      </c>
      <c r="AA138" s="52">
        <f>T138*(HLOOKUP(AA$10,'I | Inflation'!$E$57:$J$59,3,0)-1)</f>
        <v>0</v>
      </c>
      <c r="AB138" s="52">
        <f>U138*(HLOOKUP(AB$10,'I | Inflation'!$E$57:$J$59,3,0)-1)</f>
        <v>0</v>
      </c>
      <c r="AC138" s="52">
        <f>V138*(HLOOKUP(AC$10,'I | Inflation'!$E$57:$J$59,3,0)-1)</f>
        <v>0</v>
      </c>
      <c r="AD138" s="52">
        <f>W138*(HLOOKUP(AD$10,'I | Inflation'!$E$57:$J$59,3,0)-1)</f>
        <v>0</v>
      </c>
      <c r="AE138" s="54">
        <f t="shared" si="57"/>
        <v>0</v>
      </c>
      <c r="AF138" s="53"/>
      <c r="AG138" s="226">
        <f t="shared" si="58"/>
        <v>0</v>
      </c>
      <c r="AH138" s="226">
        <f t="shared" si="59"/>
        <v>0</v>
      </c>
      <c r="AI138" s="226">
        <f t="shared" si="60"/>
        <v>0</v>
      </c>
      <c r="AJ138" s="226">
        <f t="shared" si="61"/>
        <v>0</v>
      </c>
      <c r="AK138" s="226">
        <f t="shared" si="62"/>
        <v>0</v>
      </c>
      <c r="AL138" s="54">
        <f t="shared" si="63"/>
        <v>0</v>
      </c>
      <c r="AM138" s="53"/>
      <c r="AN138" s="52"/>
      <c r="AO138" s="52"/>
      <c r="AP138" s="52"/>
      <c r="AQ138" s="52"/>
      <c r="AR138" s="52"/>
      <c r="AS138" s="54">
        <f t="shared" si="64"/>
        <v>0</v>
      </c>
      <c r="AT138" s="53"/>
      <c r="AU138" s="52"/>
      <c r="AV138" s="52"/>
      <c r="AW138" s="52"/>
      <c r="AX138" s="52"/>
      <c r="AY138" s="52"/>
      <c r="AZ138" s="54">
        <f t="shared" si="65"/>
        <v>0</v>
      </c>
      <c r="BA138" s="53"/>
      <c r="BB138" s="52"/>
      <c r="BC138" s="52"/>
      <c r="BD138" s="52"/>
      <c r="BE138" s="52"/>
      <c r="BF138" s="52"/>
      <c r="BG138" s="54">
        <f t="shared" si="66"/>
        <v>0</v>
      </c>
      <c r="BH138" s="53"/>
      <c r="BI138" s="52">
        <f>L138*VLOOKUP($A138,'I | Capex forecast'!$A$11:$AA$160,BI$8,0)</f>
        <v>0</v>
      </c>
      <c r="BJ138" s="52">
        <f>M138*VLOOKUP($A138,'I | Capex forecast'!$A$11:$AA$160,BJ$8,0)</f>
        <v>0</v>
      </c>
      <c r="BK138" s="52">
        <f>N138*VLOOKUP($A138,'I | Capex forecast'!$A$11:$AA$160,BK$8,0)</f>
        <v>0</v>
      </c>
      <c r="BL138" s="52">
        <f>O138*VLOOKUP($A138,'I | Capex forecast'!$A$11:$AA$160,BL$8,0)</f>
        <v>0</v>
      </c>
      <c r="BM138" s="52">
        <f>P138*VLOOKUP($A138,'I | Capex forecast'!$A$11:$AA$160,BM$8,0)</f>
        <v>0</v>
      </c>
      <c r="BN138" s="54">
        <f t="shared" si="67"/>
        <v>0</v>
      </c>
      <c r="BO138" s="53"/>
      <c r="BP138" s="52">
        <f t="shared" si="76"/>
        <v>0</v>
      </c>
      <c r="BQ138" s="52">
        <f t="shared" si="77"/>
        <v>0</v>
      </c>
      <c r="BR138" s="52">
        <f t="shared" si="78"/>
        <v>0</v>
      </c>
      <c r="BS138" s="52">
        <f t="shared" si="79"/>
        <v>0</v>
      </c>
      <c r="BT138" s="52">
        <f t="shared" si="80"/>
        <v>0</v>
      </c>
      <c r="BU138" s="54">
        <f t="shared" si="68"/>
        <v>0</v>
      </c>
      <c r="BW138" s="52">
        <f t="shared" si="81"/>
        <v>0</v>
      </c>
      <c r="BX138" s="52">
        <f t="shared" si="82"/>
        <v>0</v>
      </c>
      <c r="BY138" s="52">
        <f t="shared" si="83"/>
        <v>0</v>
      </c>
      <c r="BZ138" s="52">
        <f t="shared" si="84"/>
        <v>0</v>
      </c>
      <c r="CA138" s="52">
        <f t="shared" si="85"/>
        <v>0</v>
      </c>
      <c r="CB138" s="54">
        <f t="shared" si="69"/>
        <v>0</v>
      </c>
      <c r="CC138" s="53"/>
      <c r="CD138" s="52">
        <f t="shared" si="70"/>
        <v>0</v>
      </c>
      <c r="CE138" s="52">
        <f t="shared" si="71"/>
        <v>0</v>
      </c>
      <c r="CF138" s="52">
        <f t="shared" si="72"/>
        <v>0</v>
      </c>
      <c r="CG138" s="52">
        <f t="shared" si="73"/>
        <v>0</v>
      </c>
      <c r="CH138" s="52">
        <f t="shared" si="74"/>
        <v>0</v>
      </c>
      <c r="CI138" s="54">
        <f t="shared" si="75"/>
        <v>0</v>
      </c>
    </row>
    <row r="139" spans="1:87" x14ac:dyDescent="0.3">
      <c r="A139" s="56">
        <v>129</v>
      </c>
      <c r="B139" s="48" t="str">
        <f>IF('I | Capex forecast'!B139="","",'I | Capex forecast'!B139)</f>
        <v/>
      </c>
      <c r="C139" s="48" t="str">
        <f>IF('I | Capex forecast'!C139="","",'I | Capex forecast'!C139)</f>
        <v/>
      </c>
      <c r="D139" s="48" t="str">
        <f>IF('I | Capex forecast'!D139="","",'I | Capex forecast'!D139)</f>
        <v/>
      </c>
      <c r="E139" s="48" t="str">
        <f>IF('I | Capex forecast'!E139="","",'I | Capex forecast'!E139)</f>
        <v/>
      </c>
      <c r="F139" s="48" t="str">
        <f>IF('I | Capex forecast'!F139="","",'I | Capex forecast'!F139)</f>
        <v/>
      </c>
      <c r="G139" s="48" t="str">
        <f>IF('I | Capex forecast'!G139="","",'I | Capex forecast'!G139)</f>
        <v/>
      </c>
      <c r="H139" s="48" t="str">
        <f>IF('I | Capex forecast'!H139="","",'I | Capex forecast'!H139)</f>
        <v/>
      </c>
      <c r="I139" s="48" t="str">
        <f>IF('I | Capex forecast'!I139="","",'I | Capex forecast'!I139)</f>
        <v/>
      </c>
      <c r="J139" s="48" t="str">
        <f>IF('I | Capex forecast'!J139="","",'I | Capex forecast'!J139)</f>
        <v/>
      </c>
      <c r="K139" s="50"/>
      <c r="L139" s="52">
        <f>IFERROR(VLOOKUP($A139,'I | Capex forecast'!$A$11:$AA$160,L$8,0)*INDEX('I | Inflation'!$F$46:$G$49,MATCH($I139,'I | Inflation'!$E$46:$E$49,0),MATCH($H139,'I | Inflation'!$F$45:$G$45,0)),0)</f>
        <v>0</v>
      </c>
      <c r="M139" s="52">
        <f>IFERROR(VLOOKUP($A139,'I | Capex forecast'!$A$11:$AA$160,M$8,0)*INDEX('I | Inflation'!$F$46:$G$49,MATCH($I139,'I | Inflation'!$E$46:$E$49,0),MATCH($H139,'I | Inflation'!$F$45:$G$45,0)),0)</f>
        <v>0</v>
      </c>
      <c r="N139" s="52">
        <f>IFERROR(VLOOKUP($A139,'I | Capex forecast'!$A$11:$AA$160,N$8,0)*INDEX('I | Inflation'!$F$46:$G$49,MATCH($I139,'I | Inflation'!$E$46:$E$49,0),MATCH($H139,'I | Inflation'!$F$45:$G$45,0)),0)</f>
        <v>0</v>
      </c>
      <c r="O139" s="52">
        <f>IFERROR(VLOOKUP($A139,'I | Capex forecast'!$A$11:$AA$160,O$8,0)*INDEX('I | Inflation'!$F$46:$G$49,MATCH($I139,'I | Inflation'!$E$46:$E$49,0),MATCH($H139,'I | Inflation'!$F$45:$G$45,0)),0)</f>
        <v>0</v>
      </c>
      <c r="P139" s="52">
        <f>IFERROR(VLOOKUP($A139,'I | Capex forecast'!$A$11:$AA$160,P$8,0)*INDEX('I | Inflation'!$F$46:$G$49,MATCH($I139,'I | Inflation'!$E$46:$E$49,0),MATCH($H139,'I | Inflation'!$F$45:$G$45,0)),0)</f>
        <v>0</v>
      </c>
      <c r="Q139" s="54">
        <f t="shared" si="86"/>
        <v>0</v>
      </c>
      <c r="R139" s="53"/>
      <c r="S139" s="226">
        <f>L139*VLOOKUP($A139,'I | Capex forecast'!$A$11:$AA$160,S$8,0)</f>
        <v>0</v>
      </c>
      <c r="T139" s="226">
        <f>M139*VLOOKUP($A139,'I | Capex forecast'!$A$11:$AA$160,T$8,0)</f>
        <v>0</v>
      </c>
      <c r="U139" s="226">
        <f>N139*VLOOKUP($A139,'I | Capex forecast'!$A$11:$AA$160,U$8,0)</f>
        <v>0</v>
      </c>
      <c r="V139" s="226">
        <f>O139*VLOOKUP($A139,'I | Capex forecast'!$A$11:$AA$160,V$8,0)</f>
        <v>0</v>
      </c>
      <c r="W139" s="226">
        <f>P139*VLOOKUP($A139,'I | Capex forecast'!$A$11:$AA$160,W$8,0)</f>
        <v>0</v>
      </c>
      <c r="X139" s="54">
        <f t="shared" si="56"/>
        <v>0</v>
      </c>
      <c r="Y139" s="53"/>
      <c r="Z139" s="52">
        <f>S139*(HLOOKUP(Z$10,'I | Inflation'!$E$57:$J$59,3,0)-1)</f>
        <v>0</v>
      </c>
      <c r="AA139" s="52">
        <f>T139*(HLOOKUP(AA$10,'I | Inflation'!$E$57:$J$59,3,0)-1)</f>
        <v>0</v>
      </c>
      <c r="AB139" s="52">
        <f>U139*(HLOOKUP(AB$10,'I | Inflation'!$E$57:$J$59,3,0)-1)</f>
        <v>0</v>
      </c>
      <c r="AC139" s="52">
        <f>V139*(HLOOKUP(AC$10,'I | Inflation'!$E$57:$J$59,3,0)-1)</f>
        <v>0</v>
      </c>
      <c r="AD139" s="52">
        <f>W139*(HLOOKUP(AD$10,'I | Inflation'!$E$57:$J$59,3,0)-1)</f>
        <v>0</v>
      </c>
      <c r="AE139" s="54">
        <f t="shared" si="57"/>
        <v>0</v>
      </c>
      <c r="AF139" s="53"/>
      <c r="AG139" s="226">
        <f t="shared" si="58"/>
        <v>0</v>
      </c>
      <c r="AH139" s="226">
        <f t="shared" si="59"/>
        <v>0</v>
      </c>
      <c r="AI139" s="226">
        <f t="shared" si="60"/>
        <v>0</v>
      </c>
      <c r="AJ139" s="226">
        <f t="shared" si="61"/>
        <v>0</v>
      </c>
      <c r="AK139" s="226">
        <f t="shared" si="62"/>
        <v>0</v>
      </c>
      <c r="AL139" s="54">
        <f t="shared" si="63"/>
        <v>0</v>
      </c>
      <c r="AM139" s="53"/>
      <c r="AN139" s="52"/>
      <c r="AO139" s="52"/>
      <c r="AP139" s="52"/>
      <c r="AQ139" s="52"/>
      <c r="AR139" s="52"/>
      <c r="AS139" s="54">
        <f t="shared" si="64"/>
        <v>0</v>
      </c>
      <c r="AT139" s="53"/>
      <c r="AU139" s="52"/>
      <c r="AV139" s="52"/>
      <c r="AW139" s="52"/>
      <c r="AX139" s="52"/>
      <c r="AY139" s="52"/>
      <c r="AZ139" s="54">
        <f t="shared" si="65"/>
        <v>0</v>
      </c>
      <c r="BA139" s="53"/>
      <c r="BB139" s="52"/>
      <c r="BC139" s="52"/>
      <c r="BD139" s="52"/>
      <c r="BE139" s="52"/>
      <c r="BF139" s="52"/>
      <c r="BG139" s="54">
        <f t="shared" si="66"/>
        <v>0</v>
      </c>
      <c r="BH139" s="53"/>
      <c r="BI139" s="52">
        <f>L139*VLOOKUP($A139,'I | Capex forecast'!$A$11:$AA$160,BI$8,0)</f>
        <v>0</v>
      </c>
      <c r="BJ139" s="52">
        <f>M139*VLOOKUP($A139,'I | Capex forecast'!$A$11:$AA$160,BJ$8,0)</f>
        <v>0</v>
      </c>
      <c r="BK139" s="52">
        <f>N139*VLOOKUP($A139,'I | Capex forecast'!$A$11:$AA$160,BK$8,0)</f>
        <v>0</v>
      </c>
      <c r="BL139" s="52">
        <f>O139*VLOOKUP($A139,'I | Capex forecast'!$A$11:$AA$160,BL$8,0)</f>
        <v>0</v>
      </c>
      <c r="BM139" s="52">
        <f>P139*VLOOKUP($A139,'I | Capex forecast'!$A$11:$AA$160,BM$8,0)</f>
        <v>0</v>
      </c>
      <c r="BN139" s="54">
        <f t="shared" si="67"/>
        <v>0</v>
      </c>
      <c r="BO139" s="53"/>
      <c r="BP139" s="52">
        <f t="shared" ref="BP139:BP155" si="87">L139+Z139+AN139+AU139+BB139+BI139</f>
        <v>0</v>
      </c>
      <c r="BQ139" s="52">
        <f t="shared" ref="BQ139:BQ155" si="88">M139+AA139+AO139+AV139+BC139+BJ139</f>
        <v>0</v>
      </c>
      <c r="BR139" s="52">
        <f t="shared" ref="BR139:BR155" si="89">N139+AB139+AP139+AW139+BD139+BK139</f>
        <v>0</v>
      </c>
      <c r="BS139" s="52">
        <f t="shared" ref="BS139:BS155" si="90">O139+AC139+AQ139+AX139+BE139+BL139</f>
        <v>0</v>
      </c>
      <c r="BT139" s="52">
        <f t="shared" ref="BT139:BT155" si="91">P139+AD139+AR139+AY139+BF139+BM139</f>
        <v>0</v>
      </c>
      <c r="BU139" s="54">
        <f t="shared" si="68"/>
        <v>0</v>
      </c>
      <c r="BW139" s="52">
        <f t="shared" ref="BW139:BW155" si="92">IF($G139="As incurred",BP139,IF($G139=BW$10,$BU139,0))</f>
        <v>0</v>
      </c>
      <c r="BX139" s="52">
        <f t="shared" ref="BX139:BX155" si="93">IF($G139="As incurred",BQ139,IF($G139=BX$10,$BU139,0))</f>
        <v>0</v>
      </c>
      <c r="BY139" s="52">
        <f t="shared" ref="BY139:BY155" si="94">IF($G139="As incurred",BR139,IF($G139=BY$10,$BU139,0))</f>
        <v>0</v>
      </c>
      <c r="BZ139" s="52">
        <f t="shared" ref="BZ139:BZ155" si="95">IF($G139="As incurred",BS139,IF($G139=BZ$10,$BU139,0))</f>
        <v>0</v>
      </c>
      <c r="CA139" s="52">
        <f t="shared" ref="CA139:CA155" si="96">IF($G139="As incurred",BT139,IF($G139=CA$10,$BU139,0))</f>
        <v>0</v>
      </c>
      <c r="CB139" s="54">
        <f t="shared" si="69"/>
        <v>0</v>
      </c>
      <c r="CC139" s="53"/>
      <c r="CD139" s="52">
        <f t="shared" si="70"/>
        <v>0</v>
      </c>
      <c r="CE139" s="52">
        <f t="shared" si="71"/>
        <v>0</v>
      </c>
      <c r="CF139" s="52">
        <f t="shared" si="72"/>
        <v>0</v>
      </c>
      <c r="CG139" s="52">
        <f t="shared" si="73"/>
        <v>0</v>
      </c>
      <c r="CH139" s="52">
        <f t="shared" si="74"/>
        <v>0</v>
      </c>
      <c r="CI139" s="54">
        <f t="shared" si="75"/>
        <v>0</v>
      </c>
    </row>
    <row r="140" spans="1:87" x14ac:dyDescent="0.3">
      <c r="A140" s="56">
        <v>130</v>
      </c>
      <c r="B140" s="48" t="str">
        <f>IF('I | Capex forecast'!B140="","",'I | Capex forecast'!B140)</f>
        <v/>
      </c>
      <c r="C140" s="48" t="str">
        <f>IF('I | Capex forecast'!C140="","",'I | Capex forecast'!C140)</f>
        <v/>
      </c>
      <c r="D140" s="48" t="str">
        <f>IF('I | Capex forecast'!D140="","",'I | Capex forecast'!D140)</f>
        <v/>
      </c>
      <c r="E140" s="48" t="str">
        <f>IF('I | Capex forecast'!E140="","",'I | Capex forecast'!E140)</f>
        <v/>
      </c>
      <c r="F140" s="48" t="str">
        <f>IF('I | Capex forecast'!F140="","",'I | Capex forecast'!F140)</f>
        <v/>
      </c>
      <c r="G140" s="48" t="str">
        <f>IF('I | Capex forecast'!G140="","",'I | Capex forecast'!G140)</f>
        <v/>
      </c>
      <c r="H140" s="48" t="str">
        <f>IF('I | Capex forecast'!H140="","",'I | Capex forecast'!H140)</f>
        <v/>
      </c>
      <c r="I140" s="48" t="str">
        <f>IF('I | Capex forecast'!I140="","",'I | Capex forecast'!I140)</f>
        <v/>
      </c>
      <c r="J140" s="48" t="str">
        <f>IF('I | Capex forecast'!J140="","",'I | Capex forecast'!J140)</f>
        <v/>
      </c>
      <c r="K140" s="50"/>
      <c r="L140" s="52">
        <f>IFERROR(VLOOKUP($A140,'I | Capex forecast'!$A$11:$AA$160,L$8,0)*INDEX('I | Inflation'!$F$46:$G$49,MATCH($I140,'I | Inflation'!$E$46:$E$49,0),MATCH($H140,'I | Inflation'!$F$45:$G$45,0)),0)</f>
        <v>0</v>
      </c>
      <c r="M140" s="52">
        <f>IFERROR(VLOOKUP($A140,'I | Capex forecast'!$A$11:$AA$160,M$8,0)*INDEX('I | Inflation'!$F$46:$G$49,MATCH($I140,'I | Inflation'!$E$46:$E$49,0),MATCH($H140,'I | Inflation'!$F$45:$G$45,0)),0)</f>
        <v>0</v>
      </c>
      <c r="N140" s="52">
        <f>IFERROR(VLOOKUP($A140,'I | Capex forecast'!$A$11:$AA$160,N$8,0)*INDEX('I | Inflation'!$F$46:$G$49,MATCH($I140,'I | Inflation'!$E$46:$E$49,0),MATCH($H140,'I | Inflation'!$F$45:$G$45,0)),0)</f>
        <v>0</v>
      </c>
      <c r="O140" s="52">
        <f>IFERROR(VLOOKUP($A140,'I | Capex forecast'!$A$11:$AA$160,O$8,0)*INDEX('I | Inflation'!$F$46:$G$49,MATCH($I140,'I | Inflation'!$E$46:$E$49,0),MATCH($H140,'I | Inflation'!$F$45:$G$45,0)),0)</f>
        <v>0</v>
      </c>
      <c r="P140" s="52">
        <f>IFERROR(VLOOKUP($A140,'I | Capex forecast'!$A$11:$AA$160,P$8,0)*INDEX('I | Inflation'!$F$46:$G$49,MATCH($I140,'I | Inflation'!$E$46:$E$49,0),MATCH($H140,'I | Inflation'!$F$45:$G$45,0)),0)</f>
        <v>0</v>
      </c>
      <c r="Q140" s="54">
        <f t="shared" si="86"/>
        <v>0</v>
      </c>
      <c r="R140" s="53"/>
      <c r="S140" s="226">
        <f>L140*VLOOKUP($A140,'I | Capex forecast'!$A$11:$AA$160,S$8,0)</f>
        <v>0</v>
      </c>
      <c r="T140" s="226">
        <f>M140*VLOOKUP($A140,'I | Capex forecast'!$A$11:$AA$160,T$8,0)</f>
        <v>0</v>
      </c>
      <c r="U140" s="226">
        <f>N140*VLOOKUP($A140,'I | Capex forecast'!$A$11:$AA$160,U$8,0)</f>
        <v>0</v>
      </c>
      <c r="V140" s="226">
        <f>O140*VLOOKUP($A140,'I | Capex forecast'!$A$11:$AA$160,V$8,0)</f>
        <v>0</v>
      </c>
      <c r="W140" s="226">
        <f>P140*VLOOKUP($A140,'I | Capex forecast'!$A$11:$AA$160,W$8,0)</f>
        <v>0</v>
      </c>
      <c r="X140" s="54">
        <f t="shared" ref="X140:X155" si="97">SUM(S140:W140)</f>
        <v>0</v>
      </c>
      <c r="Y140" s="53"/>
      <c r="Z140" s="52">
        <f>S140*(HLOOKUP(Z$10,'I | Inflation'!$E$57:$J$59,3,0)-1)</f>
        <v>0</v>
      </c>
      <c r="AA140" s="52">
        <f>T140*(HLOOKUP(AA$10,'I | Inflation'!$E$57:$J$59,3,0)-1)</f>
        <v>0</v>
      </c>
      <c r="AB140" s="52">
        <f>U140*(HLOOKUP(AB$10,'I | Inflation'!$E$57:$J$59,3,0)-1)</f>
        <v>0</v>
      </c>
      <c r="AC140" s="52">
        <f>V140*(HLOOKUP(AC$10,'I | Inflation'!$E$57:$J$59,3,0)-1)</f>
        <v>0</v>
      </c>
      <c r="AD140" s="52">
        <f>W140*(HLOOKUP(AD$10,'I | Inflation'!$E$57:$J$59,3,0)-1)</f>
        <v>0</v>
      </c>
      <c r="AE140" s="54">
        <f t="shared" ref="AE140:AE155" si="98">SUM(Z140:AD140)</f>
        <v>0</v>
      </c>
      <c r="AF140" s="53"/>
      <c r="AG140" s="226">
        <f t="shared" ref="AG140:AG155" si="99">S140+Z140</f>
        <v>0</v>
      </c>
      <c r="AH140" s="226">
        <f t="shared" ref="AH140:AH155" si="100">T140+AA140</f>
        <v>0</v>
      </c>
      <c r="AI140" s="226">
        <f t="shared" ref="AI140:AI155" si="101">U140+AB140</f>
        <v>0</v>
      </c>
      <c r="AJ140" s="226">
        <f t="shared" ref="AJ140:AJ155" si="102">V140+AC140</f>
        <v>0</v>
      </c>
      <c r="AK140" s="226">
        <f t="shared" ref="AK140:AK155" si="103">W140+AD140</f>
        <v>0</v>
      </c>
      <c r="AL140" s="54">
        <f t="shared" ref="AL140:AL155" si="104">SUM(AG140:AK140)</f>
        <v>0</v>
      </c>
      <c r="AM140" s="53"/>
      <c r="AN140" s="52"/>
      <c r="AO140" s="52"/>
      <c r="AP140" s="52"/>
      <c r="AQ140" s="52"/>
      <c r="AR140" s="52"/>
      <c r="AS140" s="54">
        <f t="shared" ref="AS140:AS155" si="105">SUM(AN140:AR140)</f>
        <v>0</v>
      </c>
      <c r="AT140" s="53"/>
      <c r="AU140" s="52"/>
      <c r="AV140" s="52"/>
      <c r="AW140" s="52"/>
      <c r="AX140" s="52"/>
      <c r="AY140" s="52"/>
      <c r="AZ140" s="54">
        <f t="shared" ref="AZ140:AZ155" si="106">SUM(AU140:AY140)</f>
        <v>0</v>
      </c>
      <c r="BA140" s="53"/>
      <c r="BB140" s="52"/>
      <c r="BC140" s="52"/>
      <c r="BD140" s="52"/>
      <c r="BE140" s="52"/>
      <c r="BF140" s="52"/>
      <c r="BG140" s="54">
        <f t="shared" ref="BG140:BG155" si="107">SUM(BB140:BF140)</f>
        <v>0</v>
      </c>
      <c r="BH140" s="53"/>
      <c r="BI140" s="52">
        <f>L140*VLOOKUP($A140,'I | Capex forecast'!$A$11:$AA$160,BI$8,0)</f>
        <v>0</v>
      </c>
      <c r="BJ140" s="52">
        <f>M140*VLOOKUP($A140,'I | Capex forecast'!$A$11:$AA$160,BJ$8,0)</f>
        <v>0</v>
      </c>
      <c r="BK140" s="52">
        <f>N140*VLOOKUP($A140,'I | Capex forecast'!$A$11:$AA$160,BK$8,0)</f>
        <v>0</v>
      </c>
      <c r="BL140" s="52">
        <f>O140*VLOOKUP($A140,'I | Capex forecast'!$A$11:$AA$160,BL$8,0)</f>
        <v>0</v>
      </c>
      <c r="BM140" s="52">
        <f>P140*VLOOKUP($A140,'I | Capex forecast'!$A$11:$AA$160,BM$8,0)</f>
        <v>0</v>
      </c>
      <c r="BN140" s="54">
        <f t="shared" ref="BN140:BN155" si="108">SUM(BI140:BM140)</f>
        <v>0</v>
      </c>
      <c r="BO140" s="53"/>
      <c r="BP140" s="52">
        <f t="shared" si="87"/>
        <v>0</v>
      </c>
      <c r="BQ140" s="52">
        <f t="shared" si="88"/>
        <v>0</v>
      </c>
      <c r="BR140" s="52">
        <f t="shared" si="89"/>
        <v>0</v>
      </c>
      <c r="BS140" s="52">
        <f t="shared" si="90"/>
        <v>0</v>
      </c>
      <c r="BT140" s="52">
        <f t="shared" si="91"/>
        <v>0</v>
      </c>
      <c r="BU140" s="54">
        <f t="shared" ref="BU140:BU155" si="109">SUM(BP140:BT140)</f>
        <v>0</v>
      </c>
      <c r="BW140" s="52">
        <f t="shared" si="92"/>
        <v>0</v>
      </c>
      <c r="BX140" s="52">
        <f t="shared" si="93"/>
        <v>0</v>
      </c>
      <c r="BY140" s="52">
        <f t="shared" si="94"/>
        <v>0</v>
      </c>
      <c r="BZ140" s="52">
        <f t="shared" si="95"/>
        <v>0</v>
      </c>
      <c r="CA140" s="52">
        <f t="shared" si="96"/>
        <v>0</v>
      </c>
      <c r="CB140" s="54">
        <f t="shared" ref="CB140:CB155" si="110">SUM(BW140:CA140)</f>
        <v>0</v>
      </c>
      <c r="CC140" s="53"/>
      <c r="CD140" s="52">
        <f t="shared" ref="CD140:CD155" si="111">IF($J140="Yes",BW140,0)</f>
        <v>0</v>
      </c>
      <c r="CE140" s="52">
        <f t="shared" ref="CE140:CE155" si="112">IF($J140="Yes",BX140,0)</f>
        <v>0</v>
      </c>
      <c r="CF140" s="52">
        <f t="shared" ref="CF140:CF155" si="113">IF($J140="Yes",BY140,0)</f>
        <v>0</v>
      </c>
      <c r="CG140" s="52">
        <f t="shared" ref="CG140:CG155" si="114">IF($J140="Yes",BZ140,0)</f>
        <v>0</v>
      </c>
      <c r="CH140" s="52">
        <f t="shared" ref="CH140:CH155" si="115">IF($J140="Yes",CA140,0)</f>
        <v>0</v>
      </c>
      <c r="CI140" s="54">
        <f t="shared" ref="CI140:CI155" si="116">SUM(CD140:CH140)</f>
        <v>0</v>
      </c>
    </row>
    <row r="141" spans="1:87" x14ac:dyDescent="0.3">
      <c r="A141" s="56">
        <v>131</v>
      </c>
      <c r="B141" s="48" t="str">
        <f>IF('I | Capex forecast'!B141="","",'I | Capex forecast'!B141)</f>
        <v/>
      </c>
      <c r="C141" s="48" t="str">
        <f>IF('I | Capex forecast'!C141="","",'I | Capex forecast'!C141)</f>
        <v/>
      </c>
      <c r="D141" s="48" t="str">
        <f>IF('I | Capex forecast'!D141="","",'I | Capex forecast'!D141)</f>
        <v/>
      </c>
      <c r="E141" s="48" t="str">
        <f>IF('I | Capex forecast'!E141="","",'I | Capex forecast'!E141)</f>
        <v/>
      </c>
      <c r="F141" s="48" t="str">
        <f>IF('I | Capex forecast'!F141="","",'I | Capex forecast'!F141)</f>
        <v/>
      </c>
      <c r="G141" s="48" t="str">
        <f>IF('I | Capex forecast'!G141="","",'I | Capex forecast'!G141)</f>
        <v/>
      </c>
      <c r="H141" s="48" t="str">
        <f>IF('I | Capex forecast'!H141="","",'I | Capex forecast'!H141)</f>
        <v/>
      </c>
      <c r="I141" s="48" t="str">
        <f>IF('I | Capex forecast'!I141="","",'I | Capex forecast'!I141)</f>
        <v/>
      </c>
      <c r="J141" s="48" t="str">
        <f>IF('I | Capex forecast'!J141="","",'I | Capex forecast'!J141)</f>
        <v/>
      </c>
      <c r="K141" s="50"/>
      <c r="L141" s="52">
        <f>IFERROR(VLOOKUP($A141,'I | Capex forecast'!$A$11:$AA$160,L$8,0)*INDEX('I | Inflation'!$F$46:$G$49,MATCH($I141,'I | Inflation'!$E$46:$E$49,0),MATCH($H141,'I | Inflation'!$F$45:$G$45,0)),0)</f>
        <v>0</v>
      </c>
      <c r="M141" s="52">
        <f>IFERROR(VLOOKUP($A141,'I | Capex forecast'!$A$11:$AA$160,M$8,0)*INDEX('I | Inflation'!$F$46:$G$49,MATCH($I141,'I | Inflation'!$E$46:$E$49,0),MATCH($H141,'I | Inflation'!$F$45:$G$45,0)),0)</f>
        <v>0</v>
      </c>
      <c r="N141" s="52">
        <f>IFERROR(VLOOKUP($A141,'I | Capex forecast'!$A$11:$AA$160,N$8,0)*INDEX('I | Inflation'!$F$46:$G$49,MATCH($I141,'I | Inflation'!$E$46:$E$49,0),MATCH($H141,'I | Inflation'!$F$45:$G$45,0)),0)</f>
        <v>0</v>
      </c>
      <c r="O141" s="52">
        <f>IFERROR(VLOOKUP($A141,'I | Capex forecast'!$A$11:$AA$160,O$8,0)*INDEX('I | Inflation'!$F$46:$G$49,MATCH($I141,'I | Inflation'!$E$46:$E$49,0),MATCH($H141,'I | Inflation'!$F$45:$G$45,0)),0)</f>
        <v>0</v>
      </c>
      <c r="P141" s="52">
        <f>IFERROR(VLOOKUP($A141,'I | Capex forecast'!$A$11:$AA$160,P$8,0)*INDEX('I | Inflation'!$F$46:$G$49,MATCH($I141,'I | Inflation'!$E$46:$E$49,0),MATCH($H141,'I | Inflation'!$F$45:$G$45,0)),0)</f>
        <v>0</v>
      </c>
      <c r="Q141" s="54">
        <f t="shared" si="86"/>
        <v>0</v>
      </c>
      <c r="R141" s="53"/>
      <c r="S141" s="226">
        <f>L141*VLOOKUP($A141,'I | Capex forecast'!$A$11:$AA$160,S$8,0)</f>
        <v>0</v>
      </c>
      <c r="T141" s="226">
        <f>M141*VLOOKUP($A141,'I | Capex forecast'!$A$11:$AA$160,T$8,0)</f>
        <v>0</v>
      </c>
      <c r="U141" s="226">
        <f>N141*VLOOKUP($A141,'I | Capex forecast'!$A$11:$AA$160,U$8,0)</f>
        <v>0</v>
      </c>
      <c r="V141" s="226">
        <f>O141*VLOOKUP($A141,'I | Capex forecast'!$A$11:$AA$160,V$8,0)</f>
        <v>0</v>
      </c>
      <c r="W141" s="226">
        <f>P141*VLOOKUP($A141,'I | Capex forecast'!$A$11:$AA$160,W$8,0)</f>
        <v>0</v>
      </c>
      <c r="X141" s="54">
        <f t="shared" si="97"/>
        <v>0</v>
      </c>
      <c r="Y141" s="53"/>
      <c r="Z141" s="52">
        <f>S141*(HLOOKUP(Z$10,'I | Inflation'!$E$57:$J$59,3,0)-1)</f>
        <v>0</v>
      </c>
      <c r="AA141" s="52">
        <f>T141*(HLOOKUP(AA$10,'I | Inflation'!$E$57:$J$59,3,0)-1)</f>
        <v>0</v>
      </c>
      <c r="AB141" s="52">
        <f>U141*(HLOOKUP(AB$10,'I | Inflation'!$E$57:$J$59,3,0)-1)</f>
        <v>0</v>
      </c>
      <c r="AC141" s="52">
        <f>V141*(HLOOKUP(AC$10,'I | Inflation'!$E$57:$J$59,3,0)-1)</f>
        <v>0</v>
      </c>
      <c r="AD141" s="52">
        <f>W141*(HLOOKUP(AD$10,'I | Inflation'!$E$57:$J$59,3,0)-1)</f>
        <v>0</v>
      </c>
      <c r="AE141" s="54">
        <f t="shared" si="98"/>
        <v>0</v>
      </c>
      <c r="AF141" s="53"/>
      <c r="AG141" s="226">
        <f t="shared" si="99"/>
        <v>0</v>
      </c>
      <c r="AH141" s="226">
        <f t="shared" si="100"/>
        <v>0</v>
      </c>
      <c r="AI141" s="226">
        <f t="shared" si="101"/>
        <v>0</v>
      </c>
      <c r="AJ141" s="226">
        <f t="shared" si="102"/>
        <v>0</v>
      </c>
      <c r="AK141" s="226">
        <f t="shared" si="103"/>
        <v>0</v>
      </c>
      <c r="AL141" s="54">
        <f t="shared" si="104"/>
        <v>0</v>
      </c>
      <c r="AM141" s="53"/>
      <c r="AN141" s="52"/>
      <c r="AO141" s="52"/>
      <c r="AP141" s="52"/>
      <c r="AQ141" s="52"/>
      <c r="AR141" s="52"/>
      <c r="AS141" s="54">
        <f t="shared" si="105"/>
        <v>0</v>
      </c>
      <c r="AT141" s="53"/>
      <c r="AU141" s="52"/>
      <c r="AV141" s="52"/>
      <c r="AW141" s="52"/>
      <c r="AX141" s="52"/>
      <c r="AY141" s="52"/>
      <c r="AZ141" s="54">
        <f t="shared" si="106"/>
        <v>0</v>
      </c>
      <c r="BA141" s="53"/>
      <c r="BB141" s="52"/>
      <c r="BC141" s="52"/>
      <c r="BD141" s="52"/>
      <c r="BE141" s="52"/>
      <c r="BF141" s="52"/>
      <c r="BG141" s="54">
        <f t="shared" si="107"/>
        <v>0</v>
      </c>
      <c r="BH141" s="53"/>
      <c r="BI141" s="52">
        <f>L141*VLOOKUP($A141,'I | Capex forecast'!$A$11:$AA$160,BI$8,0)</f>
        <v>0</v>
      </c>
      <c r="BJ141" s="52">
        <f>M141*VLOOKUP($A141,'I | Capex forecast'!$A$11:$AA$160,BJ$8,0)</f>
        <v>0</v>
      </c>
      <c r="BK141" s="52">
        <f>N141*VLOOKUP($A141,'I | Capex forecast'!$A$11:$AA$160,BK$8,0)</f>
        <v>0</v>
      </c>
      <c r="BL141" s="52">
        <f>O141*VLOOKUP($A141,'I | Capex forecast'!$A$11:$AA$160,BL$8,0)</f>
        <v>0</v>
      </c>
      <c r="BM141" s="52">
        <f>P141*VLOOKUP($A141,'I | Capex forecast'!$A$11:$AA$160,BM$8,0)</f>
        <v>0</v>
      </c>
      <c r="BN141" s="54">
        <f t="shared" si="108"/>
        <v>0</v>
      </c>
      <c r="BO141" s="53"/>
      <c r="BP141" s="52">
        <f t="shared" si="87"/>
        <v>0</v>
      </c>
      <c r="BQ141" s="52">
        <f t="shared" si="88"/>
        <v>0</v>
      </c>
      <c r="BR141" s="52">
        <f t="shared" si="89"/>
        <v>0</v>
      </c>
      <c r="BS141" s="52">
        <f t="shared" si="90"/>
        <v>0</v>
      </c>
      <c r="BT141" s="52">
        <f t="shared" si="91"/>
        <v>0</v>
      </c>
      <c r="BU141" s="54">
        <f t="shared" si="109"/>
        <v>0</v>
      </c>
      <c r="BW141" s="52">
        <f t="shared" si="92"/>
        <v>0</v>
      </c>
      <c r="BX141" s="52">
        <f t="shared" si="93"/>
        <v>0</v>
      </c>
      <c r="BY141" s="52">
        <f t="shared" si="94"/>
        <v>0</v>
      </c>
      <c r="BZ141" s="52">
        <f t="shared" si="95"/>
        <v>0</v>
      </c>
      <c r="CA141" s="52">
        <f t="shared" si="96"/>
        <v>0</v>
      </c>
      <c r="CB141" s="54">
        <f t="shared" si="110"/>
        <v>0</v>
      </c>
      <c r="CC141" s="53"/>
      <c r="CD141" s="52">
        <f t="shared" si="111"/>
        <v>0</v>
      </c>
      <c r="CE141" s="52">
        <f t="shared" si="112"/>
        <v>0</v>
      </c>
      <c r="CF141" s="52">
        <f t="shared" si="113"/>
        <v>0</v>
      </c>
      <c r="CG141" s="52">
        <f t="shared" si="114"/>
        <v>0</v>
      </c>
      <c r="CH141" s="52">
        <f t="shared" si="115"/>
        <v>0</v>
      </c>
      <c r="CI141" s="54">
        <f t="shared" si="116"/>
        <v>0</v>
      </c>
    </row>
    <row r="142" spans="1:87" x14ac:dyDescent="0.3">
      <c r="A142" s="56">
        <v>132</v>
      </c>
      <c r="B142" s="48" t="str">
        <f>IF('I | Capex forecast'!B142="","",'I | Capex forecast'!B142)</f>
        <v/>
      </c>
      <c r="C142" s="48" t="str">
        <f>IF('I | Capex forecast'!C142="","",'I | Capex forecast'!C142)</f>
        <v/>
      </c>
      <c r="D142" s="48" t="str">
        <f>IF('I | Capex forecast'!D142="","",'I | Capex forecast'!D142)</f>
        <v/>
      </c>
      <c r="E142" s="48" t="str">
        <f>IF('I | Capex forecast'!E142="","",'I | Capex forecast'!E142)</f>
        <v/>
      </c>
      <c r="F142" s="48" t="str">
        <f>IF('I | Capex forecast'!F142="","",'I | Capex forecast'!F142)</f>
        <v/>
      </c>
      <c r="G142" s="48" t="str">
        <f>IF('I | Capex forecast'!G142="","",'I | Capex forecast'!G142)</f>
        <v/>
      </c>
      <c r="H142" s="48" t="str">
        <f>IF('I | Capex forecast'!H142="","",'I | Capex forecast'!H142)</f>
        <v/>
      </c>
      <c r="I142" s="48" t="str">
        <f>IF('I | Capex forecast'!I142="","",'I | Capex forecast'!I142)</f>
        <v/>
      </c>
      <c r="J142" s="48" t="str">
        <f>IF('I | Capex forecast'!J142="","",'I | Capex forecast'!J142)</f>
        <v/>
      </c>
      <c r="K142" s="50"/>
      <c r="L142" s="52">
        <f>IFERROR(VLOOKUP($A142,'I | Capex forecast'!$A$11:$AA$160,L$8,0)*INDEX('I | Inflation'!$F$46:$G$49,MATCH($I142,'I | Inflation'!$E$46:$E$49,0),MATCH($H142,'I | Inflation'!$F$45:$G$45,0)),0)</f>
        <v>0</v>
      </c>
      <c r="M142" s="52">
        <f>IFERROR(VLOOKUP($A142,'I | Capex forecast'!$A$11:$AA$160,M$8,0)*INDEX('I | Inflation'!$F$46:$G$49,MATCH($I142,'I | Inflation'!$E$46:$E$49,0),MATCH($H142,'I | Inflation'!$F$45:$G$45,0)),0)</f>
        <v>0</v>
      </c>
      <c r="N142" s="52">
        <f>IFERROR(VLOOKUP($A142,'I | Capex forecast'!$A$11:$AA$160,N$8,0)*INDEX('I | Inflation'!$F$46:$G$49,MATCH($I142,'I | Inflation'!$E$46:$E$49,0),MATCH($H142,'I | Inflation'!$F$45:$G$45,0)),0)</f>
        <v>0</v>
      </c>
      <c r="O142" s="52">
        <f>IFERROR(VLOOKUP($A142,'I | Capex forecast'!$A$11:$AA$160,O$8,0)*INDEX('I | Inflation'!$F$46:$G$49,MATCH($I142,'I | Inflation'!$E$46:$E$49,0),MATCH($H142,'I | Inflation'!$F$45:$G$45,0)),0)</f>
        <v>0</v>
      </c>
      <c r="P142" s="52">
        <f>IFERROR(VLOOKUP($A142,'I | Capex forecast'!$A$11:$AA$160,P$8,0)*INDEX('I | Inflation'!$F$46:$G$49,MATCH($I142,'I | Inflation'!$E$46:$E$49,0),MATCH($H142,'I | Inflation'!$F$45:$G$45,0)),0)</f>
        <v>0</v>
      </c>
      <c r="Q142" s="54">
        <f t="shared" si="86"/>
        <v>0</v>
      </c>
      <c r="R142" s="53"/>
      <c r="S142" s="226">
        <f>L142*VLOOKUP($A142,'I | Capex forecast'!$A$11:$AA$160,S$8,0)</f>
        <v>0</v>
      </c>
      <c r="T142" s="226">
        <f>M142*VLOOKUP($A142,'I | Capex forecast'!$A$11:$AA$160,T$8,0)</f>
        <v>0</v>
      </c>
      <c r="U142" s="226">
        <f>N142*VLOOKUP($A142,'I | Capex forecast'!$A$11:$AA$160,U$8,0)</f>
        <v>0</v>
      </c>
      <c r="V142" s="226">
        <f>O142*VLOOKUP($A142,'I | Capex forecast'!$A$11:$AA$160,V$8,0)</f>
        <v>0</v>
      </c>
      <c r="W142" s="226">
        <f>P142*VLOOKUP($A142,'I | Capex forecast'!$A$11:$AA$160,W$8,0)</f>
        <v>0</v>
      </c>
      <c r="X142" s="54">
        <f t="shared" si="97"/>
        <v>0</v>
      </c>
      <c r="Y142" s="53"/>
      <c r="Z142" s="52">
        <f>S142*(HLOOKUP(Z$10,'I | Inflation'!$E$57:$J$59,3,0)-1)</f>
        <v>0</v>
      </c>
      <c r="AA142" s="52">
        <f>T142*(HLOOKUP(AA$10,'I | Inflation'!$E$57:$J$59,3,0)-1)</f>
        <v>0</v>
      </c>
      <c r="AB142" s="52">
        <f>U142*(HLOOKUP(AB$10,'I | Inflation'!$E$57:$J$59,3,0)-1)</f>
        <v>0</v>
      </c>
      <c r="AC142" s="52">
        <f>V142*(HLOOKUP(AC$10,'I | Inflation'!$E$57:$J$59,3,0)-1)</f>
        <v>0</v>
      </c>
      <c r="AD142" s="52">
        <f>W142*(HLOOKUP(AD$10,'I | Inflation'!$E$57:$J$59,3,0)-1)</f>
        <v>0</v>
      </c>
      <c r="AE142" s="54">
        <f t="shared" si="98"/>
        <v>0</v>
      </c>
      <c r="AF142" s="53"/>
      <c r="AG142" s="226">
        <f t="shared" si="99"/>
        <v>0</v>
      </c>
      <c r="AH142" s="226">
        <f t="shared" si="100"/>
        <v>0</v>
      </c>
      <c r="AI142" s="226">
        <f t="shared" si="101"/>
        <v>0</v>
      </c>
      <c r="AJ142" s="226">
        <f t="shared" si="102"/>
        <v>0</v>
      </c>
      <c r="AK142" s="226">
        <f t="shared" si="103"/>
        <v>0</v>
      </c>
      <c r="AL142" s="54">
        <f t="shared" si="104"/>
        <v>0</v>
      </c>
      <c r="AM142" s="53"/>
      <c r="AN142" s="52"/>
      <c r="AO142" s="52"/>
      <c r="AP142" s="52"/>
      <c r="AQ142" s="52"/>
      <c r="AR142" s="52"/>
      <c r="AS142" s="54">
        <f t="shared" si="105"/>
        <v>0</v>
      </c>
      <c r="AT142" s="53"/>
      <c r="AU142" s="52"/>
      <c r="AV142" s="52"/>
      <c r="AW142" s="52"/>
      <c r="AX142" s="52"/>
      <c r="AY142" s="52"/>
      <c r="AZ142" s="54">
        <f t="shared" si="106"/>
        <v>0</v>
      </c>
      <c r="BA142" s="53"/>
      <c r="BB142" s="52"/>
      <c r="BC142" s="52"/>
      <c r="BD142" s="52"/>
      <c r="BE142" s="52"/>
      <c r="BF142" s="52"/>
      <c r="BG142" s="54">
        <f t="shared" si="107"/>
        <v>0</v>
      </c>
      <c r="BH142" s="53"/>
      <c r="BI142" s="52">
        <f>L142*VLOOKUP($A142,'I | Capex forecast'!$A$11:$AA$160,BI$8,0)</f>
        <v>0</v>
      </c>
      <c r="BJ142" s="52">
        <f>M142*VLOOKUP($A142,'I | Capex forecast'!$A$11:$AA$160,BJ$8,0)</f>
        <v>0</v>
      </c>
      <c r="BK142" s="52">
        <f>N142*VLOOKUP($A142,'I | Capex forecast'!$A$11:$AA$160,BK$8,0)</f>
        <v>0</v>
      </c>
      <c r="BL142" s="52">
        <f>O142*VLOOKUP($A142,'I | Capex forecast'!$A$11:$AA$160,BL$8,0)</f>
        <v>0</v>
      </c>
      <c r="BM142" s="52">
        <f>P142*VLOOKUP($A142,'I | Capex forecast'!$A$11:$AA$160,BM$8,0)</f>
        <v>0</v>
      </c>
      <c r="BN142" s="54">
        <f t="shared" si="108"/>
        <v>0</v>
      </c>
      <c r="BO142" s="53"/>
      <c r="BP142" s="52">
        <f t="shared" si="87"/>
        <v>0</v>
      </c>
      <c r="BQ142" s="52">
        <f t="shared" si="88"/>
        <v>0</v>
      </c>
      <c r="BR142" s="52">
        <f t="shared" si="89"/>
        <v>0</v>
      </c>
      <c r="BS142" s="52">
        <f t="shared" si="90"/>
        <v>0</v>
      </c>
      <c r="BT142" s="52">
        <f t="shared" si="91"/>
        <v>0</v>
      </c>
      <c r="BU142" s="54">
        <f t="shared" si="109"/>
        <v>0</v>
      </c>
      <c r="BW142" s="52">
        <f t="shared" si="92"/>
        <v>0</v>
      </c>
      <c r="BX142" s="52">
        <f t="shared" si="93"/>
        <v>0</v>
      </c>
      <c r="BY142" s="52">
        <f t="shared" si="94"/>
        <v>0</v>
      </c>
      <c r="BZ142" s="52">
        <f t="shared" si="95"/>
        <v>0</v>
      </c>
      <c r="CA142" s="52">
        <f t="shared" si="96"/>
        <v>0</v>
      </c>
      <c r="CB142" s="54">
        <f t="shared" si="110"/>
        <v>0</v>
      </c>
      <c r="CC142" s="53"/>
      <c r="CD142" s="52">
        <f t="shared" si="111"/>
        <v>0</v>
      </c>
      <c r="CE142" s="52">
        <f t="shared" si="112"/>
        <v>0</v>
      </c>
      <c r="CF142" s="52">
        <f t="shared" si="113"/>
        <v>0</v>
      </c>
      <c r="CG142" s="52">
        <f t="shared" si="114"/>
        <v>0</v>
      </c>
      <c r="CH142" s="52">
        <f t="shared" si="115"/>
        <v>0</v>
      </c>
      <c r="CI142" s="54">
        <f t="shared" si="116"/>
        <v>0</v>
      </c>
    </row>
    <row r="143" spans="1:87" x14ac:dyDescent="0.3">
      <c r="A143" s="56">
        <v>133</v>
      </c>
      <c r="B143" s="48" t="str">
        <f>IF('I | Capex forecast'!B143="","",'I | Capex forecast'!B143)</f>
        <v/>
      </c>
      <c r="C143" s="48" t="str">
        <f>IF('I | Capex forecast'!C143="","",'I | Capex forecast'!C143)</f>
        <v/>
      </c>
      <c r="D143" s="48" t="str">
        <f>IF('I | Capex forecast'!D143="","",'I | Capex forecast'!D143)</f>
        <v/>
      </c>
      <c r="E143" s="48" t="str">
        <f>IF('I | Capex forecast'!E143="","",'I | Capex forecast'!E143)</f>
        <v/>
      </c>
      <c r="F143" s="48" t="str">
        <f>IF('I | Capex forecast'!F143="","",'I | Capex forecast'!F143)</f>
        <v/>
      </c>
      <c r="G143" s="48" t="str">
        <f>IF('I | Capex forecast'!G143="","",'I | Capex forecast'!G143)</f>
        <v/>
      </c>
      <c r="H143" s="48" t="str">
        <f>IF('I | Capex forecast'!H143="","",'I | Capex forecast'!H143)</f>
        <v/>
      </c>
      <c r="I143" s="48" t="str">
        <f>IF('I | Capex forecast'!I143="","",'I | Capex forecast'!I143)</f>
        <v/>
      </c>
      <c r="J143" s="48" t="str">
        <f>IF('I | Capex forecast'!J143="","",'I | Capex forecast'!J143)</f>
        <v/>
      </c>
      <c r="K143" s="50"/>
      <c r="L143" s="52">
        <f>IFERROR(VLOOKUP($A143,'I | Capex forecast'!$A$11:$AA$160,L$8,0)*INDEX('I | Inflation'!$F$46:$G$49,MATCH($I143,'I | Inflation'!$E$46:$E$49,0),MATCH($H143,'I | Inflation'!$F$45:$G$45,0)),0)</f>
        <v>0</v>
      </c>
      <c r="M143" s="52">
        <f>IFERROR(VLOOKUP($A143,'I | Capex forecast'!$A$11:$AA$160,M$8,0)*INDEX('I | Inflation'!$F$46:$G$49,MATCH($I143,'I | Inflation'!$E$46:$E$49,0),MATCH($H143,'I | Inflation'!$F$45:$G$45,0)),0)</f>
        <v>0</v>
      </c>
      <c r="N143" s="52">
        <f>IFERROR(VLOOKUP($A143,'I | Capex forecast'!$A$11:$AA$160,N$8,0)*INDEX('I | Inflation'!$F$46:$G$49,MATCH($I143,'I | Inflation'!$E$46:$E$49,0),MATCH($H143,'I | Inflation'!$F$45:$G$45,0)),0)</f>
        <v>0</v>
      </c>
      <c r="O143" s="52">
        <f>IFERROR(VLOOKUP($A143,'I | Capex forecast'!$A$11:$AA$160,O$8,0)*INDEX('I | Inflation'!$F$46:$G$49,MATCH($I143,'I | Inflation'!$E$46:$E$49,0),MATCH($H143,'I | Inflation'!$F$45:$G$45,0)),0)</f>
        <v>0</v>
      </c>
      <c r="P143" s="52">
        <f>IFERROR(VLOOKUP($A143,'I | Capex forecast'!$A$11:$AA$160,P$8,0)*INDEX('I | Inflation'!$F$46:$G$49,MATCH($I143,'I | Inflation'!$E$46:$E$49,0),MATCH($H143,'I | Inflation'!$F$45:$G$45,0)),0)</f>
        <v>0</v>
      </c>
      <c r="Q143" s="54">
        <f t="shared" si="86"/>
        <v>0</v>
      </c>
      <c r="R143" s="53"/>
      <c r="S143" s="226">
        <f>L143*VLOOKUP($A143,'I | Capex forecast'!$A$11:$AA$160,S$8,0)</f>
        <v>0</v>
      </c>
      <c r="T143" s="226">
        <f>M143*VLOOKUP($A143,'I | Capex forecast'!$A$11:$AA$160,T$8,0)</f>
        <v>0</v>
      </c>
      <c r="U143" s="226">
        <f>N143*VLOOKUP($A143,'I | Capex forecast'!$A$11:$AA$160,U$8,0)</f>
        <v>0</v>
      </c>
      <c r="V143" s="226">
        <f>O143*VLOOKUP($A143,'I | Capex forecast'!$A$11:$AA$160,V$8,0)</f>
        <v>0</v>
      </c>
      <c r="W143" s="226">
        <f>P143*VLOOKUP($A143,'I | Capex forecast'!$A$11:$AA$160,W$8,0)</f>
        <v>0</v>
      </c>
      <c r="X143" s="54">
        <f t="shared" si="97"/>
        <v>0</v>
      </c>
      <c r="Y143" s="53"/>
      <c r="Z143" s="52">
        <f>S143*(HLOOKUP(Z$10,'I | Inflation'!$E$57:$J$59,3,0)-1)</f>
        <v>0</v>
      </c>
      <c r="AA143" s="52">
        <f>T143*(HLOOKUP(AA$10,'I | Inflation'!$E$57:$J$59,3,0)-1)</f>
        <v>0</v>
      </c>
      <c r="AB143" s="52">
        <f>U143*(HLOOKUP(AB$10,'I | Inflation'!$E$57:$J$59,3,0)-1)</f>
        <v>0</v>
      </c>
      <c r="AC143" s="52">
        <f>V143*(HLOOKUP(AC$10,'I | Inflation'!$E$57:$J$59,3,0)-1)</f>
        <v>0</v>
      </c>
      <c r="AD143" s="52">
        <f>W143*(HLOOKUP(AD$10,'I | Inflation'!$E$57:$J$59,3,0)-1)</f>
        <v>0</v>
      </c>
      <c r="AE143" s="54">
        <f t="shared" si="98"/>
        <v>0</v>
      </c>
      <c r="AF143" s="53"/>
      <c r="AG143" s="226">
        <f t="shared" si="99"/>
        <v>0</v>
      </c>
      <c r="AH143" s="226">
        <f t="shared" si="100"/>
        <v>0</v>
      </c>
      <c r="AI143" s="226">
        <f t="shared" si="101"/>
        <v>0</v>
      </c>
      <c r="AJ143" s="226">
        <f t="shared" si="102"/>
        <v>0</v>
      </c>
      <c r="AK143" s="226">
        <f t="shared" si="103"/>
        <v>0</v>
      </c>
      <c r="AL143" s="54">
        <f t="shared" si="104"/>
        <v>0</v>
      </c>
      <c r="AM143" s="53"/>
      <c r="AN143" s="52"/>
      <c r="AO143" s="52"/>
      <c r="AP143" s="52"/>
      <c r="AQ143" s="52"/>
      <c r="AR143" s="52"/>
      <c r="AS143" s="54">
        <f t="shared" si="105"/>
        <v>0</v>
      </c>
      <c r="AT143" s="53"/>
      <c r="AU143" s="52"/>
      <c r="AV143" s="52"/>
      <c r="AW143" s="52"/>
      <c r="AX143" s="52"/>
      <c r="AY143" s="52"/>
      <c r="AZ143" s="54">
        <f t="shared" si="106"/>
        <v>0</v>
      </c>
      <c r="BA143" s="53"/>
      <c r="BB143" s="52"/>
      <c r="BC143" s="52"/>
      <c r="BD143" s="52"/>
      <c r="BE143" s="52"/>
      <c r="BF143" s="52"/>
      <c r="BG143" s="54">
        <f t="shared" si="107"/>
        <v>0</v>
      </c>
      <c r="BH143" s="53"/>
      <c r="BI143" s="52">
        <f>L143*VLOOKUP($A143,'I | Capex forecast'!$A$11:$AA$160,BI$8,0)</f>
        <v>0</v>
      </c>
      <c r="BJ143" s="52">
        <f>M143*VLOOKUP($A143,'I | Capex forecast'!$A$11:$AA$160,BJ$8,0)</f>
        <v>0</v>
      </c>
      <c r="BK143" s="52">
        <f>N143*VLOOKUP($A143,'I | Capex forecast'!$A$11:$AA$160,BK$8,0)</f>
        <v>0</v>
      </c>
      <c r="BL143" s="52">
        <f>O143*VLOOKUP($A143,'I | Capex forecast'!$A$11:$AA$160,BL$8,0)</f>
        <v>0</v>
      </c>
      <c r="BM143" s="52">
        <f>P143*VLOOKUP($A143,'I | Capex forecast'!$A$11:$AA$160,BM$8,0)</f>
        <v>0</v>
      </c>
      <c r="BN143" s="54">
        <f t="shared" si="108"/>
        <v>0</v>
      </c>
      <c r="BO143" s="53"/>
      <c r="BP143" s="52">
        <f t="shared" si="87"/>
        <v>0</v>
      </c>
      <c r="BQ143" s="52">
        <f t="shared" si="88"/>
        <v>0</v>
      </c>
      <c r="BR143" s="52">
        <f t="shared" si="89"/>
        <v>0</v>
      </c>
      <c r="BS143" s="52">
        <f t="shared" si="90"/>
        <v>0</v>
      </c>
      <c r="BT143" s="52">
        <f t="shared" si="91"/>
        <v>0</v>
      </c>
      <c r="BU143" s="54">
        <f t="shared" si="109"/>
        <v>0</v>
      </c>
      <c r="BW143" s="52">
        <f t="shared" si="92"/>
        <v>0</v>
      </c>
      <c r="BX143" s="52">
        <f t="shared" si="93"/>
        <v>0</v>
      </c>
      <c r="BY143" s="52">
        <f t="shared" si="94"/>
        <v>0</v>
      </c>
      <c r="BZ143" s="52">
        <f t="shared" si="95"/>
        <v>0</v>
      </c>
      <c r="CA143" s="52">
        <f t="shared" si="96"/>
        <v>0</v>
      </c>
      <c r="CB143" s="54">
        <f t="shared" si="110"/>
        <v>0</v>
      </c>
      <c r="CC143" s="53"/>
      <c r="CD143" s="52">
        <f t="shared" si="111"/>
        <v>0</v>
      </c>
      <c r="CE143" s="52">
        <f t="shared" si="112"/>
        <v>0</v>
      </c>
      <c r="CF143" s="52">
        <f t="shared" si="113"/>
        <v>0</v>
      </c>
      <c r="CG143" s="52">
        <f t="shared" si="114"/>
        <v>0</v>
      </c>
      <c r="CH143" s="52">
        <f t="shared" si="115"/>
        <v>0</v>
      </c>
      <c r="CI143" s="54">
        <f t="shared" si="116"/>
        <v>0</v>
      </c>
    </row>
    <row r="144" spans="1:87" x14ac:dyDescent="0.3">
      <c r="A144" s="56">
        <v>134</v>
      </c>
      <c r="B144" s="48" t="str">
        <f>IF('I | Capex forecast'!B144="","",'I | Capex forecast'!B144)</f>
        <v/>
      </c>
      <c r="C144" s="48" t="str">
        <f>IF('I | Capex forecast'!C144="","",'I | Capex forecast'!C144)</f>
        <v/>
      </c>
      <c r="D144" s="48" t="str">
        <f>IF('I | Capex forecast'!D144="","",'I | Capex forecast'!D144)</f>
        <v/>
      </c>
      <c r="E144" s="48" t="str">
        <f>IF('I | Capex forecast'!E144="","",'I | Capex forecast'!E144)</f>
        <v/>
      </c>
      <c r="F144" s="48" t="str">
        <f>IF('I | Capex forecast'!F144="","",'I | Capex forecast'!F144)</f>
        <v/>
      </c>
      <c r="G144" s="48" t="str">
        <f>IF('I | Capex forecast'!G144="","",'I | Capex forecast'!G144)</f>
        <v/>
      </c>
      <c r="H144" s="48" t="str">
        <f>IF('I | Capex forecast'!H144="","",'I | Capex forecast'!H144)</f>
        <v/>
      </c>
      <c r="I144" s="48" t="str">
        <f>IF('I | Capex forecast'!I144="","",'I | Capex forecast'!I144)</f>
        <v/>
      </c>
      <c r="J144" s="48" t="str">
        <f>IF('I | Capex forecast'!J144="","",'I | Capex forecast'!J144)</f>
        <v/>
      </c>
      <c r="K144" s="50"/>
      <c r="L144" s="52">
        <f>IFERROR(VLOOKUP($A144,'I | Capex forecast'!$A$11:$AA$160,L$8,0)*INDEX('I | Inflation'!$F$46:$G$49,MATCH($I144,'I | Inflation'!$E$46:$E$49,0),MATCH($H144,'I | Inflation'!$F$45:$G$45,0)),0)</f>
        <v>0</v>
      </c>
      <c r="M144" s="52">
        <f>IFERROR(VLOOKUP($A144,'I | Capex forecast'!$A$11:$AA$160,M$8,0)*INDEX('I | Inflation'!$F$46:$G$49,MATCH($I144,'I | Inflation'!$E$46:$E$49,0),MATCH($H144,'I | Inflation'!$F$45:$G$45,0)),0)</f>
        <v>0</v>
      </c>
      <c r="N144" s="52">
        <f>IFERROR(VLOOKUP($A144,'I | Capex forecast'!$A$11:$AA$160,N$8,0)*INDEX('I | Inflation'!$F$46:$G$49,MATCH($I144,'I | Inflation'!$E$46:$E$49,0),MATCH($H144,'I | Inflation'!$F$45:$G$45,0)),0)</f>
        <v>0</v>
      </c>
      <c r="O144" s="52">
        <f>IFERROR(VLOOKUP($A144,'I | Capex forecast'!$A$11:$AA$160,O$8,0)*INDEX('I | Inflation'!$F$46:$G$49,MATCH($I144,'I | Inflation'!$E$46:$E$49,0),MATCH($H144,'I | Inflation'!$F$45:$G$45,0)),0)</f>
        <v>0</v>
      </c>
      <c r="P144" s="52">
        <f>IFERROR(VLOOKUP($A144,'I | Capex forecast'!$A$11:$AA$160,P$8,0)*INDEX('I | Inflation'!$F$46:$G$49,MATCH($I144,'I | Inflation'!$E$46:$E$49,0),MATCH($H144,'I | Inflation'!$F$45:$G$45,0)),0)</f>
        <v>0</v>
      </c>
      <c r="Q144" s="54">
        <f t="shared" si="86"/>
        <v>0</v>
      </c>
      <c r="R144" s="53"/>
      <c r="S144" s="226">
        <f>L144*VLOOKUP($A144,'I | Capex forecast'!$A$11:$AA$160,S$8,0)</f>
        <v>0</v>
      </c>
      <c r="T144" s="226">
        <f>M144*VLOOKUP($A144,'I | Capex forecast'!$A$11:$AA$160,T$8,0)</f>
        <v>0</v>
      </c>
      <c r="U144" s="226">
        <f>N144*VLOOKUP($A144,'I | Capex forecast'!$A$11:$AA$160,U$8,0)</f>
        <v>0</v>
      </c>
      <c r="V144" s="226">
        <f>O144*VLOOKUP($A144,'I | Capex forecast'!$A$11:$AA$160,V$8,0)</f>
        <v>0</v>
      </c>
      <c r="W144" s="226">
        <f>P144*VLOOKUP($A144,'I | Capex forecast'!$A$11:$AA$160,W$8,0)</f>
        <v>0</v>
      </c>
      <c r="X144" s="54">
        <f t="shared" si="97"/>
        <v>0</v>
      </c>
      <c r="Y144" s="53"/>
      <c r="Z144" s="52">
        <f>S144*(HLOOKUP(Z$10,'I | Inflation'!$E$57:$J$59,3,0)-1)</f>
        <v>0</v>
      </c>
      <c r="AA144" s="52">
        <f>T144*(HLOOKUP(AA$10,'I | Inflation'!$E$57:$J$59,3,0)-1)</f>
        <v>0</v>
      </c>
      <c r="AB144" s="52">
        <f>U144*(HLOOKUP(AB$10,'I | Inflation'!$E$57:$J$59,3,0)-1)</f>
        <v>0</v>
      </c>
      <c r="AC144" s="52">
        <f>V144*(HLOOKUP(AC$10,'I | Inflation'!$E$57:$J$59,3,0)-1)</f>
        <v>0</v>
      </c>
      <c r="AD144" s="52">
        <f>W144*(HLOOKUP(AD$10,'I | Inflation'!$E$57:$J$59,3,0)-1)</f>
        <v>0</v>
      </c>
      <c r="AE144" s="54">
        <f t="shared" si="98"/>
        <v>0</v>
      </c>
      <c r="AF144" s="53"/>
      <c r="AG144" s="226">
        <f t="shared" si="99"/>
        <v>0</v>
      </c>
      <c r="AH144" s="226">
        <f t="shared" si="100"/>
        <v>0</v>
      </c>
      <c r="AI144" s="226">
        <f t="shared" si="101"/>
        <v>0</v>
      </c>
      <c r="AJ144" s="226">
        <f t="shared" si="102"/>
        <v>0</v>
      </c>
      <c r="AK144" s="226">
        <f t="shared" si="103"/>
        <v>0</v>
      </c>
      <c r="AL144" s="54">
        <f t="shared" si="104"/>
        <v>0</v>
      </c>
      <c r="AM144" s="53"/>
      <c r="AN144" s="52"/>
      <c r="AO144" s="52"/>
      <c r="AP144" s="52"/>
      <c r="AQ144" s="52"/>
      <c r="AR144" s="52"/>
      <c r="AS144" s="54">
        <f t="shared" si="105"/>
        <v>0</v>
      </c>
      <c r="AT144" s="53"/>
      <c r="AU144" s="52"/>
      <c r="AV144" s="52"/>
      <c r="AW144" s="52"/>
      <c r="AX144" s="52"/>
      <c r="AY144" s="52"/>
      <c r="AZ144" s="54">
        <f t="shared" si="106"/>
        <v>0</v>
      </c>
      <c r="BA144" s="53"/>
      <c r="BB144" s="52"/>
      <c r="BC144" s="52"/>
      <c r="BD144" s="52"/>
      <c r="BE144" s="52"/>
      <c r="BF144" s="52"/>
      <c r="BG144" s="54">
        <f t="shared" si="107"/>
        <v>0</v>
      </c>
      <c r="BH144" s="53"/>
      <c r="BI144" s="52">
        <f>L144*VLOOKUP($A144,'I | Capex forecast'!$A$11:$AA$160,BI$8,0)</f>
        <v>0</v>
      </c>
      <c r="BJ144" s="52">
        <f>M144*VLOOKUP($A144,'I | Capex forecast'!$A$11:$AA$160,BJ$8,0)</f>
        <v>0</v>
      </c>
      <c r="BK144" s="52">
        <f>N144*VLOOKUP($A144,'I | Capex forecast'!$A$11:$AA$160,BK$8,0)</f>
        <v>0</v>
      </c>
      <c r="BL144" s="52">
        <f>O144*VLOOKUP($A144,'I | Capex forecast'!$A$11:$AA$160,BL$8,0)</f>
        <v>0</v>
      </c>
      <c r="BM144" s="52">
        <f>P144*VLOOKUP($A144,'I | Capex forecast'!$A$11:$AA$160,BM$8,0)</f>
        <v>0</v>
      </c>
      <c r="BN144" s="54">
        <f t="shared" si="108"/>
        <v>0</v>
      </c>
      <c r="BO144" s="53"/>
      <c r="BP144" s="52">
        <f t="shared" si="87"/>
        <v>0</v>
      </c>
      <c r="BQ144" s="52">
        <f t="shared" si="88"/>
        <v>0</v>
      </c>
      <c r="BR144" s="52">
        <f t="shared" si="89"/>
        <v>0</v>
      </c>
      <c r="BS144" s="52">
        <f t="shared" si="90"/>
        <v>0</v>
      </c>
      <c r="BT144" s="52">
        <f t="shared" si="91"/>
        <v>0</v>
      </c>
      <c r="BU144" s="54">
        <f t="shared" si="109"/>
        <v>0</v>
      </c>
      <c r="BW144" s="52">
        <f t="shared" si="92"/>
        <v>0</v>
      </c>
      <c r="BX144" s="52">
        <f t="shared" si="93"/>
        <v>0</v>
      </c>
      <c r="BY144" s="52">
        <f t="shared" si="94"/>
        <v>0</v>
      </c>
      <c r="BZ144" s="52">
        <f t="shared" si="95"/>
        <v>0</v>
      </c>
      <c r="CA144" s="52">
        <f t="shared" si="96"/>
        <v>0</v>
      </c>
      <c r="CB144" s="54">
        <f t="shared" si="110"/>
        <v>0</v>
      </c>
      <c r="CC144" s="53"/>
      <c r="CD144" s="52">
        <f t="shared" si="111"/>
        <v>0</v>
      </c>
      <c r="CE144" s="52">
        <f t="shared" si="112"/>
        <v>0</v>
      </c>
      <c r="CF144" s="52">
        <f t="shared" si="113"/>
        <v>0</v>
      </c>
      <c r="CG144" s="52">
        <f t="shared" si="114"/>
        <v>0</v>
      </c>
      <c r="CH144" s="52">
        <f t="shared" si="115"/>
        <v>0</v>
      </c>
      <c r="CI144" s="54">
        <f t="shared" si="116"/>
        <v>0</v>
      </c>
    </row>
    <row r="145" spans="1:87" x14ac:dyDescent="0.3">
      <c r="A145" s="56">
        <v>135</v>
      </c>
      <c r="B145" s="48" t="str">
        <f>IF('I | Capex forecast'!B145="","",'I | Capex forecast'!B145)</f>
        <v/>
      </c>
      <c r="C145" s="48" t="str">
        <f>IF('I | Capex forecast'!C145="","",'I | Capex forecast'!C145)</f>
        <v/>
      </c>
      <c r="D145" s="48" t="str">
        <f>IF('I | Capex forecast'!D145="","",'I | Capex forecast'!D145)</f>
        <v/>
      </c>
      <c r="E145" s="48" t="str">
        <f>IF('I | Capex forecast'!E145="","",'I | Capex forecast'!E145)</f>
        <v/>
      </c>
      <c r="F145" s="48" t="str">
        <f>IF('I | Capex forecast'!F145="","",'I | Capex forecast'!F145)</f>
        <v/>
      </c>
      <c r="G145" s="48" t="str">
        <f>IF('I | Capex forecast'!G145="","",'I | Capex forecast'!G145)</f>
        <v/>
      </c>
      <c r="H145" s="48" t="str">
        <f>IF('I | Capex forecast'!H145="","",'I | Capex forecast'!H145)</f>
        <v/>
      </c>
      <c r="I145" s="48" t="str">
        <f>IF('I | Capex forecast'!I145="","",'I | Capex forecast'!I145)</f>
        <v/>
      </c>
      <c r="J145" s="48" t="str">
        <f>IF('I | Capex forecast'!J145="","",'I | Capex forecast'!J145)</f>
        <v/>
      </c>
      <c r="K145" s="50"/>
      <c r="L145" s="52">
        <f>IFERROR(VLOOKUP($A145,'I | Capex forecast'!$A$11:$AA$160,L$8,0)*INDEX('I | Inflation'!$F$46:$G$49,MATCH($I145,'I | Inflation'!$E$46:$E$49,0),MATCH($H145,'I | Inflation'!$F$45:$G$45,0)),0)</f>
        <v>0</v>
      </c>
      <c r="M145" s="52">
        <f>IFERROR(VLOOKUP($A145,'I | Capex forecast'!$A$11:$AA$160,M$8,0)*INDEX('I | Inflation'!$F$46:$G$49,MATCH($I145,'I | Inflation'!$E$46:$E$49,0),MATCH($H145,'I | Inflation'!$F$45:$G$45,0)),0)</f>
        <v>0</v>
      </c>
      <c r="N145" s="52">
        <f>IFERROR(VLOOKUP($A145,'I | Capex forecast'!$A$11:$AA$160,N$8,0)*INDEX('I | Inflation'!$F$46:$G$49,MATCH($I145,'I | Inflation'!$E$46:$E$49,0),MATCH($H145,'I | Inflation'!$F$45:$G$45,0)),0)</f>
        <v>0</v>
      </c>
      <c r="O145" s="52">
        <f>IFERROR(VLOOKUP($A145,'I | Capex forecast'!$A$11:$AA$160,O$8,0)*INDEX('I | Inflation'!$F$46:$G$49,MATCH($I145,'I | Inflation'!$E$46:$E$49,0),MATCH($H145,'I | Inflation'!$F$45:$G$45,0)),0)</f>
        <v>0</v>
      </c>
      <c r="P145" s="52">
        <f>IFERROR(VLOOKUP($A145,'I | Capex forecast'!$A$11:$AA$160,P$8,0)*INDEX('I | Inflation'!$F$46:$G$49,MATCH($I145,'I | Inflation'!$E$46:$E$49,0),MATCH($H145,'I | Inflation'!$F$45:$G$45,0)),0)</f>
        <v>0</v>
      </c>
      <c r="Q145" s="54">
        <f t="shared" si="86"/>
        <v>0</v>
      </c>
      <c r="R145" s="53"/>
      <c r="S145" s="226">
        <f>L145*VLOOKUP($A145,'I | Capex forecast'!$A$11:$AA$160,S$8,0)</f>
        <v>0</v>
      </c>
      <c r="T145" s="226">
        <f>M145*VLOOKUP($A145,'I | Capex forecast'!$A$11:$AA$160,T$8,0)</f>
        <v>0</v>
      </c>
      <c r="U145" s="226">
        <f>N145*VLOOKUP($A145,'I | Capex forecast'!$A$11:$AA$160,U$8,0)</f>
        <v>0</v>
      </c>
      <c r="V145" s="226">
        <f>O145*VLOOKUP($A145,'I | Capex forecast'!$A$11:$AA$160,V$8,0)</f>
        <v>0</v>
      </c>
      <c r="W145" s="226">
        <f>P145*VLOOKUP($A145,'I | Capex forecast'!$A$11:$AA$160,W$8,0)</f>
        <v>0</v>
      </c>
      <c r="X145" s="54">
        <f t="shared" si="97"/>
        <v>0</v>
      </c>
      <c r="Y145" s="53"/>
      <c r="Z145" s="52">
        <f>S145*(HLOOKUP(Z$10,'I | Inflation'!$E$57:$J$59,3,0)-1)</f>
        <v>0</v>
      </c>
      <c r="AA145" s="52">
        <f>T145*(HLOOKUP(AA$10,'I | Inflation'!$E$57:$J$59,3,0)-1)</f>
        <v>0</v>
      </c>
      <c r="AB145" s="52">
        <f>U145*(HLOOKUP(AB$10,'I | Inflation'!$E$57:$J$59,3,0)-1)</f>
        <v>0</v>
      </c>
      <c r="AC145" s="52">
        <f>V145*(HLOOKUP(AC$10,'I | Inflation'!$E$57:$J$59,3,0)-1)</f>
        <v>0</v>
      </c>
      <c r="AD145" s="52">
        <f>W145*(HLOOKUP(AD$10,'I | Inflation'!$E$57:$J$59,3,0)-1)</f>
        <v>0</v>
      </c>
      <c r="AE145" s="54">
        <f t="shared" si="98"/>
        <v>0</v>
      </c>
      <c r="AF145" s="53"/>
      <c r="AG145" s="226">
        <f t="shared" si="99"/>
        <v>0</v>
      </c>
      <c r="AH145" s="226">
        <f t="shared" si="100"/>
        <v>0</v>
      </c>
      <c r="AI145" s="226">
        <f t="shared" si="101"/>
        <v>0</v>
      </c>
      <c r="AJ145" s="226">
        <f t="shared" si="102"/>
        <v>0</v>
      </c>
      <c r="AK145" s="226">
        <f t="shared" si="103"/>
        <v>0</v>
      </c>
      <c r="AL145" s="54">
        <f t="shared" si="104"/>
        <v>0</v>
      </c>
      <c r="AM145" s="53"/>
      <c r="AN145" s="52"/>
      <c r="AO145" s="52"/>
      <c r="AP145" s="52"/>
      <c r="AQ145" s="52"/>
      <c r="AR145" s="52"/>
      <c r="AS145" s="54">
        <f t="shared" si="105"/>
        <v>0</v>
      </c>
      <c r="AT145" s="53"/>
      <c r="AU145" s="52"/>
      <c r="AV145" s="52"/>
      <c r="AW145" s="52"/>
      <c r="AX145" s="52"/>
      <c r="AY145" s="52"/>
      <c r="AZ145" s="54">
        <f t="shared" si="106"/>
        <v>0</v>
      </c>
      <c r="BA145" s="53"/>
      <c r="BB145" s="52"/>
      <c r="BC145" s="52"/>
      <c r="BD145" s="52"/>
      <c r="BE145" s="52"/>
      <c r="BF145" s="52"/>
      <c r="BG145" s="54">
        <f t="shared" si="107"/>
        <v>0</v>
      </c>
      <c r="BH145" s="53"/>
      <c r="BI145" s="52">
        <f>L145*VLOOKUP($A145,'I | Capex forecast'!$A$11:$AA$160,BI$8,0)</f>
        <v>0</v>
      </c>
      <c r="BJ145" s="52">
        <f>M145*VLOOKUP($A145,'I | Capex forecast'!$A$11:$AA$160,BJ$8,0)</f>
        <v>0</v>
      </c>
      <c r="BK145" s="52">
        <f>N145*VLOOKUP($A145,'I | Capex forecast'!$A$11:$AA$160,BK$8,0)</f>
        <v>0</v>
      </c>
      <c r="BL145" s="52">
        <f>O145*VLOOKUP($A145,'I | Capex forecast'!$A$11:$AA$160,BL$8,0)</f>
        <v>0</v>
      </c>
      <c r="BM145" s="52">
        <f>P145*VLOOKUP($A145,'I | Capex forecast'!$A$11:$AA$160,BM$8,0)</f>
        <v>0</v>
      </c>
      <c r="BN145" s="54">
        <f t="shared" si="108"/>
        <v>0</v>
      </c>
      <c r="BO145" s="53"/>
      <c r="BP145" s="52">
        <f t="shared" si="87"/>
        <v>0</v>
      </c>
      <c r="BQ145" s="52">
        <f t="shared" si="88"/>
        <v>0</v>
      </c>
      <c r="BR145" s="52">
        <f t="shared" si="89"/>
        <v>0</v>
      </c>
      <c r="BS145" s="52">
        <f t="shared" si="90"/>
        <v>0</v>
      </c>
      <c r="BT145" s="52">
        <f t="shared" si="91"/>
        <v>0</v>
      </c>
      <c r="BU145" s="54">
        <f t="shared" si="109"/>
        <v>0</v>
      </c>
      <c r="BW145" s="52">
        <f t="shared" si="92"/>
        <v>0</v>
      </c>
      <c r="BX145" s="52">
        <f t="shared" si="93"/>
        <v>0</v>
      </c>
      <c r="BY145" s="52">
        <f t="shared" si="94"/>
        <v>0</v>
      </c>
      <c r="BZ145" s="52">
        <f t="shared" si="95"/>
        <v>0</v>
      </c>
      <c r="CA145" s="52">
        <f t="shared" si="96"/>
        <v>0</v>
      </c>
      <c r="CB145" s="54">
        <f t="shared" si="110"/>
        <v>0</v>
      </c>
      <c r="CC145" s="53"/>
      <c r="CD145" s="52">
        <f t="shared" si="111"/>
        <v>0</v>
      </c>
      <c r="CE145" s="52">
        <f t="shared" si="112"/>
        <v>0</v>
      </c>
      <c r="CF145" s="52">
        <f t="shared" si="113"/>
        <v>0</v>
      </c>
      <c r="CG145" s="52">
        <f t="shared" si="114"/>
        <v>0</v>
      </c>
      <c r="CH145" s="52">
        <f t="shared" si="115"/>
        <v>0</v>
      </c>
      <c r="CI145" s="54">
        <f t="shared" si="116"/>
        <v>0</v>
      </c>
    </row>
    <row r="146" spans="1:87" x14ac:dyDescent="0.3">
      <c r="A146" s="56">
        <v>136</v>
      </c>
      <c r="B146" s="48" t="str">
        <f>IF('I | Capex forecast'!B146="","",'I | Capex forecast'!B146)</f>
        <v/>
      </c>
      <c r="C146" s="48" t="str">
        <f>IF('I | Capex forecast'!C146="","",'I | Capex forecast'!C146)</f>
        <v/>
      </c>
      <c r="D146" s="48" t="str">
        <f>IF('I | Capex forecast'!D146="","",'I | Capex forecast'!D146)</f>
        <v/>
      </c>
      <c r="E146" s="48" t="str">
        <f>IF('I | Capex forecast'!E146="","",'I | Capex forecast'!E146)</f>
        <v/>
      </c>
      <c r="F146" s="48" t="str">
        <f>IF('I | Capex forecast'!F146="","",'I | Capex forecast'!F146)</f>
        <v/>
      </c>
      <c r="G146" s="48" t="str">
        <f>IF('I | Capex forecast'!G146="","",'I | Capex forecast'!G146)</f>
        <v/>
      </c>
      <c r="H146" s="48" t="str">
        <f>IF('I | Capex forecast'!H146="","",'I | Capex forecast'!H146)</f>
        <v/>
      </c>
      <c r="I146" s="48" t="str">
        <f>IF('I | Capex forecast'!I146="","",'I | Capex forecast'!I146)</f>
        <v/>
      </c>
      <c r="J146" s="48" t="str">
        <f>IF('I | Capex forecast'!J146="","",'I | Capex forecast'!J146)</f>
        <v/>
      </c>
      <c r="K146" s="50"/>
      <c r="L146" s="52">
        <f>IFERROR(VLOOKUP($A146,'I | Capex forecast'!$A$11:$AA$160,L$8,0)*INDEX('I | Inflation'!$F$46:$G$49,MATCH($I146,'I | Inflation'!$E$46:$E$49,0),MATCH($H146,'I | Inflation'!$F$45:$G$45,0)),0)</f>
        <v>0</v>
      </c>
      <c r="M146" s="52">
        <f>IFERROR(VLOOKUP($A146,'I | Capex forecast'!$A$11:$AA$160,M$8,0)*INDEX('I | Inflation'!$F$46:$G$49,MATCH($I146,'I | Inflation'!$E$46:$E$49,0),MATCH($H146,'I | Inflation'!$F$45:$G$45,0)),0)</f>
        <v>0</v>
      </c>
      <c r="N146" s="52">
        <f>IFERROR(VLOOKUP($A146,'I | Capex forecast'!$A$11:$AA$160,N$8,0)*INDEX('I | Inflation'!$F$46:$G$49,MATCH($I146,'I | Inflation'!$E$46:$E$49,0),MATCH($H146,'I | Inflation'!$F$45:$G$45,0)),0)</f>
        <v>0</v>
      </c>
      <c r="O146" s="52">
        <f>IFERROR(VLOOKUP($A146,'I | Capex forecast'!$A$11:$AA$160,O$8,0)*INDEX('I | Inflation'!$F$46:$G$49,MATCH($I146,'I | Inflation'!$E$46:$E$49,0),MATCH($H146,'I | Inflation'!$F$45:$G$45,0)),0)</f>
        <v>0</v>
      </c>
      <c r="P146" s="52">
        <f>IFERROR(VLOOKUP($A146,'I | Capex forecast'!$A$11:$AA$160,P$8,0)*INDEX('I | Inflation'!$F$46:$G$49,MATCH($I146,'I | Inflation'!$E$46:$E$49,0),MATCH($H146,'I | Inflation'!$F$45:$G$45,0)),0)</f>
        <v>0</v>
      </c>
      <c r="Q146" s="54">
        <f t="shared" si="86"/>
        <v>0</v>
      </c>
      <c r="R146" s="53"/>
      <c r="S146" s="226">
        <f>L146*VLOOKUP($A146,'I | Capex forecast'!$A$11:$AA$160,S$8,0)</f>
        <v>0</v>
      </c>
      <c r="T146" s="226">
        <f>M146*VLOOKUP($A146,'I | Capex forecast'!$A$11:$AA$160,T$8,0)</f>
        <v>0</v>
      </c>
      <c r="U146" s="226">
        <f>N146*VLOOKUP($A146,'I | Capex forecast'!$A$11:$AA$160,U$8,0)</f>
        <v>0</v>
      </c>
      <c r="V146" s="226">
        <f>O146*VLOOKUP($A146,'I | Capex forecast'!$A$11:$AA$160,V$8,0)</f>
        <v>0</v>
      </c>
      <c r="W146" s="226">
        <f>P146*VLOOKUP($A146,'I | Capex forecast'!$A$11:$AA$160,W$8,0)</f>
        <v>0</v>
      </c>
      <c r="X146" s="54">
        <f t="shared" si="97"/>
        <v>0</v>
      </c>
      <c r="Y146" s="53"/>
      <c r="Z146" s="52">
        <f>S146*(HLOOKUP(Z$10,'I | Inflation'!$E$57:$J$59,3,0)-1)</f>
        <v>0</v>
      </c>
      <c r="AA146" s="52">
        <f>T146*(HLOOKUP(AA$10,'I | Inflation'!$E$57:$J$59,3,0)-1)</f>
        <v>0</v>
      </c>
      <c r="AB146" s="52">
        <f>U146*(HLOOKUP(AB$10,'I | Inflation'!$E$57:$J$59,3,0)-1)</f>
        <v>0</v>
      </c>
      <c r="AC146" s="52">
        <f>V146*(HLOOKUP(AC$10,'I | Inflation'!$E$57:$J$59,3,0)-1)</f>
        <v>0</v>
      </c>
      <c r="AD146" s="52">
        <f>W146*(HLOOKUP(AD$10,'I | Inflation'!$E$57:$J$59,3,0)-1)</f>
        <v>0</v>
      </c>
      <c r="AE146" s="54">
        <f t="shared" si="98"/>
        <v>0</v>
      </c>
      <c r="AF146" s="53"/>
      <c r="AG146" s="226">
        <f t="shared" si="99"/>
        <v>0</v>
      </c>
      <c r="AH146" s="226">
        <f t="shared" si="100"/>
        <v>0</v>
      </c>
      <c r="AI146" s="226">
        <f t="shared" si="101"/>
        <v>0</v>
      </c>
      <c r="AJ146" s="226">
        <f t="shared" si="102"/>
        <v>0</v>
      </c>
      <c r="AK146" s="226">
        <f t="shared" si="103"/>
        <v>0</v>
      </c>
      <c r="AL146" s="54">
        <f t="shared" si="104"/>
        <v>0</v>
      </c>
      <c r="AM146" s="53"/>
      <c r="AN146" s="52"/>
      <c r="AO146" s="52"/>
      <c r="AP146" s="52"/>
      <c r="AQ146" s="52"/>
      <c r="AR146" s="52"/>
      <c r="AS146" s="54">
        <f t="shared" si="105"/>
        <v>0</v>
      </c>
      <c r="AT146" s="53"/>
      <c r="AU146" s="52"/>
      <c r="AV146" s="52"/>
      <c r="AW146" s="52"/>
      <c r="AX146" s="52"/>
      <c r="AY146" s="52"/>
      <c r="AZ146" s="54">
        <f t="shared" si="106"/>
        <v>0</v>
      </c>
      <c r="BA146" s="53"/>
      <c r="BB146" s="52"/>
      <c r="BC146" s="52"/>
      <c r="BD146" s="52"/>
      <c r="BE146" s="52"/>
      <c r="BF146" s="52"/>
      <c r="BG146" s="54">
        <f t="shared" si="107"/>
        <v>0</v>
      </c>
      <c r="BH146" s="53"/>
      <c r="BI146" s="52">
        <f>L146*VLOOKUP($A146,'I | Capex forecast'!$A$11:$AA$160,BI$8,0)</f>
        <v>0</v>
      </c>
      <c r="BJ146" s="52">
        <f>M146*VLOOKUP($A146,'I | Capex forecast'!$A$11:$AA$160,BJ$8,0)</f>
        <v>0</v>
      </c>
      <c r="BK146" s="52">
        <f>N146*VLOOKUP($A146,'I | Capex forecast'!$A$11:$AA$160,BK$8,0)</f>
        <v>0</v>
      </c>
      <c r="BL146" s="52">
        <f>O146*VLOOKUP($A146,'I | Capex forecast'!$A$11:$AA$160,BL$8,0)</f>
        <v>0</v>
      </c>
      <c r="BM146" s="52">
        <f>P146*VLOOKUP($A146,'I | Capex forecast'!$A$11:$AA$160,BM$8,0)</f>
        <v>0</v>
      </c>
      <c r="BN146" s="54">
        <f t="shared" si="108"/>
        <v>0</v>
      </c>
      <c r="BO146" s="53"/>
      <c r="BP146" s="52">
        <f t="shared" si="87"/>
        <v>0</v>
      </c>
      <c r="BQ146" s="52">
        <f t="shared" si="88"/>
        <v>0</v>
      </c>
      <c r="BR146" s="52">
        <f t="shared" si="89"/>
        <v>0</v>
      </c>
      <c r="BS146" s="52">
        <f t="shared" si="90"/>
        <v>0</v>
      </c>
      <c r="BT146" s="52">
        <f t="shared" si="91"/>
        <v>0</v>
      </c>
      <c r="BU146" s="54">
        <f t="shared" si="109"/>
        <v>0</v>
      </c>
      <c r="BW146" s="52">
        <f t="shared" si="92"/>
        <v>0</v>
      </c>
      <c r="BX146" s="52">
        <f t="shared" si="93"/>
        <v>0</v>
      </c>
      <c r="BY146" s="52">
        <f t="shared" si="94"/>
        <v>0</v>
      </c>
      <c r="BZ146" s="52">
        <f t="shared" si="95"/>
        <v>0</v>
      </c>
      <c r="CA146" s="52">
        <f t="shared" si="96"/>
        <v>0</v>
      </c>
      <c r="CB146" s="54">
        <f t="shared" si="110"/>
        <v>0</v>
      </c>
      <c r="CC146" s="53"/>
      <c r="CD146" s="52">
        <f t="shared" si="111"/>
        <v>0</v>
      </c>
      <c r="CE146" s="52">
        <f t="shared" si="112"/>
        <v>0</v>
      </c>
      <c r="CF146" s="52">
        <f t="shared" si="113"/>
        <v>0</v>
      </c>
      <c r="CG146" s="52">
        <f t="shared" si="114"/>
        <v>0</v>
      </c>
      <c r="CH146" s="52">
        <f t="shared" si="115"/>
        <v>0</v>
      </c>
      <c r="CI146" s="54">
        <f t="shared" si="116"/>
        <v>0</v>
      </c>
    </row>
    <row r="147" spans="1:87" x14ac:dyDescent="0.3">
      <c r="A147" s="56">
        <v>137</v>
      </c>
      <c r="B147" s="48" t="str">
        <f>IF('I | Capex forecast'!B147="","",'I | Capex forecast'!B147)</f>
        <v/>
      </c>
      <c r="C147" s="48" t="str">
        <f>IF('I | Capex forecast'!C147="","",'I | Capex forecast'!C147)</f>
        <v/>
      </c>
      <c r="D147" s="48" t="str">
        <f>IF('I | Capex forecast'!D147="","",'I | Capex forecast'!D147)</f>
        <v/>
      </c>
      <c r="E147" s="48" t="str">
        <f>IF('I | Capex forecast'!E147="","",'I | Capex forecast'!E147)</f>
        <v/>
      </c>
      <c r="F147" s="48" t="str">
        <f>IF('I | Capex forecast'!F147="","",'I | Capex forecast'!F147)</f>
        <v/>
      </c>
      <c r="G147" s="48" t="str">
        <f>IF('I | Capex forecast'!G147="","",'I | Capex forecast'!G147)</f>
        <v/>
      </c>
      <c r="H147" s="48" t="str">
        <f>IF('I | Capex forecast'!H147="","",'I | Capex forecast'!H147)</f>
        <v/>
      </c>
      <c r="I147" s="48" t="str">
        <f>IF('I | Capex forecast'!I147="","",'I | Capex forecast'!I147)</f>
        <v/>
      </c>
      <c r="J147" s="48" t="str">
        <f>IF('I | Capex forecast'!J147="","",'I | Capex forecast'!J147)</f>
        <v/>
      </c>
      <c r="K147" s="50"/>
      <c r="L147" s="52">
        <f>IFERROR(VLOOKUP($A147,'I | Capex forecast'!$A$11:$AA$160,L$8,0)*INDEX('I | Inflation'!$F$46:$G$49,MATCH($I147,'I | Inflation'!$E$46:$E$49,0),MATCH($H147,'I | Inflation'!$F$45:$G$45,0)),0)</f>
        <v>0</v>
      </c>
      <c r="M147" s="52">
        <f>IFERROR(VLOOKUP($A147,'I | Capex forecast'!$A$11:$AA$160,M$8,0)*INDEX('I | Inflation'!$F$46:$G$49,MATCH($I147,'I | Inflation'!$E$46:$E$49,0),MATCH($H147,'I | Inflation'!$F$45:$G$45,0)),0)</f>
        <v>0</v>
      </c>
      <c r="N147" s="52">
        <f>IFERROR(VLOOKUP($A147,'I | Capex forecast'!$A$11:$AA$160,N$8,0)*INDEX('I | Inflation'!$F$46:$G$49,MATCH($I147,'I | Inflation'!$E$46:$E$49,0),MATCH($H147,'I | Inflation'!$F$45:$G$45,0)),0)</f>
        <v>0</v>
      </c>
      <c r="O147" s="52">
        <f>IFERROR(VLOOKUP($A147,'I | Capex forecast'!$A$11:$AA$160,O$8,0)*INDEX('I | Inflation'!$F$46:$G$49,MATCH($I147,'I | Inflation'!$E$46:$E$49,0),MATCH($H147,'I | Inflation'!$F$45:$G$45,0)),0)</f>
        <v>0</v>
      </c>
      <c r="P147" s="52">
        <f>IFERROR(VLOOKUP($A147,'I | Capex forecast'!$A$11:$AA$160,P$8,0)*INDEX('I | Inflation'!$F$46:$G$49,MATCH($I147,'I | Inflation'!$E$46:$E$49,0),MATCH($H147,'I | Inflation'!$F$45:$G$45,0)),0)</f>
        <v>0</v>
      </c>
      <c r="Q147" s="54">
        <f t="shared" si="86"/>
        <v>0</v>
      </c>
      <c r="R147" s="53"/>
      <c r="S147" s="226">
        <f>L147*VLOOKUP($A147,'I | Capex forecast'!$A$11:$AA$160,S$8,0)</f>
        <v>0</v>
      </c>
      <c r="T147" s="226">
        <f>M147*VLOOKUP($A147,'I | Capex forecast'!$A$11:$AA$160,T$8,0)</f>
        <v>0</v>
      </c>
      <c r="U147" s="226">
        <f>N147*VLOOKUP($A147,'I | Capex forecast'!$A$11:$AA$160,U$8,0)</f>
        <v>0</v>
      </c>
      <c r="V147" s="226">
        <f>O147*VLOOKUP($A147,'I | Capex forecast'!$A$11:$AA$160,V$8,0)</f>
        <v>0</v>
      </c>
      <c r="W147" s="226">
        <f>P147*VLOOKUP($A147,'I | Capex forecast'!$A$11:$AA$160,W$8,0)</f>
        <v>0</v>
      </c>
      <c r="X147" s="54">
        <f t="shared" si="97"/>
        <v>0</v>
      </c>
      <c r="Y147" s="53"/>
      <c r="Z147" s="52">
        <f>S147*(HLOOKUP(Z$10,'I | Inflation'!$E$57:$J$59,3,0)-1)</f>
        <v>0</v>
      </c>
      <c r="AA147" s="52">
        <f>T147*(HLOOKUP(AA$10,'I | Inflation'!$E$57:$J$59,3,0)-1)</f>
        <v>0</v>
      </c>
      <c r="AB147" s="52">
        <f>U147*(HLOOKUP(AB$10,'I | Inflation'!$E$57:$J$59,3,0)-1)</f>
        <v>0</v>
      </c>
      <c r="AC147" s="52">
        <f>V147*(HLOOKUP(AC$10,'I | Inflation'!$E$57:$J$59,3,0)-1)</f>
        <v>0</v>
      </c>
      <c r="AD147" s="52">
        <f>W147*(HLOOKUP(AD$10,'I | Inflation'!$E$57:$J$59,3,0)-1)</f>
        <v>0</v>
      </c>
      <c r="AE147" s="54">
        <f t="shared" si="98"/>
        <v>0</v>
      </c>
      <c r="AF147" s="53"/>
      <c r="AG147" s="226">
        <f t="shared" si="99"/>
        <v>0</v>
      </c>
      <c r="AH147" s="226">
        <f t="shared" si="100"/>
        <v>0</v>
      </c>
      <c r="AI147" s="226">
        <f t="shared" si="101"/>
        <v>0</v>
      </c>
      <c r="AJ147" s="226">
        <f t="shared" si="102"/>
        <v>0</v>
      </c>
      <c r="AK147" s="226">
        <f t="shared" si="103"/>
        <v>0</v>
      </c>
      <c r="AL147" s="54">
        <f t="shared" si="104"/>
        <v>0</v>
      </c>
      <c r="AM147" s="53"/>
      <c r="AN147" s="52"/>
      <c r="AO147" s="52"/>
      <c r="AP147" s="52"/>
      <c r="AQ147" s="52"/>
      <c r="AR147" s="52"/>
      <c r="AS147" s="54">
        <f t="shared" si="105"/>
        <v>0</v>
      </c>
      <c r="AT147" s="53"/>
      <c r="AU147" s="52"/>
      <c r="AV147" s="52"/>
      <c r="AW147" s="52"/>
      <c r="AX147" s="52"/>
      <c r="AY147" s="52"/>
      <c r="AZ147" s="54">
        <f t="shared" si="106"/>
        <v>0</v>
      </c>
      <c r="BA147" s="53"/>
      <c r="BB147" s="52"/>
      <c r="BC147" s="52"/>
      <c r="BD147" s="52"/>
      <c r="BE147" s="52"/>
      <c r="BF147" s="52"/>
      <c r="BG147" s="54">
        <f t="shared" si="107"/>
        <v>0</v>
      </c>
      <c r="BH147" s="53"/>
      <c r="BI147" s="52">
        <f>L147*VLOOKUP($A147,'I | Capex forecast'!$A$11:$AA$160,BI$8,0)</f>
        <v>0</v>
      </c>
      <c r="BJ147" s="52">
        <f>M147*VLOOKUP($A147,'I | Capex forecast'!$A$11:$AA$160,BJ$8,0)</f>
        <v>0</v>
      </c>
      <c r="BK147" s="52">
        <f>N147*VLOOKUP($A147,'I | Capex forecast'!$A$11:$AA$160,BK$8,0)</f>
        <v>0</v>
      </c>
      <c r="BL147" s="52">
        <f>O147*VLOOKUP($A147,'I | Capex forecast'!$A$11:$AA$160,BL$8,0)</f>
        <v>0</v>
      </c>
      <c r="BM147" s="52">
        <f>P147*VLOOKUP($A147,'I | Capex forecast'!$A$11:$AA$160,BM$8,0)</f>
        <v>0</v>
      </c>
      <c r="BN147" s="54">
        <f t="shared" si="108"/>
        <v>0</v>
      </c>
      <c r="BO147" s="53"/>
      <c r="BP147" s="52">
        <f t="shared" si="87"/>
        <v>0</v>
      </c>
      <c r="BQ147" s="52">
        <f t="shared" si="88"/>
        <v>0</v>
      </c>
      <c r="BR147" s="52">
        <f t="shared" si="89"/>
        <v>0</v>
      </c>
      <c r="BS147" s="52">
        <f t="shared" si="90"/>
        <v>0</v>
      </c>
      <c r="BT147" s="52">
        <f t="shared" si="91"/>
        <v>0</v>
      </c>
      <c r="BU147" s="54">
        <f t="shared" si="109"/>
        <v>0</v>
      </c>
      <c r="BW147" s="52">
        <f t="shared" si="92"/>
        <v>0</v>
      </c>
      <c r="BX147" s="52">
        <f t="shared" si="93"/>
        <v>0</v>
      </c>
      <c r="BY147" s="52">
        <f t="shared" si="94"/>
        <v>0</v>
      </c>
      <c r="BZ147" s="52">
        <f t="shared" si="95"/>
        <v>0</v>
      </c>
      <c r="CA147" s="52">
        <f t="shared" si="96"/>
        <v>0</v>
      </c>
      <c r="CB147" s="54">
        <f t="shared" si="110"/>
        <v>0</v>
      </c>
      <c r="CC147" s="53"/>
      <c r="CD147" s="52">
        <f t="shared" si="111"/>
        <v>0</v>
      </c>
      <c r="CE147" s="52">
        <f t="shared" si="112"/>
        <v>0</v>
      </c>
      <c r="CF147" s="52">
        <f t="shared" si="113"/>
        <v>0</v>
      </c>
      <c r="CG147" s="52">
        <f t="shared" si="114"/>
        <v>0</v>
      </c>
      <c r="CH147" s="52">
        <f t="shared" si="115"/>
        <v>0</v>
      </c>
      <c r="CI147" s="54">
        <f t="shared" si="116"/>
        <v>0</v>
      </c>
    </row>
    <row r="148" spans="1:87" x14ac:dyDescent="0.3">
      <c r="A148" s="56">
        <v>138</v>
      </c>
      <c r="B148" s="48" t="str">
        <f>IF('I | Capex forecast'!B148="","",'I | Capex forecast'!B148)</f>
        <v/>
      </c>
      <c r="C148" s="48" t="str">
        <f>IF('I | Capex forecast'!C148="","",'I | Capex forecast'!C148)</f>
        <v/>
      </c>
      <c r="D148" s="48" t="str">
        <f>IF('I | Capex forecast'!D148="","",'I | Capex forecast'!D148)</f>
        <v/>
      </c>
      <c r="E148" s="48" t="str">
        <f>IF('I | Capex forecast'!E148="","",'I | Capex forecast'!E148)</f>
        <v/>
      </c>
      <c r="F148" s="48" t="str">
        <f>IF('I | Capex forecast'!F148="","",'I | Capex forecast'!F148)</f>
        <v/>
      </c>
      <c r="G148" s="48" t="str">
        <f>IF('I | Capex forecast'!G148="","",'I | Capex forecast'!G148)</f>
        <v/>
      </c>
      <c r="H148" s="48" t="str">
        <f>IF('I | Capex forecast'!H148="","",'I | Capex forecast'!H148)</f>
        <v/>
      </c>
      <c r="I148" s="48" t="str">
        <f>IF('I | Capex forecast'!I148="","",'I | Capex forecast'!I148)</f>
        <v/>
      </c>
      <c r="J148" s="48" t="str">
        <f>IF('I | Capex forecast'!J148="","",'I | Capex forecast'!J148)</f>
        <v/>
      </c>
      <c r="K148" s="50"/>
      <c r="L148" s="52">
        <f>IFERROR(VLOOKUP($A148,'I | Capex forecast'!$A$11:$AA$160,L$8,0)*INDEX('I | Inflation'!$F$46:$G$49,MATCH($I148,'I | Inflation'!$E$46:$E$49,0),MATCH($H148,'I | Inflation'!$F$45:$G$45,0)),0)</f>
        <v>0</v>
      </c>
      <c r="M148" s="52">
        <f>IFERROR(VLOOKUP($A148,'I | Capex forecast'!$A$11:$AA$160,M$8,0)*INDEX('I | Inflation'!$F$46:$G$49,MATCH($I148,'I | Inflation'!$E$46:$E$49,0),MATCH($H148,'I | Inflation'!$F$45:$G$45,0)),0)</f>
        <v>0</v>
      </c>
      <c r="N148" s="52">
        <f>IFERROR(VLOOKUP($A148,'I | Capex forecast'!$A$11:$AA$160,N$8,0)*INDEX('I | Inflation'!$F$46:$G$49,MATCH($I148,'I | Inflation'!$E$46:$E$49,0),MATCH($H148,'I | Inflation'!$F$45:$G$45,0)),0)</f>
        <v>0</v>
      </c>
      <c r="O148" s="52">
        <f>IFERROR(VLOOKUP($A148,'I | Capex forecast'!$A$11:$AA$160,O$8,0)*INDEX('I | Inflation'!$F$46:$G$49,MATCH($I148,'I | Inflation'!$E$46:$E$49,0),MATCH($H148,'I | Inflation'!$F$45:$G$45,0)),0)</f>
        <v>0</v>
      </c>
      <c r="P148" s="52">
        <f>IFERROR(VLOOKUP($A148,'I | Capex forecast'!$A$11:$AA$160,P$8,0)*INDEX('I | Inflation'!$F$46:$G$49,MATCH($I148,'I | Inflation'!$E$46:$E$49,0),MATCH($H148,'I | Inflation'!$F$45:$G$45,0)),0)</f>
        <v>0</v>
      </c>
      <c r="Q148" s="54">
        <f t="shared" si="86"/>
        <v>0</v>
      </c>
      <c r="R148" s="53"/>
      <c r="S148" s="226">
        <f>L148*VLOOKUP($A148,'I | Capex forecast'!$A$11:$AA$160,S$8,0)</f>
        <v>0</v>
      </c>
      <c r="T148" s="226">
        <f>M148*VLOOKUP($A148,'I | Capex forecast'!$A$11:$AA$160,T$8,0)</f>
        <v>0</v>
      </c>
      <c r="U148" s="226">
        <f>N148*VLOOKUP($A148,'I | Capex forecast'!$A$11:$AA$160,U$8,0)</f>
        <v>0</v>
      </c>
      <c r="V148" s="226">
        <f>O148*VLOOKUP($A148,'I | Capex forecast'!$A$11:$AA$160,V$8,0)</f>
        <v>0</v>
      </c>
      <c r="W148" s="226">
        <f>P148*VLOOKUP($A148,'I | Capex forecast'!$A$11:$AA$160,W$8,0)</f>
        <v>0</v>
      </c>
      <c r="X148" s="54">
        <f t="shared" si="97"/>
        <v>0</v>
      </c>
      <c r="Y148" s="53"/>
      <c r="Z148" s="52">
        <f>S148*(HLOOKUP(Z$10,'I | Inflation'!$E$57:$J$59,3,0)-1)</f>
        <v>0</v>
      </c>
      <c r="AA148" s="52">
        <f>T148*(HLOOKUP(AA$10,'I | Inflation'!$E$57:$J$59,3,0)-1)</f>
        <v>0</v>
      </c>
      <c r="AB148" s="52">
        <f>U148*(HLOOKUP(AB$10,'I | Inflation'!$E$57:$J$59,3,0)-1)</f>
        <v>0</v>
      </c>
      <c r="AC148" s="52">
        <f>V148*(HLOOKUP(AC$10,'I | Inflation'!$E$57:$J$59,3,0)-1)</f>
        <v>0</v>
      </c>
      <c r="AD148" s="52">
        <f>W148*(HLOOKUP(AD$10,'I | Inflation'!$E$57:$J$59,3,0)-1)</f>
        <v>0</v>
      </c>
      <c r="AE148" s="54">
        <f t="shared" si="98"/>
        <v>0</v>
      </c>
      <c r="AF148" s="53"/>
      <c r="AG148" s="226">
        <f t="shared" si="99"/>
        <v>0</v>
      </c>
      <c r="AH148" s="226">
        <f t="shared" si="100"/>
        <v>0</v>
      </c>
      <c r="AI148" s="226">
        <f t="shared" si="101"/>
        <v>0</v>
      </c>
      <c r="AJ148" s="226">
        <f t="shared" si="102"/>
        <v>0</v>
      </c>
      <c r="AK148" s="226">
        <f t="shared" si="103"/>
        <v>0</v>
      </c>
      <c r="AL148" s="54">
        <f t="shared" si="104"/>
        <v>0</v>
      </c>
      <c r="AM148" s="53"/>
      <c r="AN148" s="52"/>
      <c r="AO148" s="52"/>
      <c r="AP148" s="52"/>
      <c r="AQ148" s="52"/>
      <c r="AR148" s="52"/>
      <c r="AS148" s="54">
        <f t="shared" si="105"/>
        <v>0</v>
      </c>
      <c r="AT148" s="53"/>
      <c r="AU148" s="52"/>
      <c r="AV148" s="52"/>
      <c r="AW148" s="52"/>
      <c r="AX148" s="52"/>
      <c r="AY148" s="52"/>
      <c r="AZ148" s="54">
        <f t="shared" si="106"/>
        <v>0</v>
      </c>
      <c r="BA148" s="53"/>
      <c r="BB148" s="52"/>
      <c r="BC148" s="52"/>
      <c r="BD148" s="52"/>
      <c r="BE148" s="52"/>
      <c r="BF148" s="52"/>
      <c r="BG148" s="54">
        <f t="shared" si="107"/>
        <v>0</v>
      </c>
      <c r="BH148" s="53"/>
      <c r="BI148" s="52">
        <f>L148*VLOOKUP($A148,'I | Capex forecast'!$A$11:$AA$160,BI$8,0)</f>
        <v>0</v>
      </c>
      <c r="BJ148" s="52">
        <f>M148*VLOOKUP($A148,'I | Capex forecast'!$A$11:$AA$160,BJ$8,0)</f>
        <v>0</v>
      </c>
      <c r="BK148" s="52">
        <f>N148*VLOOKUP($A148,'I | Capex forecast'!$A$11:$AA$160,BK$8,0)</f>
        <v>0</v>
      </c>
      <c r="BL148" s="52">
        <f>O148*VLOOKUP($A148,'I | Capex forecast'!$A$11:$AA$160,BL$8,0)</f>
        <v>0</v>
      </c>
      <c r="BM148" s="52">
        <f>P148*VLOOKUP($A148,'I | Capex forecast'!$A$11:$AA$160,BM$8,0)</f>
        <v>0</v>
      </c>
      <c r="BN148" s="54">
        <f t="shared" si="108"/>
        <v>0</v>
      </c>
      <c r="BO148" s="53"/>
      <c r="BP148" s="52">
        <f t="shared" si="87"/>
        <v>0</v>
      </c>
      <c r="BQ148" s="52">
        <f t="shared" si="88"/>
        <v>0</v>
      </c>
      <c r="BR148" s="52">
        <f t="shared" si="89"/>
        <v>0</v>
      </c>
      <c r="BS148" s="52">
        <f t="shared" si="90"/>
        <v>0</v>
      </c>
      <c r="BT148" s="52">
        <f t="shared" si="91"/>
        <v>0</v>
      </c>
      <c r="BU148" s="54">
        <f t="shared" si="109"/>
        <v>0</v>
      </c>
      <c r="BW148" s="52">
        <f t="shared" si="92"/>
        <v>0</v>
      </c>
      <c r="BX148" s="52">
        <f t="shared" si="93"/>
        <v>0</v>
      </c>
      <c r="BY148" s="52">
        <f t="shared" si="94"/>
        <v>0</v>
      </c>
      <c r="BZ148" s="52">
        <f t="shared" si="95"/>
        <v>0</v>
      </c>
      <c r="CA148" s="52">
        <f t="shared" si="96"/>
        <v>0</v>
      </c>
      <c r="CB148" s="54">
        <f t="shared" si="110"/>
        <v>0</v>
      </c>
      <c r="CC148" s="53"/>
      <c r="CD148" s="52">
        <f t="shared" si="111"/>
        <v>0</v>
      </c>
      <c r="CE148" s="52">
        <f t="shared" si="112"/>
        <v>0</v>
      </c>
      <c r="CF148" s="52">
        <f t="shared" si="113"/>
        <v>0</v>
      </c>
      <c r="CG148" s="52">
        <f t="shared" si="114"/>
        <v>0</v>
      </c>
      <c r="CH148" s="52">
        <f t="shared" si="115"/>
        <v>0</v>
      </c>
      <c r="CI148" s="54">
        <f t="shared" si="116"/>
        <v>0</v>
      </c>
    </row>
    <row r="149" spans="1:87" x14ac:dyDescent="0.3">
      <c r="A149" s="56">
        <v>139</v>
      </c>
      <c r="B149" s="48" t="str">
        <f>IF('I | Capex forecast'!B149="","",'I | Capex forecast'!B149)</f>
        <v/>
      </c>
      <c r="C149" s="48" t="str">
        <f>IF('I | Capex forecast'!C149="","",'I | Capex forecast'!C149)</f>
        <v/>
      </c>
      <c r="D149" s="48" t="str">
        <f>IF('I | Capex forecast'!D149="","",'I | Capex forecast'!D149)</f>
        <v/>
      </c>
      <c r="E149" s="48" t="str">
        <f>IF('I | Capex forecast'!E149="","",'I | Capex forecast'!E149)</f>
        <v/>
      </c>
      <c r="F149" s="48" t="str">
        <f>IF('I | Capex forecast'!F149="","",'I | Capex forecast'!F149)</f>
        <v/>
      </c>
      <c r="G149" s="48" t="str">
        <f>IF('I | Capex forecast'!G149="","",'I | Capex forecast'!G149)</f>
        <v/>
      </c>
      <c r="H149" s="48" t="str">
        <f>IF('I | Capex forecast'!H149="","",'I | Capex forecast'!H149)</f>
        <v/>
      </c>
      <c r="I149" s="48" t="str">
        <f>IF('I | Capex forecast'!I149="","",'I | Capex forecast'!I149)</f>
        <v/>
      </c>
      <c r="J149" s="48" t="str">
        <f>IF('I | Capex forecast'!J149="","",'I | Capex forecast'!J149)</f>
        <v/>
      </c>
      <c r="K149" s="50"/>
      <c r="L149" s="52">
        <f>IFERROR(VLOOKUP($A149,'I | Capex forecast'!$A$11:$AA$160,L$8,0)*INDEX('I | Inflation'!$F$46:$G$49,MATCH($I149,'I | Inflation'!$E$46:$E$49,0),MATCH($H149,'I | Inflation'!$F$45:$G$45,0)),0)</f>
        <v>0</v>
      </c>
      <c r="M149" s="52">
        <f>IFERROR(VLOOKUP($A149,'I | Capex forecast'!$A$11:$AA$160,M$8,0)*INDEX('I | Inflation'!$F$46:$G$49,MATCH($I149,'I | Inflation'!$E$46:$E$49,0),MATCH($H149,'I | Inflation'!$F$45:$G$45,0)),0)</f>
        <v>0</v>
      </c>
      <c r="N149" s="52">
        <f>IFERROR(VLOOKUP($A149,'I | Capex forecast'!$A$11:$AA$160,N$8,0)*INDEX('I | Inflation'!$F$46:$G$49,MATCH($I149,'I | Inflation'!$E$46:$E$49,0),MATCH($H149,'I | Inflation'!$F$45:$G$45,0)),0)</f>
        <v>0</v>
      </c>
      <c r="O149" s="52">
        <f>IFERROR(VLOOKUP($A149,'I | Capex forecast'!$A$11:$AA$160,O$8,0)*INDEX('I | Inflation'!$F$46:$G$49,MATCH($I149,'I | Inflation'!$E$46:$E$49,0),MATCH($H149,'I | Inflation'!$F$45:$G$45,0)),0)</f>
        <v>0</v>
      </c>
      <c r="P149" s="52">
        <f>IFERROR(VLOOKUP($A149,'I | Capex forecast'!$A$11:$AA$160,P$8,0)*INDEX('I | Inflation'!$F$46:$G$49,MATCH($I149,'I | Inflation'!$E$46:$E$49,0),MATCH($H149,'I | Inflation'!$F$45:$G$45,0)),0)</f>
        <v>0</v>
      </c>
      <c r="Q149" s="54">
        <f t="shared" si="86"/>
        <v>0</v>
      </c>
      <c r="R149" s="53"/>
      <c r="S149" s="226">
        <f>L149*VLOOKUP($A149,'I | Capex forecast'!$A$11:$AA$160,S$8,0)</f>
        <v>0</v>
      </c>
      <c r="T149" s="226">
        <f>M149*VLOOKUP($A149,'I | Capex forecast'!$A$11:$AA$160,T$8,0)</f>
        <v>0</v>
      </c>
      <c r="U149" s="226">
        <f>N149*VLOOKUP($A149,'I | Capex forecast'!$A$11:$AA$160,U$8,0)</f>
        <v>0</v>
      </c>
      <c r="V149" s="226">
        <f>O149*VLOOKUP($A149,'I | Capex forecast'!$A$11:$AA$160,V$8,0)</f>
        <v>0</v>
      </c>
      <c r="W149" s="226">
        <f>P149*VLOOKUP($A149,'I | Capex forecast'!$A$11:$AA$160,W$8,0)</f>
        <v>0</v>
      </c>
      <c r="X149" s="54">
        <f t="shared" si="97"/>
        <v>0</v>
      </c>
      <c r="Y149" s="53"/>
      <c r="Z149" s="52">
        <f>S149*(HLOOKUP(Z$10,'I | Inflation'!$E$57:$J$59,3,0)-1)</f>
        <v>0</v>
      </c>
      <c r="AA149" s="52">
        <f>T149*(HLOOKUP(AA$10,'I | Inflation'!$E$57:$J$59,3,0)-1)</f>
        <v>0</v>
      </c>
      <c r="AB149" s="52">
        <f>U149*(HLOOKUP(AB$10,'I | Inflation'!$E$57:$J$59,3,0)-1)</f>
        <v>0</v>
      </c>
      <c r="AC149" s="52">
        <f>V149*(HLOOKUP(AC$10,'I | Inflation'!$E$57:$J$59,3,0)-1)</f>
        <v>0</v>
      </c>
      <c r="AD149" s="52">
        <f>W149*(HLOOKUP(AD$10,'I | Inflation'!$E$57:$J$59,3,0)-1)</f>
        <v>0</v>
      </c>
      <c r="AE149" s="54">
        <f t="shared" si="98"/>
        <v>0</v>
      </c>
      <c r="AF149" s="53"/>
      <c r="AG149" s="226">
        <f t="shared" si="99"/>
        <v>0</v>
      </c>
      <c r="AH149" s="226">
        <f t="shared" si="100"/>
        <v>0</v>
      </c>
      <c r="AI149" s="226">
        <f t="shared" si="101"/>
        <v>0</v>
      </c>
      <c r="AJ149" s="226">
        <f t="shared" si="102"/>
        <v>0</v>
      </c>
      <c r="AK149" s="226">
        <f t="shared" si="103"/>
        <v>0</v>
      </c>
      <c r="AL149" s="54">
        <f t="shared" si="104"/>
        <v>0</v>
      </c>
      <c r="AM149" s="53"/>
      <c r="AN149" s="52"/>
      <c r="AO149" s="52"/>
      <c r="AP149" s="52"/>
      <c r="AQ149" s="52"/>
      <c r="AR149" s="52"/>
      <c r="AS149" s="54">
        <f t="shared" si="105"/>
        <v>0</v>
      </c>
      <c r="AT149" s="53"/>
      <c r="AU149" s="52"/>
      <c r="AV149" s="52"/>
      <c r="AW149" s="52"/>
      <c r="AX149" s="52"/>
      <c r="AY149" s="52"/>
      <c r="AZ149" s="54">
        <f t="shared" si="106"/>
        <v>0</v>
      </c>
      <c r="BA149" s="53"/>
      <c r="BB149" s="52"/>
      <c r="BC149" s="52"/>
      <c r="BD149" s="52"/>
      <c r="BE149" s="52"/>
      <c r="BF149" s="52"/>
      <c r="BG149" s="54">
        <f t="shared" si="107"/>
        <v>0</v>
      </c>
      <c r="BH149" s="53"/>
      <c r="BI149" s="52">
        <f>L149*VLOOKUP($A149,'I | Capex forecast'!$A$11:$AA$160,BI$8,0)</f>
        <v>0</v>
      </c>
      <c r="BJ149" s="52">
        <f>M149*VLOOKUP($A149,'I | Capex forecast'!$A$11:$AA$160,BJ$8,0)</f>
        <v>0</v>
      </c>
      <c r="BK149" s="52">
        <f>N149*VLOOKUP($A149,'I | Capex forecast'!$A$11:$AA$160,BK$8,0)</f>
        <v>0</v>
      </c>
      <c r="BL149" s="52">
        <f>O149*VLOOKUP($A149,'I | Capex forecast'!$A$11:$AA$160,BL$8,0)</f>
        <v>0</v>
      </c>
      <c r="BM149" s="52">
        <f>P149*VLOOKUP($A149,'I | Capex forecast'!$A$11:$AA$160,BM$8,0)</f>
        <v>0</v>
      </c>
      <c r="BN149" s="54">
        <f t="shared" si="108"/>
        <v>0</v>
      </c>
      <c r="BO149" s="53"/>
      <c r="BP149" s="52">
        <f t="shared" si="87"/>
        <v>0</v>
      </c>
      <c r="BQ149" s="52">
        <f t="shared" si="88"/>
        <v>0</v>
      </c>
      <c r="BR149" s="52">
        <f t="shared" si="89"/>
        <v>0</v>
      </c>
      <c r="BS149" s="52">
        <f t="shared" si="90"/>
        <v>0</v>
      </c>
      <c r="BT149" s="52">
        <f t="shared" si="91"/>
        <v>0</v>
      </c>
      <c r="BU149" s="54">
        <f t="shared" si="109"/>
        <v>0</v>
      </c>
      <c r="BW149" s="52">
        <f t="shared" si="92"/>
        <v>0</v>
      </c>
      <c r="BX149" s="52">
        <f t="shared" si="93"/>
        <v>0</v>
      </c>
      <c r="BY149" s="52">
        <f t="shared" si="94"/>
        <v>0</v>
      </c>
      <c r="BZ149" s="52">
        <f t="shared" si="95"/>
        <v>0</v>
      </c>
      <c r="CA149" s="52">
        <f t="shared" si="96"/>
        <v>0</v>
      </c>
      <c r="CB149" s="54">
        <f t="shared" si="110"/>
        <v>0</v>
      </c>
      <c r="CC149" s="53"/>
      <c r="CD149" s="52">
        <f t="shared" si="111"/>
        <v>0</v>
      </c>
      <c r="CE149" s="52">
        <f t="shared" si="112"/>
        <v>0</v>
      </c>
      <c r="CF149" s="52">
        <f t="shared" si="113"/>
        <v>0</v>
      </c>
      <c r="CG149" s="52">
        <f t="shared" si="114"/>
        <v>0</v>
      </c>
      <c r="CH149" s="52">
        <f t="shared" si="115"/>
        <v>0</v>
      </c>
      <c r="CI149" s="54">
        <f t="shared" si="116"/>
        <v>0</v>
      </c>
    </row>
    <row r="150" spans="1:87" x14ac:dyDescent="0.3">
      <c r="A150" s="56">
        <v>140</v>
      </c>
      <c r="B150" s="48" t="str">
        <f>IF('I | Capex forecast'!B150="","",'I | Capex forecast'!B150)</f>
        <v/>
      </c>
      <c r="C150" s="48" t="str">
        <f>IF('I | Capex forecast'!C150="","",'I | Capex forecast'!C150)</f>
        <v/>
      </c>
      <c r="D150" s="48" t="str">
        <f>IF('I | Capex forecast'!D150="","",'I | Capex forecast'!D150)</f>
        <v/>
      </c>
      <c r="E150" s="48" t="str">
        <f>IF('I | Capex forecast'!E150="","",'I | Capex forecast'!E150)</f>
        <v/>
      </c>
      <c r="F150" s="48" t="str">
        <f>IF('I | Capex forecast'!F150="","",'I | Capex forecast'!F150)</f>
        <v/>
      </c>
      <c r="G150" s="48" t="str">
        <f>IF('I | Capex forecast'!G150="","",'I | Capex forecast'!G150)</f>
        <v/>
      </c>
      <c r="H150" s="48" t="str">
        <f>IF('I | Capex forecast'!H150="","",'I | Capex forecast'!H150)</f>
        <v/>
      </c>
      <c r="I150" s="48" t="str">
        <f>IF('I | Capex forecast'!I150="","",'I | Capex forecast'!I150)</f>
        <v/>
      </c>
      <c r="J150" s="48" t="str">
        <f>IF('I | Capex forecast'!J150="","",'I | Capex forecast'!J150)</f>
        <v/>
      </c>
      <c r="K150" s="50"/>
      <c r="L150" s="52">
        <f>IFERROR(VLOOKUP($A150,'I | Capex forecast'!$A$11:$AA$160,L$8,0)*INDEX('I | Inflation'!$F$46:$G$49,MATCH($I150,'I | Inflation'!$E$46:$E$49,0),MATCH($H150,'I | Inflation'!$F$45:$G$45,0)),0)</f>
        <v>0</v>
      </c>
      <c r="M150" s="52">
        <f>IFERROR(VLOOKUP($A150,'I | Capex forecast'!$A$11:$AA$160,M$8,0)*INDEX('I | Inflation'!$F$46:$G$49,MATCH($I150,'I | Inflation'!$E$46:$E$49,0),MATCH($H150,'I | Inflation'!$F$45:$G$45,0)),0)</f>
        <v>0</v>
      </c>
      <c r="N150" s="52">
        <f>IFERROR(VLOOKUP($A150,'I | Capex forecast'!$A$11:$AA$160,N$8,0)*INDEX('I | Inflation'!$F$46:$G$49,MATCH($I150,'I | Inflation'!$E$46:$E$49,0),MATCH($H150,'I | Inflation'!$F$45:$G$45,0)),0)</f>
        <v>0</v>
      </c>
      <c r="O150" s="52">
        <f>IFERROR(VLOOKUP($A150,'I | Capex forecast'!$A$11:$AA$160,O$8,0)*INDEX('I | Inflation'!$F$46:$G$49,MATCH($I150,'I | Inflation'!$E$46:$E$49,0),MATCH($H150,'I | Inflation'!$F$45:$G$45,0)),0)</f>
        <v>0</v>
      </c>
      <c r="P150" s="52">
        <f>IFERROR(VLOOKUP($A150,'I | Capex forecast'!$A$11:$AA$160,P$8,0)*INDEX('I | Inflation'!$F$46:$G$49,MATCH($I150,'I | Inflation'!$E$46:$E$49,0),MATCH($H150,'I | Inflation'!$F$45:$G$45,0)),0)</f>
        <v>0</v>
      </c>
      <c r="Q150" s="54">
        <f t="shared" si="86"/>
        <v>0</v>
      </c>
      <c r="R150" s="53"/>
      <c r="S150" s="226">
        <f>L150*VLOOKUP($A150,'I | Capex forecast'!$A$11:$AA$160,S$8,0)</f>
        <v>0</v>
      </c>
      <c r="T150" s="226">
        <f>M150*VLOOKUP($A150,'I | Capex forecast'!$A$11:$AA$160,T$8,0)</f>
        <v>0</v>
      </c>
      <c r="U150" s="226">
        <f>N150*VLOOKUP($A150,'I | Capex forecast'!$A$11:$AA$160,U$8,0)</f>
        <v>0</v>
      </c>
      <c r="V150" s="226">
        <f>O150*VLOOKUP($A150,'I | Capex forecast'!$A$11:$AA$160,V$8,0)</f>
        <v>0</v>
      </c>
      <c r="W150" s="226">
        <f>P150*VLOOKUP($A150,'I | Capex forecast'!$A$11:$AA$160,W$8,0)</f>
        <v>0</v>
      </c>
      <c r="X150" s="54">
        <f t="shared" si="97"/>
        <v>0</v>
      </c>
      <c r="Y150" s="53"/>
      <c r="Z150" s="52">
        <f>S150*(HLOOKUP(Z$10,'I | Inflation'!$E$57:$J$59,3,0)-1)</f>
        <v>0</v>
      </c>
      <c r="AA150" s="52">
        <f>T150*(HLOOKUP(AA$10,'I | Inflation'!$E$57:$J$59,3,0)-1)</f>
        <v>0</v>
      </c>
      <c r="AB150" s="52">
        <f>U150*(HLOOKUP(AB$10,'I | Inflation'!$E$57:$J$59,3,0)-1)</f>
        <v>0</v>
      </c>
      <c r="AC150" s="52">
        <f>V150*(HLOOKUP(AC$10,'I | Inflation'!$E$57:$J$59,3,0)-1)</f>
        <v>0</v>
      </c>
      <c r="AD150" s="52">
        <f>W150*(HLOOKUP(AD$10,'I | Inflation'!$E$57:$J$59,3,0)-1)</f>
        <v>0</v>
      </c>
      <c r="AE150" s="54">
        <f t="shared" si="98"/>
        <v>0</v>
      </c>
      <c r="AF150" s="53"/>
      <c r="AG150" s="226">
        <f t="shared" si="99"/>
        <v>0</v>
      </c>
      <c r="AH150" s="226">
        <f t="shared" si="100"/>
        <v>0</v>
      </c>
      <c r="AI150" s="226">
        <f t="shared" si="101"/>
        <v>0</v>
      </c>
      <c r="AJ150" s="226">
        <f t="shared" si="102"/>
        <v>0</v>
      </c>
      <c r="AK150" s="226">
        <f t="shared" si="103"/>
        <v>0</v>
      </c>
      <c r="AL150" s="54">
        <f t="shared" si="104"/>
        <v>0</v>
      </c>
      <c r="AM150" s="53"/>
      <c r="AN150" s="52"/>
      <c r="AO150" s="52"/>
      <c r="AP150" s="52"/>
      <c r="AQ150" s="52"/>
      <c r="AR150" s="52"/>
      <c r="AS150" s="54">
        <f t="shared" si="105"/>
        <v>0</v>
      </c>
      <c r="AT150" s="53"/>
      <c r="AU150" s="52"/>
      <c r="AV150" s="52"/>
      <c r="AW150" s="52"/>
      <c r="AX150" s="52"/>
      <c r="AY150" s="52"/>
      <c r="AZ150" s="54">
        <f t="shared" si="106"/>
        <v>0</v>
      </c>
      <c r="BA150" s="53"/>
      <c r="BB150" s="52"/>
      <c r="BC150" s="52"/>
      <c r="BD150" s="52"/>
      <c r="BE150" s="52"/>
      <c r="BF150" s="52"/>
      <c r="BG150" s="54">
        <f t="shared" si="107"/>
        <v>0</v>
      </c>
      <c r="BH150" s="53"/>
      <c r="BI150" s="52">
        <f>L150*VLOOKUP($A150,'I | Capex forecast'!$A$11:$AA$160,BI$8,0)</f>
        <v>0</v>
      </c>
      <c r="BJ150" s="52">
        <f>M150*VLOOKUP($A150,'I | Capex forecast'!$A$11:$AA$160,BJ$8,0)</f>
        <v>0</v>
      </c>
      <c r="BK150" s="52">
        <f>N150*VLOOKUP($A150,'I | Capex forecast'!$A$11:$AA$160,BK$8,0)</f>
        <v>0</v>
      </c>
      <c r="BL150" s="52">
        <f>O150*VLOOKUP($A150,'I | Capex forecast'!$A$11:$AA$160,BL$8,0)</f>
        <v>0</v>
      </c>
      <c r="BM150" s="52">
        <f>P150*VLOOKUP($A150,'I | Capex forecast'!$A$11:$AA$160,BM$8,0)</f>
        <v>0</v>
      </c>
      <c r="BN150" s="54">
        <f t="shared" si="108"/>
        <v>0</v>
      </c>
      <c r="BO150" s="53"/>
      <c r="BP150" s="52">
        <f t="shared" si="87"/>
        <v>0</v>
      </c>
      <c r="BQ150" s="52">
        <f t="shared" si="88"/>
        <v>0</v>
      </c>
      <c r="BR150" s="52">
        <f t="shared" si="89"/>
        <v>0</v>
      </c>
      <c r="BS150" s="52">
        <f t="shared" si="90"/>
        <v>0</v>
      </c>
      <c r="BT150" s="52">
        <f t="shared" si="91"/>
        <v>0</v>
      </c>
      <c r="BU150" s="54">
        <f t="shared" si="109"/>
        <v>0</v>
      </c>
      <c r="BW150" s="52">
        <f t="shared" si="92"/>
        <v>0</v>
      </c>
      <c r="BX150" s="52">
        <f t="shared" si="93"/>
        <v>0</v>
      </c>
      <c r="BY150" s="52">
        <f t="shared" si="94"/>
        <v>0</v>
      </c>
      <c r="BZ150" s="52">
        <f t="shared" si="95"/>
        <v>0</v>
      </c>
      <c r="CA150" s="52">
        <f t="shared" si="96"/>
        <v>0</v>
      </c>
      <c r="CB150" s="54">
        <f t="shared" si="110"/>
        <v>0</v>
      </c>
      <c r="CC150" s="53"/>
      <c r="CD150" s="52">
        <f t="shared" si="111"/>
        <v>0</v>
      </c>
      <c r="CE150" s="52">
        <f t="shared" si="112"/>
        <v>0</v>
      </c>
      <c r="CF150" s="52">
        <f t="shared" si="113"/>
        <v>0</v>
      </c>
      <c r="CG150" s="52">
        <f t="shared" si="114"/>
        <v>0</v>
      </c>
      <c r="CH150" s="52">
        <f t="shared" si="115"/>
        <v>0</v>
      </c>
      <c r="CI150" s="54">
        <f t="shared" si="116"/>
        <v>0</v>
      </c>
    </row>
    <row r="151" spans="1:87" x14ac:dyDescent="0.3">
      <c r="A151" s="56">
        <v>141</v>
      </c>
      <c r="B151" s="48" t="str">
        <f>IF('I | Capex forecast'!B151="","",'I | Capex forecast'!B151)</f>
        <v/>
      </c>
      <c r="C151" s="48" t="str">
        <f>IF('I | Capex forecast'!C151="","",'I | Capex forecast'!C151)</f>
        <v/>
      </c>
      <c r="D151" s="48" t="str">
        <f>IF('I | Capex forecast'!D151="","",'I | Capex forecast'!D151)</f>
        <v/>
      </c>
      <c r="E151" s="48" t="str">
        <f>IF('I | Capex forecast'!E151="","",'I | Capex forecast'!E151)</f>
        <v/>
      </c>
      <c r="F151" s="48" t="str">
        <f>IF('I | Capex forecast'!F151="","",'I | Capex forecast'!F151)</f>
        <v/>
      </c>
      <c r="G151" s="48" t="str">
        <f>IF('I | Capex forecast'!G151="","",'I | Capex forecast'!G151)</f>
        <v/>
      </c>
      <c r="H151" s="48" t="str">
        <f>IF('I | Capex forecast'!H151="","",'I | Capex forecast'!H151)</f>
        <v/>
      </c>
      <c r="I151" s="48" t="str">
        <f>IF('I | Capex forecast'!I151="","",'I | Capex forecast'!I151)</f>
        <v/>
      </c>
      <c r="J151" s="48" t="str">
        <f>IF('I | Capex forecast'!J151="","",'I | Capex forecast'!J151)</f>
        <v/>
      </c>
      <c r="K151" s="50"/>
      <c r="L151" s="52">
        <f>IFERROR(VLOOKUP($A151,'I | Capex forecast'!$A$11:$AA$160,L$8,0)*INDEX('I | Inflation'!$F$46:$G$49,MATCH($I151,'I | Inflation'!$E$46:$E$49,0),MATCH($H151,'I | Inflation'!$F$45:$G$45,0)),0)</f>
        <v>0</v>
      </c>
      <c r="M151" s="52">
        <f>IFERROR(VLOOKUP($A151,'I | Capex forecast'!$A$11:$AA$160,M$8,0)*INDEX('I | Inflation'!$F$46:$G$49,MATCH($I151,'I | Inflation'!$E$46:$E$49,0),MATCH($H151,'I | Inflation'!$F$45:$G$45,0)),0)</f>
        <v>0</v>
      </c>
      <c r="N151" s="52">
        <f>IFERROR(VLOOKUP($A151,'I | Capex forecast'!$A$11:$AA$160,N$8,0)*INDEX('I | Inflation'!$F$46:$G$49,MATCH($I151,'I | Inflation'!$E$46:$E$49,0),MATCH($H151,'I | Inflation'!$F$45:$G$45,0)),0)</f>
        <v>0</v>
      </c>
      <c r="O151" s="52">
        <f>IFERROR(VLOOKUP($A151,'I | Capex forecast'!$A$11:$AA$160,O$8,0)*INDEX('I | Inflation'!$F$46:$G$49,MATCH($I151,'I | Inflation'!$E$46:$E$49,0),MATCH($H151,'I | Inflation'!$F$45:$G$45,0)),0)</f>
        <v>0</v>
      </c>
      <c r="P151" s="52">
        <f>IFERROR(VLOOKUP($A151,'I | Capex forecast'!$A$11:$AA$160,P$8,0)*INDEX('I | Inflation'!$F$46:$G$49,MATCH($I151,'I | Inflation'!$E$46:$E$49,0),MATCH($H151,'I | Inflation'!$F$45:$G$45,0)),0)</f>
        <v>0</v>
      </c>
      <c r="Q151" s="54">
        <f t="shared" si="86"/>
        <v>0</v>
      </c>
      <c r="R151" s="53"/>
      <c r="S151" s="226">
        <f>L151*VLOOKUP($A151,'I | Capex forecast'!$A$11:$AA$160,S$8,0)</f>
        <v>0</v>
      </c>
      <c r="T151" s="226">
        <f>M151*VLOOKUP($A151,'I | Capex forecast'!$A$11:$AA$160,T$8,0)</f>
        <v>0</v>
      </c>
      <c r="U151" s="226">
        <f>N151*VLOOKUP($A151,'I | Capex forecast'!$A$11:$AA$160,U$8,0)</f>
        <v>0</v>
      </c>
      <c r="V151" s="226">
        <f>O151*VLOOKUP($A151,'I | Capex forecast'!$A$11:$AA$160,V$8,0)</f>
        <v>0</v>
      </c>
      <c r="W151" s="226">
        <f>P151*VLOOKUP($A151,'I | Capex forecast'!$A$11:$AA$160,W$8,0)</f>
        <v>0</v>
      </c>
      <c r="X151" s="54">
        <f t="shared" si="97"/>
        <v>0</v>
      </c>
      <c r="Y151" s="53"/>
      <c r="Z151" s="52">
        <f>S151*(HLOOKUP(Z$10,'I | Inflation'!$E$57:$J$59,3,0)-1)</f>
        <v>0</v>
      </c>
      <c r="AA151" s="52">
        <f>T151*(HLOOKUP(AA$10,'I | Inflation'!$E$57:$J$59,3,0)-1)</f>
        <v>0</v>
      </c>
      <c r="AB151" s="52">
        <f>U151*(HLOOKUP(AB$10,'I | Inflation'!$E$57:$J$59,3,0)-1)</f>
        <v>0</v>
      </c>
      <c r="AC151" s="52">
        <f>V151*(HLOOKUP(AC$10,'I | Inflation'!$E$57:$J$59,3,0)-1)</f>
        <v>0</v>
      </c>
      <c r="AD151" s="52">
        <f>W151*(HLOOKUP(AD$10,'I | Inflation'!$E$57:$J$59,3,0)-1)</f>
        <v>0</v>
      </c>
      <c r="AE151" s="54">
        <f t="shared" si="98"/>
        <v>0</v>
      </c>
      <c r="AF151" s="53"/>
      <c r="AG151" s="226">
        <f t="shared" si="99"/>
        <v>0</v>
      </c>
      <c r="AH151" s="226">
        <f t="shared" si="100"/>
        <v>0</v>
      </c>
      <c r="AI151" s="226">
        <f t="shared" si="101"/>
        <v>0</v>
      </c>
      <c r="AJ151" s="226">
        <f t="shared" si="102"/>
        <v>0</v>
      </c>
      <c r="AK151" s="226">
        <f t="shared" si="103"/>
        <v>0</v>
      </c>
      <c r="AL151" s="54">
        <f t="shared" si="104"/>
        <v>0</v>
      </c>
      <c r="AM151" s="53"/>
      <c r="AN151" s="52"/>
      <c r="AO151" s="52"/>
      <c r="AP151" s="52"/>
      <c r="AQ151" s="52"/>
      <c r="AR151" s="52"/>
      <c r="AS151" s="54">
        <f t="shared" si="105"/>
        <v>0</v>
      </c>
      <c r="AT151" s="53"/>
      <c r="AU151" s="52"/>
      <c r="AV151" s="52"/>
      <c r="AW151" s="52"/>
      <c r="AX151" s="52"/>
      <c r="AY151" s="52"/>
      <c r="AZ151" s="54">
        <f t="shared" si="106"/>
        <v>0</v>
      </c>
      <c r="BA151" s="53"/>
      <c r="BB151" s="52"/>
      <c r="BC151" s="52"/>
      <c r="BD151" s="52"/>
      <c r="BE151" s="52"/>
      <c r="BF151" s="52"/>
      <c r="BG151" s="54">
        <f t="shared" si="107"/>
        <v>0</v>
      </c>
      <c r="BH151" s="53"/>
      <c r="BI151" s="52">
        <f>L151*VLOOKUP($A151,'I | Capex forecast'!$A$11:$AA$160,BI$8,0)</f>
        <v>0</v>
      </c>
      <c r="BJ151" s="52">
        <f>M151*VLOOKUP($A151,'I | Capex forecast'!$A$11:$AA$160,BJ$8,0)</f>
        <v>0</v>
      </c>
      <c r="BK151" s="52">
        <f>N151*VLOOKUP($A151,'I | Capex forecast'!$A$11:$AA$160,BK$8,0)</f>
        <v>0</v>
      </c>
      <c r="BL151" s="52">
        <f>O151*VLOOKUP($A151,'I | Capex forecast'!$A$11:$AA$160,BL$8,0)</f>
        <v>0</v>
      </c>
      <c r="BM151" s="52">
        <f>P151*VLOOKUP($A151,'I | Capex forecast'!$A$11:$AA$160,BM$8,0)</f>
        <v>0</v>
      </c>
      <c r="BN151" s="54">
        <f t="shared" si="108"/>
        <v>0</v>
      </c>
      <c r="BO151" s="53"/>
      <c r="BP151" s="52">
        <f t="shared" si="87"/>
        <v>0</v>
      </c>
      <c r="BQ151" s="52">
        <f t="shared" si="88"/>
        <v>0</v>
      </c>
      <c r="BR151" s="52">
        <f t="shared" si="89"/>
        <v>0</v>
      </c>
      <c r="BS151" s="52">
        <f t="shared" si="90"/>
        <v>0</v>
      </c>
      <c r="BT151" s="52">
        <f t="shared" si="91"/>
        <v>0</v>
      </c>
      <c r="BU151" s="54">
        <f t="shared" si="109"/>
        <v>0</v>
      </c>
      <c r="BW151" s="52">
        <f t="shared" si="92"/>
        <v>0</v>
      </c>
      <c r="BX151" s="52">
        <f t="shared" si="93"/>
        <v>0</v>
      </c>
      <c r="BY151" s="52">
        <f t="shared" si="94"/>
        <v>0</v>
      </c>
      <c r="BZ151" s="52">
        <f t="shared" si="95"/>
        <v>0</v>
      </c>
      <c r="CA151" s="52">
        <f t="shared" si="96"/>
        <v>0</v>
      </c>
      <c r="CB151" s="54">
        <f t="shared" si="110"/>
        <v>0</v>
      </c>
      <c r="CC151" s="53"/>
      <c r="CD151" s="52">
        <f t="shared" si="111"/>
        <v>0</v>
      </c>
      <c r="CE151" s="52">
        <f t="shared" si="112"/>
        <v>0</v>
      </c>
      <c r="CF151" s="52">
        <f t="shared" si="113"/>
        <v>0</v>
      </c>
      <c r="CG151" s="52">
        <f t="shared" si="114"/>
        <v>0</v>
      </c>
      <c r="CH151" s="52">
        <f t="shared" si="115"/>
        <v>0</v>
      </c>
      <c r="CI151" s="54">
        <f t="shared" si="116"/>
        <v>0</v>
      </c>
    </row>
    <row r="152" spans="1:87" x14ac:dyDescent="0.3">
      <c r="A152" s="56">
        <v>142</v>
      </c>
      <c r="B152" s="48" t="str">
        <f>IF('I | Capex forecast'!B152="","",'I | Capex forecast'!B152)</f>
        <v/>
      </c>
      <c r="C152" s="48" t="str">
        <f>IF('I | Capex forecast'!C152="","",'I | Capex forecast'!C152)</f>
        <v/>
      </c>
      <c r="D152" s="48" t="str">
        <f>IF('I | Capex forecast'!D152="","",'I | Capex forecast'!D152)</f>
        <v/>
      </c>
      <c r="E152" s="48" t="str">
        <f>IF('I | Capex forecast'!E152="","",'I | Capex forecast'!E152)</f>
        <v/>
      </c>
      <c r="F152" s="48" t="str">
        <f>IF('I | Capex forecast'!F152="","",'I | Capex forecast'!F152)</f>
        <v/>
      </c>
      <c r="G152" s="48" t="str">
        <f>IF('I | Capex forecast'!G152="","",'I | Capex forecast'!G152)</f>
        <v/>
      </c>
      <c r="H152" s="48" t="str">
        <f>IF('I | Capex forecast'!H152="","",'I | Capex forecast'!H152)</f>
        <v/>
      </c>
      <c r="I152" s="48" t="str">
        <f>IF('I | Capex forecast'!I152="","",'I | Capex forecast'!I152)</f>
        <v/>
      </c>
      <c r="J152" s="48" t="str">
        <f>IF('I | Capex forecast'!J152="","",'I | Capex forecast'!J152)</f>
        <v/>
      </c>
      <c r="K152" s="50"/>
      <c r="L152" s="52">
        <f>IFERROR(VLOOKUP($A152,'I | Capex forecast'!$A$11:$AA$160,L$8,0)*INDEX('I | Inflation'!$F$46:$G$49,MATCH($I152,'I | Inflation'!$E$46:$E$49,0),MATCH($H152,'I | Inflation'!$F$45:$G$45,0)),0)</f>
        <v>0</v>
      </c>
      <c r="M152" s="52">
        <f>IFERROR(VLOOKUP($A152,'I | Capex forecast'!$A$11:$AA$160,M$8,0)*INDEX('I | Inflation'!$F$46:$G$49,MATCH($I152,'I | Inflation'!$E$46:$E$49,0),MATCH($H152,'I | Inflation'!$F$45:$G$45,0)),0)</f>
        <v>0</v>
      </c>
      <c r="N152" s="52">
        <f>IFERROR(VLOOKUP($A152,'I | Capex forecast'!$A$11:$AA$160,N$8,0)*INDEX('I | Inflation'!$F$46:$G$49,MATCH($I152,'I | Inflation'!$E$46:$E$49,0),MATCH($H152,'I | Inflation'!$F$45:$G$45,0)),0)</f>
        <v>0</v>
      </c>
      <c r="O152" s="52">
        <f>IFERROR(VLOOKUP($A152,'I | Capex forecast'!$A$11:$AA$160,O$8,0)*INDEX('I | Inflation'!$F$46:$G$49,MATCH($I152,'I | Inflation'!$E$46:$E$49,0),MATCH($H152,'I | Inflation'!$F$45:$G$45,0)),0)</f>
        <v>0</v>
      </c>
      <c r="P152" s="52">
        <f>IFERROR(VLOOKUP($A152,'I | Capex forecast'!$A$11:$AA$160,P$8,0)*INDEX('I | Inflation'!$F$46:$G$49,MATCH($I152,'I | Inflation'!$E$46:$E$49,0),MATCH($H152,'I | Inflation'!$F$45:$G$45,0)),0)</f>
        <v>0</v>
      </c>
      <c r="Q152" s="54">
        <f t="shared" si="86"/>
        <v>0</v>
      </c>
      <c r="R152" s="53"/>
      <c r="S152" s="226">
        <f>L152*VLOOKUP($A152,'I | Capex forecast'!$A$11:$AA$160,S$8,0)</f>
        <v>0</v>
      </c>
      <c r="T152" s="226">
        <f>M152*VLOOKUP($A152,'I | Capex forecast'!$A$11:$AA$160,T$8,0)</f>
        <v>0</v>
      </c>
      <c r="U152" s="226">
        <f>N152*VLOOKUP($A152,'I | Capex forecast'!$A$11:$AA$160,U$8,0)</f>
        <v>0</v>
      </c>
      <c r="V152" s="226">
        <f>O152*VLOOKUP($A152,'I | Capex forecast'!$A$11:$AA$160,V$8,0)</f>
        <v>0</v>
      </c>
      <c r="W152" s="226">
        <f>P152*VLOOKUP($A152,'I | Capex forecast'!$A$11:$AA$160,W$8,0)</f>
        <v>0</v>
      </c>
      <c r="X152" s="54">
        <f t="shared" si="97"/>
        <v>0</v>
      </c>
      <c r="Y152" s="53"/>
      <c r="Z152" s="52">
        <f>S152*(HLOOKUP(Z$10,'I | Inflation'!$E$57:$J$59,3,0)-1)</f>
        <v>0</v>
      </c>
      <c r="AA152" s="52">
        <f>T152*(HLOOKUP(AA$10,'I | Inflation'!$E$57:$J$59,3,0)-1)</f>
        <v>0</v>
      </c>
      <c r="AB152" s="52">
        <f>U152*(HLOOKUP(AB$10,'I | Inflation'!$E$57:$J$59,3,0)-1)</f>
        <v>0</v>
      </c>
      <c r="AC152" s="52">
        <f>V152*(HLOOKUP(AC$10,'I | Inflation'!$E$57:$J$59,3,0)-1)</f>
        <v>0</v>
      </c>
      <c r="AD152" s="52">
        <f>W152*(HLOOKUP(AD$10,'I | Inflation'!$E$57:$J$59,3,0)-1)</f>
        <v>0</v>
      </c>
      <c r="AE152" s="54">
        <f t="shared" si="98"/>
        <v>0</v>
      </c>
      <c r="AF152" s="53"/>
      <c r="AG152" s="226">
        <f t="shared" si="99"/>
        <v>0</v>
      </c>
      <c r="AH152" s="226">
        <f t="shared" si="100"/>
        <v>0</v>
      </c>
      <c r="AI152" s="226">
        <f t="shared" si="101"/>
        <v>0</v>
      </c>
      <c r="AJ152" s="226">
        <f t="shared" si="102"/>
        <v>0</v>
      </c>
      <c r="AK152" s="226">
        <f t="shared" si="103"/>
        <v>0</v>
      </c>
      <c r="AL152" s="54">
        <f t="shared" si="104"/>
        <v>0</v>
      </c>
      <c r="AM152" s="53"/>
      <c r="AN152" s="52"/>
      <c r="AO152" s="52"/>
      <c r="AP152" s="52"/>
      <c r="AQ152" s="52"/>
      <c r="AR152" s="52"/>
      <c r="AS152" s="54">
        <f t="shared" si="105"/>
        <v>0</v>
      </c>
      <c r="AT152" s="53"/>
      <c r="AU152" s="52"/>
      <c r="AV152" s="52"/>
      <c r="AW152" s="52"/>
      <c r="AX152" s="52"/>
      <c r="AY152" s="52"/>
      <c r="AZ152" s="54">
        <f t="shared" si="106"/>
        <v>0</v>
      </c>
      <c r="BA152" s="53"/>
      <c r="BB152" s="52"/>
      <c r="BC152" s="52"/>
      <c r="BD152" s="52"/>
      <c r="BE152" s="52"/>
      <c r="BF152" s="52"/>
      <c r="BG152" s="54">
        <f t="shared" si="107"/>
        <v>0</v>
      </c>
      <c r="BH152" s="53"/>
      <c r="BI152" s="52">
        <f>L152*VLOOKUP($A152,'I | Capex forecast'!$A$11:$AA$160,BI$8,0)</f>
        <v>0</v>
      </c>
      <c r="BJ152" s="52">
        <f>M152*VLOOKUP($A152,'I | Capex forecast'!$A$11:$AA$160,BJ$8,0)</f>
        <v>0</v>
      </c>
      <c r="BK152" s="52">
        <f>N152*VLOOKUP($A152,'I | Capex forecast'!$A$11:$AA$160,BK$8,0)</f>
        <v>0</v>
      </c>
      <c r="BL152" s="52">
        <f>O152*VLOOKUP($A152,'I | Capex forecast'!$A$11:$AA$160,BL$8,0)</f>
        <v>0</v>
      </c>
      <c r="BM152" s="52">
        <f>P152*VLOOKUP($A152,'I | Capex forecast'!$A$11:$AA$160,BM$8,0)</f>
        <v>0</v>
      </c>
      <c r="BN152" s="54">
        <f t="shared" si="108"/>
        <v>0</v>
      </c>
      <c r="BO152" s="53"/>
      <c r="BP152" s="52">
        <f t="shared" si="87"/>
        <v>0</v>
      </c>
      <c r="BQ152" s="52">
        <f t="shared" si="88"/>
        <v>0</v>
      </c>
      <c r="BR152" s="52">
        <f t="shared" si="89"/>
        <v>0</v>
      </c>
      <c r="BS152" s="52">
        <f t="shared" si="90"/>
        <v>0</v>
      </c>
      <c r="BT152" s="52">
        <f t="shared" si="91"/>
        <v>0</v>
      </c>
      <c r="BU152" s="54">
        <f t="shared" si="109"/>
        <v>0</v>
      </c>
      <c r="BW152" s="52">
        <f t="shared" si="92"/>
        <v>0</v>
      </c>
      <c r="BX152" s="52">
        <f t="shared" si="93"/>
        <v>0</v>
      </c>
      <c r="BY152" s="52">
        <f t="shared" si="94"/>
        <v>0</v>
      </c>
      <c r="BZ152" s="52">
        <f t="shared" si="95"/>
        <v>0</v>
      </c>
      <c r="CA152" s="52">
        <f t="shared" si="96"/>
        <v>0</v>
      </c>
      <c r="CB152" s="54">
        <f t="shared" si="110"/>
        <v>0</v>
      </c>
      <c r="CC152" s="53"/>
      <c r="CD152" s="52">
        <f t="shared" si="111"/>
        <v>0</v>
      </c>
      <c r="CE152" s="52">
        <f t="shared" si="112"/>
        <v>0</v>
      </c>
      <c r="CF152" s="52">
        <f t="shared" si="113"/>
        <v>0</v>
      </c>
      <c r="CG152" s="52">
        <f t="shared" si="114"/>
        <v>0</v>
      </c>
      <c r="CH152" s="52">
        <f t="shared" si="115"/>
        <v>0</v>
      </c>
      <c r="CI152" s="54">
        <f t="shared" si="116"/>
        <v>0</v>
      </c>
    </row>
    <row r="153" spans="1:87" x14ac:dyDescent="0.3">
      <c r="A153" s="56">
        <v>143</v>
      </c>
      <c r="B153" s="48" t="str">
        <f>IF('I | Capex forecast'!B153="","",'I | Capex forecast'!B153)</f>
        <v/>
      </c>
      <c r="C153" s="48" t="str">
        <f>IF('I | Capex forecast'!C153="","",'I | Capex forecast'!C153)</f>
        <v/>
      </c>
      <c r="D153" s="48" t="str">
        <f>IF('I | Capex forecast'!D153="","",'I | Capex forecast'!D153)</f>
        <v/>
      </c>
      <c r="E153" s="48" t="str">
        <f>IF('I | Capex forecast'!E153="","",'I | Capex forecast'!E153)</f>
        <v/>
      </c>
      <c r="F153" s="48" t="str">
        <f>IF('I | Capex forecast'!F153="","",'I | Capex forecast'!F153)</f>
        <v/>
      </c>
      <c r="G153" s="48" t="str">
        <f>IF('I | Capex forecast'!G153="","",'I | Capex forecast'!G153)</f>
        <v/>
      </c>
      <c r="H153" s="48" t="str">
        <f>IF('I | Capex forecast'!H153="","",'I | Capex forecast'!H153)</f>
        <v/>
      </c>
      <c r="I153" s="48" t="str">
        <f>IF('I | Capex forecast'!I153="","",'I | Capex forecast'!I153)</f>
        <v/>
      </c>
      <c r="J153" s="48" t="str">
        <f>IF('I | Capex forecast'!J153="","",'I | Capex forecast'!J153)</f>
        <v/>
      </c>
      <c r="K153" s="50"/>
      <c r="L153" s="52">
        <f>IFERROR(VLOOKUP($A153,'I | Capex forecast'!$A$11:$AA$160,L$8,0)*INDEX('I | Inflation'!$F$46:$G$49,MATCH($I153,'I | Inflation'!$E$46:$E$49,0),MATCH($H153,'I | Inflation'!$F$45:$G$45,0)),0)</f>
        <v>0</v>
      </c>
      <c r="M153" s="52">
        <f>IFERROR(VLOOKUP($A153,'I | Capex forecast'!$A$11:$AA$160,M$8,0)*INDEX('I | Inflation'!$F$46:$G$49,MATCH($I153,'I | Inflation'!$E$46:$E$49,0),MATCH($H153,'I | Inflation'!$F$45:$G$45,0)),0)</f>
        <v>0</v>
      </c>
      <c r="N153" s="52">
        <f>IFERROR(VLOOKUP($A153,'I | Capex forecast'!$A$11:$AA$160,N$8,0)*INDEX('I | Inflation'!$F$46:$G$49,MATCH($I153,'I | Inflation'!$E$46:$E$49,0),MATCH($H153,'I | Inflation'!$F$45:$G$45,0)),0)</f>
        <v>0</v>
      </c>
      <c r="O153" s="52">
        <f>IFERROR(VLOOKUP($A153,'I | Capex forecast'!$A$11:$AA$160,O$8,0)*INDEX('I | Inflation'!$F$46:$G$49,MATCH($I153,'I | Inflation'!$E$46:$E$49,0),MATCH($H153,'I | Inflation'!$F$45:$G$45,0)),0)</f>
        <v>0</v>
      </c>
      <c r="P153" s="52">
        <f>IFERROR(VLOOKUP($A153,'I | Capex forecast'!$A$11:$AA$160,P$8,0)*INDEX('I | Inflation'!$F$46:$G$49,MATCH($I153,'I | Inflation'!$E$46:$E$49,0),MATCH($H153,'I | Inflation'!$F$45:$G$45,0)),0)</f>
        <v>0</v>
      </c>
      <c r="Q153" s="54">
        <f t="shared" si="86"/>
        <v>0</v>
      </c>
      <c r="R153" s="53"/>
      <c r="S153" s="226">
        <f>L153*VLOOKUP($A153,'I | Capex forecast'!$A$11:$AA$160,S$8,0)</f>
        <v>0</v>
      </c>
      <c r="T153" s="226">
        <f>M153*VLOOKUP($A153,'I | Capex forecast'!$A$11:$AA$160,T$8,0)</f>
        <v>0</v>
      </c>
      <c r="U153" s="226">
        <f>N153*VLOOKUP($A153,'I | Capex forecast'!$A$11:$AA$160,U$8,0)</f>
        <v>0</v>
      </c>
      <c r="V153" s="226">
        <f>O153*VLOOKUP($A153,'I | Capex forecast'!$A$11:$AA$160,V$8,0)</f>
        <v>0</v>
      </c>
      <c r="W153" s="226">
        <f>P153*VLOOKUP($A153,'I | Capex forecast'!$A$11:$AA$160,W$8,0)</f>
        <v>0</v>
      </c>
      <c r="X153" s="54">
        <f t="shared" si="97"/>
        <v>0</v>
      </c>
      <c r="Y153" s="53"/>
      <c r="Z153" s="52">
        <f>S153*(HLOOKUP(Z$10,'I | Inflation'!$E$57:$J$59,3,0)-1)</f>
        <v>0</v>
      </c>
      <c r="AA153" s="52">
        <f>T153*(HLOOKUP(AA$10,'I | Inflation'!$E$57:$J$59,3,0)-1)</f>
        <v>0</v>
      </c>
      <c r="AB153" s="52">
        <f>U153*(HLOOKUP(AB$10,'I | Inflation'!$E$57:$J$59,3,0)-1)</f>
        <v>0</v>
      </c>
      <c r="AC153" s="52">
        <f>V153*(HLOOKUP(AC$10,'I | Inflation'!$E$57:$J$59,3,0)-1)</f>
        <v>0</v>
      </c>
      <c r="AD153" s="52">
        <f>W153*(HLOOKUP(AD$10,'I | Inflation'!$E$57:$J$59,3,0)-1)</f>
        <v>0</v>
      </c>
      <c r="AE153" s="54">
        <f t="shared" si="98"/>
        <v>0</v>
      </c>
      <c r="AF153" s="53"/>
      <c r="AG153" s="226">
        <f t="shared" si="99"/>
        <v>0</v>
      </c>
      <c r="AH153" s="226">
        <f t="shared" si="100"/>
        <v>0</v>
      </c>
      <c r="AI153" s="226">
        <f t="shared" si="101"/>
        <v>0</v>
      </c>
      <c r="AJ153" s="226">
        <f t="shared" si="102"/>
        <v>0</v>
      </c>
      <c r="AK153" s="226">
        <f t="shared" si="103"/>
        <v>0</v>
      </c>
      <c r="AL153" s="54">
        <f t="shared" si="104"/>
        <v>0</v>
      </c>
      <c r="AM153" s="53"/>
      <c r="AN153" s="52"/>
      <c r="AO153" s="52"/>
      <c r="AP153" s="52"/>
      <c r="AQ153" s="52"/>
      <c r="AR153" s="52"/>
      <c r="AS153" s="54">
        <f t="shared" si="105"/>
        <v>0</v>
      </c>
      <c r="AT153" s="53"/>
      <c r="AU153" s="52"/>
      <c r="AV153" s="52"/>
      <c r="AW153" s="52"/>
      <c r="AX153" s="52"/>
      <c r="AY153" s="52"/>
      <c r="AZ153" s="54">
        <f t="shared" si="106"/>
        <v>0</v>
      </c>
      <c r="BA153" s="53"/>
      <c r="BB153" s="52"/>
      <c r="BC153" s="52"/>
      <c r="BD153" s="52"/>
      <c r="BE153" s="52"/>
      <c r="BF153" s="52"/>
      <c r="BG153" s="54">
        <f t="shared" si="107"/>
        <v>0</v>
      </c>
      <c r="BH153" s="53"/>
      <c r="BI153" s="52">
        <f>L153*VLOOKUP($A153,'I | Capex forecast'!$A$11:$AA$160,BI$8,0)</f>
        <v>0</v>
      </c>
      <c r="BJ153" s="52">
        <f>M153*VLOOKUP($A153,'I | Capex forecast'!$A$11:$AA$160,BJ$8,0)</f>
        <v>0</v>
      </c>
      <c r="BK153" s="52">
        <f>N153*VLOOKUP($A153,'I | Capex forecast'!$A$11:$AA$160,BK$8,0)</f>
        <v>0</v>
      </c>
      <c r="BL153" s="52">
        <f>O153*VLOOKUP($A153,'I | Capex forecast'!$A$11:$AA$160,BL$8,0)</f>
        <v>0</v>
      </c>
      <c r="BM153" s="52">
        <f>P153*VLOOKUP($A153,'I | Capex forecast'!$A$11:$AA$160,BM$8,0)</f>
        <v>0</v>
      </c>
      <c r="BN153" s="54">
        <f t="shared" si="108"/>
        <v>0</v>
      </c>
      <c r="BO153" s="53"/>
      <c r="BP153" s="52">
        <f t="shared" si="87"/>
        <v>0</v>
      </c>
      <c r="BQ153" s="52">
        <f t="shared" si="88"/>
        <v>0</v>
      </c>
      <c r="BR153" s="52">
        <f t="shared" si="89"/>
        <v>0</v>
      </c>
      <c r="BS153" s="52">
        <f t="shared" si="90"/>
        <v>0</v>
      </c>
      <c r="BT153" s="52">
        <f t="shared" si="91"/>
        <v>0</v>
      </c>
      <c r="BU153" s="54">
        <f t="shared" si="109"/>
        <v>0</v>
      </c>
      <c r="BW153" s="52">
        <f t="shared" si="92"/>
        <v>0</v>
      </c>
      <c r="BX153" s="52">
        <f t="shared" si="93"/>
        <v>0</v>
      </c>
      <c r="BY153" s="52">
        <f t="shared" si="94"/>
        <v>0</v>
      </c>
      <c r="BZ153" s="52">
        <f t="shared" si="95"/>
        <v>0</v>
      </c>
      <c r="CA153" s="52">
        <f t="shared" si="96"/>
        <v>0</v>
      </c>
      <c r="CB153" s="54">
        <f t="shared" si="110"/>
        <v>0</v>
      </c>
      <c r="CC153" s="53"/>
      <c r="CD153" s="52">
        <f t="shared" si="111"/>
        <v>0</v>
      </c>
      <c r="CE153" s="52">
        <f t="shared" si="112"/>
        <v>0</v>
      </c>
      <c r="CF153" s="52">
        <f t="shared" si="113"/>
        <v>0</v>
      </c>
      <c r="CG153" s="52">
        <f t="shared" si="114"/>
        <v>0</v>
      </c>
      <c r="CH153" s="52">
        <f t="shared" si="115"/>
        <v>0</v>
      </c>
      <c r="CI153" s="54">
        <f t="shared" si="116"/>
        <v>0</v>
      </c>
    </row>
    <row r="154" spans="1:87" x14ac:dyDescent="0.3">
      <c r="A154" s="56">
        <v>144</v>
      </c>
      <c r="B154" s="48" t="str">
        <f>IF('I | Capex forecast'!B154="","",'I | Capex forecast'!B154)</f>
        <v/>
      </c>
      <c r="C154" s="48" t="str">
        <f>IF('I | Capex forecast'!C154="","",'I | Capex forecast'!C154)</f>
        <v/>
      </c>
      <c r="D154" s="48" t="str">
        <f>IF('I | Capex forecast'!D154="","",'I | Capex forecast'!D154)</f>
        <v/>
      </c>
      <c r="E154" s="48" t="str">
        <f>IF('I | Capex forecast'!E154="","",'I | Capex forecast'!E154)</f>
        <v/>
      </c>
      <c r="F154" s="48" t="str">
        <f>IF('I | Capex forecast'!F154="","",'I | Capex forecast'!F154)</f>
        <v/>
      </c>
      <c r="G154" s="48" t="str">
        <f>IF('I | Capex forecast'!G154="","",'I | Capex forecast'!G154)</f>
        <v/>
      </c>
      <c r="H154" s="48" t="str">
        <f>IF('I | Capex forecast'!H154="","",'I | Capex forecast'!H154)</f>
        <v/>
      </c>
      <c r="I154" s="48" t="str">
        <f>IF('I | Capex forecast'!I154="","",'I | Capex forecast'!I154)</f>
        <v/>
      </c>
      <c r="J154" s="48" t="str">
        <f>IF('I | Capex forecast'!J154="","",'I | Capex forecast'!J154)</f>
        <v/>
      </c>
      <c r="K154" s="50"/>
      <c r="L154" s="52">
        <f>IFERROR(VLOOKUP($A154,'I | Capex forecast'!$A$11:$AA$160,L$8,0)*INDEX('I | Inflation'!$F$46:$G$49,MATCH($I154,'I | Inflation'!$E$46:$E$49,0),MATCH($H154,'I | Inflation'!$F$45:$G$45,0)),0)</f>
        <v>0</v>
      </c>
      <c r="M154" s="52">
        <f>IFERROR(VLOOKUP($A154,'I | Capex forecast'!$A$11:$AA$160,M$8,0)*INDEX('I | Inflation'!$F$46:$G$49,MATCH($I154,'I | Inflation'!$E$46:$E$49,0),MATCH($H154,'I | Inflation'!$F$45:$G$45,0)),0)</f>
        <v>0</v>
      </c>
      <c r="N154" s="52">
        <f>IFERROR(VLOOKUP($A154,'I | Capex forecast'!$A$11:$AA$160,N$8,0)*INDEX('I | Inflation'!$F$46:$G$49,MATCH($I154,'I | Inflation'!$E$46:$E$49,0),MATCH($H154,'I | Inflation'!$F$45:$G$45,0)),0)</f>
        <v>0</v>
      </c>
      <c r="O154" s="52">
        <f>IFERROR(VLOOKUP($A154,'I | Capex forecast'!$A$11:$AA$160,O$8,0)*INDEX('I | Inflation'!$F$46:$G$49,MATCH($I154,'I | Inflation'!$E$46:$E$49,0),MATCH($H154,'I | Inflation'!$F$45:$G$45,0)),0)</f>
        <v>0</v>
      </c>
      <c r="P154" s="52">
        <f>IFERROR(VLOOKUP($A154,'I | Capex forecast'!$A$11:$AA$160,P$8,0)*INDEX('I | Inflation'!$F$46:$G$49,MATCH($I154,'I | Inflation'!$E$46:$E$49,0),MATCH($H154,'I | Inflation'!$F$45:$G$45,0)),0)</f>
        <v>0</v>
      </c>
      <c r="Q154" s="54">
        <f t="shared" si="86"/>
        <v>0</v>
      </c>
      <c r="R154" s="53"/>
      <c r="S154" s="226">
        <f>L154*VLOOKUP($A154,'I | Capex forecast'!$A$11:$AA$160,S$8,0)</f>
        <v>0</v>
      </c>
      <c r="T154" s="226">
        <f>M154*VLOOKUP($A154,'I | Capex forecast'!$A$11:$AA$160,T$8,0)</f>
        <v>0</v>
      </c>
      <c r="U154" s="226">
        <f>N154*VLOOKUP($A154,'I | Capex forecast'!$A$11:$AA$160,U$8,0)</f>
        <v>0</v>
      </c>
      <c r="V154" s="226">
        <f>O154*VLOOKUP($A154,'I | Capex forecast'!$A$11:$AA$160,V$8,0)</f>
        <v>0</v>
      </c>
      <c r="W154" s="226">
        <f>P154*VLOOKUP($A154,'I | Capex forecast'!$A$11:$AA$160,W$8,0)</f>
        <v>0</v>
      </c>
      <c r="X154" s="54">
        <f t="shared" si="97"/>
        <v>0</v>
      </c>
      <c r="Y154" s="53"/>
      <c r="Z154" s="52">
        <f>S154*(HLOOKUP(Z$10,'I | Inflation'!$E$57:$J$59,3,0)-1)</f>
        <v>0</v>
      </c>
      <c r="AA154" s="52">
        <f>T154*(HLOOKUP(AA$10,'I | Inflation'!$E$57:$J$59,3,0)-1)</f>
        <v>0</v>
      </c>
      <c r="AB154" s="52">
        <f>U154*(HLOOKUP(AB$10,'I | Inflation'!$E$57:$J$59,3,0)-1)</f>
        <v>0</v>
      </c>
      <c r="AC154" s="52">
        <f>V154*(HLOOKUP(AC$10,'I | Inflation'!$E$57:$J$59,3,0)-1)</f>
        <v>0</v>
      </c>
      <c r="AD154" s="52">
        <f>W154*(HLOOKUP(AD$10,'I | Inflation'!$E$57:$J$59,3,0)-1)</f>
        <v>0</v>
      </c>
      <c r="AE154" s="54">
        <f t="shared" si="98"/>
        <v>0</v>
      </c>
      <c r="AF154" s="53"/>
      <c r="AG154" s="226">
        <f t="shared" si="99"/>
        <v>0</v>
      </c>
      <c r="AH154" s="226">
        <f t="shared" si="100"/>
        <v>0</v>
      </c>
      <c r="AI154" s="226">
        <f t="shared" si="101"/>
        <v>0</v>
      </c>
      <c r="AJ154" s="226">
        <f t="shared" si="102"/>
        <v>0</v>
      </c>
      <c r="AK154" s="226">
        <f t="shared" si="103"/>
        <v>0</v>
      </c>
      <c r="AL154" s="54">
        <f t="shared" si="104"/>
        <v>0</v>
      </c>
      <c r="AM154" s="53"/>
      <c r="AN154" s="52"/>
      <c r="AO154" s="52"/>
      <c r="AP154" s="52"/>
      <c r="AQ154" s="52"/>
      <c r="AR154" s="52"/>
      <c r="AS154" s="54">
        <f t="shared" si="105"/>
        <v>0</v>
      </c>
      <c r="AT154" s="53"/>
      <c r="AU154" s="52"/>
      <c r="AV154" s="52"/>
      <c r="AW154" s="52"/>
      <c r="AX154" s="52"/>
      <c r="AY154" s="52"/>
      <c r="AZ154" s="54">
        <f t="shared" si="106"/>
        <v>0</v>
      </c>
      <c r="BA154" s="53"/>
      <c r="BB154" s="52"/>
      <c r="BC154" s="52"/>
      <c r="BD154" s="52"/>
      <c r="BE154" s="52"/>
      <c r="BF154" s="52"/>
      <c r="BG154" s="54">
        <f t="shared" si="107"/>
        <v>0</v>
      </c>
      <c r="BH154" s="53"/>
      <c r="BI154" s="52">
        <f>L154*VLOOKUP($A154,'I | Capex forecast'!$A$11:$AA$160,BI$8,0)</f>
        <v>0</v>
      </c>
      <c r="BJ154" s="52">
        <f>M154*VLOOKUP($A154,'I | Capex forecast'!$A$11:$AA$160,BJ$8,0)</f>
        <v>0</v>
      </c>
      <c r="BK154" s="52">
        <f>N154*VLOOKUP($A154,'I | Capex forecast'!$A$11:$AA$160,BK$8,0)</f>
        <v>0</v>
      </c>
      <c r="BL154" s="52">
        <f>O154*VLOOKUP($A154,'I | Capex forecast'!$A$11:$AA$160,BL$8,0)</f>
        <v>0</v>
      </c>
      <c r="BM154" s="52">
        <f>P154*VLOOKUP($A154,'I | Capex forecast'!$A$11:$AA$160,BM$8,0)</f>
        <v>0</v>
      </c>
      <c r="BN154" s="54">
        <f t="shared" si="108"/>
        <v>0</v>
      </c>
      <c r="BO154" s="53"/>
      <c r="BP154" s="52">
        <f t="shared" si="87"/>
        <v>0</v>
      </c>
      <c r="BQ154" s="52">
        <f t="shared" si="88"/>
        <v>0</v>
      </c>
      <c r="BR154" s="52">
        <f t="shared" si="89"/>
        <v>0</v>
      </c>
      <c r="BS154" s="52">
        <f t="shared" si="90"/>
        <v>0</v>
      </c>
      <c r="BT154" s="52">
        <f t="shared" si="91"/>
        <v>0</v>
      </c>
      <c r="BU154" s="54">
        <f t="shared" si="109"/>
        <v>0</v>
      </c>
      <c r="BW154" s="52">
        <f t="shared" si="92"/>
        <v>0</v>
      </c>
      <c r="BX154" s="52">
        <f t="shared" si="93"/>
        <v>0</v>
      </c>
      <c r="BY154" s="52">
        <f t="shared" si="94"/>
        <v>0</v>
      </c>
      <c r="BZ154" s="52">
        <f t="shared" si="95"/>
        <v>0</v>
      </c>
      <c r="CA154" s="52">
        <f t="shared" si="96"/>
        <v>0</v>
      </c>
      <c r="CB154" s="54">
        <f t="shared" si="110"/>
        <v>0</v>
      </c>
      <c r="CC154" s="53"/>
      <c r="CD154" s="52">
        <f t="shared" si="111"/>
        <v>0</v>
      </c>
      <c r="CE154" s="52">
        <f t="shared" si="112"/>
        <v>0</v>
      </c>
      <c r="CF154" s="52">
        <f t="shared" si="113"/>
        <v>0</v>
      </c>
      <c r="CG154" s="52">
        <f t="shared" si="114"/>
        <v>0</v>
      </c>
      <c r="CH154" s="52">
        <f t="shared" si="115"/>
        <v>0</v>
      </c>
      <c r="CI154" s="54">
        <f t="shared" si="116"/>
        <v>0</v>
      </c>
    </row>
    <row r="155" spans="1:87" x14ac:dyDescent="0.3">
      <c r="A155" s="56">
        <v>145</v>
      </c>
      <c r="B155" s="48" t="str">
        <f>IF('I | Capex forecast'!B155="","",'I | Capex forecast'!B155)</f>
        <v/>
      </c>
      <c r="C155" s="48" t="str">
        <f>IF('I | Capex forecast'!C155="","",'I | Capex forecast'!C155)</f>
        <v/>
      </c>
      <c r="D155" s="48" t="str">
        <f>IF('I | Capex forecast'!D155="","",'I | Capex forecast'!D155)</f>
        <v/>
      </c>
      <c r="E155" s="48" t="str">
        <f>IF('I | Capex forecast'!E155="","",'I | Capex forecast'!E155)</f>
        <v/>
      </c>
      <c r="F155" s="48" t="str">
        <f>IF('I | Capex forecast'!F155="","",'I | Capex forecast'!F155)</f>
        <v/>
      </c>
      <c r="G155" s="48" t="str">
        <f>IF('I | Capex forecast'!G155="","",'I | Capex forecast'!G155)</f>
        <v/>
      </c>
      <c r="H155" s="48" t="str">
        <f>IF('I | Capex forecast'!H155="","",'I | Capex forecast'!H155)</f>
        <v/>
      </c>
      <c r="I155" s="48" t="str">
        <f>IF('I | Capex forecast'!I155="","",'I | Capex forecast'!I155)</f>
        <v/>
      </c>
      <c r="J155" s="48" t="str">
        <f>IF('I | Capex forecast'!J155="","",'I | Capex forecast'!J155)</f>
        <v/>
      </c>
      <c r="K155" s="50"/>
      <c r="L155" s="52">
        <f>IFERROR(VLOOKUP($A155,'I | Capex forecast'!$A$11:$AA$160,L$8,0)*INDEX('I | Inflation'!$F$46:$G$49,MATCH($I155,'I | Inflation'!$E$46:$E$49,0),MATCH($H155,'I | Inflation'!$F$45:$G$45,0)),0)</f>
        <v>0</v>
      </c>
      <c r="M155" s="52">
        <f>IFERROR(VLOOKUP($A155,'I | Capex forecast'!$A$11:$AA$160,M$8,0)*INDEX('I | Inflation'!$F$46:$G$49,MATCH($I155,'I | Inflation'!$E$46:$E$49,0),MATCH($H155,'I | Inflation'!$F$45:$G$45,0)),0)</f>
        <v>0</v>
      </c>
      <c r="N155" s="52">
        <f>IFERROR(VLOOKUP($A155,'I | Capex forecast'!$A$11:$AA$160,N$8,0)*INDEX('I | Inflation'!$F$46:$G$49,MATCH($I155,'I | Inflation'!$E$46:$E$49,0),MATCH($H155,'I | Inflation'!$F$45:$G$45,0)),0)</f>
        <v>0</v>
      </c>
      <c r="O155" s="52">
        <f>IFERROR(VLOOKUP($A155,'I | Capex forecast'!$A$11:$AA$160,O$8,0)*INDEX('I | Inflation'!$F$46:$G$49,MATCH($I155,'I | Inflation'!$E$46:$E$49,0),MATCH($H155,'I | Inflation'!$F$45:$G$45,0)),0)</f>
        <v>0</v>
      </c>
      <c r="P155" s="52">
        <f>IFERROR(VLOOKUP($A155,'I | Capex forecast'!$A$11:$AA$160,P$8,0)*INDEX('I | Inflation'!$F$46:$G$49,MATCH($I155,'I | Inflation'!$E$46:$E$49,0),MATCH($H155,'I | Inflation'!$F$45:$G$45,0)),0)</f>
        <v>0</v>
      </c>
      <c r="Q155" s="54">
        <f t="shared" si="86"/>
        <v>0</v>
      </c>
      <c r="R155" s="53"/>
      <c r="S155" s="226">
        <f>L155*VLOOKUP($A155,'I | Capex forecast'!$A$11:$AA$160,S$8,0)</f>
        <v>0</v>
      </c>
      <c r="T155" s="226">
        <f>M155*VLOOKUP($A155,'I | Capex forecast'!$A$11:$AA$160,T$8,0)</f>
        <v>0</v>
      </c>
      <c r="U155" s="226">
        <f>N155*VLOOKUP($A155,'I | Capex forecast'!$A$11:$AA$160,U$8,0)</f>
        <v>0</v>
      </c>
      <c r="V155" s="226">
        <f>O155*VLOOKUP($A155,'I | Capex forecast'!$A$11:$AA$160,V$8,0)</f>
        <v>0</v>
      </c>
      <c r="W155" s="226">
        <f>P155*VLOOKUP($A155,'I | Capex forecast'!$A$11:$AA$160,W$8,0)</f>
        <v>0</v>
      </c>
      <c r="X155" s="54">
        <f t="shared" si="97"/>
        <v>0</v>
      </c>
      <c r="Y155" s="53"/>
      <c r="Z155" s="52">
        <f>S155*(HLOOKUP(Z$10,'I | Inflation'!$E$57:$J$59,3,0)-1)</f>
        <v>0</v>
      </c>
      <c r="AA155" s="52">
        <f>T155*(HLOOKUP(AA$10,'I | Inflation'!$E$57:$J$59,3,0)-1)</f>
        <v>0</v>
      </c>
      <c r="AB155" s="52">
        <f>U155*(HLOOKUP(AB$10,'I | Inflation'!$E$57:$J$59,3,0)-1)</f>
        <v>0</v>
      </c>
      <c r="AC155" s="52">
        <f>V155*(HLOOKUP(AC$10,'I | Inflation'!$E$57:$J$59,3,0)-1)</f>
        <v>0</v>
      </c>
      <c r="AD155" s="52">
        <f>W155*(HLOOKUP(AD$10,'I | Inflation'!$E$57:$J$59,3,0)-1)</f>
        <v>0</v>
      </c>
      <c r="AE155" s="54">
        <f t="shared" si="98"/>
        <v>0</v>
      </c>
      <c r="AF155" s="53"/>
      <c r="AG155" s="226">
        <f t="shared" si="99"/>
        <v>0</v>
      </c>
      <c r="AH155" s="226">
        <f t="shared" si="100"/>
        <v>0</v>
      </c>
      <c r="AI155" s="226">
        <f t="shared" si="101"/>
        <v>0</v>
      </c>
      <c r="AJ155" s="226">
        <f t="shared" si="102"/>
        <v>0</v>
      </c>
      <c r="AK155" s="226">
        <f t="shared" si="103"/>
        <v>0</v>
      </c>
      <c r="AL155" s="54">
        <f t="shared" si="104"/>
        <v>0</v>
      </c>
      <c r="AM155" s="53"/>
      <c r="AN155" s="52"/>
      <c r="AO155" s="52"/>
      <c r="AP155" s="52"/>
      <c r="AQ155" s="52"/>
      <c r="AR155" s="52"/>
      <c r="AS155" s="54">
        <f t="shared" si="105"/>
        <v>0</v>
      </c>
      <c r="AT155" s="53"/>
      <c r="AU155" s="52"/>
      <c r="AV155" s="52"/>
      <c r="AW155" s="52"/>
      <c r="AX155" s="52"/>
      <c r="AY155" s="52"/>
      <c r="AZ155" s="54">
        <f t="shared" si="106"/>
        <v>0</v>
      </c>
      <c r="BA155" s="53"/>
      <c r="BB155" s="52"/>
      <c r="BC155" s="52"/>
      <c r="BD155" s="52"/>
      <c r="BE155" s="52"/>
      <c r="BF155" s="52"/>
      <c r="BG155" s="54">
        <f t="shared" si="107"/>
        <v>0</v>
      </c>
      <c r="BH155" s="53"/>
      <c r="BI155" s="52">
        <f>L155*VLOOKUP($A155,'I | Capex forecast'!$A$11:$AA$160,BI$8,0)</f>
        <v>0</v>
      </c>
      <c r="BJ155" s="52">
        <f>M155*VLOOKUP($A155,'I | Capex forecast'!$A$11:$AA$160,BJ$8,0)</f>
        <v>0</v>
      </c>
      <c r="BK155" s="52">
        <f>N155*VLOOKUP($A155,'I | Capex forecast'!$A$11:$AA$160,BK$8,0)</f>
        <v>0</v>
      </c>
      <c r="BL155" s="52">
        <f>O155*VLOOKUP($A155,'I | Capex forecast'!$A$11:$AA$160,BL$8,0)</f>
        <v>0</v>
      </c>
      <c r="BM155" s="52">
        <f>P155*VLOOKUP($A155,'I | Capex forecast'!$A$11:$AA$160,BM$8,0)</f>
        <v>0</v>
      </c>
      <c r="BN155" s="54">
        <f t="shared" si="108"/>
        <v>0</v>
      </c>
      <c r="BO155" s="53"/>
      <c r="BP155" s="52">
        <f t="shared" si="87"/>
        <v>0</v>
      </c>
      <c r="BQ155" s="52">
        <f t="shared" si="88"/>
        <v>0</v>
      </c>
      <c r="BR155" s="52">
        <f t="shared" si="89"/>
        <v>0</v>
      </c>
      <c r="BS155" s="52">
        <f t="shared" si="90"/>
        <v>0</v>
      </c>
      <c r="BT155" s="52">
        <f t="shared" si="91"/>
        <v>0</v>
      </c>
      <c r="BU155" s="54">
        <f t="shared" si="109"/>
        <v>0</v>
      </c>
      <c r="BW155" s="52">
        <f t="shared" si="92"/>
        <v>0</v>
      </c>
      <c r="BX155" s="52">
        <f t="shared" si="93"/>
        <v>0</v>
      </c>
      <c r="BY155" s="52">
        <f t="shared" si="94"/>
        <v>0</v>
      </c>
      <c r="BZ155" s="52">
        <f t="shared" si="95"/>
        <v>0</v>
      </c>
      <c r="CA155" s="52">
        <f t="shared" si="96"/>
        <v>0</v>
      </c>
      <c r="CB155" s="54">
        <f t="shared" si="110"/>
        <v>0</v>
      </c>
      <c r="CC155" s="53"/>
      <c r="CD155" s="52">
        <f t="shared" si="111"/>
        <v>0</v>
      </c>
      <c r="CE155" s="52">
        <f t="shared" si="112"/>
        <v>0</v>
      </c>
      <c r="CF155" s="52">
        <f t="shared" si="113"/>
        <v>0</v>
      </c>
      <c r="CG155" s="52">
        <f t="shared" si="114"/>
        <v>0</v>
      </c>
      <c r="CH155" s="52">
        <f t="shared" si="115"/>
        <v>0</v>
      </c>
      <c r="CI155" s="54">
        <f t="shared" si="116"/>
        <v>0</v>
      </c>
    </row>
    <row r="156" spans="1:87" x14ac:dyDescent="0.3">
      <c r="A156" s="56">
        <v>146</v>
      </c>
      <c r="B156" s="48" t="str">
        <f>IF('I | Capex forecast'!B156="","",'I | Capex forecast'!B156)</f>
        <v/>
      </c>
      <c r="C156" s="48" t="str">
        <f>IF('I | Capex forecast'!C156="","",'I | Capex forecast'!C156)</f>
        <v/>
      </c>
      <c r="D156" s="48" t="str">
        <f>IF('I | Capex forecast'!D156="","",'I | Capex forecast'!D156)</f>
        <v/>
      </c>
      <c r="E156" s="48" t="str">
        <f>IF('I | Capex forecast'!E156="","",'I | Capex forecast'!E156)</f>
        <v/>
      </c>
      <c r="F156" s="48" t="str">
        <f>IF('I | Capex forecast'!F156="","",'I | Capex forecast'!F156)</f>
        <v/>
      </c>
      <c r="G156" s="48" t="str">
        <f>IF('I | Capex forecast'!G156="","",'I | Capex forecast'!G156)</f>
        <v/>
      </c>
      <c r="H156" s="48" t="str">
        <f>IF('I | Capex forecast'!H156="","",'I | Capex forecast'!H156)</f>
        <v/>
      </c>
      <c r="I156" s="48" t="str">
        <f>IF('I | Capex forecast'!I156="","",'I | Capex forecast'!I156)</f>
        <v/>
      </c>
      <c r="J156" s="48" t="str">
        <f>IF('I | Capex forecast'!J156="","",'I | Capex forecast'!J156)</f>
        <v/>
      </c>
      <c r="K156" s="50"/>
      <c r="L156" s="52">
        <f>IFERROR(VLOOKUP($A156,'I | Capex forecast'!$A$11:$AA$160,L$8,0)*INDEX('I | Inflation'!$F$46:$G$49,MATCH($I156,'I | Inflation'!$E$46:$E$49,0),MATCH($H156,'I | Inflation'!$F$45:$G$45,0)),0)</f>
        <v>0</v>
      </c>
      <c r="M156" s="52">
        <f>IFERROR(VLOOKUP($A156,'I | Capex forecast'!$A$11:$AA$160,M$8,0)*INDEX('I | Inflation'!$F$46:$G$49,MATCH($I156,'I | Inflation'!$E$46:$E$49,0),MATCH($H156,'I | Inflation'!$F$45:$G$45,0)),0)</f>
        <v>0</v>
      </c>
      <c r="N156" s="52">
        <f>IFERROR(VLOOKUP($A156,'I | Capex forecast'!$A$11:$AA$160,N$8,0)*INDEX('I | Inflation'!$F$46:$G$49,MATCH($I156,'I | Inflation'!$E$46:$E$49,0),MATCH($H156,'I | Inflation'!$F$45:$G$45,0)),0)</f>
        <v>0</v>
      </c>
      <c r="O156" s="52">
        <f>IFERROR(VLOOKUP($A156,'I | Capex forecast'!$A$11:$AA$160,O$8,0)*INDEX('I | Inflation'!$F$46:$G$49,MATCH($I156,'I | Inflation'!$E$46:$E$49,0),MATCH($H156,'I | Inflation'!$F$45:$G$45,0)),0)</f>
        <v>0</v>
      </c>
      <c r="P156" s="52">
        <f>IFERROR(VLOOKUP($A156,'I | Capex forecast'!$A$11:$AA$160,P$8,0)*INDEX('I | Inflation'!$F$46:$G$49,MATCH($I156,'I | Inflation'!$E$46:$E$49,0),MATCH($H156,'I | Inflation'!$F$45:$G$45,0)),0)</f>
        <v>0</v>
      </c>
      <c r="Q156" s="54">
        <f t="shared" ref="Q156:Q160" si="117">SUM(L156:P156)</f>
        <v>0</v>
      </c>
      <c r="R156" s="53"/>
      <c r="S156" s="226">
        <f>L156*VLOOKUP($A156,'I | Capex forecast'!$A$11:$AA$160,S$8,0)</f>
        <v>0</v>
      </c>
      <c r="T156" s="226">
        <f>M156*VLOOKUP($A156,'I | Capex forecast'!$A$11:$AA$160,T$8,0)</f>
        <v>0</v>
      </c>
      <c r="U156" s="226">
        <f>N156*VLOOKUP($A156,'I | Capex forecast'!$A$11:$AA$160,U$8,0)</f>
        <v>0</v>
      </c>
      <c r="V156" s="226">
        <f>O156*VLOOKUP($A156,'I | Capex forecast'!$A$11:$AA$160,V$8,0)</f>
        <v>0</v>
      </c>
      <c r="W156" s="226">
        <f>P156*VLOOKUP($A156,'I | Capex forecast'!$A$11:$AA$160,W$8,0)</f>
        <v>0</v>
      </c>
      <c r="X156" s="54">
        <f t="shared" ref="X156:X160" si="118">SUM(S156:W156)</f>
        <v>0</v>
      </c>
      <c r="Y156" s="53"/>
      <c r="Z156" s="52">
        <f>S156*(HLOOKUP(Z$10,'I | Inflation'!$E$57:$J$59,3,0)-1)</f>
        <v>0</v>
      </c>
      <c r="AA156" s="52">
        <f>T156*(HLOOKUP(AA$10,'I | Inflation'!$E$57:$J$59,3,0)-1)</f>
        <v>0</v>
      </c>
      <c r="AB156" s="52">
        <f>U156*(HLOOKUP(AB$10,'I | Inflation'!$E$57:$J$59,3,0)-1)</f>
        <v>0</v>
      </c>
      <c r="AC156" s="52">
        <f>V156*(HLOOKUP(AC$10,'I | Inflation'!$E$57:$J$59,3,0)-1)</f>
        <v>0</v>
      </c>
      <c r="AD156" s="52">
        <f>W156*(HLOOKUP(AD$10,'I | Inflation'!$E$57:$J$59,3,0)-1)</f>
        <v>0</v>
      </c>
      <c r="AE156" s="54">
        <f t="shared" ref="AE156:AE160" si="119">SUM(Z156:AD156)</f>
        <v>0</v>
      </c>
      <c r="AF156" s="53"/>
      <c r="AG156" s="226">
        <f t="shared" ref="AG156:AG160" si="120">S156+Z156</f>
        <v>0</v>
      </c>
      <c r="AH156" s="226">
        <f t="shared" ref="AH156:AH160" si="121">T156+AA156</f>
        <v>0</v>
      </c>
      <c r="AI156" s="226">
        <f t="shared" ref="AI156:AI160" si="122">U156+AB156</f>
        <v>0</v>
      </c>
      <c r="AJ156" s="226">
        <f t="shared" ref="AJ156:AJ160" si="123">V156+AC156</f>
        <v>0</v>
      </c>
      <c r="AK156" s="226">
        <f t="shared" ref="AK156:AK160" si="124">W156+AD156</f>
        <v>0</v>
      </c>
      <c r="AL156" s="54">
        <f t="shared" ref="AL156:AL160" si="125">SUM(AG156:AK156)</f>
        <v>0</v>
      </c>
      <c r="AM156" s="53"/>
      <c r="AN156" s="52"/>
      <c r="AO156" s="52"/>
      <c r="AP156" s="52"/>
      <c r="AQ156" s="52"/>
      <c r="AR156" s="52"/>
      <c r="AS156" s="54">
        <f t="shared" ref="AS156:AS160" si="126">SUM(AN156:AR156)</f>
        <v>0</v>
      </c>
      <c r="AT156" s="53"/>
      <c r="AU156" s="52"/>
      <c r="AV156" s="52"/>
      <c r="AW156" s="52"/>
      <c r="AX156" s="52"/>
      <c r="AY156" s="52"/>
      <c r="AZ156" s="54">
        <f t="shared" ref="AZ156:AZ160" si="127">SUM(AU156:AY156)</f>
        <v>0</v>
      </c>
      <c r="BA156" s="53"/>
      <c r="BB156" s="52"/>
      <c r="BC156" s="52"/>
      <c r="BD156" s="52"/>
      <c r="BE156" s="52"/>
      <c r="BF156" s="52"/>
      <c r="BG156" s="54">
        <f t="shared" ref="BG156:BG160" si="128">SUM(BB156:BF156)</f>
        <v>0</v>
      </c>
      <c r="BH156" s="53"/>
      <c r="BI156" s="52">
        <f>L156*VLOOKUP($A156,'I | Capex forecast'!$A$11:$AA$160,BI$8,0)</f>
        <v>0</v>
      </c>
      <c r="BJ156" s="52">
        <f>M156*VLOOKUP($A156,'I | Capex forecast'!$A$11:$AA$160,BJ$8,0)</f>
        <v>0</v>
      </c>
      <c r="BK156" s="52">
        <f>N156*VLOOKUP($A156,'I | Capex forecast'!$A$11:$AA$160,BK$8,0)</f>
        <v>0</v>
      </c>
      <c r="BL156" s="52">
        <f>O156*VLOOKUP($A156,'I | Capex forecast'!$A$11:$AA$160,BL$8,0)</f>
        <v>0</v>
      </c>
      <c r="BM156" s="52">
        <f>P156*VLOOKUP($A156,'I | Capex forecast'!$A$11:$AA$160,BM$8,0)</f>
        <v>0</v>
      </c>
      <c r="BN156" s="54">
        <f t="shared" ref="BN156:BN160" si="129">SUM(BI156:BM156)</f>
        <v>0</v>
      </c>
      <c r="BO156" s="53"/>
      <c r="BP156" s="52">
        <f t="shared" ref="BP156:BP160" si="130">L156+Z156+AN156+AU156+BB156+BI156</f>
        <v>0</v>
      </c>
      <c r="BQ156" s="52">
        <f t="shared" ref="BQ156:BQ160" si="131">M156+AA156+AO156+AV156+BC156+BJ156</f>
        <v>0</v>
      </c>
      <c r="BR156" s="52">
        <f t="shared" ref="BR156:BR160" si="132">N156+AB156+AP156+AW156+BD156+BK156</f>
        <v>0</v>
      </c>
      <c r="BS156" s="52">
        <f t="shared" ref="BS156:BS160" si="133">O156+AC156+AQ156+AX156+BE156+BL156</f>
        <v>0</v>
      </c>
      <c r="BT156" s="52">
        <f t="shared" ref="BT156:BT160" si="134">P156+AD156+AR156+AY156+BF156+BM156</f>
        <v>0</v>
      </c>
      <c r="BU156" s="54">
        <f t="shared" ref="BU156:BU160" si="135">SUM(BP156:BT156)</f>
        <v>0</v>
      </c>
      <c r="BW156" s="52">
        <f t="shared" ref="BW156:BW160" si="136">IF($G156="As incurred",BP156,IF($G156=BW$10,$BU156,0))</f>
        <v>0</v>
      </c>
      <c r="BX156" s="52">
        <f t="shared" ref="BX156:BX160" si="137">IF($G156="As incurred",BQ156,IF($G156=BX$10,$BU156,0))</f>
        <v>0</v>
      </c>
      <c r="BY156" s="52">
        <f t="shared" ref="BY156:BY160" si="138">IF($G156="As incurred",BR156,IF($G156=BY$10,$BU156,0))</f>
        <v>0</v>
      </c>
      <c r="BZ156" s="52">
        <f t="shared" ref="BZ156:BZ160" si="139">IF($G156="As incurred",BS156,IF($G156=BZ$10,$BU156,0))</f>
        <v>0</v>
      </c>
      <c r="CA156" s="52">
        <f t="shared" ref="CA156:CA160" si="140">IF($G156="As incurred",BT156,IF($G156=CA$10,$BU156,0))</f>
        <v>0</v>
      </c>
      <c r="CB156" s="54">
        <f t="shared" ref="CB156:CB160" si="141">SUM(BW156:CA156)</f>
        <v>0</v>
      </c>
      <c r="CC156" s="53"/>
      <c r="CD156" s="52">
        <f t="shared" ref="CD156:CD160" si="142">IF($J156="Yes",BW156,0)</f>
        <v>0</v>
      </c>
      <c r="CE156" s="52">
        <f t="shared" ref="CE156:CE160" si="143">IF($J156="Yes",BX156,0)</f>
        <v>0</v>
      </c>
      <c r="CF156" s="52">
        <f t="shared" ref="CF156:CF160" si="144">IF($J156="Yes",BY156,0)</f>
        <v>0</v>
      </c>
      <c r="CG156" s="52">
        <f t="shared" ref="CG156:CG160" si="145">IF($J156="Yes",BZ156,0)</f>
        <v>0</v>
      </c>
      <c r="CH156" s="52">
        <f t="shared" ref="CH156:CH160" si="146">IF($J156="Yes",CA156,0)</f>
        <v>0</v>
      </c>
      <c r="CI156" s="54">
        <f t="shared" ref="CI156:CI160" si="147">SUM(CD156:CH156)</f>
        <v>0</v>
      </c>
    </row>
    <row r="157" spans="1:87" x14ac:dyDescent="0.3">
      <c r="A157" s="56">
        <v>147</v>
      </c>
      <c r="B157" s="48" t="str">
        <f>IF('I | Capex forecast'!B157="","",'I | Capex forecast'!B157)</f>
        <v/>
      </c>
      <c r="C157" s="48" t="str">
        <f>IF('I | Capex forecast'!C157="","",'I | Capex forecast'!C157)</f>
        <v/>
      </c>
      <c r="D157" s="48" t="str">
        <f>IF('I | Capex forecast'!D157="","",'I | Capex forecast'!D157)</f>
        <v/>
      </c>
      <c r="E157" s="48" t="str">
        <f>IF('I | Capex forecast'!E157="","",'I | Capex forecast'!E157)</f>
        <v/>
      </c>
      <c r="F157" s="48" t="str">
        <f>IF('I | Capex forecast'!F157="","",'I | Capex forecast'!F157)</f>
        <v/>
      </c>
      <c r="G157" s="48" t="str">
        <f>IF('I | Capex forecast'!G157="","",'I | Capex forecast'!G157)</f>
        <v/>
      </c>
      <c r="H157" s="48" t="str">
        <f>IF('I | Capex forecast'!H157="","",'I | Capex forecast'!H157)</f>
        <v/>
      </c>
      <c r="I157" s="48" t="str">
        <f>IF('I | Capex forecast'!I157="","",'I | Capex forecast'!I157)</f>
        <v/>
      </c>
      <c r="J157" s="48" t="str">
        <f>IF('I | Capex forecast'!J157="","",'I | Capex forecast'!J157)</f>
        <v/>
      </c>
      <c r="K157" s="50"/>
      <c r="L157" s="52">
        <f>IFERROR(VLOOKUP($A157,'I | Capex forecast'!$A$11:$AA$160,L$8,0)*INDEX('I | Inflation'!$F$46:$G$49,MATCH($I157,'I | Inflation'!$E$46:$E$49,0),MATCH($H157,'I | Inflation'!$F$45:$G$45,0)),0)</f>
        <v>0</v>
      </c>
      <c r="M157" s="52">
        <f>IFERROR(VLOOKUP($A157,'I | Capex forecast'!$A$11:$AA$160,M$8,0)*INDEX('I | Inflation'!$F$46:$G$49,MATCH($I157,'I | Inflation'!$E$46:$E$49,0),MATCH($H157,'I | Inflation'!$F$45:$G$45,0)),0)</f>
        <v>0</v>
      </c>
      <c r="N157" s="52">
        <f>IFERROR(VLOOKUP($A157,'I | Capex forecast'!$A$11:$AA$160,N$8,0)*INDEX('I | Inflation'!$F$46:$G$49,MATCH($I157,'I | Inflation'!$E$46:$E$49,0),MATCH($H157,'I | Inflation'!$F$45:$G$45,0)),0)</f>
        <v>0</v>
      </c>
      <c r="O157" s="52">
        <f>IFERROR(VLOOKUP($A157,'I | Capex forecast'!$A$11:$AA$160,O$8,0)*INDEX('I | Inflation'!$F$46:$G$49,MATCH($I157,'I | Inflation'!$E$46:$E$49,0),MATCH($H157,'I | Inflation'!$F$45:$G$45,0)),0)</f>
        <v>0</v>
      </c>
      <c r="P157" s="52">
        <f>IFERROR(VLOOKUP($A157,'I | Capex forecast'!$A$11:$AA$160,P$8,0)*INDEX('I | Inflation'!$F$46:$G$49,MATCH($I157,'I | Inflation'!$E$46:$E$49,0),MATCH($H157,'I | Inflation'!$F$45:$G$45,0)),0)</f>
        <v>0</v>
      </c>
      <c r="Q157" s="54">
        <f t="shared" si="117"/>
        <v>0</v>
      </c>
      <c r="R157" s="53"/>
      <c r="S157" s="226">
        <f>L157*VLOOKUP($A157,'I | Capex forecast'!$A$11:$AA$160,S$8,0)</f>
        <v>0</v>
      </c>
      <c r="T157" s="226">
        <f>M157*VLOOKUP($A157,'I | Capex forecast'!$A$11:$AA$160,T$8,0)</f>
        <v>0</v>
      </c>
      <c r="U157" s="226">
        <f>N157*VLOOKUP($A157,'I | Capex forecast'!$A$11:$AA$160,U$8,0)</f>
        <v>0</v>
      </c>
      <c r="V157" s="226">
        <f>O157*VLOOKUP($A157,'I | Capex forecast'!$A$11:$AA$160,V$8,0)</f>
        <v>0</v>
      </c>
      <c r="W157" s="226">
        <f>P157*VLOOKUP($A157,'I | Capex forecast'!$A$11:$AA$160,W$8,0)</f>
        <v>0</v>
      </c>
      <c r="X157" s="54">
        <f t="shared" si="118"/>
        <v>0</v>
      </c>
      <c r="Y157" s="53"/>
      <c r="Z157" s="52">
        <f>S157*(HLOOKUP(Z$10,'I | Inflation'!$E$57:$J$59,3,0)-1)</f>
        <v>0</v>
      </c>
      <c r="AA157" s="52">
        <f>T157*(HLOOKUP(AA$10,'I | Inflation'!$E$57:$J$59,3,0)-1)</f>
        <v>0</v>
      </c>
      <c r="AB157" s="52">
        <f>U157*(HLOOKUP(AB$10,'I | Inflation'!$E$57:$J$59,3,0)-1)</f>
        <v>0</v>
      </c>
      <c r="AC157" s="52">
        <f>V157*(HLOOKUP(AC$10,'I | Inflation'!$E$57:$J$59,3,0)-1)</f>
        <v>0</v>
      </c>
      <c r="AD157" s="52">
        <f>W157*(HLOOKUP(AD$10,'I | Inflation'!$E$57:$J$59,3,0)-1)</f>
        <v>0</v>
      </c>
      <c r="AE157" s="54">
        <f t="shared" si="119"/>
        <v>0</v>
      </c>
      <c r="AF157" s="53"/>
      <c r="AG157" s="226">
        <f t="shared" si="120"/>
        <v>0</v>
      </c>
      <c r="AH157" s="226">
        <f t="shared" si="121"/>
        <v>0</v>
      </c>
      <c r="AI157" s="226">
        <f t="shared" si="122"/>
        <v>0</v>
      </c>
      <c r="AJ157" s="226">
        <f t="shared" si="123"/>
        <v>0</v>
      </c>
      <c r="AK157" s="226">
        <f t="shared" si="124"/>
        <v>0</v>
      </c>
      <c r="AL157" s="54">
        <f t="shared" si="125"/>
        <v>0</v>
      </c>
      <c r="AM157" s="53"/>
      <c r="AN157" s="52"/>
      <c r="AO157" s="52"/>
      <c r="AP157" s="52"/>
      <c r="AQ157" s="52"/>
      <c r="AR157" s="52"/>
      <c r="AS157" s="54">
        <f t="shared" si="126"/>
        <v>0</v>
      </c>
      <c r="AT157" s="53"/>
      <c r="AU157" s="52"/>
      <c r="AV157" s="52"/>
      <c r="AW157" s="52"/>
      <c r="AX157" s="52"/>
      <c r="AY157" s="52"/>
      <c r="AZ157" s="54">
        <f t="shared" si="127"/>
        <v>0</v>
      </c>
      <c r="BA157" s="53"/>
      <c r="BB157" s="52"/>
      <c r="BC157" s="52"/>
      <c r="BD157" s="52"/>
      <c r="BE157" s="52"/>
      <c r="BF157" s="52"/>
      <c r="BG157" s="54">
        <f t="shared" si="128"/>
        <v>0</v>
      </c>
      <c r="BH157" s="53"/>
      <c r="BI157" s="52">
        <f>L157*VLOOKUP($A157,'I | Capex forecast'!$A$11:$AA$160,BI$8,0)</f>
        <v>0</v>
      </c>
      <c r="BJ157" s="52">
        <f>M157*VLOOKUP($A157,'I | Capex forecast'!$A$11:$AA$160,BJ$8,0)</f>
        <v>0</v>
      </c>
      <c r="BK157" s="52">
        <f>N157*VLOOKUP($A157,'I | Capex forecast'!$A$11:$AA$160,BK$8,0)</f>
        <v>0</v>
      </c>
      <c r="BL157" s="52">
        <f>O157*VLOOKUP($A157,'I | Capex forecast'!$A$11:$AA$160,BL$8,0)</f>
        <v>0</v>
      </c>
      <c r="BM157" s="52">
        <f>P157*VLOOKUP($A157,'I | Capex forecast'!$A$11:$AA$160,BM$8,0)</f>
        <v>0</v>
      </c>
      <c r="BN157" s="54">
        <f t="shared" si="129"/>
        <v>0</v>
      </c>
      <c r="BO157" s="53"/>
      <c r="BP157" s="52">
        <f t="shared" si="130"/>
        <v>0</v>
      </c>
      <c r="BQ157" s="52">
        <f t="shared" si="131"/>
        <v>0</v>
      </c>
      <c r="BR157" s="52">
        <f t="shared" si="132"/>
        <v>0</v>
      </c>
      <c r="BS157" s="52">
        <f t="shared" si="133"/>
        <v>0</v>
      </c>
      <c r="BT157" s="52">
        <f t="shared" si="134"/>
        <v>0</v>
      </c>
      <c r="BU157" s="54">
        <f t="shared" si="135"/>
        <v>0</v>
      </c>
      <c r="BW157" s="52">
        <f t="shared" si="136"/>
        <v>0</v>
      </c>
      <c r="BX157" s="52">
        <f t="shared" si="137"/>
        <v>0</v>
      </c>
      <c r="BY157" s="52">
        <f t="shared" si="138"/>
        <v>0</v>
      </c>
      <c r="BZ157" s="52">
        <f t="shared" si="139"/>
        <v>0</v>
      </c>
      <c r="CA157" s="52">
        <f t="shared" si="140"/>
        <v>0</v>
      </c>
      <c r="CB157" s="54">
        <f t="shared" si="141"/>
        <v>0</v>
      </c>
      <c r="CC157" s="53"/>
      <c r="CD157" s="52">
        <f t="shared" si="142"/>
        <v>0</v>
      </c>
      <c r="CE157" s="52">
        <f t="shared" si="143"/>
        <v>0</v>
      </c>
      <c r="CF157" s="52">
        <f t="shared" si="144"/>
        <v>0</v>
      </c>
      <c r="CG157" s="52">
        <f t="shared" si="145"/>
        <v>0</v>
      </c>
      <c r="CH157" s="52">
        <f t="shared" si="146"/>
        <v>0</v>
      </c>
      <c r="CI157" s="54">
        <f t="shared" si="147"/>
        <v>0</v>
      </c>
    </row>
    <row r="158" spans="1:87" x14ac:dyDescent="0.3">
      <c r="A158" s="56">
        <v>148</v>
      </c>
      <c r="B158" s="48" t="str">
        <f>IF('I | Capex forecast'!B158="","",'I | Capex forecast'!B158)</f>
        <v/>
      </c>
      <c r="C158" s="48" t="str">
        <f>IF('I | Capex forecast'!C158="","",'I | Capex forecast'!C158)</f>
        <v/>
      </c>
      <c r="D158" s="48" t="str">
        <f>IF('I | Capex forecast'!D158="","",'I | Capex forecast'!D158)</f>
        <v/>
      </c>
      <c r="E158" s="48" t="str">
        <f>IF('I | Capex forecast'!E158="","",'I | Capex forecast'!E158)</f>
        <v/>
      </c>
      <c r="F158" s="48" t="str">
        <f>IF('I | Capex forecast'!F158="","",'I | Capex forecast'!F158)</f>
        <v/>
      </c>
      <c r="G158" s="48" t="str">
        <f>IF('I | Capex forecast'!G158="","",'I | Capex forecast'!G158)</f>
        <v/>
      </c>
      <c r="H158" s="48" t="str">
        <f>IF('I | Capex forecast'!H158="","",'I | Capex forecast'!H158)</f>
        <v/>
      </c>
      <c r="I158" s="48" t="str">
        <f>IF('I | Capex forecast'!I158="","",'I | Capex forecast'!I158)</f>
        <v/>
      </c>
      <c r="J158" s="48" t="str">
        <f>IF('I | Capex forecast'!J158="","",'I | Capex forecast'!J158)</f>
        <v/>
      </c>
      <c r="K158" s="50"/>
      <c r="L158" s="52">
        <f>IFERROR(VLOOKUP($A158,'I | Capex forecast'!$A$11:$AA$160,L$8,0)*INDEX('I | Inflation'!$F$46:$G$49,MATCH($I158,'I | Inflation'!$E$46:$E$49,0),MATCH($H158,'I | Inflation'!$F$45:$G$45,0)),0)</f>
        <v>0</v>
      </c>
      <c r="M158" s="52">
        <f>IFERROR(VLOOKUP($A158,'I | Capex forecast'!$A$11:$AA$160,M$8,0)*INDEX('I | Inflation'!$F$46:$G$49,MATCH($I158,'I | Inflation'!$E$46:$E$49,0),MATCH($H158,'I | Inflation'!$F$45:$G$45,0)),0)</f>
        <v>0</v>
      </c>
      <c r="N158" s="52">
        <f>IFERROR(VLOOKUP($A158,'I | Capex forecast'!$A$11:$AA$160,N$8,0)*INDEX('I | Inflation'!$F$46:$G$49,MATCH($I158,'I | Inflation'!$E$46:$E$49,0),MATCH($H158,'I | Inflation'!$F$45:$G$45,0)),0)</f>
        <v>0</v>
      </c>
      <c r="O158" s="52">
        <f>IFERROR(VLOOKUP($A158,'I | Capex forecast'!$A$11:$AA$160,O$8,0)*INDEX('I | Inflation'!$F$46:$G$49,MATCH($I158,'I | Inflation'!$E$46:$E$49,0),MATCH($H158,'I | Inflation'!$F$45:$G$45,0)),0)</f>
        <v>0</v>
      </c>
      <c r="P158" s="52">
        <f>IFERROR(VLOOKUP($A158,'I | Capex forecast'!$A$11:$AA$160,P$8,0)*INDEX('I | Inflation'!$F$46:$G$49,MATCH($I158,'I | Inflation'!$E$46:$E$49,0),MATCH($H158,'I | Inflation'!$F$45:$G$45,0)),0)</f>
        <v>0</v>
      </c>
      <c r="Q158" s="54">
        <f t="shared" si="117"/>
        <v>0</v>
      </c>
      <c r="R158" s="53"/>
      <c r="S158" s="226">
        <f>L158*VLOOKUP($A158,'I | Capex forecast'!$A$11:$AA$160,S$8,0)</f>
        <v>0</v>
      </c>
      <c r="T158" s="226">
        <f>M158*VLOOKUP($A158,'I | Capex forecast'!$A$11:$AA$160,T$8,0)</f>
        <v>0</v>
      </c>
      <c r="U158" s="226">
        <f>N158*VLOOKUP($A158,'I | Capex forecast'!$A$11:$AA$160,U$8,0)</f>
        <v>0</v>
      </c>
      <c r="V158" s="226">
        <f>O158*VLOOKUP($A158,'I | Capex forecast'!$A$11:$AA$160,V$8,0)</f>
        <v>0</v>
      </c>
      <c r="W158" s="226">
        <f>P158*VLOOKUP($A158,'I | Capex forecast'!$A$11:$AA$160,W$8,0)</f>
        <v>0</v>
      </c>
      <c r="X158" s="54">
        <f t="shared" si="118"/>
        <v>0</v>
      </c>
      <c r="Y158" s="53"/>
      <c r="Z158" s="52">
        <f>S158*(HLOOKUP(Z$10,'I | Inflation'!$E$57:$J$59,3,0)-1)</f>
        <v>0</v>
      </c>
      <c r="AA158" s="52">
        <f>T158*(HLOOKUP(AA$10,'I | Inflation'!$E$57:$J$59,3,0)-1)</f>
        <v>0</v>
      </c>
      <c r="AB158" s="52">
        <f>U158*(HLOOKUP(AB$10,'I | Inflation'!$E$57:$J$59,3,0)-1)</f>
        <v>0</v>
      </c>
      <c r="AC158" s="52">
        <f>V158*(HLOOKUP(AC$10,'I | Inflation'!$E$57:$J$59,3,0)-1)</f>
        <v>0</v>
      </c>
      <c r="AD158" s="52">
        <f>W158*(HLOOKUP(AD$10,'I | Inflation'!$E$57:$J$59,3,0)-1)</f>
        <v>0</v>
      </c>
      <c r="AE158" s="54">
        <f t="shared" si="119"/>
        <v>0</v>
      </c>
      <c r="AF158" s="53"/>
      <c r="AG158" s="226">
        <f t="shared" si="120"/>
        <v>0</v>
      </c>
      <c r="AH158" s="226">
        <f t="shared" si="121"/>
        <v>0</v>
      </c>
      <c r="AI158" s="226">
        <f t="shared" si="122"/>
        <v>0</v>
      </c>
      <c r="AJ158" s="226">
        <f t="shared" si="123"/>
        <v>0</v>
      </c>
      <c r="AK158" s="226">
        <f t="shared" si="124"/>
        <v>0</v>
      </c>
      <c r="AL158" s="54">
        <f t="shared" si="125"/>
        <v>0</v>
      </c>
      <c r="AM158" s="53"/>
      <c r="AN158" s="52"/>
      <c r="AO158" s="52"/>
      <c r="AP158" s="52"/>
      <c r="AQ158" s="52"/>
      <c r="AR158" s="52"/>
      <c r="AS158" s="54">
        <f t="shared" si="126"/>
        <v>0</v>
      </c>
      <c r="AT158" s="53"/>
      <c r="AU158" s="52"/>
      <c r="AV158" s="52"/>
      <c r="AW158" s="52"/>
      <c r="AX158" s="52"/>
      <c r="AY158" s="52"/>
      <c r="AZ158" s="54">
        <f t="shared" si="127"/>
        <v>0</v>
      </c>
      <c r="BA158" s="53"/>
      <c r="BB158" s="52"/>
      <c r="BC158" s="52"/>
      <c r="BD158" s="52"/>
      <c r="BE158" s="52"/>
      <c r="BF158" s="52"/>
      <c r="BG158" s="54">
        <f t="shared" si="128"/>
        <v>0</v>
      </c>
      <c r="BH158" s="53"/>
      <c r="BI158" s="52">
        <f>L158*VLOOKUP($A158,'I | Capex forecast'!$A$11:$AA$160,BI$8,0)</f>
        <v>0</v>
      </c>
      <c r="BJ158" s="52">
        <f>M158*VLOOKUP($A158,'I | Capex forecast'!$A$11:$AA$160,BJ$8,0)</f>
        <v>0</v>
      </c>
      <c r="BK158" s="52">
        <f>N158*VLOOKUP($A158,'I | Capex forecast'!$A$11:$AA$160,BK$8,0)</f>
        <v>0</v>
      </c>
      <c r="BL158" s="52">
        <f>O158*VLOOKUP($A158,'I | Capex forecast'!$A$11:$AA$160,BL$8,0)</f>
        <v>0</v>
      </c>
      <c r="BM158" s="52">
        <f>P158*VLOOKUP($A158,'I | Capex forecast'!$A$11:$AA$160,BM$8,0)</f>
        <v>0</v>
      </c>
      <c r="BN158" s="54">
        <f t="shared" si="129"/>
        <v>0</v>
      </c>
      <c r="BO158" s="53"/>
      <c r="BP158" s="52">
        <f t="shared" si="130"/>
        <v>0</v>
      </c>
      <c r="BQ158" s="52">
        <f t="shared" si="131"/>
        <v>0</v>
      </c>
      <c r="BR158" s="52">
        <f t="shared" si="132"/>
        <v>0</v>
      </c>
      <c r="BS158" s="52">
        <f t="shared" si="133"/>
        <v>0</v>
      </c>
      <c r="BT158" s="52">
        <f t="shared" si="134"/>
        <v>0</v>
      </c>
      <c r="BU158" s="54">
        <f t="shared" si="135"/>
        <v>0</v>
      </c>
      <c r="BW158" s="52">
        <f t="shared" si="136"/>
        <v>0</v>
      </c>
      <c r="BX158" s="52">
        <f t="shared" si="137"/>
        <v>0</v>
      </c>
      <c r="BY158" s="52">
        <f t="shared" si="138"/>
        <v>0</v>
      </c>
      <c r="BZ158" s="52">
        <f t="shared" si="139"/>
        <v>0</v>
      </c>
      <c r="CA158" s="52">
        <f t="shared" si="140"/>
        <v>0</v>
      </c>
      <c r="CB158" s="54">
        <f t="shared" si="141"/>
        <v>0</v>
      </c>
      <c r="CC158" s="53"/>
      <c r="CD158" s="52">
        <f t="shared" si="142"/>
        <v>0</v>
      </c>
      <c r="CE158" s="52">
        <f t="shared" si="143"/>
        <v>0</v>
      </c>
      <c r="CF158" s="52">
        <f t="shared" si="144"/>
        <v>0</v>
      </c>
      <c r="CG158" s="52">
        <f t="shared" si="145"/>
        <v>0</v>
      </c>
      <c r="CH158" s="52">
        <f t="shared" si="146"/>
        <v>0</v>
      </c>
      <c r="CI158" s="54">
        <f t="shared" si="147"/>
        <v>0</v>
      </c>
    </row>
    <row r="159" spans="1:87" x14ac:dyDescent="0.3">
      <c r="A159" s="56">
        <v>149</v>
      </c>
      <c r="B159" s="48" t="str">
        <f>IF('I | Capex forecast'!B159="","",'I | Capex forecast'!B159)</f>
        <v/>
      </c>
      <c r="C159" s="48" t="str">
        <f>IF('I | Capex forecast'!C159="","",'I | Capex forecast'!C159)</f>
        <v/>
      </c>
      <c r="D159" s="48" t="str">
        <f>IF('I | Capex forecast'!D159="","",'I | Capex forecast'!D159)</f>
        <v/>
      </c>
      <c r="E159" s="48" t="str">
        <f>IF('I | Capex forecast'!E159="","",'I | Capex forecast'!E159)</f>
        <v/>
      </c>
      <c r="F159" s="48" t="str">
        <f>IF('I | Capex forecast'!F159="","",'I | Capex forecast'!F159)</f>
        <v/>
      </c>
      <c r="G159" s="48" t="str">
        <f>IF('I | Capex forecast'!G159="","",'I | Capex forecast'!G159)</f>
        <v/>
      </c>
      <c r="H159" s="48" t="str">
        <f>IF('I | Capex forecast'!H159="","",'I | Capex forecast'!H159)</f>
        <v/>
      </c>
      <c r="I159" s="48" t="str">
        <f>IF('I | Capex forecast'!I159="","",'I | Capex forecast'!I159)</f>
        <v/>
      </c>
      <c r="J159" s="48" t="str">
        <f>IF('I | Capex forecast'!J159="","",'I | Capex forecast'!J159)</f>
        <v/>
      </c>
      <c r="K159" s="50"/>
      <c r="L159" s="52">
        <f>IFERROR(VLOOKUP($A159,'I | Capex forecast'!$A$11:$AA$160,L$8,0)*INDEX('I | Inflation'!$F$46:$G$49,MATCH($I159,'I | Inflation'!$E$46:$E$49,0),MATCH($H159,'I | Inflation'!$F$45:$G$45,0)),0)</f>
        <v>0</v>
      </c>
      <c r="M159" s="52">
        <f>IFERROR(VLOOKUP($A159,'I | Capex forecast'!$A$11:$AA$160,M$8,0)*INDEX('I | Inflation'!$F$46:$G$49,MATCH($I159,'I | Inflation'!$E$46:$E$49,0),MATCH($H159,'I | Inflation'!$F$45:$G$45,0)),0)</f>
        <v>0</v>
      </c>
      <c r="N159" s="52">
        <f>IFERROR(VLOOKUP($A159,'I | Capex forecast'!$A$11:$AA$160,N$8,0)*INDEX('I | Inflation'!$F$46:$G$49,MATCH($I159,'I | Inflation'!$E$46:$E$49,0),MATCH($H159,'I | Inflation'!$F$45:$G$45,0)),0)</f>
        <v>0</v>
      </c>
      <c r="O159" s="52">
        <f>IFERROR(VLOOKUP($A159,'I | Capex forecast'!$A$11:$AA$160,O$8,0)*INDEX('I | Inflation'!$F$46:$G$49,MATCH($I159,'I | Inflation'!$E$46:$E$49,0),MATCH($H159,'I | Inflation'!$F$45:$G$45,0)),0)</f>
        <v>0</v>
      </c>
      <c r="P159" s="52">
        <f>IFERROR(VLOOKUP($A159,'I | Capex forecast'!$A$11:$AA$160,P$8,0)*INDEX('I | Inflation'!$F$46:$G$49,MATCH($I159,'I | Inflation'!$E$46:$E$49,0),MATCH($H159,'I | Inflation'!$F$45:$G$45,0)),0)</f>
        <v>0</v>
      </c>
      <c r="Q159" s="54">
        <f t="shared" si="117"/>
        <v>0</v>
      </c>
      <c r="R159" s="53"/>
      <c r="S159" s="226">
        <f>L159*VLOOKUP($A159,'I | Capex forecast'!$A$11:$AA$160,S$8,0)</f>
        <v>0</v>
      </c>
      <c r="T159" s="226">
        <f>M159*VLOOKUP($A159,'I | Capex forecast'!$A$11:$AA$160,T$8,0)</f>
        <v>0</v>
      </c>
      <c r="U159" s="226">
        <f>N159*VLOOKUP($A159,'I | Capex forecast'!$A$11:$AA$160,U$8,0)</f>
        <v>0</v>
      </c>
      <c r="V159" s="226">
        <f>O159*VLOOKUP($A159,'I | Capex forecast'!$A$11:$AA$160,V$8,0)</f>
        <v>0</v>
      </c>
      <c r="W159" s="226">
        <f>P159*VLOOKUP($A159,'I | Capex forecast'!$A$11:$AA$160,W$8,0)</f>
        <v>0</v>
      </c>
      <c r="X159" s="54">
        <f t="shared" si="118"/>
        <v>0</v>
      </c>
      <c r="Y159" s="53"/>
      <c r="Z159" s="52">
        <f>S159*(HLOOKUP(Z$10,'I | Inflation'!$E$57:$J$59,3,0)-1)</f>
        <v>0</v>
      </c>
      <c r="AA159" s="52">
        <f>T159*(HLOOKUP(AA$10,'I | Inflation'!$E$57:$J$59,3,0)-1)</f>
        <v>0</v>
      </c>
      <c r="AB159" s="52">
        <f>U159*(HLOOKUP(AB$10,'I | Inflation'!$E$57:$J$59,3,0)-1)</f>
        <v>0</v>
      </c>
      <c r="AC159" s="52">
        <f>V159*(HLOOKUP(AC$10,'I | Inflation'!$E$57:$J$59,3,0)-1)</f>
        <v>0</v>
      </c>
      <c r="AD159" s="52">
        <f>W159*(HLOOKUP(AD$10,'I | Inflation'!$E$57:$J$59,3,0)-1)</f>
        <v>0</v>
      </c>
      <c r="AE159" s="54">
        <f t="shared" si="119"/>
        <v>0</v>
      </c>
      <c r="AF159" s="53"/>
      <c r="AG159" s="226">
        <f t="shared" si="120"/>
        <v>0</v>
      </c>
      <c r="AH159" s="226">
        <f t="shared" si="121"/>
        <v>0</v>
      </c>
      <c r="AI159" s="226">
        <f t="shared" si="122"/>
        <v>0</v>
      </c>
      <c r="AJ159" s="226">
        <f t="shared" si="123"/>
        <v>0</v>
      </c>
      <c r="AK159" s="226">
        <f t="shared" si="124"/>
        <v>0</v>
      </c>
      <c r="AL159" s="54">
        <f t="shared" si="125"/>
        <v>0</v>
      </c>
      <c r="AM159" s="53"/>
      <c r="AN159" s="52"/>
      <c r="AO159" s="52"/>
      <c r="AP159" s="52"/>
      <c r="AQ159" s="52"/>
      <c r="AR159" s="52"/>
      <c r="AS159" s="54">
        <f t="shared" si="126"/>
        <v>0</v>
      </c>
      <c r="AT159" s="53"/>
      <c r="AU159" s="52"/>
      <c r="AV159" s="52"/>
      <c r="AW159" s="52"/>
      <c r="AX159" s="52"/>
      <c r="AY159" s="52"/>
      <c r="AZ159" s="54">
        <f t="shared" si="127"/>
        <v>0</v>
      </c>
      <c r="BA159" s="53"/>
      <c r="BB159" s="52"/>
      <c r="BC159" s="52"/>
      <c r="BD159" s="52"/>
      <c r="BE159" s="52"/>
      <c r="BF159" s="52"/>
      <c r="BG159" s="54">
        <f t="shared" si="128"/>
        <v>0</v>
      </c>
      <c r="BH159" s="53"/>
      <c r="BI159" s="52">
        <f>L159*VLOOKUP($A159,'I | Capex forecast'!$A$11:$AA$160,BI$8,0)</f>
        <v>0</v>
      </c>
      <c r="BJ159" s="52">
        <f>M159*VLOOKUP($A159,'I | Capex forecast'!$A$11:$AA$160,BJ$8,0)</f>
        <v>0</v>
      </c>
      <c r="BK159" s="52">
        <f>N159*VLOOKUP($A159,'I | Capex forecast'!$A$11:$AA$160,BK$8,0)</f>
        <v>0</v>
      </c>
      <c r="BL159" s="52">
        <f>O159*VLOOKUP($A159,'I | Capex forecast'!$A$11:$AA$160,BL$8,0)</f>
        <v>0</v>
      </c>
      <c r="BM159" s="52">
        <f>P159*VLOOKUP($A159,'I | Capex forecast'!$A$11:$AA$160,BM$8,0)</f>
        <v>0</v>
      </c>
      <c r="BN159" s="54">
        <f t="shared" si="129"/>
        <v>0</v>
      </c>
      <c r="BO159" s="53"/>
      <c r="BP159" s="52">
        <f t="shared" si="130"/>
        <v>0</v>
      </c>
      <c r="BQ159" s="52">
        <f t="shared" si="131"/>
        <v>0</v>
      </c>
      <c r="BR159" s="52">
        <f t="shared" si="132"/>
        <v>0</v>
      </c>
      <c r="BS159" s="52">
        <f t="shared" si="133"/>
        <v>0</v>
      </c>
      <c r="BT159" s="52">
        <f t="shared" si="134"/>
        <v>0</v>
      </c>
      <c r="BU159" s="54">
        <f t="shared" si="135"/>
        <v>0</v>
      </c>
      <c r="BW159" s="52">
        <f t="shared" si="136"/>
        <v>0</v>
      </c>
      <c r="BX159" s="52">
        <f t="shared" si="137"/>
        <v>0</v>
      </c>
      <c r="BY159" s="52">
        <f t="shared" si="138"/>
        <v>0</v>
      </c>
      <c r="BZ159" s="52">
        <f t="shared" si="139"/>
        <v>0</v>
      </c>
      <c r="CA159" s="52">
        <f t="shared" si="140"/>
        <v>0</v>
      </c>
      <c r="CB159" s="54">
        <f t="shared" si="141"/>
        <v>0</v>
      </c>
      <c r="CC159" s="53"/>
      <c r="CD159" s="52">
        <f t="shared" si="142"/>
        <v>0</v>
      </c>
      <c r="CE159" s="52">
        <f t="shared" si="143"/>
        <v>0</v>
      </c>
      <c r="CF159" s="52">
        <f t="shared" si="144"/>
        <v>0</v>
      </c>
      <c r="CG159" s="52">
        <f t="shared" si="145"/>
        <v>0</v>
      </c>
      <c r="CH159" s="52">
        <f t="shared" si="146"/>
        <v>0</v>
      </c>
      <c r="CI159" s="54">
        <f t="shared" si="147"/>
        <v>0</v>
      </c>
    </row>
    <row r="160" spans="1:87" x14ac:dyDescent="0.3">
      <c r="A160" s="56">
        <v>150</v>
      </c>
      <c r="B160" s="48" t="str">
        <f>IF('I | Capex forecast'!B160="","",'I | Capex forecast'!B160)</f>
        <v/>
      </c>
      <c r="C160" s="48" t="str">
        <f>IF('I | Capex forecast'!C160="","",'I | Capex forecast'!C160)</f>
        <v/>
      </c>
      <c r="D160" s="48" t="str">
        <f>IF('I | Capex forecast'!D160="","",'I | Capex forecast'!D160)</f>
        <v/>
      </c>
      <c r="E160" s="48" t="str">
        <f>IF('I | Capex forecast'!E160="","",'I | Capex forecast'!E160)</f>
        <v/>
      </c>
      <c r="F160" s="48" t="str">
        <f>IF('I | Capex forecast'!F160="","",'I | Capex forecast'!F160)</f>
        <v/>
      </c>
      <c r="G160" s="48" t="str">
        <f>IF('I | Capex forecast'!G160="","",'I | Capex forecast'!G160)</f>
        <v/>
      </c>
      <c r="H160" s="48" t="str">
        <f>IF('I | Capex forecast'!H160="","",'I | Capex forecast'!H160)</f>
        <v/>
      </c>
      <c r="I160" s="48" t="str">
        <f>IF('I | Capex forecast'!I160="","",'I | Capex forecast'!I160)</f>
        <v/>
      </c>
      <c r="J160" s="48" t="str">
        <f>IF('I | Capex forecast'!J160="","",'I | Capex forecast'!J160)</f>
        <v/>
      </c>
      <c r="K160" s="50"/>
      <c r="L160" s="52">
        <f>IFERROR(VLOOKUP($A160,'I | Capex forecast'!$A$11:$AA$160,L$8,0)*INDEX('I | Inflation'!$F$46:$G$49,MATCH($I160,'I | Inflation'!$E$46:$E$49,0),MATCH($H160,'I | Inflation'!$F$45:$G$45,0)),0)</f>
        <v>0</v>
      </c>
      <c r="M160" s="52">
        <f>IFERROR(VLOOKUP($A160,'I | Capex forecast'!$A$11:$AA$160,M$8,0)*INDEX('I | Inflation'!$F$46:$G$49,MATCH($I160,'I | Inflation'!$E$46:$E$49,0),MATCH($H160,'I | Inflation'!$F$45:$G$45,0)),0)</f>
        <v>0</v>
      </c>
      <c r="N160" s="52">
        <f>IFERROR(VLOOKUP($A160,'I | Capex forecast'!$A$11:$AA$160,N$8,0)*INDEX('I | Inflation'!$F$46:$G$49,MATCH($I160,'I | Inflation'!$E$46:$E$49,0),MATCH($H160,'I | Inflation'!$F$45:$G$45,0)),0)</f>
        <v>0</v>
      </c>
      <c r="O160" s="52">
        <f>IFERROR(VLOOKUP($A160,'I | Capex forecast'!$A$11:$AA$160,O$8,0)*INDEX('I | Inflation'!$F$46:$G$49,MATCH($I160,'I | Inflation'!$E$46:$E$49,0),MATCH($H160,'I | Inflation'!$F$45:$G$45,0)),0)</f>
        <v>0</v>
      </c>
      <c r="P160" s="52">
        <f>IFERROR(VLOOKUP($A160,'I | Capex forecast'!$A$11:$AA$160,P$8,0)*INDEX('I | Inflation'!$F$46:$G$49,MATCH($I160,'I | Inflation'!$E$46:$E$49,0),MATCH($H160,'I | Inflation'!$F$45:$G$45,0)),0)</f>
        <v>0</v>
      </c>
      <c r="Q160" s="54">
        <f t="shared" si="117"/>
        <v>0</v>
      </c>
      <c r="R160" s="53"/>
      <c r="S160" s="226">
        <f>L160*VLOOKUP($A160,'I | Capex forecast'!$A$11:$AA$160,S$8,0)</f>
        <v>0</v>
      </c>
      <c r="T160" s="226">
        <f>M160*VLOOKUP($A160,'I | Capex forecast'!$A$11:$AA$160,T$8,0)</f>
        <v>0</v>
      </c>
      <c r="U160" s="226">
        <f>N160*VLOOKUP($A160,'I | Capex forecast'!$A$11:$AA$160,U$8,0)</f>
        <v>0</v>
      </c>
      <c r="V160" s="226">
        <f>O160*VLOOKUP($A160,'I | Capex forecast'!$A$11:$AA$160,V$8,0)</f>
        <v>0</v>
      </c>
      <c r="W160" s="226">
        <f>P160*VLOOKUP($A160,'I | Capex forecast'!$A$11:$AA$160,W$8,0)</f>
        <v>0</v>
      </c>
      <c r="X160" s="54">
        <f t="shared" si="118"/>
        <v>0</v>
      </c>
      <c r="Y160" s="53"/>
      <c r="Z160" s="52">
        <f>S160*(HLOOKUP(Z$10,'I | Inflation'!$E$57:$J$59,3,0)-1)</f>
        <v>0</v>
      </c>
      <c r="AA160" s="52">
        <f>T160*(HLOOKUP(AA$10,'I | Inflation'!$E$57:$J$59,3,0)-1)</f>
        <v>0</v>
      </c>
      <c r="AB160" s="52">
        <f>U160*(HLOOKUP(AB$10,'I | Inflation'!$E$57:$J$59,3,0)-1)</f>
        <v>0</v>
      </c>
      <c r="AC160" s="52">
        <f>V160*(HLOOKUP(AC$10,'I | Inflation'!$E$57:$J$59,3,0)-1)</f>
        <v>0</v>
      </c>
      <c r="AD160" s="52">
        <f>W160*(HLOOKUP(AD$10,'I | Inflation'!$E$57:$J$59,3,0)-1)</f>
        <v>0</v>
      </c>
      <c r="AE160" s="54">
        <f t="shared" si="119"/>
        <v>0</v>
      </c>
      <c r="AF160" s="53"/>
      <c r="AG160" s="226">
        <f t="shared" si="120"/>
        <v>0</v>
      </c>
      <c r="AH160" s="226">
        <f t="shared" si="121"/>
        <v>0</v>
      </c>
      <c r="AI160" s="226">
        <f t="shared" si="122"/>
        <v>0</v>
      </c>
      <c r="AJ160" s="226">
        <f t="shared" si="123"/>
        <v>0</v>
      </c>
      <c r="AK160" s="226">
        <f t="shared" si="124"/>
        <v>0</v>
      </c>
      <c r="AL160" s="54">
        <f t="shared" si="125"/>
        <v>0</v>
      </c>
      <c r="AM160" s="53"/>
      <c r="AN160" s="52"/>
      <c r="AO160" s="52"/>
      <c r="AP160" s="52"/>
      <c r="AQ160" s="52"/>
      <c r="AR160" s="52"/>
      <c r="AS160" s="54">
        <f t="shared" si="126"/>
        <v>0</v>
      </c>
      <c r="AT160" s="53"/>
      <c r="AU160" s="52"/>
      <c r="AV160" s="52"/>
      <c r="AW160" s="52"/>
      <c r="AX160" s="52"/>
      <c r="AY160" s="52"/>
      <c r="AZ160" s="54">
        <f t="shared" si="127"/>
        <v>0</v>
      </c>
      <c r="BA160" s="53"/>
      <c r="BB160" s="52"/>
      <c r="BC160" s="52"/>
      <c r="BD160" s="52"/>
      <c r="BE160" s="52"/>
      <c r="BF160" s="52"/>
      <c r="BG160" s="54">
        <f t="shared" si="128"/>
        <v>0</v>
      </c>
      <c r="BH160" s="53"/>
      <c r="BI160" s="52">
        <f>L160*VLOOKUP($A160,'I | Capex forecast'!$A$11:$AA$160,BI$8,0)</f>
        <v>0</v>
      </c>
      <c r="BJ160" s="52">
        <f>M160*VLOOKUP($A160,'I | Capex forecast'!$A$11:$AA$160,BJ$8,0)</f>
        <v>0</v>
      </c>
      <c r="BK160" s="52">
        <f>N160*VLOOKUP($A160,'I | Capex forecast'!$A$11:$AA$160,BK$8,0)</f>
        <v>0</v>
      </c>
      <c r="BL160" s="52">
        <f>O160*VLOOKUP($A160,'I | Capex forecast'!$A$11:$AA$160,BL$8,0)</f>
        <v>0</v>
      </c>
      <c r="BM160" s="52">
        <f>P160*VLOOKUP($A160,'I | Capex forecast'!$A$11:$AA$160,BM$8,0)</f>
        <v>0</v>
      </c>
      <c r="BN160" s="54">
        <f t="shared" si="129"/>
        <v>0</v>
      </c>
      <c r="BO160" s="53"/>
      <c r="BP160" s="52">
        <f t="shared" si="130"/>
        <v>0</v>
      </c>
      <c r="BQ160" s="52">
        <f t="shared" si="131"/>
        <v>0</v>
      </c>
      <c r="BR160" s="52">
        <f t="shared" si="132"/>
        <v>0</v>
      </c>
      <c r="BS160" s="52">
        <f t="shared" si="133"/>
        <v>0</v>
      </c>
      <c r="BT160" s="52">
        <f t="shared" si="134"/>
        <v>0</v>
      </c>
      <c r="BU160" s="54">
        <f t="shared" si="135"/>
        <v>0</v>
      </c>
      <c r="BW160" s="52">
        <f t="shared" si="136"/>
        <v>0</v>
      </c>
      <c r="BX160" s="52">
        <f t="shared" si="137"/>
        <v>0</v>
      </c>
      <c r="BY160" s="52">
        <f t="shared" si="138"/>
        <v>0</v>
      </c>
      <c r="BZ160" s="52">
        <f t="shared" si="139"/>
        <v>0</v>
      </c>
      <c r="CA160" s="52">
        <f t="shared" si="140"/>
        <v>0</v>
      </c>
      <c r="CB160" s="54">
        <f t="shared" si="141"/>
        <v>0</v>
      </c>
      <c r="CC160" s="53"/>
      <c r="CD160" s="52">
        <f t="shared" si="142"/>
        <v>0</v>
      </c>
      <c r="CE160" s="52">
        <f t="shared" si="143"/>
        <v>0</v>
      </c>
      <c r="CF160" s="52">
        <f t="shared" si="144"/>
        <v>0</v>
      </c>
      <c r="CG160" s="52">
        <f t="shared" si="145"/>
        <v>0</v>
      </c>
      <c r="CH160" s="52">
        <f t="shared" si="146"/>
        <v>0</v>
      </c>
      <c r="CI160" s="54">
        <f t="shared" si="147"/>
        <v>0</v>
      </c>
    </row>
    <row r="161" spans="1:87" x14ac:dyDescent="0.3">
      <c r="A161" s="13"/>
      <c r="B161" s="10" t="s">
        <v>26</v>
      </c>
      <c r="C161" s="10"/>
      <c r="D161" s="10"/>
      <c r="E161" s="10"/>
      <c r="F161" s="12"/>
      <c r="G161" s="12"/>
      <c r="H161" s="12"/>
      <c r="I161" s="12"/>
      <c r="J161" s="12"/>
      <c r="K161" s="19"/>
      <c r="L161" s="20">
        <f t="shared" ref="L161:Q161" si="148">SUM(L11:L160)</f>
        <v>24405944.120066125</v>
      </c>
      <c r="M161" s="20">
        <f t="shared" si="148"/>
        <v>18236786.238249324</v>
      </c>
      <c r="N161" s="20">
        <f t="shared" si="148"/>
        <v>13177163.684985001</v>
      </c>
      <c r="O161" s="20">
        <f t="shared" si="148"/>
        <v>14334684.940993892</v>
      </c>
      <c r="P161" s="20">
        <f t="shared" si="148"/>
        <v>9698893.4025781658</v>
      </c>
      <c r="Q161" s="20">
        <f t="shared" si="148"/>
        <v>79853472.386872515</v>
      </c>
      <c r="S161" s="20">
        <f t="shared" ref="S161:X161" si="149">SUM(S11:S160)</f>
        <v>8802503.9154261742</v>
      </c>
      <c r="T161" s="20">
        <f t="shared" si="149"/>
        <v>6431929.8021346638</v>
      </c>
      <c r="U161" s="20">
        <f t="shared" si="149"/>
        <v>4537322.1696375841</v>
      </c>
      <c r="V161" s="20">
        <f t="shared" si="149"/>
        <v>5190547.3112889808</v>
      </c>
      <c r="W161" s="20">
        <f t="shared" si="149"/>
        <v>3197895.0746556767</v>
      </c>
      <c r="X161" s="20">
        <f t="shared" si="149"/>
        <v>28160198.273143075</v>
      </c>
      <c r="Z161" s="20">
        <f t="shared" ref="Z161:AL161" si="150">SUM(Z11:Z160)</f>
        <v>120210.4495004302</v>
      </c>
      <c r="AA161" s="20">
        <f t="shared" si="150"/>
        <v>121276.45762006284</v>
      </c>
      <c r="AB161" s="20">
        <f t="shared" si="150"/>
        <v>124870.42352396651</v>
      </c>
      <c r="AC161" s="20">
        <f t="shared" si="150"/>
        <v>203628.6440941976</v>
      </c>
      <c r="AD161" s="20">
        <f t="shared" si="150"/>
        <v>148156.86328257262</v>
      </c>
      <c r="AE161" s="20">
        <f t="shared" si="150"/>
        <v>718142.83802123007</v>
      </c>
      <c r="AG161" s="20">
        <f t="shared" si="150"/>
        <v>8922714.3649266064</v>
      </c>
      <c r="AH161" s="20">
        <f t="shared" si="150"/>
        <v>6553206.2597547276</v>
      </c>
      <c r="AI161" s="20">
        <f t="shared" si="150"/>
        <v>4662192.5931615504</v>
      </c>
      <c r="AJ161" s="20">
        <f t="shared" si="150"/>
        <v>5394175.9553831788</v>
      </c>
      <c r="AK161" s="20">
        <f t="shared" si="150"/>
        <v>3346051.9379382501</v>
      </c>
      <c r="AL161" s="20">
        <f t="shared" si="150"/>
        <v>28878341.111164313</v>
      </c>
      <c r="AN161" s="20">
        <f t="shared" ref="AN161:AS161" si="151">SUM(AN11:AN160)</f>
        <v>0</v>
      </c>
      <c r="AO161" s="20">
        <f t="shared" si="151"/>
        <v>0</v>
      </c>
      <c r="AP161" s="20">
        <f t="shared" si="151"/>
        <v>0</v>
      </c>
      <c r="AQ161" s="20">
        <f t="shared" si="151"/>
        <v>0</v>
      </c>
      <c r="AR161" s="20">
        <f t="shared" si="151"/>
        <v>0</v>
      </c>
      <c r="AS161" s="20">
        <f t="shared" si="151"/>
        <v>0</v>
      </c>
      <c r="AU161" s="20">
        <f t="shared" ref="AU161:AZ161" si="152">SUM(AU11:AU160)</f>
        <v>0</v>
      </c>
      <c r="AV161" s="20">
        <f t="shared" si="152"/>
        <v>0</v>
      </c>
      <c r="AW161" s="20">
        <f t="shared" si="152"/>
        <v>0</v>
      </c>
      <c r="AX161" s="20">
        <f t="shared" si="152"/>
        <v>0</v>
      </c>
      <c r="AY161" s="20">
        <f t="shared" si="152"/>
        <v>0</v>
      </c>
      <c r="AZ161" s="20">
        <f t="shared" si="152"/>
        <v>0</v>
      </c>
      <c r="BB161" s="20">
        <f t="shared" ref="BB161:BG161" si="153">SUM(BB11:BB160)</f>
        <v>0</v>
      </c>
      <c r="BC161" s="20">
        <f t="shared" si="153"/>
        <v>0</v>
      </c>
      <c r="BD161" s="20">
        <f t="shared" si="153"/>
        <v>0</v>
      </c>
      <c r="BE161" s="20">
        <f t="shared" si="153"/>
        <v>0</v>
      </c>
      <c r="BF161" s="20">
        <f t="shared" si="153"/>
        <v>0</v>
      </c>
      <c r="BG161" s="20">
        <f t="shared" si="153"/>
        <v>0</v>
      </c>
      <c r="BI161" s="20">
        <f t="shared" ref="BI161:BN161" si="154">SUM(BI11:BI160)</f>
        <v>2196534.9708059514</v>
      </c>
      <c r="BJ161" s="20">
        <f t="shared" si="154"/>
        <v>1641310.7614424389</v>
      </c>
      <c r="BK161" s="20">
        <f t="shared" si="154"/>
        <v>1185944.7316486498</v>
      </c>
      <c r="BL161" s="20">
        <f t="shared" si="154"/>
        <v>1290121.6446894503</v>
      </c>
      <c r="BM161" s="20">
        <f t="shared" si="154"/>
        <v>872900.4062320349</v>
      </c>
      <c r="BN161" s="20">
        <f t="shared" si="154"/>
        <v>7186812.5148185287</v>
      </c>
      <c r="BP161" s="20">
        <f t="shared" ref="BP161:BU161" si="155">SUM(BP11:BP160)</f>
        <v>26722689.540372513</v>
      </c>
      <c r="BQ161" s="20">
        <f t="shared" si="155"/>
        <v>19999373.457311831</v>
      </c>
      <c r="BR161" s="20">
        <f t="shared" si="155"/>
        <v>14487978.840157619</v>
      </c>
      <c r="BS161" s="20">
        <f t="shared" si="155"/>
        <v>15828435.229777545</v>
      </c>
      <c r="BT161" s="20">
        <f t="shared" si="155"/>
        <v>10719950.672092775</v>
      </c>
      <c r="BU161" s="20">
        <f t="shared" si="155"/>
        <v>87758427.739712268</v>
      </c>
      <c r="BW161" s="20">
        <f t="shared" ref="BW161:CB161" si="156">SUM(BW11:BW160)</f>
        <v>26722689.540372513</v>
      </c>
      <c r="BX161" s="20">
        <f t="shared" si="156"/>
        <v>19999373.457311831</v>
      </c>
      <c r="BY161" s="20">
        <f t="shared" si="156"/>
        <v>14487978.840157619</v>
      </c>
      <c r="BZ161" s="20">
        <f t="shared" si="156"/>
        <v>15828435.229777545</v>
      </c>
      <c r="CA161" s="20">
        <f t="shared" si="156"/>
        <v>10719950.672092775</v>
      </c>
      <c r="CB161" s="20">
        <f t="shared" si="156"/>
        <v>87758427.739712268</v>
      </c>
      <c r="CD161" s="20">
        <f t="shared" ref="CD161:CI161" si="157">SUM(CD11:CD160)</f>
        <v>1264193.8210101479</v>
      </c>
      <c r="CE161" s="20">
        <f t="shared" si="157"/>
        <v>1264193.8210101479</v>
      </c>
      <c r="CF161" s="20">
        <f t="shared" si="157"/>
        <v>1264193.8210101479</v>
      </c>
      <c r="CG161" s="20">
        <f t="shared" si="157"/>
        <v>1380550.9243160803</v>
      </c>
      <c r="CH161" s="20">
        <f t="shared" si="157"/>
        <v>1380838.144771551</v>
      </c>
      <c r="CI161" s="20">
        <f t="shared" si="157"/>
        <v>6553970.5321180765</v>
      </c>
    </row>
    <row r="163" spans="1:87" s="42" customFormat="1" x14ac:dyDescent="0.3">
      <c r="H163" s="43"/>
      <c r="I163" s="43"/>
      <c r="J163" s="43"/>
      <c r="L163" s="45"/>
      <c r="M163" s="45"/>
      <c r="N163" s="45"/>
      <c r="O163" s="45"/>
      <c r="P163" s="45"/>
      <c r="Q163" s="45"/>
      <c r="S163" s="45"/>
      <c r="T163" s="45"/>
      <c r="U163" s="45"/>
      <c r="V163" s="45"/>
      <c r="W163" s="45"/>
      <c r="X163" s="45"/>
    </row>
    <row r="164" spans="1:87" s="42" customFormat="1" x14ac:dyDescent="0.3">
      <c r="H164" s="43"/>
      <c r="I164" s="43"/>
      <c r="J164" s="43"/>
      <c r="L164" s="46"/>
      <c r="M164" s="46"/>
    </row>
  </sheetData>
  <autoFilter ref="A10:CI161" xr:uid="{16446278-A626-41E8-9C71-CD530FCE4559}"/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EE1ED-7A47-4097-8E2D-F4F4F424F8B6}">
  <sheetPr>
    <tabColor theme="4"/>
  </sheetPr>
  <dimension ref="A1:L71"/>
  <sheetViews>
    <sheetView showGridLines="0" zoomScale="160" zoomScaleNormal="160" workbookViewId="0">
      <pane ySplit="9" topLeftCell="A10" activePane="bottomLeft" state="frozen"/>
      <selection pane="bottomLeft" activeCell="O14" sqref="O11:O14"/>
    </sheetView>
  </sheetViews>
  <sheetFormatPr defaultColWidth="8.625" defaultRowHeight="16.5" x14ac:dyDescent="0.3"/>
  <cols>
    <col min="1" max="1" width="2.75" style="2" customWidth="1"/>
    <col min="2" max="2" width="49.125" style="3" bestFit="1" customWidth="1"/>
    <col min="3" max="4" width="12.625" style="2" customWidth="1"/>
    <col min="5" max="7" width="12.625" style="5" customWidth="1"/>
    <col min="8" max="8" width="12.625" style="3" customWidth="1"/>
    <col min="9" max="9" width="9.875" style="2" customWidth="1"/>
    <col min="10" max="16384" width="8.625" style="2"/>
  </cols>
  <sheetData>
    <row r="1" spans="1:11" x14ac:dyDescent="0.3">
      <c r="K1" s="2" t="s">
        <v>199</v>
      </c>
    </row>
    <row r="2" spans="1:11" x14ac:dyDescent="0.3">
      <c r="K2" s="3" t="str">
        <f>IF(COUNTIF($K$10:$N$99,"ERROR")&gt;0,"ERROR","OK")</f>
        <v>OK</v>
      </c>
    </row>
    <row r="6" spans="1:11" s="24" customFormat="1" ht="18.75" x14ac:dyDescent="0.3">
      <c r="A6" s="27" t="s">
        <v>48</v>
      </c>
      <c r="D6" s="40"/>
      <c r="E6" s="25"/>
      <c r="F6" s="25"/>
      <c r="G6" s="25"/>
      <c r="H6" s="26"/>
    </row>
    <row r="7" spans="1:11" s="24" customFormat="1" ht="18.75" x14ac:dyDescent="0.3">
      <c r="A7" s="23" t="s">
        <v>38</v>
      </c>
      <c r="E7" s="25"/>
      <c r="F7" s="25"/>
      <c r="G7" s="25"/>
      <c r="H7" s="26"/>
    </row>
    <row r="8" spans="1:11" x14ac:dyDescent="0.3">
      <c r="A8" s="18"/>
    </row>
    <row r="9" spans="1:11" ht="18.75" x14ac:dyDescent="0.3">
      <c r="A9" s="8" t="s">
        <v>200</v>
      </c>
      <c r="B9" s="8"/>
      <c r="C9" s="15"/>
      <c r="D9" s="15"/>
      <c r="E9" s="16"/>
      <c r="F9" s="16"/>
      <c r="G9" s="16"/>
      <c r="H9" s="17"/>
      <c r="I9" s="17"/>
    </row>
    <row r="11" spans="1:11" x14ac:dyDescent="0.3">
      <c r="A11" s="13"/>
      <c r="B11" s="11" t="s">
        <v>39</v>
      </c>
      <c r="C11" s="102" t="s">
        <v>57</v>
      </c>
      <c r="D11" s="102" t="s">
        <v>56</v>
      </c>
      <c r="E11" s="102" t="s">
        <v>55</v>
      </c>
      <c r="F11" s="102" t="s">
        <v>54</v>
      </c>
      <c r="G11" s="103" t="s">
        <v>120</v>
      </c>
      <c r="H11" s="103" t="s">
        <v>119</v>
      </c>
      <c r="I11" s="102" t="s">
        <v>36</v>
      </c>
    </row>
    <row r="12" spans="1:11" x14ac:dyDescent="0.3">
      <c r="A12" s="31"/>
      <c r="B12" s="31" t="str">
        <f>Mapping!A2</f>
        <v>Pipelines</v>
      </c>
      <c r="C12" s="34">
        <f>SUMIFS(INDEX('I | Historic capex'!$I$11:$L$160,, MATCH('O | RFM inputs'!C$11, 'I | Historic capex'!$I$10:$L$10, 0)), 'I | Historic capex'!$E$11:$E$160, 'O | RFM inputs'!$B12 )/10^6</f>
        <v>6.5112119699999997</v>
      </c>
      <c r="D12" s="34">
        <f>SUMIFS(INDEX('I | Historic capex'!$I$11:$L$160,, MATCH('O | RFM inputs'!D$11, 'I | Historic capex'!$I$10:$L$10, 0)), 'I | Historic capex'!$E$11:$E$160, 'O | RFM inputs'!$B12 )/10^6</f>
        <v>8.3708548199999981</v>
      </c>
      <c r="E12" s="34">
        <f>SUMIFS(INDEX('I | Historic capex'!$I$11:$L$160,, MATCH('O | RFM inputs'!E$11, 'I | Historic capex'!$I$10:$L$10, 0)), 'I | Historic capex'!$E$11:$E$160, 'O | RFM inputs'!$B12 )/10^6</f>
        <v>10.47018901</v>
      </c>
      <c r="F12" s="34">
        <f>SUMIFS(INDEX('I | Historic capex'!$I$11:$L$160,, MATCH('O | RFM inputs'!F$11, 'I | Historic capex'!$I$10:$L$10, 0)), 'I | Historic capex'!$E$11:$E$160, 'O | RFM inputs'!$B12 )/10^6</f>
        <v>6.7062596799999996</v>
      </c>
      <c r="G12" s="122">
        <f>SUMIF('C | RFM escalation'!$E$11:$E$160,$B12,'C | RFM escalation'!AC$11:AC$160)/10^6</f>
        <v>5.1041386399999995</v>
      </c>
      <c r="H12" s="122">
        <f>SUMIF('C | RFM escalation'!$E$11:$E$160,$B12,'C | RFM escalation'!AD$11:AD$160)/10^6</f>
        <v>13.933729329312001</v>
      </c>
      <c r="I12" s="124">
        <f>SUM(D12:H12)</f>
        <v>44.585171479311995</v>
      </c>
    </row>
    <row r="13" spans="1:11" x14ac:dyDescent="0.3">
      <c r="A13" s="31"/>
      <c r="B13" s="31" t="str">
        <f>Mapping!A3</f>
        <v>Compressors</v>
      </c>
      <c r="C13" s="34">
        <f>SUMIFS(INDEX('I | Historic capex'!$I$11:$L$160,, MATCH('O | RFM inputs'!C$11, 'I | Historic capex'!$I$10:$L$10, 0)), 'I | Historic capex'!$E$11:$E$160, 'O | RFM inputs'!$B13 )/10^6</f>
        <v>1.34167155</v>
      </c>
      <c r="D13" s="34">
        <f>SUMIFS(INDEX('I | Historic capex'!$I$11:$L$160,, MATCH('O | RFM inputs'!D$11, 'I | Historic capex'!$I$10:$L$10, 0)), 'I | Historic capex'!$E$11:$E$160, 'O | RFM inputs'!$B13 )/10^6</f>
        <v>0.15473227000000001</v>
      </c>
      <c r="E13" s="34">
        <f>SUMIFS(INDEX('I | Historic capex'!$I$11:$L$160,, MATCH('O | RFM inputs'!E$11, 'I | Historic capex'!$I$10:$L$10, 0)), 'I | Historic capex'!$E$11:$E$160, 'O | RFM inputs'!$B13 )/10^6</f>
        <v>0.14853204000000003</v>
      </c>
      <c r="F13" s="34">
        <f>SUMIFS(INDEX('I | Historic capex'!$I$11:$L$160,, MATCH('O | RFM inputs'!F$11, 'I | Historic capex'!$I$10:$L$10, 0)), 'I | Historic capex'!$E$11:$E$160, 'O | RFM inputs'!$B13 )/10^6</f>
        <v>0.31094674</v>
      </c>
      <c r="G13" s="122">
        <f>SUMIF('C | RFM escalation'!$E$11:$E$160,$B13,'C | RFM escalation'!AC$11:AC$160)/10^6</f>
        <v>0</v>
      </c>
      <c r="H13" s="122">
        <f>SUMIF('C | RFM escalation'!$E$11:$E$160,$B13,'C | RFM escalation'!AD$11:AD$160)/10^6</f>
        <v>0</v>
      </c>
      <c r="I13" s="124">
        <f t="shared" ref="I13:I19" si="0">SUM(D13:H13)</f>
        <v>0.61421104999999998</v>
      </c>
    </row>
    <row r="14" spans="1:11" x14ac:dyDescent="0.3">
      <c r="A14" s="31"/>
      <c r="B14" s="31" t="str">
        <f>Mapping!A4</f>
        <v>Regulators and meters</v>
      </c>
      <c r="C14" s="34">
        <f>SUMIFS(INDEX('I | Historic capex'!$I$11:$L$160,, MATCH('O | RFM inputs'!C$11, 'I | Historic capex'!$I$10:$L$10, 0)), 'I | Historic capex'!$E$11:$E$160, 'O | RFM inputs'!$B14 )/10^6</f>
        <v>0.15926660999999998</v>
      </c>
      <c r="D14" s="34">
        <f>SUMIFS(INDEX('I | Historic capex'!$I$11:$L$160,, MATCH('O | RFM inputs'!D$11, 'I | Historic capex'!$I$10:$L$10, 0)), 'I | Historic capex'!$E$11:$E$160, 'O | RFM inputs'!$B14 )/10^6</f>
        <v>0</v>
      </c>
      <c r="E14" s="34">
        <f>SUMIFS(INDEX('I | Historic capex'!$I$11:$L$160,, MATCH('O | RFM inputs'!E$11, 'I | Historic capex'!$I$10:$L$10, 0)), 'I | Historic capex'!$E$11:$E$160, 'O | RFM inputs'!$B14 )/10^6</f>
        <v>1.6349999999999999E-4</v>
      </c>
      <c r="F14" s="34">
        <f>SUMIFS(INDEX('I | Historic capex'!$I$11:$L$160,, MATCH('O | RFM inputs'!F$11, 'I | Historic capex'!$I$10:$L$10, 0)), 'I | Historic capex'!$E$11:$E$160, 'O | RFM inputs'!$B14 )/10^6</f>
        <v>0</v>
      </c>
      <c r="G14" s="122">
        <f>SUMIF('C | RFM escalation'!$E$11:$E$160,$B14,'C | RFM escalation'!AC$11:AC$160)/10^6</f>
        <v>0.59688399999999997</v>
      </c>
      <c r="H14" s="122">
        <f>SUMIF('C | RFM escalation'!$E$11:$E$160,$B14,'C | RFM escalation'!AD$11:AD$160)/10^6</f>
        <v>0</v>
      </c>
      <c r="I14" s="124">
        <f t="shared" si="0"/>
        <v>0.59704749999999995</v>
      </c>
    </row>
    <row r="15" spans="1:11" x14ac:dyDescent="0.3">
      <c r="A15" s="31"/>
      <c r="B15" s="31" t="str">
        <f>Mapping!A5</f>
        <v>Easements</v>
      </c>
      <c r="C15" s="34">
        <f>SUMIFS(INDEX('I | Historic capex'!$I$11:$L$160,, MATCH('O | RFM inputs'!C$11, 'I | Historic capex'!$I$10:$L$10, 0)), 'I | Historic capex'!$E$11:$E$160, 'O | RFM inputs'!$B15 )/10^6</f>
        <v>0</v>
      </c>
      <c r="D15" s="34">
        <f>SUMIFS(INDEX('I | Historic capex'!$I$11:$L$160,, MATCH('O | RFM inputs'!D$11, 'I | Historic capex'!$I$10:$L$10, 0)), 'I | Historic capex'!$E$11:$E$160, 'O | RFM inputs'!$B15 )/10^6</f>
        <v>0</v>
      </c>
      <c r="E15" s="34">
        <f>SUMIFS(INDEX('I | Historic capex'!$I$11:$L$160,, MATCH('O | RFM inputs'!E$11, 'I | Historic capex'!$I$10:$L$10, 0)), 'I | Historic capex'!$E$11:$E$160, 'O | RFM inputs'!$B15 )/10^6</f>
        <v>0</v>
      </c>
      <c r="F15" s="34">
        <f>SUMIFS(INDEX('I | Historic capex'!$I$11:$L$160,, MATCH('O | RFM inputs'!F$11, 'I | Historic capex'!$I$10:$L$10, 0)), 'I | Historic capex'!$E$11:$E$160, 'O | RFM inputs'!$B15 )/10^6</f>
        <v>0</v>
      </c>
      <c r="G15" s="122">
        <f>SUMIF('C | RFM escalation'!$E$11:$E$160,$B15,'C | RFM escalation'!AC$11:AC$160)/10^6</f>
        <v>0</v>
      </c>
      <c r="H15" s="122">
        <f>SUMIF('C | RFM escalation'!$E$11:$E$160,$B15,'C | RFM escalation'!AD$11:AD$160)/10^6</f>
        <v>0</v>
      </c>
      <c r="I15" s="124">
        <f t="shared" si="0"/>
        <v>0</v>
      </c>
    </row>
    <row r="16" spans="1:11" x14ac:dyDescent="0.3">
      <c r="A16" s="31"/>
      <c r="B16" s="31" t="str">
        <f>Mapping!A6</f>
        <v>Communications</v>
      </c>
      <c r="C16" s="34">
        <f>SUMIFS(INDEX('I | Historic capex'!$I$11:$L$160,, MATCH('O | RFM inputs'!C$11, 'I | Historic capex'!$I$10:$L$10, 0)), 'I | Historic capex'!$E$11:$E$160, 'O | RFM inputs'!$B16 )/10^6</f>
        <v>0</v>
      </c>
      <c r="D16" s="34">
        <f>SUMIFS(INDEX('I | Historic capex'!$I$11:$L$160,, MATCH('O | RFM inputs'!D$11, 'I | Historic capex'!$I$10:$L$10, 0)), 'I | Historic capex'!$E$11:$E$160, 'O | RFM inputs'!$B16 )/10^6</f>
        <v>0</v>
      </c>
      <c r="E16" s="34">
        <f>SUMIFS(INDEX('I | Historic capex'!$I$11:$L$160,, MATCH('O | RFM inputs'!E$11, 'I | Historic capex'!$I$10:$L$10, 0)), 'I | Historic capex'!$E$11:$E$160, 'O | RFM inputs'!$B16 )/10^6</f>
        <v>0</v>
      </c>
      <c r="F16" s="34">
        <f>SUMIFS(INDEX('I | Historic capex'!$I$11:$L$160,, MATCH('O | RFM inputs'!F$11, 'I | Historic capex'!$I$10:$L$10, 0)), 'I | Historic capex'!$E$11:$E$160, 'O | RFM inputs'!$B16 )/10^6</f>
        <v>0</v>
      </c>
      <c r="G16" s="122">
        <f>SUMIF('C | RFM escalation'!$E$11:$E$160,$B16,'C | RFM escalation'!AC$11:AC$160)/10^6</f>
        <v>0</v>
      </c>
      <c r="H16" s="122">
        <f>SUMIF('C | RFM escalation'!$E$11:$E$160,$B16,'C | RFM escalation'!AD$11:AD$160)/10^6</f>
        <v>0</v>
      </c>
      <c r="I16" s="124">
        <f t="shared" si="0"/>
        <v>0</v>
      </c>
    </row>
    <row r="17" spans="1:12" x14ac:dyDescent="0.3">
      <c r="A17" s="31"/>
      <c r="B17" s="31" t="str">
        <f>Mapping!A7</f>
        <v>Capitalised AA costs</v>
      </c>
      <c r="C17" s="34">
        <f>SUMIFS(INDEX('I | Historic capex'!$I$11:$L$160,, MATCH('O | RFM inputs'!C$11, 'I | Historic capex'!$I$10:$L$10, 0)), 'I | Historic capex'!$E$11:$E$160, 'O | RFM inputs'!$B17 )/10^6</f>
        <v>0.25598072999999999</v>
      </c>
      <c r="D17" s="34">
        <f>SUMIFS(INDEX('I | Historic capex'!$I$11:$L$160,, MATCH('O | RFM inputs'!D$11, 'I | Historic capex'!$I$10:$L$10, 0)), 'I | Historic capex'!$E$11:$E$160, 'O | RFM inputs'!$B17 )/10^6</f>
        <v>2.0015000000000002E-2</v>
      </c>
      <c r="E17" s="34">
        <f>SUMIFS(INDEX('I | Historic capex'!$I$11:$L$160,, MATCH('O | RFM inputs'!E$11, 'I | Historic capex'!$I$10:$L$10, 0)), 'I | Historic capex'!$E$11:$E$160, 'O | RFM inputs'!$B17 )/10^6</f>
        <v>0</v>
      </c>
      <c r="F17" s="34">
        <f>SUMIFS(INDEX('I | Historic capex'!$I$11:$L$160,, MATCH('O | RFM inputs'!F$11, 'I | Historic capex'!$I$10:$L$10, 0)), 'I | Historic capex'!$E$11:$E$160, 'O | RFM inputs'!$B17 )/10^6</f>
        <v>5.9396089999999999E-2</v>
      </c>
      <c r="G17" s="122">
        <f>SUMIF('C | RFM escalation'!$E$11:$E$160,$B17,'C | RFM escalation'!AC$11:AC$160)/10^6</f>
        <v>0.33701961538461539</v>
      </c>
      <c r="H17" s="122">
        <f>SUMIF('C | RFM escalation'!$E$11:$E$160,$B17,'C | RFM escalation'!AD$11:AD$160)/10^6</f>
        <v>6.5989515876851632E-2</v>
      </c>
      <c r="I17" s="124">
        <f t="shared" si="0"/>
        <v>0.48242022126146705</v>
      </c>
    </row>
    <row r="18" spans="1:12" x14ac:dyDescent="0.3">
      <c r="A18" s="31"/>
      <c r="B18" s="31" t="str">
        <f>Mapping!A8</f>
        <v>Group IT</v>
      </c>
      <c r="C18" s="34">
        <f>SUMIFS(INDEX('I | Historic capex'!$I$11:$L$160,, MATCH('O | RFM inputs'!C$11, 'I | Historic capex'!$I$10:$L$10, 0)), 'I | Historic capex'!$E$11:$E$160, 'O | RFM inputs'!$B18 )/10^6</f>
        <v>2.8588522134435714</v>
      </c>
      <c r="D18" s="34">
        <f>SUMIFS(INDEX('I | Historic capex'!$I$11:$L$160,, MATCH('O | RFM inputs'!D$11, 'I | Historic capex'!$I$10:$L$10, 0)), 'I | Historic capex'!$E$11:$E$160, 'O | RFM inputs'!$B18 )/10^6</f>
        <v>2.9564656972738579</v>
      </c>
      <c r="E18" s="34">
        <f>SUMIFS(INDEX('I | Historic capex'!$I$11:$L$160,, MATCH('O | RFM inputs'!E$11, 'I | Historic capex'!$I$10:$L$10, 0)), 'I | Historic capex'!$E$11:$E$160, 'O | RFM inputs'!$B18 )/10^6</f>
        <v>2.3445753037773773</v>
      </c>
      <c r="F18" s="34">
        <f>SUMIFS(INDEX('I | Historic capex'!$I$11:$L$160,, MATCH('O | RFM inputs'!F$11, 'I | Historic capex'!$I$10:$L$10, 0)), 'I | Historic capex'!$E$11:$E$160, 'O | RFM inputs'!$B18 )/10^6</f>
        <v>2.9151338556565345</v>
      </c>
      <c r="G18" s="122">
        <f>SUMIF('C | RFM escalation'!$E$11:$E$160,$B18,'C | RFM escalation'!AC$11:AC$160)/10^6</f>
        <v>3.8390648014272459</v>
      </c>
      <c r="H18" s="122">
        <f>SUMIF('C | RFM escalation'!$E$11:$E$160,$B18,'C | RFM escalation'!AD$11:AD$160)/10^6</f>
        <v>0.65287804858082821</v>
      </c>
      <c r="I18" s="124">
        <f t="shared" si="0"/>
        <v>12.708117706715843</v>
      </c>
    </row>
    <row r="19" spans="1:12" x14ac:dyDescent="0.3">
      <c r="A19" s="31"/>
      <c r="B19" s="31" t="str">
        <f>Mapping!A9</f>
        <v>SIB Capex</v>
      </c>
      <c r="C19" s="34">
        <f>SUMIFS(INDEX('I | Historic capex'!$I$11:$L$160,, MATCH('O | RFM inputs'!C$11, 'I | Historic capex'!$I$10:$L$10, 0)), 'I | Historic capex'!$E$11:$E$160, 'O | RFM inputs'!$B19 )/10^6</f>
        <v>1.1537634925706433</v>
      </c>
      <c r="D19" s="34">
        <f>SUMIFS(INDEX('I | Historic capex'!$I$11:$L$160,, MATCH('O | RFM inputs'!D$11, 'I | Historic capex'!$I$10:$L$10, 0)), 'I | Historic capex'!$E$11:$E$160, 'O | RFM inputs'!$B19 )/10^6</f>
        <v>1.670055109114801</v>
      </c>
      <c r="E19" s="34">
        <f>SUMIFS(INDEX('I | Historic capex'!$I$11:$L$160,, MATCH('O | RFM inputs'!E$11, 'I | Historic capex'!$I$10:$L$10, 0)), 'I | Historic capex'!$E$11:$E$160, 'O | RFM inputs'!$B19 )/10^6</f>
        <v>1.0787070779145957</v>
      </c>
      <c r="F19" s="34">
        <f>SUMIFS(INDEX('I | Historic capex'!$I$11:$L$160,, MATCH('O | RFM inputs'!F$11, 'I | Historic capex'!$I$10:$L$10, 0)), 'I | Historic capex'!$E$11:$E$160, 'O | RFM inputs'!$B19 )/10^6</f>
        <v>0.86892040304298224</v>
      </c>
      <c r="G19" s="122">
        <f>SUMIF('C | RFM escalation'!$E$11:$E$160,$B19,'C | RFM escalation'!AC$11:AC$160)/10^6</f>
        <v>1.6347782671245961</v>
      </c>
      <c r="H19" s="122">
        <f>SUMIF('C | RFM escalation'!$E$11:$E$160,$B19,'C | RFM escalation'!AD$11:AD$160)/10^6</f>
        <v>1.2669725804575798</v>
      </c>
      <c r="I19" s="124">
        <f t="shared" si="0"/>
        <v>6.5194334376545546</v>
      </c>
    </row>
    <row r="20" spans="1:12" x14ac:dyDescent="0.3">
      <c r="A20" s="31"/>
      <c r="B20" s="31"/>
      <c r="C20" s="34"/>
      <c r="D20" s="34"/>
      <c r="E20" s="34"/>
      <c r="F20" s="34"/>
      <c r="G20" s="122"/>
      <c r="H20" s="122"/>
      <c r="I20" s="124"/>
      <c r="K20" s="3" t="str">
        <f>IF(SUM(C21:F21)='I | Historic capex'!L6/10^6,"OK","ERROR")</f>
        <v>OK</v>
      </c>
      <c r="L20" s="44" t="s">
        <v>192</v>
      </c>
    </row>
    <row r="21" spans="1:12" x14ac:dyDescent="0.3">
      <c r="A21" s="36"/>
      <c r="B21" s="33" t="s">
        <v>36</v>
      </c>
      <c r="C21" s="35">
        <f t="shared" ref="C21:H21" si="1">SUM(C12:C20)</f>
        <v>12.280746566014214</v>
      </c>
      <c r="D21" s="35">
        <f t="shared" si="1"/>
        <v>13.172122896388657</v>
      </c>
      <c r="E21" s="35">
        <f t="shared" si="1"/>
        <v>14.042166931691971</v>
      </c>
      <c r="F21" s="35">
        <f t="shared" si="1"/>
        <v>10.860656768699517</v>
      </c>
      <c r="G21" s="123">
        <f t="shared" si="1"/>
        <v>11.511885323936458</v>
      </c>
      <c r="H21" s="123">
        <f t="shared" si="1"/>
        <v>15.919569474227261</v>
      </c>
      <c r="I21" s="35">
        <f>SUM(C21:H21)</f>
        <v>77.78714796095808</v>
      </c>
      <c r="K21" s="3" t="str">
        <f>IF(SUM(G21:H21)='C | RFM escalation'!AD6/10^6,"OK","ERROR")</f>
        <v>OK</v>
      </c>
      <c r="L21" s="42" t="s">
        <v>193</v>
      </c>
    </row>
    <row r="22" spans="1:12" s="104" customFormat="1" ht="12.75" x14ac:dyDescent="0.25">
      <c r="C22" s="105" t="str">
        <f>IF(ROUND(C21*10^6,2)=ROUND('I | Historic capex'!I$161,2),"OK","CHECK")</f>
        <v>OK</v>
      </c>
      <c r="D22" s="105" t="str">
        <f>IF(ROUND(D21*10^6,2)=ROUND('I | Historic capex'!J$161,2),"OK","CHECK")</f>
        <v>OK</v>
      </c>
      <c r="E22" s="105" t="str">
        <f>IF(ROUND(E21*10^6,2)=ROUND('I | Historic capex'!K$161,2),"OK","CHECK")</f>
        <v>OK</v>
      </c>
      <c r="F22" s="105" t="str">
        <f>IF(ROUND(F21*10^6,2)=ROUND('I | Historic capex'!L$161,2),"OK","CHECK")</f>
        <v>OK</v>
      </c>
      <c r="G22" s="105" t="str">
        <f>IF(ROUND(G21*10^6,2)=ROUND('C | RFM escalation'!AC$161,2),"OK","CHECK")</f>
        <v>OK</v>
      </c>
      <c r="H22" s="105" t="str">
        <f>IF(ROUND(H21*10^6,2)=ROUND('C | RFM escalation'!AD$161,2),"OK","CHECK")</f>
        <v>OK</v>
      </c>
    </row>
    <row r="23" spans="1:12" x14ac:dyDescent="0.3">
      <c r="C23" s="30"/>
      <c r="D23" s="30"/>
      <c r="E23" s="30"/>
      <c r="F23" s="30"/>
      <c r="G23" s="30"/>
      <c r="H23" s="30"/>
    </row>
    <row r="24" spans="1:12" x14ac:dyDescent="0.3">
      <c r="A24" s="13"/>
      <c r="B24" s="11" t="s">
        <v>40</v>
      </c>
      <c r="C24" s="102" t="s">
        <v>57</v>
      </c>
      <c r="D24" s="102" t="s">
        <v>56</v>
      </c>
      <c r="E24" s="102" t="s">
        <v>55</v>
      </c>
      <c r="F24" s="102" t="s">
        <v>54</v>
      </c>
      <c r="G24" s="103" t="s">
        <v>120</v>
      </c>
      <c r="H24" s="103" t="s">
        <v>119</v>
      </c>
      <c r="I24" s="102" t="s">
        <v>36</v>
      </c>
      <c r="K24" s="163"/>
    </row>
    <row r="25" spans="1:12" x14ac:dyDescent="0.3">
      <c r="A25" s="31"/>
      <c r="B25" s="31" t="str">
        <f t="shared" ref="B25:B32" si="2">B12</f>
        <v>Pipelines</v>
      </c>
      <c r="C25" s="34">
        <v>0</v>
      </c>
      <c r="D25" s="34">
        <v>0</v>
      </c>
      <c r="E25" s="34">
        <v>0</v>
      </c>
      <c r="F25" s="34">
        <v>0</v>
      </c>
      <c r="G25" s="122">
        <v>0</v>
      </c>
      <c r="H25" s="122">
        <v>0</v>
      </c>
      <c r="I25" s="124">
        <f>SUM(C25:H25)</f>
        <v>0</v>
      </c>
    </row>
    <row r="26" spans="1:12" x14ac:dyDescent="0.3">
      <c r="A26" s="31"/>
      <c r="B26" s="31" t="str">
        <f t="shared" si="2"/>
        <v>Compressors</v>
      </c>
      <c r="C26" s="34">
        <v>0</v>
      </c>
      <c r="D26" s="34">
        <v>0</v>
      </c>
      <c r="E26" s="34">
        <v>0</v>
      </c>
      <c r="F26" s="34">
        <v>0</v>
      </c>
      <c r="G26" s="122">
        <v>0</v>
      </c>
      <c r="H26" s="122">
        <v>0</v>
      </c>
      <c r="I26" s="124">
        <f t="shared" ref="I26:I34" si="3">SUM(C26:H26)</f>
        <v>0</v>
      </c>
    </row>
    <row r="27" spans="1:12" x14ac:dyDescent="0.3">
      <c r="A27" s="31"/>
      <c r="B27" s="31" t="str">
        <f t="shared" si="2"/>
        <v>Regulators and meters</v>
      </c>
      <c r="C27" s="34">
        <v>0</v>
      </c>
      <c r="D27" s="34">
        <v>0</v>
      </c>
      <c r="E27" s="34">
        <v>0</v>
      </c>
      <c r="F27" s="34">
        <v>0</v>
      </c>
      <c r="G27" s="122">
        <v>0</v>
      </c>
      <c r="H27" s="122">
        <v>0</v>
      </c>
      <c r="I27" s="124">
        <f t="shared" si="3"/>
        <v>0</v>
      </c>
    </row>
    <row r="28" spans="1:12" x14ac:dyDescent="0.3">
      <c r="A28" s="31"/>
      <c r="B28" s="31" t="str">
        <f t="shared" si="2"/>
        <v>Easements</v>
      </c>
      <c r="C28" s="34">
        <v>0</v>
      </c>
      <c r="D28" s="34">
        <v>0</v>
      </c>
      <c r="E28" s="34">
        <v>0</v>
      </c>
      <c r="F28" s="34">
        <v>0</v>
      </c>
      <c r="G28" s="122">
        <v>0</v>
      </c>
      <c r="H28" s="122">
        <v>0</v>
      </c>
      <c r="I28" s="124">
        <f t="shared" si="3"/>
        <v>0</v>
      </c>
    </row>
    <row r="29" spans="1:12" x14ac:dyDescent="0.3">
      <c r="A29" s="31"/>
      <c r="B29" s="31" t="str">
        <f t="shared" si="2"/>
        <v>Communications</v>
      </c>
      <c r="C29" s="34">
        <v>0</v>
      </c>
      <c r="D29" s="34">
        <v>0</v>
      </c>
      <c r="E29" s="34">
        <v>0</v>
      </c>
      <c r="F29" s="34">
        <v>0</v>
      </c>
      <c r="G29" s="122">
        <v>0</v>
      </c>
      <c r="H29" s="122">
        <v>0</v>
      </c>
      <c r="I29" s="124">
        <f t="shared" si="3"/>
        <v>0</v>
      </c>
    </row>
    <row r="30" spans="1:12" x14ac:dyDescent="0.3">
      <c r="A30" s="31"/>
      <c r="B30" s="31" t="str">
        <f t="shared" si="2"/>
        <v>Capitalised AA costs</v>
      </c>
      <c r="C30" s="34">
        <v>0</v>
      </c>
      <c r="D30" s="34">
        <v>0</v>
      </c>
      <c r="E30" s="34">
        <v>0</v>
      </c>
      <c r="F30" s="34">
        <v>0</v>
      </c>
      <c r="G30" s="122">
        <v>0</v>
      </c>
      <c r="H30" s="122">
        <v>0</v>
      </c>
      <c r="I30" s="124">
        <f t="shared" si="3"/>
        <v>0</v>
      </c>
    </row>
    <row r="31" spans="1:12" x14ac:dyDescent="0.3">
      <c r="A31" s="31"/>
      <c r="B31" s="31" t="str">
        <f t="shared" si="2"/>
        <v>Group IT</v>
      </c>
      <c r="C31" s="34">
        <v>0</v>
      </c>
      <c r="D31" s="34">
        <v>0</v>
      </c>
      <c r="E31" s="34">
        <v>9.5067978462319395E-3</v>
      </c>
      <c r="F31" s="34">
        <v>1.8493792836052153E-2</v>
      </c>
      <c r="G31" s="122">
        <v>0</v>
      </c>
      <c r="H31" s="122">
        <v>0</v>
      </c>
      <c r="I31" s="124">
        <f t="shared" si="3"/>
        <v>2.8000590682284093E-2</v>
      </c>
    </row>
    <row r="32" spans="1:12" x14ac:dyDescent="0.3">
      <c r="A32" s="31"/>
      <c r="B32" s="31" t="str">
        <f t="shared" si="2"/>
        <v>SIB Capex</v>
      </c>
      <c r="C32" s="34">
        <v>1.0869970670398638E-3</v>
      </c>
      <c r="D32" s="34">
        <v>3.8163580886065073E-3</v>
      </c>
      <c r="E32" s="34">
        <v>9.5067978462319395E-3</v>
      </c>
      <c r="F32" s="34">
        <v>1.8493792836052153E-2</v>
      </c>
      <c r="G32" s="122">
        <v>0</v>
      </c>
      <c r="H32" s="122">
        <v>0</v>
      </c>
      <c r="I32" s="124">
        <f t="shared" si="3"/>
        <v>3.2903945837930465E-2</v>
      </c>
    </row>
    <row r="33" spans="1:12" x14ac:dyDescent="0.3">
      <c r="A33" s="31"/>
      <c r="B33" s="31">
        <f>B20</f>
        <v>0</v>
      </c>
      <c r="C33" s="34">
        <v>0</v>
      </c>
      <c r="D33" s="34">
        <v>0</v>
      </c>
      <c r="E33" s="34">
        <v>0</v>
      </c>
      <c r="F33" s="34">
        <v>0</v>
      </c>
      <c r="G33" s="122">
        <v>0</v>
      </c>
      <c r="H33" s="122">
        <v>0</v>
      </c>
      <c r="I33" s="124">
        <f t="shared" si="3"/>
        <v>0</v>
      </c>
    </row>
    <row r="34" spans="1:12" x14ac:dyDescent="0.3">
      <c r="A34" s="36"/>
      <c r="B34" s="33" t="s">
        <v>36</v>
      </c>
      <c r="C34" s="33">
        <f t="shared" ref="C34:H34" si="4">SUM(C25:C33)</f>
        <v>1.0869970670398638E-3</v>
      </c>
      <c r="D34" s="33">
        <f t="shared" si="4"/>
        <v>3.8163580886065073E-3</v>
      </c>
      <c r="E34" s="33">
        <f t="shared" si="4"/>
        <v>1.9013595692463879E-2</v>
      </c>
      <c r="F34" s="33">
        <f t="shared" si="4"/>
        <v>3.6987585672104306E-2</v>
      </c>
      <c r="G34" s="32">
        <f t="shared" si="4"/>
        <v>0</v>
      </c>
      <c r="H34" s="32">
        <f t="shared" si="4"/>
        <v>0</v>
      </c>
      <c r="I34" s="35">
        <f t="shared" si="3"/>
        <v>6.0904536520214554E-2</v>
      </c>
    </row>
    <row r="35" spans="1:12" s="37" customFormat="1" ht="12.75" x14ac:dyDescent="0.25">
      <c r="B35" s="38"/>
      <c r="C35" s="105"/>
      <c r="D35" s="105"/>
      <c r="E35" s="105"/>
      <c r="F35" s="105"/>
      <c r="G35" s="105"/>
      <c r="H35" s="105"/>
      <c r="K35" s="118"/>
    </row>
    <row r="37" spans="1:12" x14ac:dyDescent="0.3">
      <c r="A37" s="13"/>
      <c r="B37" s="11" t="s">
        <v>41</v>
      </c>
      <c r="C37" s="102" t="s">
        <v>57</v>
      </c>
      <c r="D37" s="102" t="s">
        <v>56</v>
      </c>
      <c r="E37" s="102" t="s">
        <v>55</v>
      </c>
      <c r="F37" s="102" t="s">
        <v>54</v>
      </c>
      <c r="G37" s="103" t="s">
        <v>120</v>
      </c>
      <c r="H37" s="103" t="s">
        <v>119</v>
      </c>
      <c r="I37" s="102" t="s">
        <v>36</v>
      </c>
    </row>
    <row r="38" spans="1:12" x14ac:dyDescent="0.3">
      <c r="A38" s="31"/>
      <c r="B38" s="31" t="str">
        <f t="shared" ref="B38:B45" si="5">B25</f>
        <v>Pipelines</v>
      </c>
      <c r="C38" s="34">
        <f>SUMIFS(INDEX('I | Historic capex'!$N$11:$LG$160,, MATCH('O | RFM inputs'!C$37, 'I | Historic capex'!$N$10:$Q$10, 0)), 'I | Historic capex'!$E$11:$E$160, 'O | RFM inputs'!$B38 )/10^6</f>
        <v>12.373704129999998</v>
      </c>
      <c r="D38" s="34">
        <f>SUMIFS(INDEX('I | Historic capex'!$N$11:$LG$160,, MATCH('O | RFM inputs'!D$37, 'I | Historic capex'!$N$10:$Q$10, 0)), 'I | Historic capex'!$E$11:$E$160, 'O | RFM inputs'!$B38 )/10^6</f>
        <v>2.85244287</v>
      </c>
      <c r="E38" s="34">
        <f>SUMIFS(INDEX('I | Historic capex'!$N$11:$LG$160,, MATCH('O | RFM inputs'!E$37, 'I | Historic capex'!$N$10:$Q$10, 0)), 'I | Historic capex'!$E$11:$E$160, 'O | RFM inputs'!$B38 )/10^6</f>
        <v>7.5494086299999994</v>
      </c>
      <c r="F38" s="34">
        <f>SUMIFS(INDEX('I | Historic capex'!$N$11:$LG$160,, MATCH('O | RFM inputs'!F$37, 'I | Historic capex'!$N$10:$Q$10, 0)), 'I | Historic capex'!$E$11:$E$160, 'O | RFM inputs'!$B38 )/10^6</f>
        <v>19.427549020000001</v>
      </c>
      <c r="G38" s="122">
        <f>SUMIF('C | RFM escalation'!$E$11:$E$160,$B38,'C | RFM escalation'!AI$11:AI$160)/10^6</f>
        <v>5.1041386399999995</v>
      </c>
      <c r="H38" s="122">
        <f>(SUMIF('C | RFM escalation'!$E$11:$E$160,$B38,'C | RFM escalation'!AJ$11:AJ$160)+SUMIF('I | Historic capex'!$E$11:$E$160,$B38,'I | Historic capex'!X$11:X$160))/10^6</f>
        <v>17.421922109312003</v>
      </c>
      <c r="I38" s="124">
        <f>SUM(C38:H38)</f>
        <v>64.729165399312009</v>
      </c>
    </row>
    <row r="39" spans="1:12" x14ac:dyDescent="0.3">
      <c r="A39" s="31"/>
      <c r="B39" s="31" t="str">
        <f t="shared" si="5"/>
        <v>Compressors</v>
      </c>
      <c r="C39" s="34">
        <f>SUMIFS(INDEX('I | Historic capex'!$N$11:$LG$160,, MATCH('O | RFM inputs'!C$37, 'I | Historic capex'!$N$10:$Q$10, 0)), 'I | Historic capex'!$E$11:$E$160, 'O | RFM inputs'!$B39 )/10^6</f>
        <v>3.4188400000000001E-2</v>
      </c>
      <c r="D39" s="34">
        <f>SUMIFS(INDEX('I | Historic capex'!$N$11:$LG$160,, MATCH('O | RFM inputs'!D$37, 'I | Historic capex'!$N$10:$Q$10, 0)), 'I | Historic capex'!$E$11:$E$160, 'O | RFM inputs'!$B39 )/10^6</f>
        <v>1.62629216</v>
      </c>
      <c r="E39" s="34">
        <f>SUMIFS(INDEX('I | Historic capex'!$N$11:$LG$160,, MATCH('O | RFM inputs'!E$37, 'I | Historic capex'!$N$10:$Q$10, 0)), 'I | Historic capex'!$E$11:$E$160, 'O | RFM inputs'!$B39 )/10^6</f>
        <v>0</v>
      </c>
      <c r="F39" s="34">
        <f>SUMIFS(INDEX('I | Historic capex'!$N$11:$LG$160,, MATCH('O | RFM inputs'!F$37, 'I | Historic capex'!$N$10:$Q$10, 0)), 'I | Historic capex'!$E$11:$E$160, 'O | RFM inputs'!$B39 )/10^6</f>
        <v>0.64900553000000005</v>
      </c>
      <c r="G39" s="122">
        <f>SUMIF('C | RFM escalation'!$E$11:$E$160,$B39,'C | RFM escalation'!AI$11:AI$160)/10^6</f>
        <v>0</v>
      </c>
      <c r="H39" s="122">
        <f>(SUMIF('C | RFM escalation'!$E$11:$E$160,$B39,'C | RFM escalation'!AJ$11:AJ$160)+SUMIF('I | Historic capex'!$E$11:$E$160,$B39,'I | Historic capex'!X$11:X$160))/10^6</f>
        <v>4.1481600000000327E-3</v>
      </c>
      <c r="I39" s="124">
        <f t="shared" ref="I39:I46" si="6">SUM(C39:H39)</f>
        <v>2.3136342500000002</v>
      </c>
    </row>
    <row r="40" spans="1:12" x14ac:dyDescent="0.3">
      <c r="A40" s="31"/>
      <c r="B40" s="31" t="str">
        <f t="shared" si="5"/>
        <v>Regulators and meters</v>
      </c>
      <c r="C40" s="34">
        <f>SUMIFS(INDEX('I | Historic capex'!$N$11:$LG$160,, MATCH('O | RFM inputs'!C$37, 'I | Historic capex'!$N$10:$Q$10, 0)), 'I | Historic capex'!$E$11:$E$160, 'O | RFM inputs'!$B40 )/10^6</f>
        <v>1.7262360000000001</v>
      </c>
      <c r="D40" s="34">
        <f>SUMIFS(INDEX('I | Historic capex'!$N$11:$LG$160,, MATCH('O | RFM inputs'!D$37, 'I | Historic capex'!$N$10:$Q$10, 0)), 'I | Historic capex'!$E$11:$E$160, 'O | RFM inputs'!$B40 )/10^6</f>
        <v>0.19630739999999999</v>
      </c>
      <c r="E40" s="34">
        <f>SUMIFS(INDEX('I | Historic capex'!$N$11:$LG$160,, MATCH('O | RFM inputs'!E$37, 'I | Historic capex'!$N$10:$Q$10, 0)), 'I | Historic capex'!$E$11:$E$160, 'O | RFM inputs'!$B40 )/10^6</f>
        <v>0</v>
      </c>
      <c r="F40" s="34">
        <f>SUMIFS(INDEX('I | Historic capex'!$N$11:$LG$160,, MATCH('O | RFM inputs'!F$37, 'I | Historic capex'!$N$10:$Q$10, 0)), 'I | Historic capex'!$E$11:$E$160, 'O | RFM inputs'!$B40 )/10^6</f>
        <v>0</v>
      </c>
      <c r="G40" s="122">
        <f>SUMIF('C | RFM escalation'!$E$11:$E$160,$B40,'C | RFM escalation'!AI$11:AI$160)/10^6</f>
        <v>0.59688399999999997</v>
      </c>
      <c r="H40" s="122">
        <f>(SUMIF('C | RFM escalation'!$E$11:$E$160,$B40,'C | RFM escalation'!AJ$11:AJ$160)+SUMIF('I | Historic capex'!$E$11:$E$160,$B40,'I | Historic capex'!X$11:X$160))/10^6</f>
        <v>0</v>
      </c>
      <c r="I40" s="124">
        <f t="shared" si="6"/>
        <v>2.5194274000000001</v>
      </c>
    </row>
    <row r="41" spans="1:12" x14ac:dyDescent="0.3">
      <c r="A41" s="31"/>
      <c r="B41" s="31" t="str">
        <f t="shared" si="5"/>
        <v>Easements</v>
      </c>
      <c r="C41" s="34">
        <f>SUMIFS(INDEX('I | Historic capex'!$N$11:$LG$160,, MATCH('O | RFM inputs'!C$37, 'I | Historic capex'!$N$10:$Q$10, 0)), 'I | Historic capex'!$E$11:$E$160, 'O | RFM inputs'!$B41 )/10^6</f>
        <v>0</v>
      </c>
      <c r="D41" s="34">
        <f>SUMIFS(INDEX('I | Historic capex'!$N$11:$LG$160,, MATCH('O | RFM inputs'!D$37, 'I | Historic capex'!$N$10:$Q$10, 0)), 'I | Historic capex'!$E$11:$E$160, 'O | RFM inputs'!$B41 )/10^6</f>
        <v>0</v>
      </c>
      <c r="E41" s="34">
        <f>SUMIFS(INDEX('I | Historic capex'!$N$11:$LG$160,, MATCH('O | RFM inputs'!E$37, 'I | Historic capex'!$N$10:$Q$10, 0)), 'I | Historic capex'!$E$11:$E$160, 'O | RFM inputs'!$B41 )/10^6</f>
        <v>0</v>
      </c>
      <c r="F41" s="34">
        <f>SUMIFS(INDEX('I | Historic capex'!$N$11:$LG$160,, MATCH('O | RFM inputs'!F$37, 'I | Historic capex'!$N$10:$Q$10, 0)), 'I | Historic capex'!$E$11:$E$160, 'O | RFM inputs'!$B41 )/10^6</f>
        <v>0</v>
      </c>
      <c r="G41" s="122">
        <f>SUMIF('C | RFM escalation'!$E$11:$E$160,$B41,'C | RFM escalation'!AI$11:AI$160)/10^6</f>
        <v>0</v>
      </c>
      <c r="H41" s="122">
        <f>(SUMIF('C | RFM escalation'!$E$11:$E$160,$B41,'C | RFM escalation'!AJ$11:AJ$160)+SUMIF('I | Historic capex'!$E$11:$E$160,$B41,'I | Historic capex'!X$11:X$160))/10^6</f>
        <v>0</v>
      </c>
      <c r="I41" s="124">
        <f t="shared" si="6"/>
        <v>0</v>
      </c>
      <c r="K41" s="109"/>
    </row>
    <row r="42" spans="1:12" x14ac:dyDescent="0.3">
      <c r="A42" s="31"/>
      <c r="B42" s="31" t="str">
        <f t="shared" si="5"/>
        <v>Communications</v>
      </c>
      <c r="C42" s="34">
        <f>SUMIFS(INDEX('I | Historic capex'!$N$11:$LG$160,, MATCH('O | RFM inputs'!C$37, 'I | Historic capex'!$N$10:$Q$10, 0)), 'I | Historic capex'!$E$11:$E$160, 'O | RFM inputs'!$B42 )/10^6</f>
        <v>0</v>
      </c>
      <c r="D42" s="34">
        <f>SUMIFS(INDEX('I | Historic capex'!$N$11:$LG$160,, MATCH('O | RFM inputs'!D$37, 'I | Historic capex'!$N$10:$Q$10, 0)), 'I | Historic capex'!$E$11:$E$160, 'O | RFM inputs'!$B42 )/10^6</f>
        <v>0</v>
      </c>
      <c r="E42" s="34">
        <f>SUMIFS(INDEX('I | Historic capex'!$N$11:$LG$160,, MATCH('O | RFM inputs'!E$37, 'I | Historic capex'!$N$10:$Q$10, 0)), 'I | Historic capex'!$E$11:$E$160, 'O | RFM inputs'!$B42 )/10^6</f>
        <v>0</v>
      </c>
      <c r="F42" s="34">
        <f>SUMIFS(INDEX('I | Historic capex'!$N$11:$LG$160,, MATCH('O | RFM inputs'!F$37, 'I | Historic capex'!$N$10:$Q$10, 0)), 'I | Historic capex'!$E$11:$E$160, 'O | RFM inputs'!$B42 )/10^6</f>
        <v>0</v>
      </c>
      <c r="G42" s="122">
        <f>SUMIF('C | RFM escalation'!$E$11:$E$160,$B42,'C | RFM escalation'!AI$11:AI$160)/10^6</f>
        <v>0</v>
      </c>
      <c r="H42" s="122">
        <f>(SUMIF('C | RFM escalation'!$E$11:$E$160,$B42,'C | RFM escalation'!AJ$11:AJ$160)+SUMIF('I | Historic capex'!$E$11:$E$160,$B42,'I | Historic capex'!X$11:X$160))/10^6</f>
        <v>0</v>
      </c>
      <c r="I42" s="124">
        <f t="shared" si="6"/>
        <v>0</v>
      </c>
    </row>
    <row r="43" spans="1:12" x14ac:dyDescent="0.3">
      <c r="A43" s="31"/>
      <c r="B43" s="31" t="str">
        <f t="shared" si="5"/>
        <v>Capitalised AA costs</v>
      </c>
      <c r="C43" s="34">
        <f>SUMIFS(INDEX('I | Historic capex'!$N$11:$LG$160,, MATCH('O | RFM inputs'!C$37, 'I | Historic capex'!$N$10:$Q$10, 0)), 'I | Historic capex'!$E$11:$E$160, 'O | RFM inputs'!$B43 )/10^6</f>
        <v>0.45140838</v>
      </c>
      <c r="D43" s="34">
        <f>SUMIFS(INDEX('I | Historic capex'!$N$11:$LG$160,, MATCH('O | RFM inputs'!D$37, 'I | Historic capex'!$N$10:$Q$10, 0)), 'I | Historic capex'!$E$11:$E$160, 'O | RFM inputs'!$B43 )/10^6</f>
        <v>2.0015000000000002E-2</v>
      </c>
      <c r="E43" s="34">
        <f>SUMIFS(INDEX('I | Historic capex'!$N$11:$LG$160,, MATCH('O | RFM inputs'!E$37, 'I | Historic capex'!$N$10:$Q$10, 0)), 'I | Historic capex'!$E$11:$E$160, 'O | RFM inputs'!$B43 )/10^6</f>
        <v>0</v>
      </c>
      <c r="F43" s="34">
        <f>SUMIFS(INDEX('I | Historic capex'!$N$11:$LG$160,, MATCH('O | RFM inputs'!F$37, 'I | Historic capex'!$N$10:$Q$10, 0)), 'I | Historic capex'!$E$11:$E$160, 'O | RFM inputs'!$B43 )/10^6</f>
        <v>0</v>
      </c>
      <c r="G43" s="122">
        <f>SUMIF('C | RFM escalation'!$E$11:$E$160,$B43,'C | RFM escalation'!AI$11:AI$160)/10^6</f>
        <v>0.33701961538461539</v>
      </c>
      <c r="H43" s="122">
        <f>(SUMIF('C | RFM escalation'!$E$11:$E$160,$B43,'C | RFM escalation'!AJ$11:AJ$160)+SUMIF('I | Historic capex'!$E$11:$E$160,$B43,'I | Historic capex'!X$11:X$160))/10^6</f>
        <v>0.12538560587685163</v>
      </c>
      <c r="I43" s="124">
        <f t="shared" si="6"/>
        <v>0.93382860126146705</v>
      </c>
    </row>
    <row r="44" spans="1:12" x14ac:dyDescent="0.3">
      <c r="A44" s="31"/>
      <c r="B44" s="31" t="str">
        <f t="shared" si="5"/>
        <v>Group IT</v>
      </c>
      <c r="C44" s="34">
        <f>SUMIFS(INDEX('I | Historic capex'!$N$11:$LG$160,, MATCH('O | RFM inputs'!C$37, 'I | Historic capex'!$N$10:$Q$10, 0)), 'I | Historic capex'!$E$11:$E$160, 'O | RFM inputs'!$B44 )/10^6</f>
        <v>3.1420797436126446</v>
      </c>
      <c r="D44" s="34">
        <f>SUMIFS(INDEX('I | Historic capex'!$N$11:$LG$160,, MATCH('O | RFM inputs'!D$37, 'I | Historic capex'!$N$10:$Q$10, 0)), 'I | Historic capex'!$E$11:$E$160, 'O | RFM inputs'!$B44 )/10^6</f>
        <v>2.7099961548394496</v>
      </c>
      <c r="E44" s="34">
        <f>SUMIFS(INDEX('I | Historic capex'!$N$11:$LG$160,, MATCH('O | RFM inputs'!E$37, 'I | Historic capex'!$N$10:$Q$10, 0)), 'I | Historic capex'!$E$11:$E$160, 'O | RFM inputs'!$B44 )/10^6</f>
        <v>0.4575554241602085</v>
      </c>
      <c r="F44" s="34">
        <f>SUMIFS(INDEX('I | Historic capex'!$N$11:$LG$160,, MATCH('O | RFM inputs'!F$37, 'I | Historic capex'!$N$10:$Q$10, 0)), 'I | Historic capex'!$E$11:$E$160, 'O | RFM inputs'!$B44 )/10^6</f>
        <v>2.206961835887153</v>
      </c>
      <c r="G44" s="122">
        <f>SUMIF('C | RFM escalation'!$E$11:$E$160,$B44,'C | RFM escalation'!AI$11:AI$160)/10^6</f>
        <v>3.8390648014272459</v>
      </c>
      <c r="H44" s="122">
        <f>(SUMIF('C | RFM escalation'!$E$11:$E$160,$B44,'C | RFM escalation'!AJ$11:AJ$160)+SUMIF('I | Historic capex'!$E$11:$E$160,$B44,'I | Historic capex'!X$11:X$160))/10^6</f>
        <v>4.3786926740822407</v>
      </c>
      <c r="I44" s="124">
        <f t="shared" si="6"/>
        <v>16.734350634008944</v>
      </c>
    </row>
    <row r="45" spans="1:12" x14ac:dyDescent="0.3">
      <c r="A45" s="31"/>
      <c r="B45" s="31" t="str">
        <f t="shared" si="5"/>
        <v>SIB Capex</v>
      </c>
      <c r="C45" s="34">
        <f>SUMIFS(INDEX('I | Historic capex'!$N$11:$LG$160,, MATCH('O | RFM inputs'!C$37, 'I | Historic capex'!$N$10:$Q$10, 0)), 'I | Historic capex'!$E$11:$E$160, 'O | RFM inputs'!$B45 )/10^6</f>
        <v>2.2393348856218362</v>
      </c>
      <c r="D45" s="34">
        <f>SUMIFS(INDEX('I | Historic capex'!$N$11:$LG$160,, MATCH('O | RFM inputs'!D$37, 'I | Historic capex'!$N$10:$Q$10, 0)), 'I | Historic capex'!$E$11:$E$160, 'O | RFM inputs'!$B45 )/10^6</f>
        <v>1.9517009382894885</v>
      </c>
      <c r="E45" s="34">
        <f>SUMIFS(INDEX('I | Historic capex'!$N$11:$LG$160,, MATCH('O | RFM inputs'!E$37, 'I | Historic capex'!$N$10:$Q$10, 0)), 'I | Historic capex'!$E$11:$E$160, 'O | RFM inputs'!$B45 )/10^6</f>
        <v>0.58763690984775263</v>
      </c>
      <c r="F45" s="34">
        <f>SUMIFS(INDEX('I | Historic capex'!$N$11:$LG$160,, MATCH('O | RFM inputs'!F$37, 'I | Historic capex'!$N$10:$Q$10, 0)), 'I | Historic capex'!$E$11:$E$160, 'O | RFM inputs'!$B45 )/10^6</f>
        <v>0.67496984459451004</v>
      </c>
      <c r="G45" s="122">
        <f>SUMIF('C | RFM escalation'!$E$11:$E$160,$B45,'C | RFM escalation'!AI$11:AI$160)/10^6</f>
        <v>1.6347782671245961</v>
      </c>
      <c r="H45" s="122">
        <f>(SUMIF('C | RFM escalation'!$E$11:$E$160,$B45,'C | RFM escalation'!AJ$11:AJ$160)+SUMIF('I | Historic capex'!$E$11:$E$160,$B45,'I | Historic capex'!X$11:X$160))/10^6</f>
        <v>2.4075243381035585</v>
      </c>
      <c r="I45" s="124">
        <f t="shared" si="6"/>
        <v>9.4959451835817408</v>
      </c>
    </row>
    <row r="46" spans="1:12" x14ac:dyDescent="0.3">
      <c r="A46" s="31"/>
      <c r="B46" s="31">
        <f>B33</f>
        <v>0</v>
      </c>
      <c r="C46" s="34">
        <f>SUMIFS(INDEX('I | Historic capex'!$N$11:$LG$160,, MATCH('O | RFM inputs'!C$37, 'I | Historic capex'!$N$10:$Q$10, 0)), 'I | Historic capex'!$E$11:$E$160, 'O | RFM inputs'!$B46 )/10^6</f>
        <v>0</v>
      </c>
      <c r="D46" s="34">
        <f>SUMIFS(INDEX('I | Historic capex'!$N$11:$LG$160,, MATCH('O | RFM inputs'!D$37, 'I | Historic capex'!$N$10:$Q$10, 0)), 'I | Historic capex'!$E$11:$E$160, 'O | RFM inputs'!$B46 )/10^6</f>
        <v>0</v>
      </c>
      <c r="E46" s="34">
        <f>SUMIFS(INDEX('I | Historic capex'!$N$11:$LG$160,, MATCH('O | RFM inputs'!E$37, 'I | Historic capex'!$N$10:$Q$10, 0)), 'I | Historic capex'!$E$11:$E$160, 'O | RFM inputs'!$B46 )/10^6</f>
        <v>0</v>
      </c>
      <c r="F46" s="34">
        <f>SUMIFS(INDEX('I | Historic capex'!$N$11:$LG$160,, MATCH('O | RFM inputs'!F$37, 'I | Historic capex'!$N$10:$Q$10, 0)), 'I | Historic capex'!$E$11:$E$160, 'O | RFM inputs'!$B46 )/10^6</f>
        <v>0</v>
      </c>
      <c r="G46" s="122">
        <f>SUMIF('C | RFM escalation'!$E$11:$E$160,$B46,'C | RFM escalation'!AI$11:AI$160)/10^6</f>
        <v>0</v>
      </c>
      <c r="H46" s="122">
        <f>(SUMIF('C | RFM escalation'!$E$11:$E$160,$B46,'C | RFM escalation'!AJ$11:AJ$160)+SUMIF('I | Historic capex'!$E$11:$E$160,$B46,'I | Historic capex'!X$11:X$160))/10^6</f>
        <v>0</v>
      </c>
      <c r="I46" s="124">
        <f t="shared" si="6"/>
        <v>0</v>
      </c>
      <c r="K46" s="3" t="str">
        <f>IF(ROUND(SUM(C47:F47)*10^6,2)=ROUND('I | Historic capex'!Q6,2),"OK","ERROR")</f>
        <v>OK</v>
      </c>
      <c r="L46" s="44" t="s">
        <v>192</v>
      </c>
    </row>
    <row r="47" spans="1:12" x14ac:dyDescent="0.3">
      <c r="A47" s="36"/>
      <c r="B47" s="33" t="s">
        <v>36</v>
      </c>
      <c r="C47" s="35">
        <f t="shared" ref="C47:H47" si="7">SUM(C38:C46)</f>
        <v>19.966951539234479</v>
      </c>
      <c r="D47" s="35">
        <f t="shared" si="7"/>
        <v>9.356754523128938</v>
      </c>
      <c r="E47" s="35">
        <f t="shared" si="7"/>
        <v>8.5946009640079613</v>
      </c>
      <c r="F47" s="35">
        <f t="shared" si="7"/>
        <v>22.958486230481665</v>
      </c>
      <c r="G47" s="123">
        <f t="shared" si="7"/>
        <v>11.511885323936458</v>
      </c>
      <c r="H47" s="123">
        <f t="shared" si="7"/>
        <v>24.337672887374655</v>
      </c>
      <c r="I47" s="35">
        <f>SUM(C47:H47)</f>
        <v>96.726351468164154</v>
      </c>
      <c r="K47" s="3" t="str">
        <f>IF(ROUND(SUM(G47:H47)*10^6,2)=ROUND(('C | RFM escalation'!AJ6+'I | Historic capex'!X6),2),"OK","ERROR")</f>
        <v>OK</v>
      </c>
      <c r="L47" s="42" t="s">
        <v>193</v>
      </c>
    </row>
    <row r="48" spans="1:12" s="37" customFormat="1" ht="12.75" x14ac:dyDescent="0.25">
      <c r="B48" s="38"/>
      <c r="C48" s="105" t="str">
        <f>IF(ROUND(C47*10^6,2)=ROUND('I | Historic capex'!N$161,2),"OK","CHECK")</f>
        <v>OK</v>
      </c>
      <c r="D48" s="105" t="str">
        <f>IF(ROUND(D47*10^6,2)=ROUND('I | Historic capex'!O$161,2),"OK","CHECK")</f>
        <v>OK</v>
      </c>
      <c r="E48" s="105" t="str">
        <f>IF(ROUND(E47*10^6,2)=ROUND('I | Historic capex'!P$161,2),"OK","CHECK")</f>
        <v>OK</v>
      </c>
      <c r="F48" s="105" t="str">
        <f>IF(ROUND(F47*10^6,2)=ROUND('I | Historic capex'!Q$161,2),"OK","CHECK")</f>
        <v>OK</v>
      </c>
      <c r="G48" s="105" t="str">
        <f>IF(ROUND(G47*10^6,2)=ROUND('C | RFM escalation'!AC$161,2),"OK","CHECK")</f>
        <v>OK</v>
      </c>
      <c r="H48" s="105" t="str">
        <f>IF(ROUND(H47*10^6,2)=ROUND('C | RFM escalation'!AD$161+'I | Historic capex'!X6,2),"OK","CHECK")</f>
        <v>OK</v>
      </c>
    </row>
    <row r="50" spans="1:9" x14ac:dyDescent="0.3">
      <c r="A50" s="13"/>
      <c r="B50" s="11" t="s">
        <v>42</v>
      </c>
      <c r="C50" s="102" t="s">
        <v>57</v>
      </c>
      <c r="D50" s="102" t="s">
        <v>56</v>
      </c>
      <c r="E50" s="102" t="s">
        <v>55</v>
      </c>
      <c r="F50" s="102" t="s">
        <v>54</v>
      </c>
      <c r="G50" s="103" t="s">
        <v>120</v>
      </c>
      <c r="H50" s="103" t="s">
        <v>119</v>
      </c>
      <c r="I50" s="102" t="s">
        <v>36</v>
      </c>
    </row>
    <row r="51" spans="1:9" x14ac:dyDescent="0.3">
      <c r="A51" s="31"/>
      <c r="B51" s="31" t="str">
        <f t="shared" ref="B51:B58" si="8">B38</f>
        <v>Pipelines</v>
      </c>
      <c r="C51" s="34">
        <v>0</v>
      </c>
      <c r="D51" s="34">
        <v>0</v>
      </c>
      <c r="E51" s="34">
        <v>0</v>
      </c>
      <c r="F51" s="34">
        <v>0</v>
      </c>
      <c r="G51" s="122">
        <v>0</v>
      </c>
      <c r="H51" s="122">
        <v>0</v>
      </c>
      <c r="I51" s="124">
        <f>SUM(C51:H51)</f>
        <v>0</v>
      </c>
    </row>
    <row r="52" spans="1:9" x14ac:dyDescent="0.3">
      <c r="A52" s="31"/>
      <c r="B52" s="31" t="str">
        <f t="shared" si="8"/>
        <v>Compressors</v>
      </c>
      <c r="C52" s="34">
        <v>0</v>
      </c>
      <c r="D52" s="34">
        <v>0</v>
      </c>
      <c r="E52" s="34">
        <v>0</v>
      </c>
      <c r="F52" s="34">
        <v>0</v>
      </c>
      <c r="G52" s="122">
        <v>0</v>
      </c>
      <c r="H52" s="122">
        <v>0</v>
      </c>
      <c r="I52" s="124">
        <f t="shared" ref="I52:I60" si="9">SUM(C52:H52)</f>
        <v>0</v>
      </c>
    </row>
    <row r="53" spans="1:9" x14ac:dyDescent="0.3">
      <c r="A53" s="31"/>
      <c r="B53" s="31" t="str">
        <f t="shared" si="8"/>
        <v>Regulators and meters</v>
      </c>
      <c r="C53" s="34">
        <v>0</v>
      </c>
      <c r="D53" s="34">
        <v>0</v>
      </c>
      <c r="E53" s="34">
        <v>0</v>
      </c>
      <c r="F53" s="34">
        <v>0</v>
      </c>
      <c r="G53" s="122">
        <v>0</v>
      </c>
      <c r="H53" s="122">
        <v>0</v>
      </c>
      <c r="I53" s="124">
        <f t="shared" si="9"/>
        <v>0</v>
      </c>
    </row>
    <row r="54" spans="1:9" x14ac:dyDescent="0.3">
      <c r="A54" s="31"/>
      <c r="B54" s="31" t="str">
        <f t="shared" si="8"/>
        <v>Easements</v>
      </c>
      <c r="C54" s="34">
        <v>0</v>
      </c>
      <c r="D54" s="34">
        <v>0</v>
      </c>
      <c r="E54" s="34">
        <v>0</v>
      </c>
      <c r="F54" s="34">
        <v>0</v>
      </c>
      <c r="G54" s="122">
        <v>0</v>
      </c>
      <c r="H54" s="122">
        <v>0</v>
      </c>
      <c r="I54" s="124">
        <f t="shared" si="9"/>
        <v>0</v>
      </c>
    </row>
    <row r="55" spans="1:9" x14ac:dyDescent="0.3">
      <c r="A55" s="31"/>
      <c r="B55" s="31" t="str">
        <f t="shared" si="8"/>
        <v>Communications</v>
      </c>
      <c r="C55" s="34">
        <v>0</v>
      </c>
      <c r="D55" s="34">
        <v>0</v>
      </c>
      <c r="E55" s="34">
        <v>0</v>
      </c>
      <c r="F55" s="34">
        <v>0</v>
      </c>
      <c r="G55" s="122">
        <v>0</v>
      </c>
      <c r="H55" s="122">
        <v>0</v>
      </c>
      <c r="I55" s="124">
        <f t="shared" si="9"/>
        <v>0</v>
      </c>
    </row>
    <row r="56" spans="1:9" x14ac:dyDescent="0.3">
      <c r="A56" s="31"/>
      <c r="B56" s="31" t="str">
        <f t="shared" si="8"/>
        <v>Capitalised AA costs</v>
      </c>
      <c r="C56" s="34">
        <v>0</v>
      </c>
      <c r="D56" s="34">
        <v>0</v>
      </c>
      <c r="E56" s="34">
        <v>0</v>
      </c>
      <c r="F56" s="34">
        <v>0</v>
      </c>
      <c r="G56" s="122">
        <v>0</v>
      </c>
      <c r="H56" s="122">
        <v>0</v>
      </c>
      <c r="I56" s="124">
        <f t="shared" si="9"/>
        <v>0</v>
      </c>
    </row>
    <row r="57" spans="1:9" x14ac:dyDescent="0.3">
      <c r="A57" s="31"/>
      <c r="B57" s="31" t="str">
        <f t="shared" si="8"/>
        <v>Group IT</v>
      </c>
      <c r="C57" s="34">
        <v>0</v>
      </c>
      <c r="D57" s="34">
        <v>0</v>
      </c>
      <c r="E57" s="34">
        <v>0</v>
      </c>
      <c r="F57" s="34">
        <v>0</v>
      </c>
      <c r="G57" s="122">
        <v>0</v>
      </c>
      <c r="H57" s="122">
        <v>0</v>
      </c>
      <c r="I57" s="124">
        <f t="shared" si="9"/>
        <v>0</v>
      </c>
    </row>
    <row r="58" spans="1:9" x14ac:dyDescent="0.3">
      <c r="A58" s="31"/>
      <c r="B58" s="31" t="str">
        <f t="shared" si="8"/>
        <v>SIB Capex</v>
      </c>
      <c r="C58" s="34">
        <v>1.0869970670398638E-3</v>
      </c>
      <c r="D58" s="34">
        <v>3.8163580886065073E-3</v>
      </c>
      <c r="E58" s="34">
        <v>9.5067978462319395E-3</v>
      </c>
      <c r="F58" s="34">
        <v>1.8493792836052153E-2</v>
      </c>
      <c r="G58" s="122">
        <v>0</v>
      </c>
      <c r="H58" s="122">
        <v>0</v>
      </c>
      <c r="I58" s="124">
        <f t="shared" si="9"/>
        <v>3.2903945837930465E-2</v>
      </c>
    </row>
    <row r="59" spans="1:9" x14ac:dyDescent="0.3">
      <c r="A59" s="31"/>
      <c r="B59" s="31">
        <f>B46</f>
        <v>0</v>
      </c>
      <c r="C59" s="34">
        <v>0</v>
      </c>
      <c r="D59" s="34">
        <v>0</v>
      </c>
      <c r="E59" s="34">
        <v>0</v>
      </c>
      <c r="F59" s="34">
        <v>0</v>
      </c>
      <c r="G59" s="122">
        <v>0</v>
      </c>
      <c r="H59" s="122">
        <v>0</v>
      </c>
      <c r="I59" s="124">
        <f t="shared" si="9"/>
        <v>0</v>
      </c>
    </row>
    <row r="60" spans="1:9" x14ac:dyDescent="0.3">
      <c r="A60" s="36"/>
      <c r="B60" s="33" t="s">
        <v>36</v>
      </c>
      <c r="C60" s="33">
        <f t="shared" ref="C60:H60" si="10">SUM(C51:C59)</f>
        <v>1.0869970670398638E-3</v>
      </c>
      <c r="D60" s="33">
        <f t="shared" si="10"/>
        <v>3.8163580886065073E-3</v>
      </c>
      <c r="E60" s="33">
        <f t="shared" si="10"/>
        <v>9.5067978462319395E-3</v>
      </c>
      <c r="F60" s="33">
        <f t="shared" si="10"/>
        <v>1.8493792836052153E-2</v>
      </c>
      <c r="G60" s="32">
        <f t="shared" si="10"/>
        <v>0</v>
      </c>
      <c r="H60" s="32">
        <f t="shared" si="10"/>
        <v>0</v>
      </c>
      <c r="I60" s="35">
        <f t="shared" si="9"/>
        <v>3.2903945837930465E-2</v>
      </c>
    </row>
    <row r="61" spans="1:9" s="37" customFormat="1" ht="12.75" x14ac:dyDescent="0.25">
      <c r="B61" s="38"/>
      <c r="C61" s="39"/>
      <c r="D61" s="39"/>
      <c r="E61" s="39"/>
      <c r="F61" s="39"/>
      <c r="G61" s="39"/>
      <c r="H61" s="39"/>
    </row>
    <row r="62" spans="1:9" x14ac:dyDescent="0.3">
      <c r="A62" s="13"/>
      <c r="B62" s="11" t="s">
        <v>290</v>
      </c>
      <c r="C62" s="102" t="s">
        <v>57</v>
      </c>
      <c r="D62" s="102" t="s">
        <v>56</v>
      </c>
      <c r="E62" s="102" t="s">
        <v>55</v>
      </c>
      <c r="F62" s="102" t="s">
        <v>54</v>
      </c>
      <c r="G62" s="103" t="s">
        <v>120</v>
      </c>
      <c r="H62" s="103" t="s">
        <v>119</v>
      </c>
      <c r="I62" s="102" t="s">
        <v>36</v>
      </c>
    </row>
    <row r="63" spans="1:9" x14ac:dyDescent="0.3">
      <c r="A63" s="31"/>
      <c r="B63" s="31" t="str">
        <f t="shared" ref="B63:B69" si="11">B51</f>
        <v>Pipelines</v>
      </c>
      <c r="C63" s="34">
        <v>2.5226377400000004</v>
      </c>
      <c r="D63" s="34">
        <v>1.89777993</v>
      </c>
      <c r="E63" s="34">
        <v>9.969813000000001E-2</v>
      </c>
      <c r="F63" s="34">
        <v>3.2506609999999996</v>
      </c>
      <c r="G63" s="122">
        <v>0</v>
      </c>
      <c r="H63" s="122">
        <v>0</v>
      </c>
      <c r="I63" s="124">
        <f>SUM(C63:H63)</f>
        <v>7.7707768000000002</v>
      </c>
    </row>
    <row r="64" spans="1:9" x14ac:dyDescent="0.3">
      <c r="A64" s="31"/>
      <c r="B64" s="31" t="str">
        <f t="shared" si="11"/>
        <v>Compressors</v>
      </c>
      <c r="C64" s="34">
        <v>0</v>
      </c>
      <c r="D64" s="34">
        <v>1.62629216</v>
      </c>
      <c r="E64" s="34">
        <v>3.20798E-3</v>
      </c>
      <c r="F64" s="34">
        <v>0</v>
      </c>
      <c r="G64" s="122">
        <v>0</v>
      </c>
      <c r="H64" s="122">
        <v>0</v>
      </c>
      <c r="I64" s="124">
        <f t="shared" ref="I64:I71" si="12">SUM(C64:H64)</f>
        <v>1.62950014</v>
      </c>
    </row>
    <row r="65" spans="1:9" x14ac:dyDescent="0.3">
      <c r="A65" s="31"/>
      <c r="B65" s="31" t="str">
        <f t="shared" si="11"/>
        <v>Regulators and meters</v>
      </c>
      <c r="C65" s="34">
        <v>0.20831126999999999</v>
      </c>
      <c r="D65" s="34">
        <v>0.19630739999999999</v>
      </c>
      <c r="E65" s="34">
        <v>0</v>
      </c>
      <c r="F65" s="34">
        <v>0</v>
      </c>
      <c r="G65" s="122">
        <v>0</v>
      </c>
      <c r="H65" s="122">
        <v>0</v>
      </c>
      <c r="I65" s="124">
        <f t="shared" si="12"/>
        <v>0.40461866999999996</v>
      </c>
    </row>
    <row r="66" spans="1:9" x14ac:dyDescent="0.3">
      <c r="A66" s="31"/>
      <c r="B66" s="31" t="str">
        <f t="shared" si="11"/>
        <v>Easements</v>
      </c>
      <c r="C66" s="34">
        <v>0</v>
      </c>
      <c r="D66" s="34">
        <v>0</v>
      </c>
      <c r="E66" s="34">
        <v>0</v>
      </c>
      <c r="F66" s="34">
        <v>0</v>
      </c>
      <c r="G66" s="122">
        <v>0</v>
      </c>
      <c r="H66" s="122">
        <v>0</v>
      </c>
      <c r="I66" s="124">
        <f t="shared" si="12"/>
        <v>0</v>
      </c>
    </row>
    <row r="67" spans="1:9" x14ac:dyDescent="0.3">
      <c r="A67" s="31"/>
      <c r="B67" s="31" t="str">
        <f t="shared" si="11"/>
        <v>Communications</v>
      </c>
      <c r="C67" s="34">
        <v>0</v>
      </c>
      <c r="D67" s="34">
        <v>0</v>
      </c>
      <c r="E67" s="34">
        <v>0</v>
      </c>
      <c r="F67" s="34">
        <v>0</v>
      </c>
      <c r="G67" s="122">
        <v>0</v>
      </c>
      <c r="H67" s="122">
        <v>0</v>
      </c>
      <c r="I67" s="124">
        <f t="shared" si="12"/>
        <v>0</v>
      </c>
    </row>
    <row r="68" spans="1:9" x14ac:dyDescent="0.3">
      <c r="A68" s="31"/>
      <c r="B68" s="31" t="str">
        <f t="shared" si="11"/>
        <v>Capitalised AA costs</v>
      </c>
      <c r="C68" s="34">
        <v>0</v>
      </c>
      <c r="D68" s="34">
        <v>0</v>
      </c>
      <c r="E68" s="34">
        <v>0</v>
      </c>
      <c r="F68" s="34">
        <v>0</v>
      </c>
      <c r="G68" s="122">
        <v>0</v>
      </c>
      <c r="H68" s="122">
        <v>0</v>
      </c>
      <c r="I68" s="124">
        <f t="shared" si="12"/>
        <v>0</v>
      </c>
    </row>
    <row r="69" spans="1:9" x14ac:dyDescent="0.3">
      <c r="A69" s="31"/>
      <c r="B69" s="31" t="str">
        <f t="shared" si="11"/>
        <v>Group IT</v>
      </c>
      <c r="C69" s="34">
        <v>3.7278834004055857E-2</v>
      </c>
      <c r="D69" s="34">
        <v>6.1632048330951317E-2</v>
      </c>
      <c r="E69" s="34">
        <v>3.3180051238542542E-2</v>
      </c>
      <c r="F69" s="34">
        <v>3.0997720312375656E-2</v>
      </c>
      <c r="G69" s="122">
        <v>0</v>
      </c>
      <c r="H69" s="122">
        <v>0</v>
      </c>
      <c r="I69" s="124">
        <f t="shared" si="12"/>
        <v>0.16308865388592536</v>
      </c>
    </row>
    <row r="70" spans="1:9" x14ac:dyDescent="0.3">
      <c r="A70" s="31"/>
      <c r="B70" s="31" t="str">
        <f>B58</f>
        <v>SIB Capex</v>
      </c>
      <c r="C70" s="34">
        <v>1.5450806736411773E-2</v>
      </c>
      <c r="D70" s="34">
        <v>0.16286634012005433</v>
      </c>
      <c r="E70" s="34">
        <v>1.228011493762936E-2</v>
      </c>
      <c r="F70" s="34">
        <v>4.3456272884801637E-3</v>
      </c>
      <c r="G70" s="122">
        <v>0.15348548725328523</v>
      </c>
      <c r="H70" s="122">
        <v>0.15962490674341662</v>
      </c>
      <c r="I70" s="124">
        <f t="shared" si="12"/>
        <v>0.50805328307927744</v>
      </c>
    </row>
    <row r="71" spans="1:9" x14ac:dyDescent="0.3">
      <c r="A71" s="36"/>
      <c r="B71" s="33" t="s">
        <v>36</v>
      </c>
      <c r="C71" s="35">
        <f t="shared" ref="C71:H71" si="13">SUM(C63:C70)</f>
        <v>2.7836786507404678</v>
      </c>
      <c r="D71" s="35">
        <f t="shared" si="13"/>
        <v>3.9448778784510052</v>
      </c>
      <c r="E71" s="35">
        <f t="shared" si="13"/>
        <v>0.14836627617617193</v>
      </c>
      <c r="F71" s="35">
        <f t="shared" si="13"/>
        <v>3.2860043476008554</v>
      </c>
      <c r="G71" s="123">
        <f t="shared" si="13"/>
        <v>0.15348548725328523</v>
      </c>
      <c r="H71" s="123">
        <f t="shared" si="13"/>
        <v>0.15962490674341662</v>
      </c>
      <c r="I71" s="35">
        <f t="shared" si="12"/>
        <v>10.476037546965202</v>
      </c>
    </row>
  </sheetData>
  <conditionalFormatting sqref="K2">
    <cfRule type="cellIs" dxfId="35" priority="7" operator="equal">
      <formula>"ERROR"</formula>
    </cfRule>
    <cfRule type="cellIs" dxfId="34" priority="8" operator="equal">
      <formula>"OK"</formula>
    </cfRule>
  </conditionalFormatting>
  <conditionalFormatting sqref="K20:K21">
    <cfRule type="cellIs" dxfId="33" priority="13" operator="equal">
      <formula>"ERROR"</formula>
    </cfRule>
    <cfRule type="cellIs" dxfId="32" priority="14" operator="equal">
      <formula>"OK"</formula>
    </cfRule>
  </conditionalFormatting>
  <conditionalFormatting sqref="K46:K47">
    <cfRule type="cellIs" dxfId="31" priority="11" operator="equal">
      <formula>"ERROR"</formula>
    </cfRule>
    <cfRule type="cellIs" dxfId="30" priority="12" operator="equal">
      <formula>"OK"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Mapping</vt:lpstr>
      <vt:lpstr>I | Inflation</vt:lpstr>
      <vt:lpstr>I | Forecast 23-27</vt:lpstr>
      <vt:lpstr>I | Historic capex</vt:lpstr>
      <vt:lpstr>I | Capex forecast</vt:lpstr>
      <vt:lpstr>C | Forecast escalation</vt:lpstr>
      <vt:lpstr>C | RFM escalation</vt:lpstr>
      <vt:lpstr>C | PTRM escalation</vt:lpstr>
      <vt:lpstr>O | RFM inputs</vt:lpstr>
      <vt:lpstr>O | PTRM inputs</vt:lpstr>
      <vt:lpstr>O | Reset RIN</vt:lpstr>
      <vt:lpstr>O | Overview</vt:lpstr>
      <vt:lpstr>O | BCs</vt:lpstr>
      <vt:lpstr>O | Graphs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2026-07-13T05:18:54Z</dcterms:created>
  <dcterms:modified xsi:type="dcterms:W3CDTF">2026-07-13T05:19:28Z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2026-07-13T05:19:27Z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d09c5b0a-8b16-4fe7-89a1-4810a1636215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