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/>
  <xr:revisionPtr revIDLastSave="0" documentId="13_ncr:1_{79BD232F-D3FD-49CE-AD90-E461130633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puts" sheetId="2" r:id="rId1"/>
    <sheet name="Calculations" sheetId="3" r:id="rId2"/>
    <sheet name="Outputs" sheetId="4" r:id="rId3"/>
    <sheet name="Bill Impact" sheetId="5" r:id="rId4"/>
    <sheet name="Graphs" sheetId="6" r:id="rId5"/>
  </sheets>
  <definedNames>
    <definedName name="FY22Inf">Inputs!$C$38</definedName>
    <definedName name="FY22RefTariff">Inputs!$C$49</definedName>
    <definedName name="WACC">Inputs!$C$41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5" l="1"/>
  <c r="C20" i="5" l="1"/>
  <c r="E20" i="5" l="1"/>
  <c r="E21" i="5"/>
  <c r="D21" i="5"/>
  <c r="D20" i="5"/>
  <c r="B21" i="5"/>
  <c r="B20" i="5"/>
  <c r="C3" i="4" l="1"/>
  <c r="C13" i="6" l="1"/>
  <c r="B12" i="6" l="1"/>
  <c r="D39" i="3"/>
  <c r="D3" i="4" s="1"/>
  <c r="D13" i="6" l="1"/>
  <c r="E39" i="3"/>
  <c r="E3" i="4" s="1"/>
  <c r="A4" i="6"/>
  <c r="A5" i="6"/>
  <c r="A6" i="6"/>
  <c r="A3" i="6"/>
  <c r="B25" i="5"/>
  <c r="B24" i="5"/>
  <c r="F3" i="5"/>
  <c r="F10" i="5" s="1"/>
  <c r="E13" i="6" l="1"/>
  <c r="F11" i="5"/>
  <c r="F21" i="5" s="1"/>
  <c r="F20" i="5"/>
  <c r="F39" i="3"/>
  <c r="F3" i="4" s="1"/>
  <c r="C30" i="3"/>
  <c r="D30" i="3" s="1"/>
  <c r="E30" i="3" s="1"/>
  <c r="F30" i="3" s="1"/>
  <c r="G30" i="3" s="1"/>
  <c r="B4" i="6"/>
  <c r="B5" i="6"/>
  <c r="B6" i="6"/>
  <c r="C3" i="6"/>
  <c r="C4" i="6"/>
  <c r="C5" i="6"/>
  <c r="C6" i="6"/>
  <c r="D3" i="6"/>
  <c r="D4" i="6"/>
  <c r="D5" i="6"/>
  <c r="D6" i="6"/>
  <c r="E3" i="6"/>
  <c r="E4" i="6"/>
  <c r="E5" i="6"/>
  <c r="E6" i="6"/>
  <c r="F3" i="6"/>
  <c r="F4" i="6"/>
  <c r="F5" i="6"/>
  <c r="F6" i="6"/>
  <c r="D25" i="3"/>
  <c r="E25" i="3"/>
  <c r="F25" i="3"/>
  <c r="G25" i="3"/>
  <c r="C25" i="3"/>
  <c r="E28" i="4"/>
  <c r="F28" i="4"/>
  <c r="G28" i="4"/>
  <c r="H28" i="4"/>
  <c r="D28" i="4"/>
  <c r="D2" i="4"/>
  <c r="D6" i="4"/>
  <c r="D10" i="4"/>
  <c r="D16" i="4"/>
  <c r="E25" i="4"/>
  <c r="E2" i="4"/>
  <c r="E6" i="4"/>
  <c r="E10" i="4"/>
  <c r="E16" i="4"/>
  <c r="F25" i="4"/>
  <c r="F2" i="4"/>
  <c r="F6" i="4"/>
  <c r="F10" i="4"/>
  <c r="F16" i="4"/>
  <c r="G25" i="4"/>
  <c r="G2" i="4"/>
  <c r="G6" i="4"/>
  <c r="G10" i="4"/>
  <c r="G16" i="4"/>
  <c r="H25" i="4"/>
  <c r="C2" i="4"/>
  <c r="C6" i="4"/>
  <c r="C10" i="4"/>
  <c r="C16" i="4"/>
  <c r="D25" i="4"/>
  <c r="D18" i="4"/>
  <c r="F19" i="4"/>
  <c r="F20" i="4"/>
  <c r="D21" i="4"/>
  <c r="E21" i="4"/>
  <c r="F21" i="4"/>
  <c r="G21" i="4"/>
  <c r="C19" i="4"/>
  <c r="C21" i="4"/>
  <c r="B18" i="4"/>
  <c r="B19" i="4"/>
  <c r="B20" i="4"/>
  <c r="B21" i="4"/>
  <c r="B17" i="4"/>
  <c r="D26" i="3"/>
  <c r="D27" i="3"/>
  <c r="E26" i="3"/>
  <c r="E27" i="3"/>
  <c r="F26" i="3"/>
  <c r="F27" i="3"/>
  <c r="G26" i="3"/>
  <c r="G27" i="3"/>
  <c r="C26" i="3"/>
  <c r="C27" i="3"/>
  <c r="B3" i="4"/>
  <c r="E35" i="4"/>
  <c r="F35" i="4"/>
  <c r="G35" i="4"/>
  <c r="H35" i="4"/>
  <c r="D35" i="4"/>
  <c r="B26" i="4"/>
  <c r="C26" i="4"/>
  <c r="B26" i="3"/>
  <c r="B25" i="3"/>
  <c r="B34" i="3"/>
  <c r="G30" i="4"/>
  <c r="D34" i="2"/>
  <c r="D33" i="2"/>
  <c r="E34" i="2"/>
  <c r="E33" i="2"/>
  <c r="F33" i="2"/>
  <c r="F34" i="2"/>
  <c r="G33" i="2"/>
  <c r="G34" i="2"/>
  <c r="B16" i="3"/>
  <c r="D30" i="4"/>
  <c r="F13" i="6" l="1"/>
  <c r="G39" i="3"/>
  <c r="G3" i="4" s="1"/>
  <c r="G17" i="4"/>
  <c r="E18" i="4"/>
  <c r="C18" i="4"/>
  <c r="F17" i="4"/>
  <c r="D7" i="6"/>
  <c r="F30" i="4"/>
  <c r="E30" i="4"/>
  <c r="E17" i="4"/>
  <c r="D28" i="2"/>
  <c r="D18" i="3" s="1"/>
  <c r="D21" i="3" s="1"/>
  <c r="D34" i="3" s="1"/>
  <c r="G28" i="2"/>
  <c r="G18" i="3" s="1"/>
  <c r="G21" i="3" s="1"/>
  <c r="G34" i="3" s="1"/>
  <c r="C7" i="6"/>
  <c r="D17" i="4"/>
  <c r="F7" i="6"/>
  <c r="G20" i="4"/>
  <c r="E20" i="4"/>
  <c r="F28" i="2"/>
  <c r="F18" i="3" s="1"/>
  <c r="F21" i="3" s="1"/>
  <c r="F34" i="3" s="1"/>
  <c r="G19" i="4"/>
  <c r="C28" i="2"/>
  <c r="C18" i="3" s="1"/>
  <c r="C21" i="3" s="1"/>
  <c r="C34" i="3" s="1"/>
  <c r="B3" i="6"/>
  <c r="H30" i="4"/>
  <c r="E7" i="6"/>
  <c r="D20" i="4"/>
  <c r="E19" i="4"/>
  <c r="D19" i="4"/>
  <c r="G18" i="4"/>
  <c r="C20" i="4"/>
  <c r="F18" i="4"/>
  <c r="E28" i="2"/>
  <c r="E18" i="3" s="1"/>
  <c r="E21" i="3" s="1"/>
  <c r="E34" i="3" s="1"/>
  <c r="C17" i="4"/>
  <c r="C22" i="4" s="1"/>
  <c r="G13" i="6" l="1"/>
  <c r="B7" i="6"/>
  <c r="F22" i="4"/>
  <c r="D22" i="4"/>
  <c r="G22" i="4"/>
  <c r="E22" i="4"/>
  <c r="C39" i="2" l="1"/>
  <c r="D39" i="2" s="1"/>
  <c r="E39" i="2" s="1"/>
  <c r="F39" i="2" s="1"/>
  <c r="G39" i="2" s="1"/>
  <c r="C36" i="3" l="1"/>
  <c r="C35" i="3" s="1"/>
  <c r="C7" i="4" l="1"/>
  <c r="C11" i="4" s="1"/>
  <c r="D29" i="4"/>
  <c r="D31" i="4" s="1"/>
  <c r="D36" i="3"/>
  <c r="E36" i="3" s="1"/>
  <c r="C32" i="3"/>
  <c r="D26" i="4"/>
  <c r="D35" i="3" l="1"/>
  <c r="D32" i="3" s="1"/>
  <c r="E29" i="4"/>
  <c r="E31" i="4" s="1"/>
  <c r="D7" i="4"/>
  <c r="D11" i="4" s="1"/>
  <c r="D43" i="3" s="1"/>
  <c r="D36" i="4"/>
  <c r="F29" i="4"/>
  <c r="F31" i="4" s="1"/>
  <c r="E35" i="3"/>
  <c r="F36" i="3"/>
  <c r="E7" i="4"/>
  <c r="E11" i="4" s="1"/>
  <c r="C43" i="3"/>
  <c r="C44" i="3" s="1"/>
  <c r="C12" i="6"/>
  <c r="E26" i="4" l="1"/>
  <c r="D12" i="6"/>
  <c r="E12" i="6"/>
  <c r="E43" i="3"/>
  <c r="E44" i="3" s="1"/>
  <c r="G29" i="4"/>
  <c r="G31" i="4" s="1"/>
  <c r="G36" i="3"/>
  <c r="F35" i="3"/>
  <c r="F7" i="4"/>
  <c r="F26" i="4"/>
  <c r="E32" i="3"/>
  <c r="D44" i="3"/>
  <c r="E36" i="4" l="1"/>
  <c r="F36" i="4"/>
  <c r="F11" i="4"/>
  <c r="F32" i="3"/>
  <c r="G26" i="4"/>
  <c r="G35" i="3"/>
  <c r="H29" i="4"/>
  <c r="H31" i="4" s="1"/>
  <c r="G7" i="4"/>
  <c r="G11" i="4" s="1"/>
  <c r="G36" i="4" l="1"/>
  <c r="G12" i="6"/>
  <c r="G43" i="3"/>
  <c r="H26" i="4"/>
  <c r="G32" i="3"/>
  <c r="I32" i="3" s="1"/>
  <c r="C3" i="5"/>
  <c r="C10" i="5" s="1"/>
  <c r="C11" i="5" s="1"/>
  <c r="F43" i="3"/>
  <c r="F44" i="3" s="1"/>
  <c r="F12" i="6"/>
  <c r="C25" i="5" l="1"/>
  <c r="C24" i="5"/>
  <c r="H36" i="4"/>
  <c r="G44" i="3"/>
  <c r="C16" i="3" l="1"/>
  <c r="C31" i="3" s="1"/>
  <c r="C22" i="3"/>
  <c r="C41" i="3" s="1"/>
  <c r="D16" i="3" l="1"/>
  <c r="D31" i="3" l="1"/>
  <c r="D22" i="3"/>
  <c r="D41" i="3" s="1"/>
  <c r="E16" i="3" l="1"/>
  <c r="E22" i="3" l="1"/>
  <c r="E41" i="3" s="1"/>
  <c r="E31" i="3"/>
  <c r="F16" i="3" l="1"/>
  <c r="F31" i="3" s="1"/>
  <c r="F22" i="3" l="1"/>
  <c r="F41" i="3" s="1"/>
  <c r="G16" i="3" l="1"/>
  <c r="G31" i="3" l="1"/>
  <c r="I31" i="3" s="1"/>
  <c r="I39" i="3" s="1"/>
  <c r="G22" i="3"/>
  <c r="G41" i="3" s="1"/>
</calcChain>
</file>

<file path=xl/sharedStrings.xml><?xml version="1.0" encoding="utf-8"?>
<sst xmlns="http://schemas.openxmlformats.org/spreadsheetml/2006/main" count="162" uniqueCount="122">
  <si>
    <t>Roma Brisbane Pipeline</t>
  </si>
  <si>
    <t>Reference Tariff Model</t>
  </si>
  <si>
    <t>Item</t>
  </si>
  <si>
    <t>Dollars</t>
  </si>
  <si>
    <t>FY2027</t>
  </si>
  <si>
    <t>Building Block Revenue</t>
  </si>
  <si>
    <t>Building Block Revenue from PTRM</t>
  </si>
  <si>
    <t>Forecast Nom</t>
  </si>
  <si>
    <t>Demand</t>
  </si>
  <si>
    <t xml:space="preserve"> TJ MDQ/Day</t>
  </si>
  <si>
    <t>GPG</t>
  </si>
  <si>
    <t>Prudent Discount</t>
  </si>
  <si>
    <t>Westbound</t>
  </si>
  <si>
    <t>Prudent Discount Volumes</t>
  </si>
  <si>
    <t>GJ</t>
  </si>
  <si>
    <t>Total</t>
  </si>
  <si>
    <t>Set Prices</t>
  </si>
  <si>
    <t>$/GJ MDQ/Day</t>
  </si>
  <si>
    <t>$/GJ</t>
  </si>
  <si>
    <t>Other inputs</t>
  </si>
  <si>
    <t>CPI</t>
  </si>
  <si>
    <t>WACC</t>
  </si>
  <si>
    <t xml:space="preserve">nominal vanilla </t>
  </si>
  <si>
    <t>Days in Year</t>
  </si>
  <si>
    <t>days</t>
  </si>
  <si>
    <t>Terajoule</t>
  </si>
  <si>
    <t>$FY22</t>
  </si>
  <si>
    <t>Real Revenue from PTRM</t>
  </si>
  <si>
    <t>NPV</t>
  </si>
  <si>
    <t>Total Volumes</t>
  </si>
  <si>
    <t>GJ MDQ/year</t>
  </si>
  <si>
    <t>Prudent Discount Firm Demand</t>
  </si>
  <si>
    <t>Prudent Discount Firm Tariff</t>
  </si>
  <si>
    <t>Prudent Discount Revenue</t>
  </si>
  <si>
    <t>$m</t>
  </si>
  <si>
    <t>Non Discount Demand</t>
  </si>
  <si>
    <t>P0</t>
  </si>
  <si>
    <t>X1</t>
  </si>
  <si>
    <t>X2</t>
  </si>
  <si>
    <t>X3</t>
  </si>
  <si>
    <t>X4</t>
  </si>
  <si>
    <t>X Factors</t>
  </si>
  <si>
    <t>Reference Service</t>
  </si>
  <si>
    <t>Forecast Reference Tariff (Nominal)</t>
  </si>
  <si>
    <t>Service</t>
  </si>
  <si>
    <t>Forecast Reference Tariff (Real)</t>
  </si>
  <si>
    <t>Component (TJ MDW/Day)</t>
  </si>
  <si>
    <t>Revenue</t>
  </si>
  <si>
    <t>$GJ MDQ</t>
  </si>
  <si>
    <t>GPG Volumes</t>
  </si>
  <si>
    <t>GJ MDQ PA</t>
  </si>
  <si>
    <t>GPG Revenue</t>
  </si>
  <si>
    <t>Retail</t>
  </si>
  <si>
    <t>Industrial and Commercial</t>
  </si>
  <si>
    <t>Prudent Discount Price</t>
  </si>
  <si>
    <t>Non Prudent Discount Volumes</t>
  </si>
  <si>
    <t>Reference tariff in Current AA</t>
  </si>
  <si>
    <t xml:space="preserve">Prudent Discount </t>
  </si>
  <si>
    <t>Headline</t>
  </si>
  <si>
    <t>Reference Tariff Calculation</t>
  </si>
  <si>
    <t>Non Purdent Discount  Building Block Revenues</t>
  </si>
  <si>
    <t>FY 2027 Forecast Revenue</t>
  </si>
  <si>
    <t>Residual in year 1 ($m)</t>
  </si>
  <si>
    <t>Reference Tariff</t>
  </si>
  <si>
    <t>FY 28</t>
  </si>
  <si>
    <t>FY 29</t>
  </si>
  <si>
    <t>FY 30</t>
  </si>
  <si>
    <t>FY 31</t>
  </si>
  <si>
    <t>FY 32</t>
  </si>
  <si>
    <t>Smoothed reference service</t>
  </si>
  <si>
    <t>X factor</t>
  </si>
  <si>
    <t>Cumulative Discount Rate</t>
  </si>
  <si>
    <t>Index</t>
  </si>
  <si>
    <t>PV Building Block Revenue</t>
  </si>
  <si>
    <t>PV Reference Revenue</t>
  </si>
  <si>
    <t>$m PV</t>
  </si>
  <si>
    <t>Real Revenue ($FY27)</t>
  </si>
  <si>
    <t>Volumes</t>
  </si>
  <si>
    <t>Average Bill</t>
  </si>
  <si>
    <t>Source</t>
  </si>
  <si>
    <t>Annual retail markets report 2023–24</t>
  </si>
  <si>
    <t>Year</t>
  </si>
  <si>
    <t>AGN</t>
  </si>
  <si>
    <t>AllGas</t>
  </si>
  <si>
    <t>Value</t>
  </si>
  <si>
    <t>Volume</t>
  </si>
  <si>
    <t>$/GJ/day</t>
  </si>
  <si>
    <t>MJ/year</t>
  </si>
  <si>
    <t>$/year</t>
  </si>
  <si>
    <t>Outputs</t>
  </si>
  <si>
    <t>RBP in the Bill</t>
  </si>
  <si>
    <t>FY 24</t>
  </si>
  <si>
    <t>Per year</t>
  </si>
  <si>
    <t>Bill Component</t>
  </si>
  <si>
    <t>Portion of the Bill</t>
  </si>
  <si>
    <t>$/MJ</t>
  </si>
  <si>
    <t>FY 2028</t>
  </si>
  <si>
    <t>FY 2029</t>
  </si>
  <si>
    <t>FY 2030</t>
  </si>
  <si>
    <t>FY 2031</t>
  </si>
  <si>
    <t>FY 2032</t>
  </si>
  <si>
    <t>Demand (TJ/MDQ/Day)</t>
  </si>
  <si>
    <t>Goal Seek to Zero</t>
  </si>
  <si>
    <t>Long Term Firm Service</t>
  </si>
  <si>
    <t>$FY27</t>
  </si>
  <si>
    <t>X factors</t>
  </si>
  <si>
    <t>Reference tariff path</t>
  </si>
  <si>
    <t>Delta</t>
  </si>
  <si>
    <t>Gamma</t>
  </si>
  <si>
    <t>2026–27</t>
  </si>
  <si>
    <t>2027–28</t>
  </si>
  <si>
    <t>2028–29</t>
  </si>
  <si>
    <t>2029–30</t>
  </si>
  <si>
    <t>2030–31</t>
  </si>
  <si>
    <t>2031–32</t>
  </si>
  <si>
    <t>Reference price path</t>
  </si>
  <si>
    <t>Annual retail markets report 2023–24 Fig 2.16</t>
  </si>
  <si>
    <t>$FY27 index</t>
  </si>
  <si>
    <t>Inflation</t>
  </si>
  <si>
    <t>ABS</t>
  </si>
  <si>
    <t>RBA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</si>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</sst>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;[Red]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_-* #,##0.0000_-;\-* #,##0.0000_-;_-* &quot;-&quot;??_-;_-@_-"/>
    <numFmt numFmtId="167" formatCode="0.0"/>
    <numFmt numFmtId="168" formatCode="_-&quot;$&quot;* #,##0.0_-;\-&quot;$&quot;* #,##0.0_-;_-&quot;$&quot;* &quot;-&quot;??_-;_-@_-"/>
    <numFmt numFmtId="169" formatCode="_-* #,##0.0_-;\-* #,##0.0_-;_-* &quot;-&quot;??_-;_-@_-"/>
    <numFmt numFmtId="170" formatCode="0.0%"/>
  </numFmts>
  <fonts count="12" x14ac:knownFonts="1">
    <font>
      <sz val="9"/>
      <color theme="1"/>
      <name val="Century Gothic"/>
      <family val="2"/>
    </font>
    <font>
      <sz val="20"/>
      <color theme="2" tint="-0.749992370372631"/>
      <name val="Century Gothic"/>
      <family val="2"/>
    </font>
    <font>
      <sz val="36"/>
      <color rgb="FFC00000"/>
      <name val="Century Gothic"/>
      <family val="2"/>
    </font>
    <font>
      <sz val="8"/>
      <name val="Century Gothic"/>
      <family val="2"/>
    </font>
    <font>
      <b/>
      <sz val="14"/>
      <color theme="4" tint="-0.499984740745262"/>
      <name val="Century Gothic"/>
      <family val="2"/>
    </font>
    <font>
      <sz val="36"/>
      <color rgb="FFC8102E"/>
      <name val="Century Gothic"/>
      <family val="2"/>
    </font>
    <font>
      <sz val="8"/>
      <color rgb="FF005567"/>
      <name val="Century Gothic"/>
      <family val="2"/>
    </font>
    <font>
      <sz val="9"/>
      <color theme="1"/>
      <name val="Century Gothic"/>
      <family val="2"/>
    </font>
    <font>
      <b/>
      <sz val="12"/>
      <color rgb="FFC00000"/>
      <name val="Century Gothic"/>
      <family val="2"/>
    </font>
    <font>
      <sz val="9"/>
      <color rgb="FF005567"/>
      <name val="Century Gothic"/>
      <family val="2"/>
    </font>
    <font>
      <b/>
      <sz val="11"/>
      <color theme="1"/>
      <name val="Arial"/>
      <family val="2"/>
      <scheme val="minor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FCFC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1EBE9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C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005567"/>
      </left>
      <right style="medium">
        <color rgb="FF005567"/>
      </right>
      <top style="medium">
        <color rgb="FF005567"/>
      </top>
      <bottom style="medium">
        <color rgb="FF005567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">
    <xf numFmtId="0" fontId="0" fillId="4" borderId="0"/>
    <xf numFmtId="0" fontId="4" fillId="0" borderId="5" applyNumberFormat="0" applyFill="0" applyAlignment="0" applyProtection="0"/>
    <xf numFmtId="0" fontId="3" fillId="3" borderId="3" applyNumberFormat="0" applyAlignment="0" applyProtection="0"/>
    <xf numFmtId="0" fontId="6" fillId="0" borderId="1" applyNumberFormat="0" applyAlignment="0" applyProtection="0"/>
    <xf numFmtId="0" fontId="9" fillId="7" borderId="9" applyNumberFormat="0" applyAlignment="0" applyProtection="0"/>
    <xf numFmtId="0" fontId="2" fillId="4" borderId="0" applyNumberFormat="0" applyAlignment="0" applyProtection="0"/>
    <xf numFmtId="0" fontId="8" fillId="7" borderId="8" applyNumberFormat="0" applyAlignment="0" applyProtection="0"/>
    <xf numFmtId="0" fontId="3" fillId="5" borderId="4" applyNumberFormat="0" applyAlignment="0" applyProtection="0"/>
    <xf numFmtId="43" fontId="7" fillId="0" borderId="0" applyFont="0" applyFill="0" applyBorder="0" applyAlignment="0" applyProtection="0"/>
    <xf numFmtId="0" fontId="3" fillId="6" borderId="7" applyAlignment="0" applyProtection="0"/>
    <xf numFmtId="0" fontId="10" fillId="0" borderId="10" applyNumberFormat="0" applyFill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3">
    <xf numFmtId="0" fontId="0" fillId="4" borderId="0" xfId="0"/>
    <xf numFmtId="0" fontId="1" fillId="4" borderId="0" xfId="0" applyFont="1"/>
    <xf numFmtId="0" fontId="3" fillId="3" borderId="3" xfId="2"/>
    <xf numFmtId="0" fontId="4" fillId="0" borderId="5" xfId="1"/>
    <xf numFmtId="0" fontId="6" fillId="0" borderId="1" xfId="3"/>
    <xf numFmtId="0" fontId="9" fillId="7" borderId="9" xfId="4"/>
    <xf numFmtId="2" fontId="6" fillId="0" borderId="1" xfId="3" applyNumberFormat="1"/>
    <xf numFmtId="10" fontId="3" fillId="3" borderId="3" xfId="2" applyNumberFormat="1"/>
    <xf numFmtId="43" fontId="6" fillId="0" borderId="1" xfId="3" applyNumberFormat="1"/>
    <xf numFmtId="165" fontId="6" fillId="0" borderId="1" xfId="3" applyNumberFormat="1"/>
    <xf numFmtId="8" fontId="0" fillId="4" borderId="0" xfId="0" applyNumberFormat="1"/>
    <xf numFmtId="0" fontId="3" fillId="5" borderId="4" xfId="7"/>
    <xf numFmtId="0" fontId="3" fillId="3" borderId="2" xfId="2" quotePrefix="1" applyBorder="1"/>
    <xf numFmtId="0" fontId="3" fillId="2" borderId="3" xfId="2" applyFill="1"/>
    <xf numFmtId="164" fontId="6" fillId="0" borderId="1" xfId="3" applyNumberFormat="1"/>
    <xf numFmtId="0" fontId="8" fillId="7" borderId="8" xfId="6"/>
    <xf numFmtId="41" fontId="9" fillId="7" borderId="9" xfId="4" applyNumberFormat="1"/>
    <xf numFmtId="164" fontId="3" fillId="5" borderId="4" xfId="8" applyNumberFormat="1" applyFont="1" applyFill="1" applyBorder="1"/>
    <xf numFmtId="43" fontId="6" fillId="0" borderId="1" xfId="8" applyFont="1" applyBorder="1"/>
    <xf numFmtId="167" fontId="3" fillId="3" borderId="3" xfId="2" applyNumberFormat="1"/>
    <xf numFmtId="167" fontId="9" fillId="7" borderId="9" xfId="4" applyNumberFormat="1"/>
    <xf numFmtId="43" fontId="6" fillId="0" borderId="1" xfId="8" applyFont="1" applyFill="1" applyBorder="1"/>
    <xf numFmtId="165" fontId="3" fillId="5" borderId="4" xfId="7" applyNumberFormat="1"/>
    <xf numFmtId="43" fontId="9" fillId="7" borderId="9" xfId="4" applyNumberFormat="1"/>
    <xf numFmtId="0" fontId="4" fillId="4" borderId="5" xfId="1" applyFill="1"/>
    <xf numFmtId="165" fontId="9" fillId="7" borderId="9" xfId="4" applyNumberFormat="1"/>
    <xf numFmtId="164" fontId="0" fillId="4" borderId="0" xfId="0" applyNumberFormat="1"/>
    <xf numFmtId="164" fontId="0" fillId="4" borderId="0" xfId="8" applyNumberFormat="1" applyFont="1" applyFill="1"/>
    <xf numFmtId="164" fontId="3" fillId="3" borderId="3" xfId="2" applyNumberFormat="1"/>
    <xf numFmtId="43" fontId="3" fillId="3" borderId="3" xfId="2" applyNumberFormat="1"/>
    <xf numFmtId="0" fontId="10" fillId="4" borderId="10" xfId="10" applyFill="1"/>
    <xf numFmtId="43" fontId="10" fillId="4" borderId="10" xfId="10" applyNumberFormat="1" applyFill="1"/>
    <xf numFmtId="44" fontId="6" fillId="0" borderId="1" xfId="11" applyFont="1" applyBorder="1"/>
    <xf numFmtId="44" fontId="3" fillId="5" borderId="4" xfId="11" applyFont="1" applyFill="1" applyBorder="1"/>
    <xf numFmtId="44" fontId="3" fillId="3" borderId="3" xfId="11" applyFont="1" applyFill="1" applyBorder="1"/>
    <xf numFmtId="168" fontId="3" fillId="3" borderId="3" xfId="11" applyNumberFormat="1" applyFont="1" applyFill="1" applyBorder="1"/>
    <xf numFmtId="166" fontId="3" fillId="3" borderId="3" xfId="2" applyNumberFormat="1"/>
    <xf numFmtId="44" fontId="6" fillId="0" borderId="1" xfId="3" applyNumberFormat="1"/>
    <xf numFmtId="169" fontId="9" fillId="7" borderId="9" xfId="4" applyNumberFormat="1"/>
    <xf numFmtId="43" fontId="0" fillId="4" borderId="0" xfId="0" applyNumberFormat="1"/>
    <xf numFmtId="9" fontId="0" fillId="4" borderId="0" xfId="12" applyFont="1" applyFill="1"/>
    <xf numFmtId="164" fontId="9" fillId="7" borderId="9" xfId="4" applyNumberFormat="1"/>
    <xf numFmtId="2" fontId="9" fillId="7" borderId="9" xfId="4" applyNumberFormat="1"/>
    <xf numFmtId="0" fontId="3" fillId="3" borderId="3" xfId="2" applyAlignment="1">
      <alignment wrapText="1"/>
    </xf>
    <xf numFmtId="0" fontId="3" fillId="3" borderId="3" xfId="2" applyAlignment="1">
      <alignment horizontal="left" indent="1"/>
    </xf>
    <xf numFmtId="0" fontId="3" fillId="5" borderId="4" xfId="7" applyAlignment="1">
      <alignment wrapText="1"/>
    </xf>
    <xf numFmtId="44" fontId="9" fillId="7" borderId="9" xfId="4" applyNumberFormat="1"/>
    <xf numFmtId="170" fontId="9" fillId="7" borderId="9" xfId="4" applyNumberFormat="1"/>
    <xf numFmtId="165" fontId="0" fillId="4" borderId="0" xfId="0" applyNumberFormat="1"/>
    <xf numFmtId="0" fontId="11" fillId="4" borderId="0" xfId="0" applyFont="1"/>
    <xf numFmtId="43" fontId="11" fillId="4" borderId="0" xfId="0" applyNumberFormat="1" applyFont="1"/>
    <xf numFmtId="167" fontId="0" fillId="4" borderId="0" xfId="0" applyNumberFormat="1"/>
    <xf numFmtId="170" fontId="9" fillId="7" borderId="9" xfId="12" applyNumberFormat="1" applyFont="1" applyFill="1" applyBorder="1"/>
    <xf numFmtId="10" fontId="11" fillId="4" borderId="0" xfId="12" applyNumberFormat="1" applyFont="1" applyFill="1"/>
    <xf numFmtId="1" fontId="6" fillId="0" borderId="1" xfId="3" applyNumberFormat="1"/>
    <xf numFmtId="14" fontId="3" fillId="3" borderId="3" xfId="2" applyNumberFormat="1" applyAlignment="1">
      <alignment horizontal="left" indent="1"/>
    </xf>
    <xf numFmtId="2" fontId="3" fillId="3" borderId="3" xfId="2" applyNumberFormat="1"/>
    <xf numFmtId="0" fontId="5" fillId="4" borderId="0" xfId="0" applyFont="1" applyAlignment="1">
      <alignment horizontal="left"/>
    </xf>
    <xf numFmtId="0" fontId="4" fillId="4" borderId="5" xfId="1" applyFill="1" applyAlignment="1">
      <alignment horizontal="left"/>
    </xf>
    <xf numFmtId="0" fontId="2" fillId="4" borderId="0" xfId="5" applyAlignment="1">
      <alignment horizontal="left"/>
    </xf>
    <xf numFmtId="0" fontId="1" fillId="4" borderId="0" xfId="0" applyFont="1" applyAlignment="1">
      <alignment horizontal="left"/>
    </xf>
    <xf numFmtId="0" fontId="4" fillId="4" borderId="5" xfId="1" applyFill="1" applyAlignment="1">
      <alignment horizontal="center"/>
    </xf>
    <xf numFmtId="0" fontId="4" fillId="4" borderId="6" xfId="1" applyFill="1" applyBorder="1" applyAlignment="1">
      <alignment horizontal="center"/>
    </xf>
  </cellXfs>
  <cellStyles count="13">
    <cellStyle name="Calculation" xfId="3" builtinId="22" customBuiltin="1"/>
    <cellStyle name="Comma" xfId="8" builtinId="3"/>
    <cellStyle name="Confidential" xfId="9" xr:uid="{18AC7FC0-DEA3-4BDA-A59E-78D25892BC7A}"/>
    <cellStyle name="Currency" xfId="11" builtinId="4"/>
    <cellStyle name="Heading 1" xfId="1" builtinId="16" customBuiltin="1"/>
    <cellStyle name="Heading 2" xfId="6" builtinId="17" customBuiltin="1"/>
    <cellStyle name="Input" xfId="2" builtinId="20" customBuiltin="1"/>
    <cellStyle name="Linked Cell" xfId="7" builtinId="24" customBuiltin="1"/>
    <cellStyle name="Normal" xfId="0" builtinId="0" customBuiltin="1"/>
    <cellStyle name="Output" xfId="4" builtinId="21" customBuiltin="1"/>
    <cellStyle name="Percent" xfId="12" builtinId="5"/>
    <cellStyle name="Title" xfId="5" builtinId="15" customBuiltin="1"/>
    <cellStyle name="Total" xfId="10" builtinId="25"/>
  </cellStyles>
  <dxfs count="0"/>
  <tableStyles count="0" defaultTableStyle="TableStyleMedium2" defaultPivotStyle="PivotStyleLight16"/>
  <colors>
    <mruColors>
      <color rgb="FFF1EBE9"/>
      <color rgb="FF005567"/>
      <color rgb="FFFFFF99"/>
      <color rgb="FFAFCFCA"/>
      <color rgb="FFC81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Demand (TJ/MDQ/Day)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Graphs!$A$3</c:f>
              <c:strCache>
                <c:ptCount val="1"/>
                <c:pt idx="0">
                  <c:v>Retail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Graphs!$B$1:$F$2</c:f>
              <c:strCache>
                <c:ptCount val="5"/>
                <c:pt idx="0">
                  <c:v>FY 2028</c:v>
                </c:pt>
                <c:pt idx="1">
                  <c:v>FY 2029</c:v>
                </c:pt>
                <c:pt idx="2">
                  <c:v>FY 2030</c:v>
                </c:pt>
                <c:pt idx="3">
                  <c:v>FY 2031</c:v>
                </c:pt>
                <c:pt idx="4">
                  <c:v>FY 2032</c:v>
                </c:pt>
              </c:strCache>
            </c:strRef>
          </c:cat>
          <c:val>
            <c:numRef>
              <c:f>Graphs!$B$3:$F$3</c:f>
              <c:numCache>
                <c:formatCode>_(* #,##0.00_);_(* \(#,##0.00\);_(* "-"??_);_(@_)</c:formatCode>
                <c:ptCount val="5"/>
                <c:pt idx="0">
                  <c:v>54.2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E-4C98-98D0-CBC9F3C9499D}"/>
            </c:ext>
          </c:extLst>
        </c:ser>
        <c:ser>
          <c:idx val="1"/>
          <c:order val="1"/>
          <c:tx>
            <c:strRef>
              <c:f>Graphs!$A$4</c:f>
              <c:strCache>
                <c:ptCount val="1"/>
                <c:pt idx="0">
                  <c:v>Industrial and Commercial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Graphs!$B$1:$F$2</c:f>
              <c:strCache>
                <c:ptCount val="5"/>
                <c:pt idx="0">
                  <c:v>FY 2028</c:v>
                </c:pt>
                <c:pt idx="1">
                  <c:v>FY 2029</c:v>
                </c:pt>
                <c:pt idx="2">
                  <c:v>FY 2030</c:v>
                </c:pt>
                <c:pt idx="3">
                  <c:v>FY 2031</c:v>
                </c:pt>
                <c:pt idx="4">
                  <c:v>FY 2032</c:v>
                </c:pt>
              </c:strCache>
            </c:strRef>
          </c:cat>
          <c:val>
            <c:numRef>
              <c:f>Graphs!$B$4:$F$4</c:f>
              <c:numCache>
                <c:formatCode>_(* #,##0.00_);_(* \(#,##0.00\);_(* "-"??_);_(@_)</c:formatCode>
                <c:ptCount val="5"/>
                <c:pt idx="0">
                  <c:v>8.5</c:v>
                </c:pt>
                <c:pt idx="1">
                  <c:v>8.5</c:v>
                </c:pt>
                <c:pt idx="2">
                  <c:v>8.5</c:v>
                </c:pt>
                <c:pt idx="3">
                  <c:v>8.5</c:v>
                </c:pt>
                <c:pt idx="4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AE-4C98-98D0-CBC9F3C9499D}"/>
            </c:ext>
          </c:extLst>
        </c:ser>
        <c:ser>
          <c:idx val="2"/>
          <c:order val="2"/>
          <c:tx>
            <c:strRef>
              <c:f>Graphs!$A$5</c:f>
              <c:strCache>
                <c:ptCount val="1"/>
                <c:pt idx="0">
                  <c:v>GPG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Graphs!$B$1:$F$2</c:f>
              <c:strCache>
                <c:ptCount val="5"/>
                <c:pt idx="0">
                  <c:v>FY 2028</c:v>
                </c:pt>
                <c:pt idx="1">
                  <c:v>FY 2029</c:v>
                </c:pt>
                <c:pt idx="2">
                  <c:v>FY 2030</c:v>
                </c:pt>
                <c:pt idx="3">
                  <c:v>FY 2031</c:v>
                </c:pt>
                <c:pt idx="4">
                  <c:v>FY 2032</c:v>
                </c:pt>
              </c:strCache>
            </c:strRef>
          </c:cat>
          <c:val>
            <c:numRef>
              <c:f>Graphs!$B$5:$F$5</c:f>
              <c:numCache>
                <c:formatCode>_(* #,##0.00_);_(* \(#,##0.00\);_(* "-"??_);_(@_)</c:formatCode>
                <c:ptCount val="5"/>
                <c:pt idx="0">
                  <c:v>61</c:v>
                </c:pt>
                <c:pt idx="1">
                  <c:v>61</c:v>
                </c:pt>
                <c:pt idx="2">
                  <c:v>61</c:v>
                </c:pt>
                <c:pt idx="3">
                  <c:v>61</c:v>
                </c:pt>
                <c:pt idx="4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AE-4C98-98D0-CBC9F3C9499D}"/>
            </c:ext>
          </c:extLst>
        </c:ser>
        <c:ser>
          <c:idx val="3"/>
          <c:order val="3"/>
          <c:tx>
            <c:strRef>
              <c:f>Graphs!$A$6</c:f>
              <c:strCache>
                <c:ptCount val="1"/>
                <c:pt idx="0">
                  <c:v>Westbound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Graphs!$B$1:$F$2</c:f>
              <c:strCache>
                <c:ptCount val="5"/>
                <c:pt idx="0">
                  <c:v>FY 2028</c:v>
                </c:pt>
                <c:pt idx="1">
                  <c:v>FY 2029</c:v>
                </c:pt>
                <c:pt idx="2">
                  <c:v>FY 2030</c:v>
                </c:pt>
                <c:pt idx="3">
                  <c:v>FY 2031</c:v>
                </c:pt>
                <c:pt idx="4">
                  <c:v>FY 2032</c:v>
                </c:pt>
              </c:strCache>
            </c:strRef>
          </c:cat>
          <c:val>
            <c:numRef>
              <c:f>Graphs!$B$6:$F$6</c:f>
              <c:numCache>
                <c:formatCode>_(* #,##0.00_);_(* \(#,##0.00\);_(* "-"??_);_(@_)</c:formatCode>
                <c:ptCount val="5"/>
                <c:pt idx="0">
                  <c:v>54.6</c:v>
                </c:pt>
                <c:pt idx="1">
                  <c:v>53.6</c:v>
                </c:pt>
                <c:pt idx="2">
                  <c:v>53.6</c:v>
                </c:pt>
                <c:pt idx="3">
                  <c:v>53.6</c:v>
                </c:pt>
                <c:pt idx="4">
                  <c:v>53.6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AE-4C98-98D0-CBC9F3C94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1712480"/>
        <c:axId val="1391713440"/>
      </c:barChart>
      <c:catAx>
        <c:axId val="139171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1713440"/>
        <c:crosses val="autoZero"/>
        <c:auto val="1"/>
        <c:lblAlgn val="ctr"/>
        <c:lblOffset val="100"/>
        <c:noMultiLvlLbl val="0"/>
      </c:catAx>
      <c:valAx>
        <c:axId val="139171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171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9477453033033"/>
          <c:y val="3.5369774919614148E-2"/>
          <c:w val="0.75836251974447699"/>
          <c:h val="0.77261627829516233"/>
        </c:manualLayout>
      </c:layout>
      <c:lineChart>
        <c:grouping val="standard"/>
        <c:varyColors val="0"/>
        <c:ser>
          <c:idx val="5"/>
          <c:order val="0"/>
          <c:tx>
            <c:strRef>
              <c:f>Graphs!$A$12</c:f>
              <c:strCache>
                <c:ptCount val="1"/>
                <c:pt idx="0">
                  <c:v>Reference price path</c:v>
                </c:pt>
              </c:strCache>
            </c:strRef>
          </c:tx>
          <c:spPr>
            <a:ln w="28575" cap="sq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sq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20-4D8D-89F3-ED2F4B4153B3}"/>
              </c:ext>
            </c:extLst>
          </c:dPt>
          <c:dPt>
            <c:idx val="1"/>
            <c:marker>
              <c:symbol val="circle"/>
              <c:size val="10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sq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8552-4D67-8BD2-A0DDCB39C7A0}"/>
              </c:ext>
            </c:extLst>
          </c:dPt>
          <c:dPt>
            <c:idx val="2"/>
            <c:marker>
              <c:symbol val="circle"/>
              <c:size val="10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sq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8552-4D67-8BD2-A0DDCB39C7A0}"/>
              </c:ext>
            </c:extLst>
          </c:dPt>
          <c:dLbls>
            <c:numFmt formatCode="&quot;$&quot;#,##0.0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Graphs!$B$11:$G$11</c:f>
              <c:strCache>
                <c:ptCount val="6"/>
                <c:pt idx="0">
                  <c:v>2026–27</c:v>
                </c:pt>
                <c:pt idx="1">
                  <c:v>2027–28</c:v>
                </c:pt>
                <c:pt idx="2">
                  <c:v>2028–29</c:v>
                </c:pt>
                <c:pt idx="3">
                  <c:v>2029–30</c:v>
                </c:pt>
                <c:pt idx="4">
                  <c:v>2030–31</c:v>
                </c:pt>
                <c:pt idx="5">
                  <c:v>2031–32</c:v>
                </c:pt>
              </c:strCache>
            </c:strRef>
          </c:cat>
          <c:val>
            <c:numRef>
              <c:f>Graphs!$B$12:$G$12</c:f>
              <c:numCache>
                <c:formatCode>General</c:formatCode>
                <c:ptCount val="6"/>
                <c:pt idx="0">
                  <c:v>0.81030000000000002</c:v>
                </c:pt>
                <c:pt idx="1">
                  <c:v>0.91979999999999995</c:v>
                </c:pt>
                <c:pt idx="2">
                  <c:v>1.0324</c:v>
                </c:pt>
                <c:pt idx="3">
                  <c:v>1.1452</c:v>
                </c:pt>
                <c:pt idx="4">
                  <c:v>1.2568999999999999</c:v>
                </c:pt>
                <c:pt idx="5">
                  <c:v>1.3633999999999999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8552-4D67-8BD2-A0DDCB39C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19023"/>
        <c:axId val="1875911343"/>
      </c:lineChart>
      <c:lineChart>
        <c:grouping val="standard"/>
        <c:varyColors val="0"/>
        <c:ser>
          <c:idx val="0"/>
          <c:order val="1"/>
          <c:tx>
            <c:strRef>
              <c:f>Graphs!$A$13</c:f>
              <c:strCache>
                <c:ptCount val="1"/>
                <c:pt idx="0">
                  <c:v>X factors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Graphs!$B$11:$G$11</c:f>
              <c:strCache>
                <c:ptCount val="6"/>
                <c:pt idx="0">
                  <c:v>2026–27</c:v>
                </c:pt>
                <c:pt idx="1">
                  <c:v>2027–28</c:v>
                </c:pt>
                <c:pt idx="2">
                  <c:v>2028–29</c:v>
                </c:pt>
                <c:pt idx="3">
                  <c:v>2029–30</c:v>
                </c:pt>
                <c:pt idx="4">
                  <c:v>2030–31</c:v>
                </c:pt>
                <c:pt idx="5">
                  <c:v>2031–32</c:v>
                </c:pt>
              </c:strCache>
            </c:strRef>
          </c:cat>
          <c:val>
            <c:numRef>
              <c:f>Graphs!$B$13:$G$13</c:f>
              <c:numCache>
                <c:formatCode>0.00%</c:formatCode>
                <c:ptCount val="6"/>
                <c:pt idx="1">
                  <c:v>0.13528672191574587</c:v>
                </c:pt>
                <c:pt idx="2">
                  <c:v>0.12228672191574586</c:v>
                </c:pt>
                <c:pt idx="3">
                  <c:v>0.10928672191574584</c:v>
                </c:pt>
                <c:pt idx="4">
                  <c:v>9.7586721915745842E-2</c:v>
                </c:pt>
                <c:pt idx="5">
                  <c:v>8.4716721915745835E-2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8552-4D67-8BD2-A0DDCB39C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25919"/>
        <c:axId val="1488105472"/>
      </c:lineChart>
      <c:catAx>
        <c:axId val="187591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911343"/>
        <c:crosses val="autoZero"/>
        <c:auto val="1"/>
        <c:lblAlgn val="ctr"/>
        <c:lblOffset val="100"/>
        <c:noMultiLvlLbl val="0"/>
      </c:catAx>
      <c:valAx>
        <c:axId val="187591134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Real 30 June 2027 $/MDQ/day (GJ)</a:t>
                </a:r>
              </a:p>
            </c:rich>
          </c:tx>
          <c:layout>
            <c:manualLayout>
              <c:xMode val="edge"/>
              <c:yMode val="edge"/>
              <c:x val="2.7846585227044772E-4"/>
              <c:y val="0.11828054163684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919023"/>
        <c:crosses val="autoZero"/>
        <c:crossBetween val="between"/>
      </c:valAx>
      <c:valAx>
        <c:axId val="14881054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 factor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25919"/>
        <c:crosses val="max"/>
        <c:crossBetween val="between"/>
      </c:valAx>
      <c:catAx>
        <c:axId val="44125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8105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302829</xdr:colOff>
      <xdr:row>10</xdr:row>
      <xdr:rowOff>69197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E41366-4D8C-408B-991D-48CB424F9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352925" cy="19085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939800</xdr:colOff>
      <xdr:row>10</xdr:row>
      <xdr:rowOff>101932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07C8AF-1741-4017-A1F7-32CFE7168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352925" cy="19085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0</xdr:row>
      <xdr:rowOff>28575</xdr:rowOff>
    </xdr:from>
    <xdr:to>
      <xdr:col>16</xdr:col>
      <xdr:colOff>333375</xdr:colOff>
      <xdr:row>15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2703AD-5590-374F-038F-D02E6C636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180976</xdr:colOff>
      <xdr:row>16</xdr:row>
      <xdr:rowOff>123825</xdr:rowOff>
    </xdr:from>
    <xdr:to>
      <xdr:col>19</xdr:col>
      <xdr:colOff>205106</xdr:colOff>
      <xdr:row>38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2CF03D-781E-7816-819C-BB2B4F890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0.2425</cdr:x>
      <cdr:y>0.03046</cdr:y>
    </cdr:from>
    <cdr:to>
      <cdr:x>0.2425</cdr:x>
      <cdr:y>0.86502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917797B2-5D50-B168-1DAD-1EAC6F43D2F1}"/>
            </a:ext>
          </a:extLst>
        </cdr:cNvPr>
        <cdr:cNvCxnSpPr/>
      </cdr:nvCxnSpPr>
      <cdr:spPr>
        <a:xfrm xmlns:a="http://schemas.openxmlformats.org/drawingml/2006/main">
          <a:off x="1631950" y="114299"/>
          <a:ext cx="0" cy="313200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APA 2026">
  <a:themeElements>
    <a:clrScheme name="APA">
      <a:dk1>
        <a:sysClr val="windowText" lastClr="000000"/>
      </a:dk1>
      <a:lt1>
        <a:sysClr val="window" lastClr="FFFFFF"/>
      </a:lt1>
      <a:dk2>
        <a:srgbClr val="E12433"/>
      </a:dk2>
      <a:lt2>
        <a:srgbClr val="FFFFFF"/>
      </a:lt2>
      <a:accent1>
        <a:srgbClr val="F96700"/>
      </a:accent1>
      <a:accent2>
        <a:srgbClr val="B1132D"/>
      </a:accent2>
      <a:accent3>
        <a:srgbClr val="AFD7D6"/>
      </a:accent3>
      <a:accent4>
        <a:srgbClr val="006275"/>
      </a:accent4>
      <a:accent5>
        <a:srgbClr val="E6E6E6"/>
      </a:accent5>
      <a:accent6>
        <a:srgbClr val="BFFF87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1:L51"/>
  <sheetViews>
    <sheetView tabSelected="1" zoomScaleNormal="100" workbookViewId="0">
      <selection activeCell="M21" sqref="M21"/>
    </sheetView>
  </sheetViews>
  <sheetFormatPr defaultRowHeight="14.25" x14ac:dyDescent="0.3"/>
  <cols>
    <col min="1" max="1" width="32.5703125" bestFit="1" customWidth="1"/>
    <col min="2" max="2" width="14" bestFit="1" customWidth="1"/>
    <col min="3" max="3" width="14.28515625" bestFit="1" customWidth="1"/>
    <col min="4" max="7" width="14.5703125" bestFit="1" customWidth="1"/>
    <col min="9" max="9" width="10.140625" bestFit="1" customWidth="1"/>
    <col min="15" max="15" width="23.7109375" bestFit="1" customWidth="1"/>
    <col min="16" max="16" width="12.42578125" bestFit="1" customWidth="1"/>
  </cols>
  <sheetData>
    <row r="11" spans="1:7" ht="45.75" x14ac:dyDescent="0.6">
      <c r="A11" s="57" t="s">
        <v>0</v>
      </c>
      <c r="B11" s="57"/>
      <c r="C11" s="57"/>
      <c r="D11" s="57"/>
      <c r="E11" s="57"/>
      <c r="F11" s="57"/>
      <c r="G11" s="57"/>
    </row>
    <row r="12" spans="1:7" ht="18.75" x14ac:dyDescent="0.3">
      <c r="A12" s="58" t="s">
        <v>1</v>
      </c>
      <c r="B12" s="58"/>
      <c r="C12" s="58"/>
      <c r="D12" s="58"/>
      <c r="E12" s="58"/>
      <c r="F12" s="58"/>
      <c r="G12" s="58"/>
    </row>
    <row r="13" spans="1:7" ht="26.25" x14ac:dyDescent="0.35">
      <c r="A13" s="1"/>
    </row>
    <row r="14" spans="1:7" ht="16.5" x14ac:dyDescent="0.3">
      <c r="A14" s="15" t="s">
        <v>2</v>
      </c>
      <c r="B14" s="15" t="s">
        <v>3</v>
      </c>
      <c r="C14" s="15" t="s">
        <v>64</v>
      </c>
      <c r="D14" s="15" t="s">
        <v>65</v>
      </c>
      <c r="E14" s="15" t="s">
        <v>66</v>
      </c>
      <c r="F14" s="15" t="s">
        <v>67</v>
      </c>
      <c r="G14" s="15" t="s">
        <v>68</v>
      </c>
    </row>
    <row r="17" spans="1:12" ht="18.75" x14ac:dyDescent="0.3">
      <c r="A17" s="3" t="s">
        <v>5</v>
      </c>
    </row>
    <row r="19" spans="1:12" x14ac:dyDescent="0.3">
      <c r="A19" s="13" t="s">
        <v>6</v>
      </c>
      <c r="B19" s="12" t="s">
        <v>7</v>
      </c>
      <c r="C19" s="34">
        <v>68.004225025734286</v>
      </c>
      <c r="D19" s="34">
        <v>77.279928068050424</v>
      </c>
      <c r="E19" s="34">
        <v>76.244865275629849</v>
      </c>
      <c r="F19" s="34">
        <v>81.381494052915414</v>
      </c>
      <c r="G19" s="34">
        <v>82.455247000636476</v>
      </c>
    </row>
    <row r="21" spans="1:12" ht="18.75" x14ac:dyDescent="0.3">
      <c r="A21" s="3" t="s">
        <v>8</v>
      </c>
    </row>
    <row r="23" spans="1:12" x14ac:dyDescent="0.3">
      <c r="A23" s="2" t="s">
        <v>52</v>
      </c>
      <c r="B23" s="2" t="s">
        <v>9</v>
      </c>
      <c r="C23" s="29">
        <v>54.2</v>
      </c>
      <c r="D23" s="29">
        <v>48</v>
      </c>
      <c r="E23" s="29">
        <v>48</v>
      </c>
      <c r="F23" s="29">
        <v>48</v>
      </c>
      <c r="G23" s="29">
        <v>48</v>
      </c>
    </row>
    <row r="24" spans="1:12" x14ac:dyDescent="0.3">
      <c r="A24" s="2" t="s">
        <v>53</v>
      </c>
      <c r="B24" s="2" t="s">
        <v>9</v>
      </c>
      <c r="C24" s="29">
        <v>8.5</v>
      </c>
      <c r="D24" s="29">
        <v>8.5</v>
      </c>
      <c r="E24" s="29">
        <v>8.5</v>
      </c>
      <c r="F24" s="29">
        <v>8.5</v>
      </c>
      <c r="G24" s="29">
        <v>8.5</v>
      </c>
    </row>
    <row r="25" spans="1:12" x14ac:dyDescent="0.3">
      <c r="A25" s="2" t="s">
        <v>10</v>
      </c>
      <c r="B25" s="2" t="s">
        <v>9</v>
      </c>
      <c r="C25" s="29">
        <v>61</v>
      </c>
      <c r="D25" s="29">
        <v>61</v>
      </c>
      <c r="E25" s="29">
        <v>61</v>
      </c>
      <c r="F25" s="29">
        <v>61</v>
      </c>
      <c r="G25" s="29">
        <v>61</v>
      </c>
    </row>
    <row r="26" spans="1:12" x14ac:dyDescent="0.3">
      <c r="A26" s="2" t="s">
        <v>12</v>
      </c>
      <c r="B26" s="2" t="s">
        <v>9</v>
      </c>
      <c r="C26" s="29">
        <v>54.6</v>
      </c>
      <c r="D26" s="29">
        <v>53.6</v>
      </c>
      <c r="E26" s="29">
        <v>53.6</v>
      </c>
      <c r="F26" s="29">
        <v>53.6</v>
      </c>
      <c r="G26" s="29">
        <v>53.6</v>
      </c>
    </row>
    <row r="27" spans="1:12" x14ac:dyDescent="0.3">
      <c r="A27" s="2" t="s">
        <v>13</v>
      </c>
      <c r="B27" s="2" t="s">
        <v>9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12" ht="16.5" thickBot="1" x14ac:dyDescent="0.35">
      <c r="A28" s="30" t="s">
        <v>29</v>
      </c>
      <c r="B28" s="30"/>
      <c r="C28" s="31">
        <f>SUM(C23:C27)</f>
        <v>178.3</v>
      </c>
      <c r="D28" s="31">
        <f t="shared" ref="D28:G28" si="0">SUM(D23:D27)</f>
        <v>171.1</v>
      </c>
      <c r="E28" s="31">
        <f t="shared" si="0"/>
        <v>171.1</v>
      </c>
      <c r="F28" s="31">
        <f t="shared" si="0"/>
        <v>171.1</v>
      </c>
      <c r="G28" s="31">
        <f t="shared" si="0"/>
        <v>171.1</v>
      </c>
      <c r="L28" s="39"/>
    </row>
    <row r="29" spans="1:12" ht="15" thickTop="1" x14ac:dyDescent="0.3"/>
    <row r="31" spans="1:12" ht="18.75" x14ac:dyDescent="0.3">
      <c r="A31" s="3" t="s">
        <v>16</v>
      </c>
    </row>
    <row r="33" spans="1:7" x14ac:dyDescent="0.3">
      <c r="A33" s="2" t="s">
        <v>54</v>
      </c>
      <c r="B33" s="2" t="s">
        <v>17</v>
      </c>
      <c r="C33" s="28">
        <v>0</v>
      </c>
      <c r="D33" s="28">
        <f t="shared" ref="D33:G33" si="1">C33</f>
        <v>0</v>
      </c>
      <c r="E33" s="28">
        <f t="shared" si="1"/>
        <v>0</v>
      </c>
      <c r="F33" s="28">
        <f t="shared" si="1"/>
        <v>0</v>
      </c>
      <c r="G33" s="28">
        <f t="shared" si="1"/>
        <v>0</v>
      </c>
    </row>
    <row r="34" spans="1:7" x14ac:dyDescent="0.3">
      <c r="A34" s="2" t="s">
        <v>11</v>
      </c>
      <c r="B34" s="2" t="s">
        <v>18</v>
      </c>
      <c r="C34" s="28">
        <v>0</v>
      </c>
      <c r="D34" s="28">
        <f t="shared" ref="D34:G34" si="2">C34</f>
        <v>0</v>
      </c>
      <c r="E34" s="28">
        <f t="shared" si="2"/>
        <v>0</v>
      </c>
      <c r="F34" s="28">
        <f t="shared" si="2"/>
        <v>0</v>
      </c>
      <c r="G34" s="28">
        <f t="shared" si="2"/>
        <v>0</v>
      </c>
    </row>
    <row r="36" spans="1:7" ht="18.75" x14ac:dyDescent="0.3">
      <c r="A36" s="3" t="s">
        <v>19</v>
      </c>
      <c r="C36" s="3" t="s">
        <v>4</v>
      </c>
    </row>
    <row r="38" spans="1:7" x14ac:dyDescent="0.3">
      <c r="A38" s="2" t="s">
        <v>20</v>
      </c>
      <c r="C38" s="7">
        <v>2.4519938701808908E-2</v>
      </c>
    </row>
    <row r="39" spans="1:7" x14ac:dyDescent="0.3">
      <c r="A39" s="4" t="s">
        <v>117</v>
      </c>
      <c r="C39" s="6">
        <f>1*(1+C38)</f>
        <v>1.0245199387018089</v>
      </c>
      <c r="D39" s="6">
        <f>C39*(1+FY22Inf)</f>
        <v>1.0496411047975582</v>
      </c>
      <c r="E39" s="6">
        <f>D39*(1+FY22Inf)</f>
        <v>1.0753782403460934</v>
      </c>
      <c r="F39" s="6">
        <f>E39*(1+FY22Inf)</f>
        <v>1.1017464488806388</v>
      </c>
      <c r="G39" s="6">
        <f>F39*(1+FY22Inf)</f>
        <v>1.1287612042721278</v>
      </c>
    </row>
    <row r="41" spans="1:7" x14ac:dyDescent="0.3">
      <c r="A41" s="2" t="s">
        <v>21</v>
      </c>
      <c r="B41" s="2" t="s">
        <v>22</v>
      </c>
      <c r="C41" s="7">
        <v>6.414742476254881E-2</v>
      </c>
      <c r="D41" s="7">
        <v>6.5042072689478897E-2</v>
      </c>
      <c r="E41" s="7">
        <v>6.6075940552828366E-2</v>
      </c>
      <c r="F41" s="7">
        <v>6.7957867923562509E-2</v>
      </c>
      <c r="G41" s="7">
        <v>6.9796794765025358E-2</v>
      </c>
    </row>
    <row r="43" spans="1:7" x14ac:dyDescent="0.3">
      <c r="A43" s="2" t="s">
        <v>23</v>
      </c>
      <c r="B43" s="2" t="s">
        <v>24</v>
      </c>
      <c r="C43" s="2">
        <v>366</v>
      </c>
      <c r="D43" s="2">
        <v>365</v>
      </c>
      <c r="E43" s="2">
        <v>365</v>
      </c>
      <c r="F43" s="2">
        <v>365</v>
      </c>
      <c r="G43" s="2">
        <v>366</v>
      </c>
    </row>
    <row r="45" spans="1:7" x14ac:dyDescent="0.3">
      <c r="A45" s="2" t="s">
        <v>25</v>
      </c>
      <c r="B45" s="2" t="s">
        <v>14</v>
      </c>
      <c r="C45" s="2">
        <v>1000</v>
      </c>
      <c r="D45" s="2">
        <v>1000</v>
      </c>
      <c r="E45" s="2">
        <v>1000</v>
      </c>
      <c r="F45" s="2">
        <v>1000</v>
      </c>
      <c r="G45" s="2">
        <v>1000</v>
      </c>
    </row>
    <row r="47" spans="1:7" x14ac:dyDescent="0.3">
      <c r="A47" s="2" t="s">
        <v>61</v>
      </c>
      <c r="B47" s="2" t="s">
        <v>104</v>
      </c>
      <c r="C47" s="34">
        <v>50.345440077473498</v>
      </c>
    </row>
    <row r="49" spans="1:7" x14ac:dyDescent="0.3">
      <c r="A49" s="2" t="s">
        <v>56</v>
      </c>
      <c r="B49" s="2" t="s">
        <v>104</v>
      </c>
      <c r="C49" s="36">
        <v>0.81025402135028679</v>
      </c>
    </row>
    <row r="51" spans="1:7" x14ac:dyDescent="0.3">
      <c r="A51" s="2" t="s">
        <v>27</v>
      </c>
      <c r="B51" s="2" t="s">
        <v>26</v>
      </c>
      <c r="C51" s="19">
        <v>60.028733717040794</v>
      </c>
      <c r="D51" s="19">
        <v>64.472342856182038</v>
      </c>
      <c r="E51" s="19">
        <v>71.518313861162213</v>
      </c>
      <c r="F51" s="19">
        <v>78.497551667814477</v>
      </c>
      <c r="G51" s="19">
        <v>85.380888038382565</v>
      </c>
    </row>
  </sheetData>
  <mergeCells count="2">
    <mergeCell ref="A11:G11"/>
    <mergeCell ref="A12:G12"/>
  </mergeCells>
  <phoneticPr fontId="3" type="noConversion"/>
  <pageMargins left="0.7" right="0.7" top="0.75" bottom="0.75" header="0.3" footer="0.3"/>
  <pageSetup paperSize="9" orientation="portrait" r:id="rId1"/>
  <headerFooter>
    <oddFooter>&amp;C_x000D_&amp;1#&amp;"Aptos"&amp;10&amp;K008000 APA-INTERNAL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1:K49"/>
  <sheetViews>
    <sheetView topLeftCell="A13" zoomScale="145" zoomScaleNormal="145" workbookViewId="0">
      <selection activeCell="B48" sqref="B48"/>
    </sheetView>
  </sheetViews>
  <sheetFormatPr defaultRowHeight="14.25" x14ac:dyDescent="0.3"/>
  <cols>
    <col min="1" max="1" width="32.5703125" bestFit="1" customWidth="1"/>
    <col min="2" max="2" width="18.5703125" bestFit="1" customWidth="1"/>
    <col min="3" max="3" width="20.42578125" bestFit="1" customWidth="1"/>
    <col min="4" max="7" width="14.28515625" bestFit="1" customWidth="1"/>
    <col min="9" max="9" width="17.5703125" bestFit="1" customWidth="1"/>
    <col min="10" max="10" width="16.28515625" bestFit="1" customWidth="1"/>
    <col min="11" max="11" width="9.42578125" bestFit="1" customWidth="1"/>
  </cols>
  <sheetData>
    <row r="11" spans="1:9" ht="45.75" x14ac:dyDescent="0.6">
      <c r="A11" s="59" t="s">
        <v>0</v>
      </c>
      <c r="B11" s="59"/>
      <c r="C11" s="59"/>
      <c r="D11" s="59"/>
      <c r="E11" s="59"/>
      <c r="F11" s="59"/>
      <c r="G11" s="59"/>
    </row>
    <row r="12" spans="1:9" ht="26.25" x14ac:dyDescent="0.35">
      <c r="A12" s="60" t="s">
        <v>1</v>
      </c>
      <c r="B12" s="60"/>
      <c r="C12" s="60"/>
      <c r="D12" s="60"/>
      <c r="E12" s="60"/>
      <c r="F12" s="60"/>
      <c r="G12" s="60"/>
    </row>
    <row r="13" spans="1:9" ht="26.25" x14ac:dyDescent="0.35">
      <c r="A13" s="1"/>
    </row>
    <row r="14" spans="1:9" ht="16.5" x14ac:dyDescent="0.3">
      <c r="A14" s="15" t="s">
        <v>2</v>
      </c>
      <c r="B14" s="15" t="s">
        <v>3</v>
      </c>
      <c r="C14" s="15" t="s">
        <v>64</v>
      </c>
      <c r="D14" s="15" t="s">
        <v>65</v>
      </c>
      <c r="E14" s="15" t="s">
        <v>66</v>
      </c>
      <c r="F14" s="15" t="s">
        <v>67</v>
      </c>
      <c r="G14" s="15" t="s">
        <v>68</v>
      </c>
      <c r="I14" s="15" t="s">
        <v>28</v>
      </c>
    </row>
    <row r="16" spans="1:9" x14ac:dyDescent="0.3">
      <c r="A16" s="11" t="s">
        <v>5</v>
      </c>
      <c r="B16" s="11" t="str">
        <f>Inputs!B19</f>
        <v>Forecast Nom</v>
      </c>
      <c r="C16" s="33">
        <f>Inputs!C19</f>
        <v>68.004225025734286</v>
      </c>
      <c r="D16" s="33">
        <f>Inputs!D19</f>
        <v>77.279928068050424</v>
      </c>
      <c r="E16" s="33">
        <f>Inputs!E19</f>
        <v>76.244865275629849</v>
      </c>
      <c r="F16" s="33">
        <f>Inputs!F19</f>
        <v>81.381494052915414</v>
      </c>
      <c r="G16" s="33">
        <f>Inputs!G19</f>
        <v>82.455247000636476</v>
      </c>
    </row>
    <row r="18" spans="1:9" x14ac:dyDescent="0.3">
      <c r="A18" s="11" t="s">
        <v>29</v>
      </c>
      <c r="B18" s="11" t="s">
        <v>30</v>
      </c>
      <c r="C18" s="17">
        <f>Inputs!C28*Inputs!C45*Inputs!C43</f>
        <v>65257800</v>
      </c>
      <c r="D18" s="17">
        <f>Inputs!D28*Inputs!D45*Inputs!D43</f>
        <v>62451500</v>
      </c>
      <c r="E18" s="17">
        <f>Inputs!E28*Inputs!E45*Inputs!E43</f>
        <v>62451500</v>
      </c>
      <c r="F18" s="17">
        <f>Inputs!F28*Inputs!F45*Inputs!F43</f>
        <v>62451500</v>
      </c>
      <c r="G18" s="17">
        <f>Inputs!G28*Inputs!G45*Inputs!G43</f>
        <v>62622600</v>
      </c>
    </row>
    <row r="19" spans="1:9" ht="15" thickBot="1" x14ac:dyDescent="0.35"/>
    <row r="20" spans="1:9" ht="16.5" x14ac:dyDescent="0.3">
      <c r="A20" s="15" t="s">
        <v>58</v>
      </c>
      <c r="B20" s="15"/>
      <c r="C20" s="15"/>
      <c r="D20" s="15"/>
      <c r="E20" s="15"/>
      <c r="F20" s="15"/>
      <c r="G20" s="15"/>
    </row>
    <row r="21" spans="1:9" x14ac:dyDescent="0.3">
      <c r="A21" s="11" t="s">
        <v>55</v>
      </c>
      <c r="B21" s="11" t="s">
        <v>30</v>
      </c>
      <c r="C21" s="17">
        <f>C18-C25</f>
        <v>65257800</v>
      </c>
      <c r="D21" s="17">
        <f>D18-D25</f>
        <v>62451500</v>
      </c>
      <c r="E21" s="17">
        <f>E18-E25</f>
        <v>62451500</v>
      </c>
      <c r="F21" s="17">
        <f>F18-F25</f>
        <v>62451500</v>
      </c>
      <c r="G21" s="17">
        <f>G18-G25</f>
        <v>62622600</v>
      </c>
    </row>
    <row r="22" spans="1:9" x14ac:dyDescent="0.3">
      <c r="A22" s="21" t="s">
        <v>60</v>
      </c>
      <c r="C22" s="32">
        <f>C16-C27</f>
        <v>68.004225025734286</v>
      </c>
      <c r="D22" s="32">
        <f t="shared" ref="D22:G22" si="0">D16-D27</f>
        <v>77.279928068050424</v>
      </c>
      <c r="E22" s="32">
        <f t="shared" si="0"/>
        <v>76.244865275629849</v>
      </c>
      <c r="F22" s="32">
        <f t="shared" si="0"/>
        <v>81.381494052915414</v>
      </c>
      <c r="G22" s="32">
        <f t="shared" si="0"/>
        <v>82.455247000636476</v>
      </c>
    </row>
    <row r="23" spans="1:9" x14ac:dyDescent="0.3">
      <c r="C23" s="18"/>
      <c r="D23" s="18"/>
      <c r="E23" s="18"/>
      <c r="F23" s="18"/>
      <c r="G23" s="18"/>
    </row>
    <row r="24" spans="1:9" ht="16.5" x14ac:dyDescent="0.3">
      <c r="A24" s="15" t="s">
        <v>57</v>
      </c>
      <c r="B24" s="15"/>
      <c r="C24" s="15"/>
      <c r="D24" s="15"/>
      <c r="E24" s="15"/>
      <c r="F24" s="15"/>
      <c r="G24" s="15"/>
    </row>
    <row r="25" spans="1:9" x14ac:dyDescent="0.3">
      <c r="A25" s="21" t="s">
        <v>31</v>
      </c>
      <c r="B25" s="21" t="str">
        <f>B18</f>
        <v>GJ MDQ/year</v>
      </c>
      <c r="C25" s="8">
        <f>Inputs!C27*Inputs!C45*Inputs!C43</f>
        <v>0</v>
      </c>
      <c r="D25" s="8">
        <f>Inputs!D27*Inputs!D45*Inputs!D43</f>
        <v>0</v>
      </c>
      <c r="E25" s="8">
        <f>Inputs!E27*Inputs!E45*Inputs!E43</f>
        <v>0</v>
      </c>
      <c r="F25" s="8">
        <f>Inputs!F27*Inputs!F45*Inputs!F43</f>
        <v>0</v>
      </c>
      <c r="G25" s="8">
        <f>Inputs!G27*Inputs!G45*Inputs!G43</f>
        <v>0</v>
      </c>
    </row>
    <row r="26" spans="1:9" x14ac:dyDescent="0.3">
      <c r="A26" s="21" t="s">
        <v>32</v>
      </c>
      <c r="B26" s="21" t="str">
        <f>Inputs!B33</f>
        <v>$/GJ MDQ/Day</v>
      </c>
      <c r="C26" s="8">
        <f>Inputs!C33</f>
        <v>0</v>
      </c>
      <c r="D26" s="8">
        <f>Inputs!D33</f>
        <v>0</v>
      </c>
      <c r="E26" s="8">
        <f>Inputs!E33</f>
        <v>0</v>
      </c>
      <c r="F26" s="8">
        <f>Inputs!F33</f>
        <v>0</v>
      </c>
      <c r="G26" s="8">
        <f>Inputs!G33</f>
        <v>0</v>
      </c>
    </row>
    <row r="27" spans="1:9" x14ac:dyDescent="0.3">
      <c r="A27" s="21" t="s">
        <v>33</v>
      </c>
      <c r="B27" s="21" t="s">
        <v>34</v>
      </c>
      <c r="C27" s="8">
        <f>C25*C26</f>
        <v>0</v>
      </c>
      <c r="D27" s="8">
        <f>D25*D26</f>
        <v>0</v>
      </c>
      <c r="E27" s="8">
        <f>E25*E26</f>
        <v>0</v>
      </c>
      <c r="F27" s="8">
        <f>F25*F26</f>
        <v>0</v>
      </c>
      <c r="G27" s="8">
        <f>G25*G26</f>
        <v>0</v>
      </c>
    </row>
    <row r="29" spans="1:9" ht="17.25" thickBot="1" x14ac:dyDescent="0.35">
      <c r="A29" s="15" t="s">
        <v>59</v>
      </c>
      <c r="B29" s="15"/>
      <c r="C29" s="15"/>
      <c r="D29" s="15"/>
      <c r="E29" s="15"/>
      <c r="F29" s="15"/>
      <c r="G29" s="15"/>
    </row>
    <row r="30" spans="1:9" x14ac:dyDescent="0.3">
      <c r="A30" s="4" t="s">
        <v>71</v>
      </c>
      <c r="B30" s="21" t="s">
        <v>72</v>
      </c>
      <c r="C30" s="32">
        <f>1+WACC</f>
        <v>1.0641474247625489</v>
      </c>
      <c r="D30" s="32">
        <f>C30*(1+Inputs!D41)</f>
        <v>1.1333617789162764</v>
      </c>
      <c r="E30" s="32">
        <f>D30*(1+Inputs!E41)</f>
        <v>1.2082497244447961</v>
      </c>
      <c r="F30" s="32">
        <f>E30*(1+Inputs!F41)</f>
        <v>1.2903597996372964</v>
      </c>
      <c r="G30" s="32">
        <f>F30*(1+Inputs!G41)</f>
        <v>1.3804227777456199</v>
      </c>
    </row>
    <row r="31" spans="1:9" x14ac:dyDescent="0.3">
      <c r="A31" s="4" t="s">
        <v>73</v>
      </c>
      <c r="B31" s="21" t="s">
        <v>75</v>
      </c>
      <c r="C31" s="32">
        <f>C16/C30</f>
        <v>63.904890848097082</v>
      </c>
      <c r="D31" s="32">
        <f>D16/D30</f>
        <v>68.186460409795799</v>
      </c>
      <c r="E31" s="32">
        <f>E16/E30</f>
        <v>63.103565209307369</v>
      </c>
      <c r="F31" s="32">
        <f>F16/F30</f>
        <v>63.06883868808584</v>
      </c>
      <c r="G31" s="32">
        <f>G16/G30</f>
        <v>59.731879486438807</v>
      </c>
      <c r="I31" s="37">
        <f>SUM(C31:G31)</f>
        <v>317.99563464172491</v>
      </c>
    </row>
    <row r="32" spans="1:9" x14ac:dyDescent="0.3">
      <c r="A32" s="4" t="s">
        <v>74</v>
      </c>
      <c r="B32" s="21" t="s">
        <v>75</v>
      </c>
      <c r="C32" s="32">
        <f>C35/C30</f>
        <v>57.79334061899641</v>
      </c>
      <c r="D32" s="32">
        <f>D35/D30</f>
        <v>59.709814150569649</v>
      </c>
      <c r="E32" s="32">
        <f>E35/E30</f>
        <v>63.65342938346366</v>
      </c>
      <c r="F32" s="32">
        <f>F35/F30</f>
        <v>67.023475793456001</v>
      </c>
      <c r="G32" s="32">
        <f>G35/G30</f>
        <v>69.815302643309494</v>
      </c>
      <c r="I32" s="37">
        <f>SUM(C32:G32)</f>
        <v>317.99536258979521</v>
      </c>
    </row>
    <row r="34" spans="1:10" x14ac:dyDescent="0.3">
      <c r="A34" s="4" t="s">
        <v>35</v>
      </c>
      <c r="B34" s="21" t="str">
        <f>B25</f>
        <v>GJ MDQ/year</v>
      </c>
      <c r="C34" s="14">
        <f>C21</f>
        <v>65257800</v>
      </c>
      <c r="D34" s="8">
        <f>D21</f>
        <v>62451500</v>
      </c>
      <c r="E34" s="8">
        <f>E21</f>
        <v>62451500</v>
      </c>
      <c r="F34" s="8">
        <f>F21</f>
        <v>62451500</v>
      </c>
      <c r="G34" s="8">
        <f>G21</f>
        <v>62622600</v>
      </c>
    </row>
    <row r="35" spans="1:10" x14ac:dyDescent="0.3">
      <c r="A35" s="4" t="s">
        <v>69</v>
      </c>
      <c r="B35" s="21" t="s">
        <v>7</v>
      </c>
      <c r="C35" s="8">
        <f>C36*C34/1000000</f>
        <v>61.500634588129842</v>
      </c>
      <c r="D35" s="8">
        <f t="shared" ref="D35:G35" si="1">D36*D34/1000000</f>
        <v>67.672821184449873</v>
      </c>
      <c r="E35" s="8">
        <f t="shared" si="1"/>
        <v>76.909238512536248</v>
      </c>
      <c r="F35" s="8">
        <f t="shared" si="1"/>
        <v>86.48439879583907</v>
      </c>
      <c r="G35" s="8">
        <f t="shared" si="1"/>
        <v>96.374634004028408</v>
      </c>
    </row>
    <row r="36" spans="1:10" x14ac:dyDescent="0.3">
      <c r="A36" s="4" t="s">
        <v>63</v>
      </c>
      <c r="C36" s="9">
        <f>FY22RefTariff*(1-C39/100)*(1+FY22Inf)</f>
        <v>0.94242580332358494</v>
      </c>
      <c r="D36" s="9">
        <f>C36*(1-D39/100)*(1+FY22Inf)</f>
        <v>1.083606017220561</v>
      </c>
      <c r="E36" s="9">
        <f>D36*(1-E39/100)*(1+FY22Inf)</f>
        <v>1.2315034628877808</v>
      </c>
      <c r="F36" s="9">
        <f>E36*(1-F39/100)*(1+FY22Inf)</f>
        <v>1.3848250049372564</v>
      </c>
      <c r="G36" s="9">
        <f>F36*(1-G39/100)*(1+FY22Inf)</f>
        <v>1.5389752901353251</v>
      </c>
    </row>
    <row r="38" spans="1:10" ht="17.25" thickBot="1" x14ac:dyDescent="0.35">
      <c r="C38" s="15" t="s">
        <v>36</v>
      </c>
      <c r="D38" s="15" t="s">
        <v>37</v>
      </c>
      <c r="E38" s="15" t="s">
        <v>38</v>
      </c>
      <c r="F38" s="15" t="s">
        <v>39</v>
      </c>
      <c r="G38" s="15" t="s">
        <v>40</v>
      </c>
    </row>
    <row r="39" spans="1:10" ht="15" thickBot="1" x14ac:dyDescent="0.35">
      <c r="A39" s="5" t="s">
        <v>70</v>
      </c>
      <c r="C39" s="19">
        <v>-13.528672191574586</v>
      </c>
      <c r="D39" s="20">
        <f>C39+$J$42</f>
        <v>-12.228672191574585</v>
      </c>
      <c r="E39" s="20">
        <f>D39+$J$42</f>
        <v>-10.928672191574584</v>
      </c>
      <c r="F39" s="20">
        <f>E39+($J$42*$J$43)</f>
        <v>-9.7586721915745844</v>
      </c>
      <c r="G39" s="20">
        <f>F39+($J$42*($J$43*1.1))</f>
        <v>-8.4716721915745836</v>
      </c>
      <c r="I39" s="37">
        <f>I31-I32</f>
        <v>2.7205192969859127E-4</v>
      </c>
      <c r="J39" s="5" t="s">
        <v>102</v>
      </c>
    </row>
    <row r="41" spans="1:10" x14ac:dyDescent="0.3">
      <c r="A41" s="4" t="s">
        <v>62</v>
      </c>
      <c r="C41" s="35">
        <f>C22-C35-C27</f>
        <v>6.5035904376044442</v>
      </c>
      <c r="D41" s="35">
        <f>D22-D35-D27</f>
        <v>9.6071068836005509</v>
      </c>
      <c r="E41" s="35">
        <f>E22-E35-E27</f>
        <v>-0.66437323690639971</v>
      </c>
      <c r="F41" s="35">
        <f>F22-F35-F27</f>
        <v>-5.1029047429236556</v>
      </c>
      <c r="G41" s="35">
        <f>G22-G35-G27</f>
        <v>-13.919387003391932</v>
      </c>
    </row>
    <row r="42" spans="1:10" x14ac:dyDescent="0.3">
      <c r="I42" t="s">
        <v>107</v>
      </c>
      <c r="J42">
        <v>1.3</v>
      </c>
    </row>
    <row r="43" spans="1:10" x14ac:dyDescent="0.3">
      <c r="C43" s="48">
        <f>Outputs!C11</f>
        <v>0.91979999999999995</v>
      </c>
      <c r="D43" s="48">
        <f>Outputs!D11</f>
        <v>1.0324</v>
      </c>
      <c r="E43" s="48">
        <f>Outputs!E11</f>
        <v>1.1452</v>
      </c>
      <c r="F43" s="48">
        <f>Outputs!F11</f>
        <v>1.2568999999999999</v>
      </c>
      <c r="G43" s="48">
        <f>Outputs!G11</f>
        <v>1.3633999999999999</v>
      </c>
      <c r="I43" t="s">
        <v>108</v>
      </c>
      <c r="J43">
        <v>0.9</v>
      </c>
    </row>
    <row r="44" spans="1:10" x14ac:dyDescent="0.3">
      <c r="C44" s="51">
        <f>(C43-FY22RefTariff)*100</f>
        <v>10.954597864971316</v>
      </c>
      <c r="D44" s="51">
        <f t="shared" ref="D44:F44" si="2">(D43-C43)*100</f>
        <v>11.260000000000003</v>
      </c>
      <c r="E44" s="51">
        <f t="shared" si="2"/>
        <v>11.280000000000001</v>
      </c>
      <c r="F44" s="51">
        <f t="shared" si="2"/>
        <v>11.169999999999991</v>
      </c>
      <c r="G44" s="51">
        <f>(G43-F43)*100</f>
        <v>10.650000000000004</v>
      </c>
    </row>
    <row r="49" spans="11:11" x14ac:dyDescent="0.3">
      <c r="K49" s="10"/>
    </row>
  </sheetData>
  <mergeCells count="2">
    <mergeCell ref="A11:G11"/>
    <mergeCell ref="A12:G12"/>
  </mergeCells>
  <phoneticPr fontId="3" type="noConversion"/>
  <pageMargins left="0.7" right="0.7" top="0.75" bottom="0.75" header="0.3" footer="0.3"/>
  <pageSetup paperSize="9" orientation="portrait" r:id="rId1"/>
  <headerFooter>
    <oddFooter>&amp;C_x000D_&amp;1#&amp;"Aptos"&amp;10&amp;K008000 APA-INTERNAL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A53D4-5EE4-4485-BFAC-EDDE3254A020}">
  <sheetPr codeName="Sheet3"/>
  <dimension ref="B1:I36"/>
  <sheetViews>
    <sheetView topLeftCell="A27" zoomScale="160" zoomScaleNormal="160" workbookViewId="0">
      <selection activeCell="E59" sqref="E59"/>
    </sheetView>
  </sheetViews>
  <sheetFormatPr defaultRowHeight="14.25" x14ac:dyDescent="0.3"/>
  <cols>
    <col min="2" max="2" width="33" bestFit="1" customWidth="1"/>
    <col min="4" max="4" width="15.140625" bestFit="1" customWidth="1"/>
    <col min="5" max="8" width="13.5703125" bestFit="1" customWidth="1"/>
    <col min="9" max="9" width="22.5703125" bestFit="1" customWidth="1"/>
    <col min="10" max="10" width="31.42578125" bestFit="1" customWidth="1"/>
    <col min="11" max="11" width="13.5703125" bestFit="1" customWidth="1"/>
    <col min="12" max="15" width="12.28515625" bestFit="1" customWidth="1"/>
    <col min="17" max="17" width="12.5703125" bestFit="1" customWidth="1"/>
  </cols>
  <sheetData>
    <row r="1" spans="2:9" ht="19.5" thickBot="1" x14ac:dyDescent="0.35">
      <c r="B1" s="61" t="s">
        <v>41</v>
      </c>
      <c r="C1" s="61"/>
      <c r="D1" s="61"/>
      <c r="E1" s="61"/>
      <c r="F1" s="61"/>
      <c r="G1" s="61"/>
    </row>
    <row r="2" spans="2:9" ht="17.25" thickBot="1" x14ac:dyDescent="0.35">
      <c r="B2" s="15" t="s">
        <v>42</v>
      </c>
      <c r="C2" s="15" t="str">
        <f>Calculations!C14</f>
        <v>FY 28</v>
      </c>
      <c r="D2" s="15" t="str">
        <f>Calculations!D14</f>
        <v>FY 29</v>
      </c>
      <c r="E2" s="15" t="str">
        <f>Calculations!E14</f>
        <v>FY 30</v>
      </c>
      <c r="F2" s="15" t="str">
        <f>Calculations!F14</f>
        <v>FY 31</v>
      </c>
      <c r="G2" s="15" t="str">
        <f>Calculations!G14</f>
        <v>FY 32</v>
      </c>
      <c r="I2" s="40"/>
    </row>
    <row r="3" spans="2:9" ht="15" thickBot="1" x14ac:dyDescent="0.35">
      <c r="B3" s="5" t="str">
        <f>Calculations!A39</f>
        <v>X factor</v>
      </c>
      <c r="C3" s="52">
        <f>Calculations!C39/100</f>
        <v>-0.13528672191574587</v>
      </c>
      <c r="D3" s="52">
        <f>Calculations!D39/100</f>
        <v>-0.12228672191574586</v>
      </c>
      <c r="E3" s="52">
        <f>Calculations!E39/100</f>
        <v>-0.10928672191574584</v>
      </c>
      <c r="F3" s="52">
        <f>Calculations!F39/100</f>
        <v>-9.7586721915745842E-2</v>
      </c>
      <c r="G3" s="52">
        <f>Calculations!G39/100</f>
        <v>-8.4716721915745835E-2</v>
      </c>
    </row>
    <row r="5" spans="2:9" ht="19.5" thickBot="1" x14ac:dyDescent="0.35">
      <c r="B5" s="61" t="s">
        <v>43</v>
      </c>
      <c r="C5" s="61"/>
      <c r="D5" s="61"/>
      <c r="E5" s="61"/>
      <c r="F5" s="61"/>
      <c r="G5" s="61"/>
      <c r="I5" s="40"/>
    </row>
    <row r="6" spans="2:9" ht="17.25" thickBot="1" x14ac:dyDescent="0.35">
      <c r="B6" s="15" t="s">
        <v>44</v>
      </c>
      <c r="C6" s="15" t="str">
        <f>C2</f>
        <v>FY 28</v>
      </c>
      <c r="D6" s="15" t="str">
        <f t="shared" ref="D6:G6" si="0">D2</f>
        <v>FY 29</v>
      </c>
      <c r="E6" s="15" t="str">
        <f t="shared" si="0"/>
        <v>FY 30</v>
      </c>
      <c r="F6" s="15" t="str">
        <f t="shared" si="0"/>
        <v>FY 31</v>
      </c>
      <c r="G6" s="15" t="str">
        <f t="shared" si="0"/>
        <v>FY 32</v>
      </c>
    </row>
    <row r="7" spans="2:9" ht="15" thickBot="1" x14ac:dyDescent="0.35">
      <c r="B7" s="5" t="s">
        <v>103</v>
      </c>
      <c r="C7" s="25">
        <f>ROUND(Calculations!C36,4)</f>
        <v>0.94240000000000002</v>
      </c>
      <c r="D7" s="25">
        <f>ROUND(Calculations!D36,4)</f>
        <v>1.0835999999999999</v>
      </c>
      <c r="E7" s="25">
        <f>ROUND(Calculations!E36,4)</f>
        <v>1.2315</v>
      </c>
      <c r="F7" s="25">
        <f>ROUND(Calculations!F36,4)</f>
        <v>1.3848</v>
      </c>
      <c r="G7" s="25">
        <f>ROUND(Calculations!G36,4)</f>
        <v>1.5389999999999999</v>
      </c>
    </row>
    <row r="8" spans="2:9" ht="18.75" customHeight="1" x14ac:dyDescent="0.3">
      <c r="I8" s="40"/>
    </row>
    <row r="9" spans="2:9" ht="19.5" thickBot="1" x14ac:dyDescent="0.35">
      <c r="B9" s="62" t="s">
        <v>45</v>
      </c>
      <c r="C9" s="62"/>
      <c r="D9" s="62"/>
      <c r="E9" s="62"/>
      <c r="F9" s="62"/>
      <c r="G9" s="62"/>
    </row>
    <row r="10" spans="2:9" ht="17.25" thickBot="1" x14ac:dyDescent="0.35">
      <c r="B10" s="15" t="s">
        <v>44</v>
      </c>
      <c r="C10" s="15" t="str">
        <f>C6</f>
        <v>FY 28</v>
      </c>
      <c r="D10" s="15" t="str">
        <f t="shared" ref="D10:G10" si="1">D6</f>
        <v>FY 29</v>
      </c>
      <c r="E10" s="15" t="str">
        <f t="shared" si="1"/>
        <v>FY 30</v>
      </c>
      <c r="F10" s="15" t="str">
        <f t="shared" si="1"/>
        <v>FY 31</v>
      </c>
      <c r="G10" s="15" t="str">
        <f t="shared" si="1"/>
        <v>FY 32</v>
      </c>
    </row>
    <row r="11" spans="2:9" ht="15" thickBot="1" x14ac:dyDescent="0.35">
      <c r="B11" s="5" t="s">
        <v>103</v>
      </c>
      <c r="C11" s="5">
        <f>ROUND(C7/Inputs!C$39,4)</f>
        <v>0.91979999999999995</v>
      </c>
      <c r="D11" s="5">
        <f>ROUND(D7/Inputs!D$39,4)</f>
        <v>1.0324</v>
      </c>
      <c r="E11" s="5">
        <f>ROUND(E7/Inputs!E$39,4)</f>
        <v>1.1452</v>
      </c>
      <c r="F11" s="5">
        <f>ROUND(F7/Inputs!F$39,4)</f>
        <v>1.2568999999999999</v>
      </c>
      <c r="G11" s="5">
        <f>ROUND(G7/Inputs!G$39,4)</f>
        <v>1.3633999999999999</v>
      </c>
      <c r="I11" s="40"/>
    </row>
    <row r="14" spans="2:9" ht="18.75" x14ac:dyDescent="0.3">
      <c r="B14" s="61" t="s">
        <v>8</v>
      </c>
      <c r="C14" s="61"/>
      <c r="D14" s="61"/>
      <c r="E14" s="61"/>
      <c r="F14" s="61"/>
      <c r="G14" s="61"/>
    </row>
    <row r="15" spans="2:9" ht="15" thickBot="1" x14ac:dyDescent="0.35"/>
    <row r="16" spans="2:9" ht="17.25" thickBot="1" x14ac:dyDescent="0.35">
      <c r="B16" s="15" t="s">
        <v>46</v>
      </c>
      <c r="C16" s="15" t="str">
        <f>C10</f>
        <v>FY 28</v>
      </c>
      <c r="D16" s="15" t="str">
        <f t="shared" ref="D16:G16" si="2">D10</f>
        <v>FY 29</v>
      </c>
      <c r="E16" s="15" t="str">
        <f t="shared" si="2"/>
        <v>FY 30</v>
      </c>
      <c r="F16" s="15" t="str">
        <f t="shared" si="2"/>
        <v>FY 31</v>
      </c>
      <c r="G16" s="15" t="str">
        <f t="shared" si="2"/>
        <v>FY 32</v>
      </c>
    </row>
    <row r="17" spans="2:8" ht="15" thickBot="1" x14ac:dyDescent="0.35">
      <c r="B17" s="5" t="str">
        <f>Inputs!A23</f>
        <v>Retail</v>
      </c>
      <c r="C17" s="23">
        <f>Inputs!C23</f>
        <v>54.2</v>
      </c>
      <c r="D17" s="23">
        <f>Inputs!D23</f>
        <v>48</v>
      </c>
      <c r="E17" s="23">
        <f>Inputs!E23</f>
        <v>48</v>
      </c>
      <c r="F17" s="23">
        <f>Inputs!F23</f>
        <v>48</v>
      </c>
      <c r="G17" s="23">
        <f>Inputs!G23</f>
        <v>48</v>
      </c>
    </row>
    <row r="18" spans="2:8" ht="15" thickBot="1" x14ac:dyDescent="0.35">
      <c r="B18" s="5" t="str">
        <f>Inputs!A24</f>
        <v>Industrial and Commercial</v>
      </c>
      <c r="C18" s="23">
        <f>Inputs!C24</f>
        <v>8.5</v>
      </c>
      <c r="D18" s="23">
        <f>Inputs!D24</f>
        <v>8.5</v>
      </c>
      <c r="E18" s="23">
        <f>Inputs!E24</f>
        <v>8.5</v>
      </c>
      <c r="F18" s="23">
        <f>Inputs!F24</f>
        <v>8.5</v>
      </c>
      <c r="G18" s="23">
        <f>Inputs!G24</f>
        <v>8.5</v>
      </c>
    </row>
    <row r="19" spans="2:8" ht="15" thickBot="1" x14ac:dyDescent="0.35">
      <c r="B19" s="5" t="str">
        <f>Inputs!A25</f>
        <v>GPG</v>
      </c>
      <c r="C19" s="23">
        <f>Inputs!C25</f>
        <v>61</v>
      </c>
      <c r="D19" s="23">
        <f>Inputs!D25</f>
        <v>61</v>
      </c>
      <c r="E19" s="23">
        <f>Inputs!E25</f>
        <v>61</v>
      </c>
      <c r="F19" s="23">
        <f>Inputs!F25</f>
        <v>61</v>
      </c>
      <c r="G19" s="23">
        <f>Inputs!G25</f>
        <v>61</v>
      </c>
    </row>
    <row r="20" spans="2:8" ht="15" thickBot="1" x14ac:dyDescent="0.35">
      <c r="B20" s="5" t="str">
        <f>Inputs!A26</f>
        <v>Westbound</v>
      </c>
      <c r="C20" s="23">
        <f>Inputs!C26</f>
        <v>54.6</v>
      </c>
      <c r="D20" s="23">
        <f>Inputs!D26</f>
        <v>53.6</v>
      </c>
      <c r="E20" s="23">
        <f>Inputs!E26</f>
        <v>53.6</v>
      </c>
      <c r="F20" s="23">
        <f>Inputs!F26</f>
        <v>53.6</v>
      </c>
      <c r="G20" s="23">
        <f>Inputs!G26</f>
        <v>53.6</v>
      </c>
    </row>
    <row r="21" spans="2:8" ht="15" thickBot="1" x14ac:dyDescent="0.35">
      <c r="B21" s="5" t="str">
        <f>Inputs!A27</f>
        <v>Prudent Discount Volumes</v>
      </c>
      <c r="C21" s="23">
        <f>Inputs!C27</f>
        <v>0</v>
      </c>
      <c r="D21" s="23">
        <f>Inputs!D27</f>
        <v>0</v>
      </c>
      <c r="E21" s="23">
        <f>Inputs!E27</f>
        <v>0</v>
      </c>
      <c r="F21" s="23">
        <f>Inputs!F27</f>
        <v>0</v>
      </c>
      <c r="G21" s="23">
        <f>Inputs!G27</f>
        <v>0</v>
      </c>
    </row>
    <row r="22" spans="2:8" ht="15" thickBot="1" x14ac:dyDescent="0.35">
      <c r="B22" s="5" t="s">
        <v>15</v>
      </c>
      <c r="C22" s="16">
        <f>SUM(C17:C21)</f>
        <v>178.3</v>
      </c>
      <c r="D22" s="16">
        <f>SUM(D17:D21)</f>
        <v>171.1</v>
      </c>
      <c r="E22" s="16">
        <f>SUM(E17:E21)</f>
        <v>171.1</v>
      </c>
      <c r="F22" s="16">
        <f>SUM(F17:F21)</f>
        <v>171.1</v>
      </c>
      <c r="G22" s="16">
        <f>SUM(G17:G21)</f>
        <v>171.1</v>
      </c>
    </row>
    <row r="24" spans="2:8" ht="15" thickBot="1" x14ac:dyDescent="0.35"/>
    <row r="25" spans="2:8" ht="17.25" thickBot="1" x14ac:dyDescent="0.35">
      <c r="B25" s="15" t="s">
        <v>47</v>
      </c>
      <c r="C25" s="15"/>
      <c r="D25" s="15" t="str">
        <f>C16</f>
        <v>FY 28</v>
      </c>
      <c r="E25" s="15" t="str">
        <f t="shared" ref="E25:H25" si="3">D16</f>
        <v>FY 29</v>
      </c>
      <c r="F25" s="15" t="str">
        <f t="shared" si="3"/>
        <v>FY 30</v>
      </c>
      <c r="G25" s="15" t="str">
        <f t="shared" si="3"/>
        <v>FY 31</v>
      </c>
      <c r="H25" s="15" t="str">
        <f t="shared" si="3"/>
        <v>FY 32</v>
      </c>
    </row>
    <row r="26" spans="2:8" ht="15" thickBot="1" x14ac:dyDescent="0.35">
      <c r="B26" s="5" t="str">
        <f>Calculations!A35</f>
        <v>Smoothed reference service</v>
      </c>
      <c r="C26" s="5" t="str">
        <f>Calculations!B35</f>
        <v>Forecast Nom</v>
      </c>
      <c r="D26" s="23">
        <f>Calculations!C35</f>
        <v>61.500634588129842</v>
      </c>
      <c r="E26" s="23">
        <f>Calculations!D35</f>
        <v>67.672821184449873</v>
      </c>
      <c r="F26" s="23">
        <f>Calculations!E35</f>
        <v>76.909238512536248</v>
      </c>
      <c r="G26" s="23">
        <f>Calculations!F35</f>
        <v>86.48439879583907</v>
      </c>
      <c r="H26" s="23">
        <f>Calculations!G35</f>
        <v>96.374634004028408</v>
      </c>
    </row>
    <row r="27" spans="2:8" ht="15" thickBot="1" x14ac:dyDescent="0.35"/>
    <row r="28" spans="2:8" ht="17.25" thickBot="1" x14ac:dyDescent="0.35">
      <c r="B28" s="15" t="s">
        <v>51</v>
      </c>
      <c r="C28" s="15"/>
      <c r="D28" s="15" t="str">
        <f>D25</f>
        <v>FY 28</v>
      </c>
      <c r="E28" s="15" t="str">
        <f t="shared" ref="E28:H28" si="4">E25</f>
        <v>FY 29</v>
      </c>
      <c r="F28" s="15" t="str">
        <f t="shared" si="4"/>
        <v>FY 30</v>
      </c>
      <c r="G28" s="15" t="str">
        <f t="shared" si="4"/>
        <v>FY 31</v>
      </c>
      <c r="H28" s="15" t="str">
        <f t="shared" si="4"/>
        <v>FY 32</v>
      </c>
    </row>
    <row r="29" spans="2:8" ht="15" thickBot="1" x14ac:dyDescent="0.35">
      <c r="B29" s="11" t="s">
        <v>63</v>
      </c>
      <c r="C29" s="11" t="s">
        <v>48</v>
      </c>
      <c r="D29" s="22">
        <f>Calculations!C36</f>
        <v>0.94242580332358494</v>
      </c>
      <c r="E29" s="22">
        <f>Calculations!D36</f>
        <v>1.083606017220561</v>
      </c>
      <c r="F29" s="22">
        <f>Calculations!E36</f>
        <v>1.2315034628877808</v>
      </c>
      <c r="G29" s="22">
        <f>Calculations!F36</f>
        <v>1.3848250049372564</v>
      </c>
      <c r="H29" s="22">
        <f>Calculations!G36</f>
        <v>1.5389752901353251</v>
      </c>
    </row>
    <row r="30" spans="2:8" ht="15" thickBot="1" x14ac:dyDescent="0.35">
      <c r="B30" s="4" t="s">
        <v>49</v>
      </c>
      <c r="C30" s="4" t="s">
        <v>50</v>
      </c>
      <c r="D30" s="41">
        <f>Inputs!C25*Inputs!C43*Inputs!C45</f>
        <v>22326000</v>
      </c>
      <c r="E30" s="41">
        <f>Inputs!D25*Inputs!D43*Inputs!D45</f>
        <v>22265000</v>
      </c>
      <c r="F30" s="41">
        <f>Inputs!E25*Inputs!E43*Inputs!E45</f>
        <v>22265000</v>
      </c>
      <c r="G30" s="41">
        <f>Inputs!F25*Inputs!F43*Inputs!F45</f>
        <v>22265000</v>
      </c>
      <c r="H30" s="41">
        <f>Inputs!G25*Inputs!G43*Inputs!G45</f>
        <v>22326000</v>
      </c>
    </row>
    <row r="31" spans="2:8" ht="15" thickBot="1" x14ac:dyDescent="0.35">
      <c r="B31" s="5" t="s">
        <v>51</v>
      </c>
      <c r="C31" s="5"/>
      <c r="D31" s="42">
        <f>D29*D30/1000000</f>
        <v>21.040598485002356</v>
      </c>
      <c r="E31" s="42">
        <f>E29*E30/1000000</f>
        <v>24.126487973415792</v>
      </c>
      <c r="F31" s="42">
        <f>F29*F30/1000000</f>
        <v>27.41942460119644</v>
      </c>
      <c r="G31" s="42">
        <f>G29*G30/1000000</f>
        <v>30.83312873492801</v>
      </c>
      <c r="H31" s="42">
        <f>H29*H30/1000000</f>
        <v>34.359162327561265</v>
      </c>
    </row>
    <row r="32" spans="2:8" x14ac:dyDescent="0.3">
      <c r="D32" s="26"/>
      <c r="E32" s="26"/>
      <c r="F32" s="26"/>
      <c r="G32" s="26"/>
      <c r="H32" s="26"/>
    </row>
    <row r="33" spans="2:8" ht="18.75" x14ac:dyDescent="0.3">
      <c r="B33" s="24" t="s">
        <v>76</v>
      </c>
      <c r="C33" s="24"/>
      <c r="D33" s="24"/>
      <c r="E33" s="24"/>
      <c r="F33" s="24"/>
      <c r="G33" s="24"/>
      <c r="H33" s="24"/>
    </row>
    <row r="34" spans="2:8" ht="15" thickBot="1" x14ac:dyDescent="0.35">
      <c r="D34" s="27"/>
    </row>
    <row r="35" spans="2:8" ht="17.25" thickBot="1" x14ac:dyDescent="0.35">
      <c r="B35" s="15" t="s">
        <v>47</v>
      </c>
      <c r="C35" s="15"/>
      <c r="D35" s="15" t="str">
        <f>D25</f>
        <v>FY 28</v>
      </c>
      <c r="E35" s="15" t="str">
        <f>E25</f>
        <v>FY 29</v>
      </c>
      <c r="F35" s="15" t="str">
        <f>F25</f>
        <v>FY 30</v>
      </c>
      <c r="G35" s="15" t="str">
        <f>G25</f>
        <v>FY 31</v>
      </c>
      <c r="H35" s="15" t="str">
        <f>H25</f>
        <v>FY 32</v>
      </c>
    </row>
    <row r="36" spans="2:8" ht="15" thickBot="1" x14ac:dyDescent="0.35">
      <c r="B36" s="5" t="s">
        <v>47</v>
      </c>
      <c r="C36" s="5"/>
      <c r="D36" s="38">
        <f>D26/Inputs!C39</f>
        <v>60.028733717040794</v>
      </c>
      <c r="E36" s="38">
        <f>E26/Inputs!D39</f>
        <v>64.472342856182038</v>
      </c>
      <c r="F36" s="38">
        <f>F26/Inputs!E39</f>
        <v>71.518313861162213</v>
      </c>
      <c r="G36" s="38">
        <f>G26/Inputs!F39</f>
        <v>78.497551667814477</v>
      </c>
      <c r="H36" s="38">
        <f>H26/Inputs!G39</f>
        <v>85.380888038382565</v>
      </c>
    </row>
  </sheetData>
  <mergeCells count="4">
    <mergeCell ref="B1:G1"/>
    <mergeCell ref="B5:G5"/>
    <mergeCell ref="B14:G14"/>
    <mergeCell ref="B9:G9"/>
  </mergeCells>
  <pageMargins left="0.7" right="0.7" top="0.75" bottom="0.75" header="0.3" footer="0.3"/>
  <pageSetup paperSize="9" orientation="portrait" horizontalDpi="1200" verticalDpi="1200" r:id="rId1"/>
  <headerFooter>
    <oddFooter>&amp;C_x000D_&amp;1#&amp;"Aptos"&amp;10&amp;K008000 APA-INTERNAL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70AF6-16C6-4B54-A5CD-C25103D662C9}">
  <dimension ref="B1:F25"/>
  <sheetViews>
    <sheetView workbookViewId="0">
      <selection activeCell="O9" sqref="O9"/>
    </sheetView>
  </sheetViews>
  <sheetFormatPr defaultRowHeight="14.25" x14ac:dyDescent="0.3"/>
  <cols>
    <col min="2" max="2" width="12.7109375" bestFit="1" customWidth="1"/>
    <col min="5" max="5" width="47.42578125" customWidth="1"/>
  </cols>
  <sheetData>
    <row r="1" spans="2:6" ht="15" thickBot="1" x14ac:dyDescent="0.35"/>
    <row r="2" spans="2:6" ht="17.25" thickBot="1" x14ac:dyDescent="0.35">
      <c r="B2" s="15"/>
      <c r="C2" s="15" t="s">
        <v>84</v>
      </c>
      <c r="D2" s="15" t="s">
        <v>85</v>
      </c>
      <c r="E2" s="15" t="s">
        <v>79</v>
      </c>
      <c r="F2" s="15" t="s">
        <v>81</v>
      </c>
    </row>
    <row r="3" spans="2:6" x14ac:dyDescent="0.3">
      <c r="B3" s="11" t="s">
        <v>63</v>
      </c>
      <c r="C3" s="11">
        <f>AVERAGE(Outputs!C7:G7)</f>
        <v>1.2362599999999999</v>
      </c>
      <c r="D3" s="11" t="s">
        <v>86</v>
      </c>
      <c r="E3" s="45" t="s">
        <v>89</v>
      </c>
      <c r="F3" s="11" t="str">
        <f>Outputs!C6</f>
        <v>FY 28</v>
      </c>
    </row>
    <row r="4" spans="2:6" ht="15" thickBot="1" x14ac:dyDescent="0.35">
      <c r="B4" s="2" t="s">
        <v>77</v>
      </c>
      <c r="C4" s="2">
        <v>7238</v>
      </c>
      <c r="D4" s="2" t="s">
        <v>87</v>
      </c>
      <c r="E4" s="43" t="s">
        <v>116</v>
      </c>
      <c r="F4" s="2" t="s">
        <v>91</v>
      </c>
    </row>
    <row r="5" spans="2:6" ht="17.25" thickBot="1" x14ac:dyDescent="0.35">
      <c r="B5" s="15" t="s">
        <v>78</v>
      </c>
      <c r="C5" s="15"/>
      <c r="D5" s="15"/>
      <c r="E5" s="15"/>
      <c r="F5" s="15"/>
    </row>
    <row r="6" spans="2:6" x14ac:dyDescent="0.3">
      <c r="B6" s="44" t="s">
        <v>82</v>
      </c>
      <c r="C6" s="2">
        <v>693</v>
      </c>
      <c r="D6" s="2" t="s">
        <v>88</v>
      </c>
      <c r="E6" s="43" t="s">
        <v>80</v>
      </c>
      <c r="F6" s="2" t="s">
        <v>91</v>
      </c>
    </row>
    <row r="7" spans="2:6" x14ac:dyDescent="0.3">
      <c r="B7" s="44" t="s">
        <v>83</v>
      </c>
      <c r="C7" s="2">
        <v>710</v>
      </c>
      <c r="D7" s="2" t="s">
        <v>88</v>
      </c>
      <c r="E7" s="43" t="s">
        <v>80</v>
      </c>
      <c r="F7" s="2" t="s">
        <v>91</v>
      </c>
    </row>
    <row r="8" spans="2:6" ht="15" thickBot="1" x14ac:dyDescent="0.35"/>
    <row r="9" spans="2:6" ht="17.25" thickBot="1" x14ac:dyDescent="0.35">
      <c r="B9" s="15" t="s">
        <v>90</v>
      </c>
      <c r="C9" s="15"/>
      <c r="D9" s="15"/>
      <c r="E9" s="15"/>
      <c r="F9" s="15"/>
    </row>
    <row r="10" spans="2:6" ht="15" thickBot="1" x14ac:dyDescent="0.35">
      <c r="B10" s="4" t="s">
        <v>63</v>
      </c>
      <c r="C10" s="4">
        <f>C3/1000</f>
        <v>1.2362599999999999E-3</v>
      </c>
      <c r="D10" s="4" t="s">
        <v>95</v>
      </c>
      <c r="F10" s="4" t="str">
        <f>F3</f>
        <v>FY 28</v>
      </c>
    </row>
    <row r="11" spans="2:6" ht="15" thickBot="1" x14ac:dyDescent="0.35">
      <c r="B11" s="5" t="s">
        <v>93</v>
      </c>
      <c r="C11" s="46">
        <f>C10*C4</f>
        <v>8.9480498799999992</v>
      </c>
      <c r="D11" s="5" t="s">
        <v>92</v>
      </c>
      <c r="F11" s="5" t="str">
        <f>F10</f>
        <v>FY 28</v>
      </c>
    </row>
    <row r="12" spans="2:6" ht="15" thickBot="1" x14ac:dyDescent="0.35"/>
    <row r="13" spans="2:6" ht="17.25" thickBot="1" x14ac:dyDescent="0.35">
      <c r="B13" s="15" t="s">
        <v>118</v>
      </c>
      <c r="C13" s="15"/>
      <c r="D13" s="15"/>
      <c r="E13" s="15"/>
      <c r="F13" s="15"/>
    </row>
    <row r="14" spans="2:6" x14ac:dyDescent="0.3">
      <c r="B14" s="55">
        <v>45444</v>
      </c>
      <c r="C14" s="2">
        <v>96.41</v>
      </c>
      <c r="D14" s="2" t="s">
        <v>72</v>
      </c>
      <c r="E14" s="43" t="s">
        <v>119</v>
      </c>
      <c r="F14" s="2" t="s">
        <v>121</v>
      </c>
    </row>
    <row r="15" spans="2:6" x14ac:dyDescent="0.3">
      <c r="B15" s="55">
        <v>46539</v>
      </c>
      <c r="C15" s="29">
        <v>105.63035136000002</v>
      </c>
      <c r="D15" s="2" t="s">
        <v>72</v>
      </c>
      <c r="E15" s="43" t="s">
        <v>120</v>
      </c>
      <c r="F15" s="2" t="s">
        <v>121</v>
      </c>
    </row>
    <row r="16" spans="2:6" x14ac:dyDescent="0.3">
      <c r="B16" s="55">
        <v>46905</v>
      </c>
      <c r="C16" s="56">
        <v>108.271110144</v>
      </c>
      <c r="D16" s="2" t="s">
        <v>72</v>
      </c>
      <c r="E16" s="43" t="s">
        <v>120</v>
      </c>
      <c r="F16" s="2" t="s">
        <v>121</v>
      </c>
    </row>
    <row r="18" spans="2:6" ht="15" thickBot="1" x14ac:dyDescent="0.35"/>
    <row r="19" spans="2:6" ht="17.25" thickBot="1" x14ac:dyDescent="0.35">
      <c r="B19" s="15" t="s">
        <v>78</v>
      </c>
      <c r="C19" s="15"/>
      <c r="D19" s="15"/>
      <c r="E19" s="15"/>
      <c r="F19" s="15"/>
    </row>
    <row r="20" spans="2:6" x14ac:dyDescent="0.3">
      <c r="B20" s="4" t="str">
        <f>B6</f>
        <v>AGN</v>
      </c>
      <c r="C20" s="54">
        <f>C6/$C$14*$C$16</f>
        <v>778.25826501184531</v>
      </c>
      <c r="D20" s="4" t="str">
        <f>D6</f>
        <v>$/year</v>
      </c>
      <c r="E20" s="4" t="str">
        <f>E6</f>
        <v>Annual retail markets report 2023–24</v>
      </c>
      <c r="F20" s="4" t="str">
        <f>F10</f>
        <v>FY 28</v>
      </c>
    </row>
    <row r="21" spans="2:6" x14ac:dyDescent="0.3">
      <c r="B21" s="4" t="str">
        <f>B7</f>
        <v>AllGas</v>
      </c>
      <c r="C21" s="54">
        <f>C7/$C$14*$C$16</f>
        <v>797.34973760232344</v>
      </c>
      <c r="D21" s="4" t="str">
        <f>D7</f>
        <v>$/year</v>
      </c>
      <c r="E21" s="4" t="str">
        <f>E7</f>
        <v>Annual retail markets report 2023–24</v>
      </c>
      <c r="F21" s="4" t="str">
        <f>F11</f>
        <v>FY 28</v>
      </c>
    </row>
    <row r="22" spans="2:6" ht="15" thickBot="1" x14ac:dyDescent="0.35"/>
    <row r="23" spans="2:6" ht="17.25" thickBot="1" x14ac:dyDescent="0.35">
      <c r="B23" s="15" t="s">
        <v>94</v>
      </c>
      <c r="C23" s="15"/>
      <c r="D23" s="15"/>
      <c r="E23" s="15"/>
      <c r="F23" s="15"/>
    </row>
    <row r="24" spans="2:6" ht="15" thickBot="1" x14ac:dyDescent="0.35">
      <c r="B24" s="5" t="str">
        <f>B6</f>
        <v>AGN</v>
      </c>
      <c r="C24" s="47">
        <f>$C$11/C20</f>
        <v>1.1497532737238334E-2</v>
      </c>
    </row>
    <row r="25" spans="2:6" ht="15" thickBot="1" x14ac:dyDescent="0.35">
      <c r="B25" s="5" t="str">
        <f>B7</f>
        <v>AllGas</v>
      </c>
      <c r="C25" s="47">
        <f>$C$11/C21</f>
        <v>1.1222239699867839E-2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E9D50-B12C-4E8D-ADD0-D168A8F532BD}">
  <dimension ref="A1:G13"/>
  <sheetViews>
    <sheetView workbookViewId="0">
      <selection activeCell="E29" sqref="E29"/>
    </sheetView>
  </sheetViews>
  <sheetFormatPr defaultColWidth="9.140625" defaultRowHeight="12" x14ac:dyDescent="0.2"/>
  <cols>
    <col min="1" max="1" width="15.42578125" style="49" customWidth="1"/>
    <col min="2" max="16384" width="9.140625" style="49"/>
  </cols>
  <sheetData>
    <row r="1" spans="1:7" x14ac:dyDescent="0.2">
      <c r="A1" s="49" t="s">
        <v>101</v>
      </c>
    </row>
    <row r="2" spans="1:7" x14ac:dyDescent="0.2">
      <c r="B2" s="49" t="s">
        <v>96</v>
      </c>
      <c r="C2" s="49" t="s">
        <v>97</v>
      </c>
      <c r="D2" s="49" t="s">
        <v>98</v>
      </c>
      <c r="E2" s="49" t="s">
        <v>99</v>
      </c>
      <c r="F2" s="49" t="s">
        <v>100</v>
      </c>
    </row>
    <row r="3" spans="1:7" x14ac:dyDescent="0.2">
      <c r="A3" s="49" t="str">
        <f>Inputs!A23</f>
        <v>Retail</v>
      </c>
      <c r="B3" s="50">
        <f>Inputs!C23</f>
        <v>54.2</v>
      </c>
      <c r="C3" s="50">
        <f>Inputs!D23</f>
        <v>48</v>
      </c>
      <c r="D3" s="50">
        <f>Inputs!E23</f>
        <v>48</v>
      </c>
      <c r="E3" s="50">
        <f>Inputs!F23</f>
        <v>48</v>
      </c>
      <c r="F3" s="50">
        <f>Inputs!G23</f>
        <v>48</v>
      </c>
    </row>
    <row r="4" spans="1:7" x14ac:dyDescent="0.2">
      <c r="A4" s="49" t="str">
        <f>Inputs!A24</f>
        <v>Industrial and Commercial</v>
      </c>
      <c r="B4" s="50">
        <f>Inputs!C24</f>
        <v>8.5</v>
      </c>
      <c r="C4" s="50">
        <f>Inputs!D24</f>
        <v>8.5</v>
      </c>
      <c r="D4" s="50">
        <f>Inputs!E24</f>
        <v>8.5</v>
      </c>
      <c r="E4" s="50">
        <f>Inputs!F24</f>
        <v>8.5</v>
      </c>
      <c r="F4" s="50">
        <f>Inputs!G24</f>
        <v>8.5</v>
      </c>
    </row>
    <row r="5" spans="1:7" x14ac:dyDescent="0.2">
      <c r="A5" s="49" t="str">
        <f>Inputs!A25</f>
        <v>GPG</v>
      </c>
      <c r="B5" s="50">
        <f>Inputs!C25</f>
        <v>61</v>
      </c>
      <c r="C5" s="50">
        <f>Inputs!D25</f>
        <v>61</v>
      </c>
      <c r="D5" s="50">
        <f>Inputs!E25</f>
        <v>61</v>
      </c>
      <c r="E5" s="50">
        <f>Inputs!F25</f>
        <v>61</v>
      </c>
      <c r="F5" s="50">
        <f>Inputs!G25</f>
        <v>61</v>
      </c>
    </row>
    <row r="6" spans="1:7" x14ac:dyDescent="0.2">
      <c r="A6" s="49" t="str">
        <f>Inputs!A26</f>
        <v>Westbound</v>
      </c>
      <c r="B6" s="50">
        <f>Inputs!C26</f>
        <v>54.6</v>
      </c>
      <c r="C6" s="50">
        <f>Inputs!D26</f>
        <v>53.6</v>
      </c>
      <c r="D6" s="50">
        <f>Inputs!E26</f>
        <v>53.6</v>
      </c>
      <c r="E6" s="50">
        <f>Inputs!F26</f>
        <v>53.6</v>
      </c>
      <c r="F6" s="50">
        <f>Inputs!G26</f>
        <v>53.6</v>
      </c>
    </row>
    <row r="7" spans="1:7" x14ac:dyDescent="0.2">
      <c r="A7" s="49" t="s">
        <v>15</v>
      </c>
      <c r="B7" s="50">
        <f>SUM(B3:B6)</f>
        <v>178.3</v>
      </c>
      <c r="C7" s="50">
        <f t="shared" ref="C7:F7" si="0">SUM(C3:C6)</f>
        <v>171.1</v>
      </c>
      <c r="D7" s="50">
        <f t="shared" si="0"/>
        <v>171.1</v>
      </c>
      <c r="E7" s="50">
        <f t="shared" si="0"/>
        <v>171.1</v>
      </c>
      <c r="F7" s="50">
        <f t="shared" si="0"/>
        <v>171.1</v>
      </c>
    </row>
    <row r="10" spans="1:7" x14ac:dyDescent="0.2">
      <c r="A10" s="49" t="s">
        <v>106</v>
      </c>
    </row>
    <row r="11" spans="1:7" x14ac:dyDescent="0.2">
      <c r="B11" s="49" t="s">
        <v>109</v>
      </c>
      <c r="C11" s="49" t="s">
        <v>110</v>
      </c>
      <c r="D11" s="49" t="s">
        <v>111</v>
      </c>
      <c r="E11" s="49" t="s">
        <v>112</v>
      </c>
      <c r="F11" s="49" t="s">
        <v>113</v>
      </c>
      <c r="G11" s="49" t="s">
        <v>114</v>
      </c>
    </row>
    <row r="12" spans="1:7" x14ac:dyDescent="0.2">
      <c r="A12" s="49" t="s">
        <v>115</v>
      </c>
      <c r="B12" s="49">
        <f>ROUND(FY22RefTariff,4)</f>
        <v>0.81030000000000002</v>
      </c>
      <c r="C12" s="49">
        <f>ROUND(Outputs!C11,4)</f>
        <v>0.91979999999999995</v>
      </c>
      <c r="D12" s="49">
        <f>ROUND(Outputs!D11,4)</f>
        <v>1.0324</v>
      </c>
      <c r="E12" s="49">
        <f>ROUND(Outputs!E11,4)</f>
        <v>1.1452</v>
      </c>
      <c r="F12" s="49">
        <f>ROUND(Outputs!F11,4)</f>
        <v>1.2568999999999999</v>
      </c>
      <c r="G12" s="49">
        <f>ROUND(Outputs!G11,4)</f>
        <v>1.3633999999999999</v>
      </c>
    </row>
    <row r="13" spans="1:7" x14ac:dyDescent="0.2">
      <c r="A13" s="49" t="s">
        <v>105</v>
      </c>
      <c r="C13" s="53">
        <f>-Outputs!C3</f>
        <v>0.13528672191574587</v>
      </c>
      <c r="D13" s="53">
        <f>-Outputs!D3</f>
        <v>0.12228672191574586</v>
      </c>
      <c r="E13" s="53">
        <f>-Outputs!E3</f>
        <v>0.10928672191574584</v>
      </c>
      <c r="F13" s="53">
        <f>-Outputs!F3</f>
        <v>9.7586721915745842E-2</v>
      </c>
      <c r="G13" s="53">
        <f>-Outputs!G3</f>
        <v>8.4716721915745835E-2</v>
      </c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Inputs</vt:lpstr>
      <vt:lpstr>Calculations</vt:lpstr>
      <vt:lpstr>Outputs</vt:lpstr>
      <vt:lpstr>Bill Impact</vt:lpstr>
      <vt:lpstr>Graphs</vt:lpstr>
      <vt:lpstr>FY22Inf</vt:lpstr>
      <vt:lpstr>FY22RefTariff</vt:lpstr>
      <vt:lpstr>WACC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2026-07-13T05:29:23Z</dcterms:created>
  <dcterms:modified xsi:type="dcterms:W3CDTF">2026-07-13T05:30:05Z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2026-07-13T05:29:56Z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cf66892a-b602-428c-8b7f-31b9063db264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