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mc:AlternateContent xmlns:mc="http://schemas.openxmlformats.org/markup-compatibility/2006">
    <mc:Choice Requires="x15">
      <x15ac:absPath xmlns:x15ac="http://schemas.microsoft.com/office/spreadsheetml/2010/11/ac" url="T:\AER\Jana Work\Publishing for Reset\APA Proposal\RIN Response\"/>
    </mc:Choice>
  </mc:AlternateContent>
  <xr:revisionPtr revIDLastSave="0" documentId="8_{93A20DF2-16B6-458D-B249-DC567BE1AFE5}" xr6:coauthVersionLast="47" xr6:coauthVersionMax="47" xr10:uidLastSave="{00000000-0000-0000-0000-000000000000}"/>
  <bookViews>
    <workbookView xWindow="-120" yWindow="-120" windowWidth="29040" windowHeight="15720" activeTab="2" xr2:uid="{00000000-000D-0000-FFFF-FFFF00000000}"/>
  </bookViews>
  <sheets>
    <sheet name="Instructions" sheetId="16" r:id="rId1"/>
    <sheet name="CONTENTS" sheetId="19" r:id="rId2"/>
    <sheet name="Business &amp; other details" sheetId="7" r:id="rId3"/>
    <sheet name="CPI series" sheetId="9" r:id="rId4"/>
    <sheet name="E1. Expenditure Summary" sheetId="36" r:id="rId5"/>
    <sheet name="E2. Repex" sheetId="26" r:id="rId6"/>
    <sheet name="E3. Expansion" sheetId="39" r:id="rId7"/>
    <sheet name="E6. Non-network" sheetId="42" r:id="rId8"/>
    <sheet name="E10. Overheads" sheetId="43" r:id="rId9"/>
    <sheet name="E11. Labour" sheetId="53" r:id="rId10"/>
    <sheet name="E13. Other capex" sheetId="45" r:id="rId11"/>
    <sheet name="E17. Step changes" sheetId="51" r:id="rId12"/>
    <sheet name="E20. Opex" sheetId="46" r:id="rId13"/>
    <sheet name="N1. Demand" sheetId="49" r:id="rId14"/>
    <sheet name="N2. Network characteristics" sheetId="50" r:id="rId15"/>
    <sheet name="S1. User Numbers" sheetId="12" r:id="rId16"/>
    <sheet name="S10. Supply quality" sheetId="54" r:id="rId17"/>
    <sheet name="F2. Capex" sheetId="56" r:id="rId18"/>
    <sheet name="F3. Revenue" sheetId="11" r:id="rId19"/>
    <sheet name="Additional disclosures" sheetId="55" r:id="rId20"/>
    <sheet name="AER CF" sheetId="4" state="veryHidden" r:id="rId21"/>
    <sheet name="AER NRs" sheetId="8" state="veryHidden" r:id="rId22"/>
    <sheet name="AER lookups" sheetId="1" state="veryHidden" r:id="rId23"/>
    <sheet name="AER ETL" sheetId="2" state="veryHidden" r:id="rId24"/>
  </sheets>
  <definedNames>
    <definedName name="_xlnm._FilterDatabase" localSheetId="22" hidden="1">'AER lookups'!$G$12:$G$17</definedName>
    <definedName name="abba" localSheetId="3" hidden="1">{"Ownership",#N/A,FALSE,"Ownership";"Contents",#N/A,FALSE,"Contents"}</definedName>
    <definedName name="abba" localSheetId="4" hidden="1">{"Ownership",#N/A,FALSE,"Ownership";"Contents",#N/A,FALSE,"Contents"}</definedName>
    <definedName name="abba" localSheetId="9" hidden="1">{"Ownership",#N/A,FALSE,"Ownership";"Contents",#N/A,FALSE,"Contents"}</definedName>
    <definedName name="abba" localSheetId="11" hidden="1">{"Ownership",#N/A,FALSE,"Ownership";"Contents",#N/A,FALSE,"Contents"}</definedName>
    <definedName name="abba" localSheetId="17" hidden="1">{"Ownership",#N/A,FALSE,"Ownership";"Contents",#N/A,FALSE,"Contents"}</definedName>
    <definedName name="abba" localSheetId="18" hidden="1">{"Ownership",#N/A,FALSE,"Ownership";"Contents",#N/A,FALSE,"Contents"}</definedName>
    <definedName name="abba" localSheetId="15" hidden="1">{"Ownership",#N/A,FALSE,"Ownership";"Contents",#N/A,FALSE,"Contents"}</definedName>
    <definedName name="abba" localSheetId="16" hidden="1">{"Ownership",#N/A,FALSE,"Ownership";"Contents",#N/A,FALSE,"Contents"}</definedName>
    <definedName name="abba" hidden="1">{"Ownership",#N/A,FALSE,"Ownership";"Contents",#N/A,FALSE,"Contents"}</definedName>
    <definedName name="anscount" hidden="1">1</definedName>
    <definedName name="ARR">'AER lookups'!$C$23</definedName>
    <definedName name="ARR_Fmt2">'AER lookups'!$D$23</definedName>
    <definedName name="CA">'AER lookups'!$C$24</definedName>
    <definedName name="CA_Fmt2">'AER lookups'!$D$24</definedName>
    <definedName name="Calendar">'AER lookups'!$C$37:$C$86</definedName>
    <definedName name="CESS">'AER lookups'!$C$25</definedName>
    <definedName name="CESS_Fmt2">'AER lookups'!$D$25</definedName>
    <definedName name="CPI">'AER lookups'!$C$26</definedName>
    <definedName name="CPI_Fmt2">'AER lookups'!$D$26</definedName>
    <definedName name="CRCP_final_year">'AER ETL'!$C$48</definedName>
    <definedName name="CRCP_start_year">'AER ETL'!$C$45</definedName>
    <definedName name="CRCP_y1">'AER lookups'!$G$37</definedName>
    <definedName name="CRCP_y10">'AER lookups'!$G$46</definedName>
    <definedName name="CRCP_y11">'AER lookups'!$G$47</definedName>
    <definedName name="CRCP_y12">'AER lookups'!$G$48</definedName>
    <definedName name="CRCP_y13">'AER lookups'!$G$49</definedName>
    <definedName name="CRCP_y14">'AER lookups'!$G$50</definedName>
    <definedName name="CRCP_y15">'AER lookups'!$G$51</definedName>
    <definedName name="CRCP_y2">'AER lookups'!$G$38</definedName>
    <definedName name="CRCP_y3">'AER lookups'!$G$39</definedName>
    <definedName name="CRCP_y4">'AER lookups'!$G$40</definedName>
    <definedName name="CRCP_y5">'AER lookups'!$G$41</definedName>
    <definedName name="CRCP_y6">'AER lookups'!$G$42</definedName>
    <definedName name="CRCP_y7">'AER lookups'!$G$43</definedName>
    <definedName name="CRCP_y8">'AER lookups'!$G$44</definedName>
    <definedName name="CRCP_y9">'AER lookups'!$G$45</definedName>
    <definedName name="dms_020303_01_UOM">'AER NRs'!$C$84:$C$90</definedName>
    <definedName name="dms_020501_01_UOM">'AER NRs'!$D$84:$D$96</definedName>
    <definedName name="dms_020501_02_UOM">'AER NRs'!$E$84:$E$92</definedName>
    <definedName name="dms_020501_03_UOM">'AER NRs'!$F$84:$F$93</definedName>
    <definedName name="dms_020501_04_UOM">'AER NRs'!$G$84:$G$92</definedName>
    <definedName name="dms_020603_01_UOM">'AER NRs'!$C$110:$C$114</definedName>
    <definedName name="dms_020701_01_Rows">'AER NRs'!$J$84:$J$89</definedName>
    <definedName name="dms_020701_01_UOM">'AER NRs'!$H$84:$H$89</definedName>
    <definedName name="dms_020701_02_UOM">'AER NRs'!$I$84:$I$89</definedName>
    <definedName name="dms_0306_Year">'AER ETL'!$C$87</definedName>
    <definedName name="dms_030601_01_UOM">'AER NRs'!$C$118:$C$121</definedName>
    <definedName name="dms_030601_02_UOM">'AER NRs'!$D$118:$D$121</definedName>
    <definedName name="dms_030605_UOM">'AER NRs'!$C$160:$C$173</definedName>
    <definedName name="dms_03060703_UOM">'AER NRs'!$D$160:$D$164</definedName>
    <definedName name="dms_030701_01_UOM">'AER NRs'!$E$118:$E$120</definedName>
    <definedName name="dms_030702_01_UOM">'AER NRs'!$F$118:$F$131</definedName>
    <definedName name="dms_030703_01_UOM">'AER NRs'!$G$118</definedName>
    <definedName name="dms_040102_01_UOM">'AER NRs'!$K$84:$K$87</definedName>
    <definedName name="dms_040102_04_UOM">'AER NRs'!$L$84:$L$87</definedName>
    <definedName name="dms_0502_Inst_Year">'AER ETL'!$C$66</definedName>
    <definedName name="dms_060101_Rows">'AER NRs'!$C$195</definedName>
    <definedName name="dms_060101_StartDateTxt">'AER NRs'!$E$195</definedName>
    <definedName name="dms_060101_StartDateVal">'AER ETL'!$C$108</definedName>
    <definedName name="dms_060102_Rows">'AER NRs'!$D$195</definedName>
    <definedName name="dms_0603_FeederList">'AER NRs'!$D$212:$H$212</definedName>
    <definedName name="dms_060301_Avg_Duration_Sustained_Int_Row">'AER NRs'!$D$191</definedName>
    <definedName name="dms_060301_checkvalue">'AER ETL'!$C$91</definedName>
    <definedName name="dms_060301_CustNo_Affected_Row">'AER NRs'!$C$191</definedName>
    <definedName name="dms_060301_Effect_unplanned_SAIDI_Row">'AER NRs'!$E$191</definedName>
    <definedName name="dms_060301_Effect_unplanned_SAIFI_Row">'AER NRs'!$F$191</definedName>
    <definedName name="dms_060301_LastRow">'AER ETL'!$C$93</definedName>
    <definedName name="dms_060301_MaxRows">'AER ETL'!$C$94</definedName>
    <definedName name="dms_060701_ARR_MaxRows">'AER ETL'!$C$101</definedName>
    <definedName name="dms_060701_Feeder_Header_Lvl4">'AER NRs'!$D$207:$O$207</definedName>
    <definedName name="dms_060701_MaxCols">'AER ETL'!$C$104</definedName>
    <definedName name="dms_060701_MaxRows">'AER ETL'!$C$102</definedName>
    <definedName name="dms_060701_OffsetRows">'AER ETL'!$C$105</definedName>
    <definedName name="dms_060701_Reset_MaxRows">'AER ETL'!$C$100</definedName>
    <definedName name="dms_060701_Rows">'AER NRs'!$D$209:$O$209</definedName>
    <definedName name="dms_060701_StartDateTxt">'AER ETL'!$C$107</definedName>
    <definedName name="dms_060701_StartDateVal">'AER ETL'!$C$108</definedName>
    <definedName name="dms_0608_LastRow">'AER ETL'!$C$113</definedName>
    <definedName name="dms_0608_OffsetRows">'AER ETL'!$C$112</definedName>
    <definedName name="dms_060801_01_Rows">'AER NRs'!$C$199</definedName>
    <definedName name="dms_060801_02_Rows">'AER NRs'!$D$199</definedName>
    <definedName name="dms_060801_03_Rows">'AER NRs'!$E$199</definedName>
    <definedName name="dms_060801_04_Rows">'AER NRs'!$F$199</definedName>
    <definedName name="dms_060801_MaxRows">'AER ETL'!$C$114</definedName>
    <definedName name="dms_070904_01_Rows">'AER NRs'!$D$202:$E$202</definedName>
    <definedName name="dms_070904_Start_Year">'AER ETL'!$C$117</definedName>
    <definedName name="dms_663">'AER ETL'!$C$95</definedName>
    <definedName name="dms_663_List">'AER lookups'!$O$13:$O$17</definedName>
    <definedName name="dms_ABN">'Business &amp; other details'!$AL$17</definedName>
    <definedName name="dms_ABN_List">'AER lookups'!$D$13:$D$17</definedName>
    <definedName name="dms_Addr1">'Business &amp; other details'!$AL$23</definedName>
    <definedName name="dms_Addr1_List">'AER lookups'!$P$13:$P$17</definedName>
    <definedName name="dms_Addr2">'Business &amp; other details'!$AL$24</definedName>
    <definedName name="dms_Addr2_List">'AER lookups'!$Q$13:$Q$17</definedName>
    <definedName name="dms_Amendment_Text">'Business &amp; other details'!$AL$70</definedName>
    <definedName name="dms_AmendmentReason">'AER ETL'!$C$16</definedName>
    <definedName name="dms_ARR">'AER ETL'!$C$75</definedName>
    <definedName name="dms_Base_Year">'E20. Opex'!$D$9</definedName>
    <definedName name="dms_BaseYear_List">'E20. Opex'!$C$27:$G$27</definedName>
    <definedName name="dms_Beg">'AER NRs'!$C$176</definedName>
    <definedName name="dms_CA">'AER ETL'!$C$74</definedName>
    <definedName name="dms_Cal_Year_B4_CRY">'AER ETL'!$C$30</definedName>
    <definedName name="dms_CBD_flag">'AER lookups'!$Z$13:$Z$17</definedName>
    <definedName name="dms_CBD_flag_NSP">'AER ETL'!$C$122</definedName>
    <definedName name="dms_CF_3.6.1">'AER CF'!$F$7:$F$27</definedName>
    <definedName name="dms_CF_3.6.5">'AER CF'!$G$7:$G$27</definedName>
    <definedName name="dms_CF_3.6.6">'AER CF'!$H$7:$H$27</definedName>
    <definedName name="dms_CF_3.6.7.1">'AER CF'!$I$7:$I$27</definedName>
    <definedName name="dms_CF_3.6.7.2">'AER CF'!$J$7:$J$27</definedName>
    <definedName name="dms_CF_3.6.7.3">'AER CF'!$K$7:$K$27</definedName>
    <definedName name="dms_CF_3.6.7.4">'AER CF'!$L$7:$L$27</definedName>
    <definedName name="dms_CF_3.6.8">'AER CF'!$M$7:$M$27</definedName>
    <definedName name="dms_CF_4.1">'AER CF'!$N$7:$N$27</definedName>
    <definedName name="dms_CF_4.4.1">'AER CF'!$U$7:$U$27</definedName>
    <definedName name="dms_CF_6.6.1">'AER CF'!$O$7:$O$27</definedName>
    <definedName name="dms_CF_6.8">'AER CF'!$P$7:$P$27</definedName>
    <definedName name="dms_CF_7.12">'AER CF'!$Q$7:$Q$27</definedName>
    <definedName name="dms_CF_8.1_A">'AER CF'!$R$7:$R$27</definedName>
    <definedName name="dms_CF_8.1_B">'AER CF'!$S$7:$S$27</definedName>
    <definedName name="dms_CF_8.1_Neg">'AER CF'!$T$7:$T$27</definedName>
    <definedName name="dms_CF_TradingName">'AER CF'!$B$7:$B$27</definedName>
    <definedName name="dms_Classification">'AER ETL'!$C$26</definedName>
    <definedName name="dms_Confid_status_List">'AER NRs'!$D$6:$D$8</definedName>
    <definedName name="dms_ContactEmail">'Business &amp; other details'!$AL$34</definedName>
    <definedName name="dms_ContactEmail2">'Business &amp; other details'!$BQ$34</definedName>
    <definedName name="dms_ContactName1">'Business &amp; other details'!$AL$32</definedName>
    <definedName name="dms_ContactName2">'Business &amp; other details'!$BQ$32</definedName>
    <definedName name="dms_ContactPh1">'Business &amp; other details'!$AL$33</definedName>
    <definedName name="dms_ContactPh2">'Business &amp; other details'!$BQ$33</definedName>
    <definedName name="dms_CRCP_start_row">'AER ETL'!$C$41</definedName>
    <definedName name="dms_CRCPlength_List">'AER lookups'!$L$13:$L$17</definedName>
    <definedName name="dms_CRCPlength_Num">'AER ETL'!$C$70</definedName>
    <definedName name="dms_CRY_RYE">'AER ETL'!$C$54</definedName>
    <definedName name="dms_CRY_start_row">'AER ETL'!$C$39</definedName>
    <definedName name="dms_CRY_start_year">'AER ETL'!$C$38</definedName>
    <definedName name="dms_DataQuality">'AER ETL'!$C$20</definedName>
    <definedName name="dms_DataQuality_List">'AER NRs'!$C$6:$C$9</definedName>
    <definedName name="dms_Defined_Names_Used">'AER ETL'!$C$3</definedName>
    <definedName name="dms_DISCARD">'AER ETL'!$C$129</definedName>
    <definedName name="dms_DNSP_020301_ProjectTrigger">'AER NRs'!$E$32:$E$38</definedName>
    <definedName name="dms_DNSP_020301_ProjectType">'AER NRs'!$D$32:$D$35</definedName>
    <definedName name="dms_DNSP_020301_SubstationType">'AER NRs'!$C$32:$C$35</definedName>
    <definedName name="dms_DNSP_020302_ProjectTrigger">'AER NRs'!$G$32:$G$39</definedName>
    <definedName name="dms_DNSP_020302_ProjectType">'AER NRs'!$F$32:$F$44</definedName>
    <definedName name="dms_dollar_nom_UOM">'AER ETL'!$C$25</definedName>
    <definedName name="dms_DollarReal">'AER ETL'!$C$32</definedName>
    <definedName name="dms_DollarReal_Prev">'AER ETL'!$C$33</definedName>
    <definedName name="dms_DollarReal_year">'AER ETL'!$C$52</definedName>
    <definedName name="dms_DQ_1">'AER ETL'!$C$14</definedName>
    <definedName name="dms_DQ_2">'AER ETL'!$C$15</definedName>
    <definedName name="dms_E010101_CC_Rows">'E1. Expenditure Summary'!$B$18</definedName>
    <definedName name="dms_E010101_CC_Values">'E1. Expenditure Summary'!$C$18:$I$18</definedName>
    <definedName name="dms_E010101_Rows">'E1. Expenditure Summary'!$B$12:$B$17</definedName>
    <definedName name="dms_E010101_Values">'E1. Expenditure Summary'!$C$12:$I$17</definedName>
    <definedName name="dms_E010103_CC_Rows">'E1. Expenditure Summary'!$B$28</definedName>
    <definedName name="dms_E010103_CC_Values">'E1. Expenditure Summary'!$C$28:$I$28</definedName>
    <definedName name="dms_E010103_Rows">'E1. Expenditure Summary'!$B$22:$B$27</definedName>
    <definedName name="dms_E010103_Values">'E1. Expenditure Summary'!$C$22:$I$27</definedName>
    <definedName name="dms_E010105_CC_Rows">'E1. Expenditure Summary'!$B$38</definedName>
    <definedName name="dms_E010105_CC_Values">'E1. Expenditure Summary'!$C$38:$I$38</definedName>
    <definedName name="dms_E010105_Rows">'E1. Expenditure Summary'!$B$32:$B$37</definedName>
    <definedName name="dms_E010105_Values">'E1. Expenditure Summary'!$C$32:$I$37</definedName>
    <definedName name="dms_E010201_Rows">'E1. Expenditure Summary'!$B$47:$B$50</definedName>
    <definedName name="dms_E010201_Values">'E1. Expenditure Summary'!$C$47:$I$50</definedName>
    <definedName name="dms_E010203_Rows">'E1. Expenditure Summary'!$B$54:$B$57</definedName>
    <definedName name="dms_E010203_Values">'E1. Expenditure Summary'!$C$54:$I$57</definedName>
    <definedName name="dms_E010205_Rows">'E1. Expenditure Summary'!$B$61:$B$64</definedName>
    <definedName name="dms_E010205_Values">'E1. Expenditure Summary'!$C$61:$I$64</definedName>
    <definedName name="dms_E010301_Rows">'E1. Expenditure Summary'!$B$73:$B$78</definedName>
    <definedName name="dms_E010301_Values">'E1. Expenditure Summary'!$C$73:$I$78</definedName>
    <definedName name="dms_E010303_Rows">'E1. Expenditure Summary'!$B$85:$B$90</definedName>
    <definedName name="dms_E010303_Values">'E1. Expenditure Summary'!$C$85:$I$90</definedName>
    <definedName name="dms_E010305_Rows">'E1. Expenditure Summary'!$B$97:$B$102</definedName>
    <definedName name="dms_E010305_Values">'E1. Expenditure Summary'!$C$97:$I$102</definedName>
    <definedName name="dms_E010401_Rows">'E1. Expenditure Summary'!$B$111:$B$114</definedName>
    <definedName name="dms_E010401_Values">'E1. Expenditure Summary'!$C$111:$I$114</definedName>
    <definedName name="dms_E010403_Rows">'E1. Expenditure Summary'!$B$122:$B$125</definedName>
    <definedName name="dms_E010403_Values">'E1. Expenditure Summary'!$C$122:$I$125</definedName>
    <definedName name="dms_E010405_Rows">'E1. Expenditure Summary'!$B$132:$B$135</definedName>
    <definedName name="dms_E010405_Values">'E1. Expenditure Summary'!$C$132:$I$135</definedName>
    <definedName name="dms_E020101_CC_Rows">'E2. Repex'!$B$15</definedName>
    <definedName name="dms_E020101_CC_Values">'E2. Repex'!$D$15:$J$15</definedName>
    <definedName name="dms_E020101_Rows">'E2. Repex'!$B$10:$B$14</definedName>
    <definedName name="dms_E020101_Values">'E2. Repex'!$D$10:$J$14</definedName>
    <definedName name="dms_E0202_ProjectNames">'E2. Repex'!$B$22:$B$72</definedName>
    <definedName name="dms_E020201_Values">'E2. Repex'!$D$22:$J$72</definedName>
    <definedName name="dms_E020202_UOM">'E2. Repex'!$C$79:$C$129</definedName>
    <definedName name="dms_E020202_Values">'E2. Repex'!$D$79:$J$129</definedName>
    <definedName name="dms_E030101_CC_Rows">'E3. Expansion'!$B$14</definedName>
    <definedName name="dms_E030101_CC_Values">'E3. Expansion'!$D$14:$J$14</definedName>
    <definedName name="dms_E030101_Rows">'E3. Expansion'!$B$9:$B$13</definedName>
    <definedName name="dms_E030101_Values">'E3. Expansion'!$D$9:$J$13</definedName>
    <definedName name="dms_E0302_ProjectNames">'E3. Expansion'!$B$21:$B$41</definedName>
    <definedName name="dms_E030201_Values">'E3. Expansion'!$D$21:$J$41</definedName>
    <definedName name="dms_E030202_UOM">'E3. Expansion'!$C$47:$C$67</definedName>
    <definedName name="dms_E030202_Values">'E3. Expansion'!$D$47:$J$67</definedName>
    <definedName name="dms_E0601_ProjectNames">'E6. Non-network'!$B$22:$B$37</definedName>
    <definedName name="dms_E060101_CC_Rows">'E6. Non-network'!$B$15</definedName>
    <definedName name="dms_E060101_CC_Values">'E6. Non-network'!$C$15:$I$15</definedName>
    <definedName name="dms_E060101_Rows">'E6. Non-network'!$B$10:$B$14</definedName>
    <definedName name="dms_E060101_Values">'E6. Non-network'!$C$10:$I$14</definedName>
    <definedName name="dms_E060102_Values">'E6. Non-network'!$C$22:$I$37</definedName>
    <definedName name="dms_E10_01_Rows">'E10. Overheads'!$B$10</definedName>
    <definedName name="dms_E10_02_Rows">'E10. Overheads'!$B$12</definedName>
    <definedName name="dms_E100101_01_Values">'E10. Overheads'!$C$10:$I$10</definedName>
    <definedName name="dms_E100101_02_Values">'E10. Overheads'!$C$12:$I$12</definedName>
    <definedName name="dms_E100102_01_Values">'E10. Overheads'!$C$14:$I$14</definedName>
    <definedName name="dms_E100102_02_Values">'E10. Overheads'!$C$16:$I$16</definedName>
    <definedName name="dms_E100201_01_Values">'E10. Overheads'!$C$24:$I$24</definedName>
    <definedName name="dms_E100201_02_Values">'E10. Overheads'!$C$26:$I$26</definedName>
    <definedName name="dms_E100202_01_Values">'E10. Overheads'!$C$28:$I$28</definedName>
    <definedName name="dms_E100202_02_Values">'E10. Overheads'!$C$30:$I$30</definedName>
    <definedName name="dms_E1103_Rows">'E11. Labour'!$B$12:$B$15</definedName>
    <definedName name="dms_E110301_capex_Values">'E11. Labour'!$C$19:$I$22</definedName>
    <definedName name="dms_E110301_opex_Values">'E11. Labour'!$C$12:$I$15</definedName>
    <definedName name="dms_E13_ProjectNames">'E13. Other capex'!$B$22:$B$32</definedName>
    <definedName name="dms_E130101_CC_Rows">'E13. Other capex'!$B$15</definedName>
    <definedName name="dms_E130101_CC_Values">'E13. Other capex'!$C$15:$I$15</definedName>
    <definedName name="dms_E130101_Rows">'E13. Other capex'!$B$10:$B$14</definedName>
    <definedName name="dms_E130101_Values">'E13. Other capex'!$C$10:$I$14</definedName>
    <definedName name="dms_E130102_Values">'E13. Other capex'!$C$22:$I$32</definedName>
    <definedName name="dms_E170101_Rows">'E17. Step changes'!$B$11:$B$20</definedName>
    <definedName name="dms_E170101_Values">'E17. Step changes'!$D$11:$J$20</definedName>
    <definedName name="dms_E170102_Rows">'E17. Step changes'!$B$27:$B$36</definedName>
    <definedName name="dms_E170102_Values">'E17. Step changes'!$D$27:$J$36</definedName>
    <definedName name="dms_E170201_Rows">'E17. Step changes'!$B$45:$B$69</definedName>
    <definedName name="dms_E170201_Values">'E17. Step changes'!$D$45:$J$69</definedName>
    <definedName name="dms_E20_Flag">'E20. Opex'!$D$7</definedName>
    <definedName name="dms_E200101_Actual_Values">'E20. Opex'!$C$16:$E$22</definedName>
    <definedName name="dms_E200101_Fcast_Values">'E20. Opex'!$F$16:$L$22</definedName>
    <definedName name="dms_E200101_Rows">'E20. Opex'!$B$16:$B$22</definedName>
    <definedName name="dms_E200103_Actual_Values">'E20. Opex'!$C$28:$E$34</definedName>
    <definedName name="dms_E200103_Fcast_Values">'E20. Opex'!$F$28:$L$34</definedName>
    <definedName name="dms_E200103_Rows">'E20. Opex'!$B$28:$B$34</definedName>
    <definedName name="dms_E200105_Actual_Values">'E20. Opex'!$C$40:$E$46</definedName>
    <definedName name="dms_E200105_Fcast_Values">'E20. Opex'!$F$40:$L$46</definedName>
    <definedName name="dms_E200105_Rows">'E20. Opex'!$B$40:$B$46</definedName>
    <definedName name="dms_E200201_Rows">'E20. Opex'!$B$52:$B$55</definedName>
    <definedName name="dms_E200201_Values">'E20. Opex'!$F$52:$L$55</definedName>
    <definedName name="dms_E200203_Rows">'E20. Opex'!$B$61:$B$64</definedName>
    <definedName name="dms_E200203_Values">'E20. Opex'!$F$61:$L$64</definedName>
    <definedName name="dms_E200205_Rows">'E20. Opex'!$B$70:$B$73</definedName>
    <definedName name="dms_E200205_Values">'E20. Opex'!$F$70:$L$73</definedName>
    <definedName name="dms_E200301_Rows">'E20. Opex'!$B$81:$B$84</definedName>
    <definedName name="dms_E200301_Values">'E20. Opex'!$F$81:$L$84</definedName>
    <definedName name="dms_E200303_Rows">'E20. Opex'!$B$90:$B$93</definedName>
    <definedName name="dms_E200303_Values">'E20. Opex'!$F$90:$L$93</definedName>
    <definedName name="dms_E200305_Rows">'E20. Opex'!$B$99:$B$102</definedName>
    <definedName name="dms_E200305_Values">'E20. Opex'!$F$99:$L$102</definedName>
    <definedName name="dms_EB">'AER ETL'!$C$73</definedName>
    <definedName name="dms_EB_RAB_PIT">'AER NRs'!$C$152:$C$157</definedName>
    <definedName name="dms_End">'AER NRs'!$E$176</definedName>
    <definedName name="dms_F0207_Rows">'F2. Capex'!$B$12:$B$41</definedName>
    <definedName name="dms_F020701_Values">'F2. Capex'!$C$12:$D$41</definedName>
    <definedName name="dms_F0301_Rows">'F3. Revenue'!$B$11:$B$20</definedName>
    <definedName name="dms_F0301_Values">'F3. Revenue'!$C$11:$I$20</definedName>
    <definedName name="dms_F0303_Rows">'F3. Revenue'!$B$22</definedName>
    <definedName name="dms_F0303_Values">'F3. Revenue'!$C$22:$I$22</definedName>
    <definedName name="dms_F0305_Rows">'F3. Revenue'!$B$24:$B$30</definedName>
    <definedName name="dms_F0305_Values">'F3. Revenue'!$C$24:$I$30</definedName>
    <definedName name="dms_FeederName_1">'AER lookups'!$AE$13:$AE$17</definedName>
    <definedName name="dms_FeederName_2">'AER lookups'!$AF$13:$AF$17</definedName>
    <definedName name="dms_FeederName_3">'AER lookups'!$AG$13:$AG$17</definedName>
    <definedName name="dms_FeederName_4">'AER lookups'!$AH$13:$AH$17</definedName>
    <definedName name="dms_FeederName_5">'AER lookups'!$AI$13:$AI$17</definedName>
    <definedName name="dms_FeederType_5_flag">'AER lookups'!$AD$13:$AD$17</definedName>
    <definedName name="dms_FifthFeeder_flag_NSP">'AER ETL'!$C$126</definedName>
    <definedName name="dms_FormControl">'AER ETL'!$C$35</definedName>
    <definedName name="dms_FormControl_Choices">'AER NRs'!$D$14:$D$16</definedName>
    <definedName name="dms_FormControl_List">'AER lookups'!$I$13:$I$17</definedName>
    <definedName name="dms_FRCP_start_row">'AER ETL'!$C$40</definedName>
    <definedName name="dms_FRCP_y1">'AER lookups'!$H$37</definedName>
    <definedName name="dms_FRCPlength_List">'AER lookups'!$M$13:$M$17</definedName>
    <definedName name="dms_FRCPlength_Num">'AER ETL'!$C$71</definedName>
    <definedName name="dms_Header_Span">'AER ETL'!$C$61</definedName>
    <definedName name="dms_Jurisdiction">'AER ETL'!$C$27</definedName>
    <definedName name="dms_JurisdictionList">'AER lookups'!$F$13:$F$17</definedName>
    <definedName name="dms_LeapYear_Result">'AER ETL'!$C$99</definedName>
    <definedName name="dms_LongRural_flag">'AER lookups'!$AC$13:$AC$17</definedName>
    <definedName name="dms_LongRural_flag_NSP">'AER ETL'!$C$125</definedName>
    <definedName name="dms_Mid">'AER NRs'!$D$176</definedName>
    <definedName name="dms_Model">'AER ETL'!$C$12</definedName>
    <definedName name="dms_Model_List">'AER lookups'!$B$23:$B$32</definedName>
    <definedName name="dms_Model_Name_Format1">'AER lookups'!$C$23:$C$32</definedName>
    <definedName name="dms_Model_Span">'AER ETL'!$C$57</definedName>
    <definedName name="dms_Model_Span_List">'AER lookups'!$E$23:$E$32</definedName>
    <definedName name="dms_Multi_RYE_flag">'AER ETL'!$C$136</definedName>
    <definedName name="dms_MultiYear_ABC_RIN">'AER ETL'!$C$83</definedName>
    <definedName name="dms_MultiYear_FinalYear_Result">'AER ETL'!$C$81</definedName>
    <definedName name="dms_MultiYear_Flag">'AER ETL'!$C$64</definedName>
    <definedName name="dms_MultiYear_ResponseFlag">'AER ETL'!$C$63</definedName>
    <definedName name="dms_N0101_Rows">'N1. Demand'!$B$10:$B$10</definedName>
    <definedName name="dms_N0101_Values">'N1. Demand'!$C$10:$I$10</definedName>
    <definedName name="dms_N0102_Rows">'N1. Demand'!$B$18:$B$37</definedName>
    <definedName name="dms_N0102_Values">'N1. Demand'!$C$18:$I$37</definedName>
    <definedName name="dms_N0103_Rows">'N1. Demand'!$B$47:$B$96</definedName>
    <definedName name="dms_N010301_A_Values">'N1. Demand'!$C$47:$I$96</definedName>
    <definedName name="dms_N010301_B_Values">'N1. Demand'!$C$98:$I$147</definedName>
    <definedName name="dms_N010301_C_Values">'N1. Demand'!$C$149:$I$198</definedName>
    <definedName name="dms_N010302_Values">'N1. Demand'!$C$205:$I$254</definedName>
    <definedName name="dms_N0104_Rows">'N1. Demand'!$B$265:$B$314</definedName>
    <definedName name="dms_N010401_A_Values">'N1. Demand'!$C$265:$I$314</definedName>
    <definedName name="dms_N010401_B_Values">'N1. Demand'!$C$316:$I$365</definedName>
    <definedName name="dms_N010401_C_Values">'N1. Demand'!$C$367:$I$416</definedName>
    <definedName name="dms_N010402_Values">'N1. Demand'!$C$423:$I$472</definedName>
    <definedName name="dms_N02_Rows">'N2. Network characteristics'!$B$10:$B$24</definedName>
    <definedName name="dms_N0201_Values">'N2. Network characteristics'!$C$10:$I$24</definedName>
    <definedName name="dms_N0202_Values">'N2. Network characteristics'!$C$32:$I$46</definedName>
    <definedName name="dms_N0203_Values">'N2. Network characteristics'!$C$55:$I$69</definedName>
    <definedName name="dms_N0204_Values">'N2. Network characteristics'!$C$76:$I$90</definedName>
    <definedName name="dms_N0205_AssetType">'AER NRs'!$N$32:$N$42</definedName>
    <definedName name="dms_PAddr1">'Business &amp; other details'!$BQ$23</definedName>
    <definedName name="dms_PAddr1_List">'AER lookups'!$U$13:$U$17</definedName>
    <definedName name="dms_PAddr2">'Business &amp; other details'!$BQ$24</definedName>
    <definedName name="dms_PAddr2_List">'AER lookups'!$V$13:$V$17</definedName>
    <definedName name="dms_Partial">'AER ETL'!$C$132</definedName>
    <definedName name="dms_PostCode">'Business &amp; other details'!$AX$26</definedName>
    <definedName name="dms_PostCode_List">'AER lookups'!$T$13:$T$17</definedName>
    <definedName name="dms_PPostCode">'Business &amp; other details'!$CC$26</definedName>
    <definedName name="dms_PPostCode_List">'AER lookups'!$Y$13:$Y$17</definedName>
    <definedName name="dms_PRCP_start_row">'AER ETL'!$C$42</definedName>
    <definedName name="dms_PRCPlength_List">'AER lookups'!$N$13:$N$17</definedName>
    <definedName name="dms_PRCPlength_Num">'AER ETL'!$C$69</definedName>
    <definedName name="dms_Previous_DollarReal_year">'AER ETL'!$C$53</definedName>
    <definedName name="dms_PState">'Business &amp; other details'!$BQ$26</definedName>
    <definedName name="dms_PState_List">'AER lookups'!$X$13:$X$17</definedName>
    <definedName name="dms_PSuburb">'Business &amp; other details'!$BQ$25</definedName>
    <definedName name="dms_PSuburb_List">'AER lookups'!$W$13:$W$17</definedName>
    <definedName name="dms_PTRM_RAB_PIT">'AER NRs'!$C$179:$C$183</definedName>
    <definedName name="dms_PTRM_TAB_PIT">'AER NRs'!$D$179:$D$182</definedName>
    <definedName name="dms_Public_Lighting">'AER ETL'!$C$121</definedName>
    <definedName name="dms_Public_Lighting_List">'AER lookups'!$AK$13:$AK$17</definedName>
    <definedName name="dms_Reason_Interruption">'AER NRs'!$I$32:$I$47</definedName>
    <definedName name="dms_Reset_final_year">'AER ETL'!$C$50</definedName>
    <definedName name="dms_Reset_RYE">'AER ETL'!$C$55</definedName>
    <definedName name="dms_Reset_Span">'AER ETL'!$C$59</definedName>
    <definedName name="dms_RPT">'AER ETL'!$C$24</definedName>
    <definedName name="dms_RPT_List">'AER lookups'!$J$13:$J$17</definedName>
    <definedName name="dms_RPTMonth">'AER ETL'!$C$31</definedName>
    <definedName name="dms_RPTMonth_List">'AER lookups'!$K$13:$K$17</definedName>
    <definedName name="dms_RYE">'AER ETL'!$C$23</definedName>
    <definedName name="dms_RYE_01">'AER ETL'!$C$138</definedName>
    <definedName name="dms_RYE_02">'AER ETL'!$C$139</definedName>
    <definedName name="dms_RYE_03">'AER ETL'!$C$140</definedName>
    <definedName name="dms_RYE_04">'AER ETL'!$C$141</definedName>
    <definedName name="dms_RYE_05">'AER ETL'!$C$142</definedName>
    <definedName name="dms_RYE_06">'AER ETL'!$C$143</definedName>
    <definedName name="dms_RYE_07">'AER ETL'!$C$144</definedName>
    <definedName name="dms_RYE_08">'AER ETL'!$C$145</definedName>
    <definedName name="dms_RYE_09">'AER ETL'!$C$146</definedName>
    <definedName name="dms_RYE_result">'AER ETL'!$C$58</definedName>
    <definedName name="dms_RYE_start_row">'AER ETL'!$C$43</definedName>
    <definedName name="dms_S0101_Rows">'S1. User Numbers'!$B$11:$B$14</definedName>
    <definedName name="dms_S010102_Values">'S1. User Numbers'!$C$11:$I$14</definedName>
    <definedName name="dms_S0102_Rows">'S1. User Numbers'!$B$22:$B$41</definedName>
    <definedName name="dms_S010201_Values">'S1. User Numbers'!$C$22:$C$41</definedName>
    <definedName name="dms_S010202_Values">'S1. User Numbers'!$C$48:$I$67</definedName>
    <definedName name="dms_S100101_Rows">'S10. Supply quality'!$B$12:$B$13</definedName>
    <definedName name="dms_S100101_Values">'S10. Supply quality'!$C$12:$K$13</definedName>
    <definedName name="dms_S100102_Rows">'S10. Supply quality'!$B$16:$B$17</definedName>
    <definedName name="dms_S100102_Values">'S10. Supply quality'!$C$16:$K$17</definedName>
    <definedName name="dms_S140101_UOM">'AER NRs'!$M$84:$M$87</definedName>
    <definedName name="dms_S140201_UOM">'AER NRs'!$O$84:$O$86</definedName>
    <definedName name="dms_Sector">'AER ETL'!$C$21</definedName>
    <definedName name="dms_Sector_List">'AER lookups'!$G$13:$G$17</definedName>
    <definedName name="dms_Segment">'AER ETL'!$C$22</definedName>
    <definedName name="dms_Segment_List">'AER lookups'!$H$13:$H$17</definedName>
    <definedName name="dms_Selected_Quality">'Business &amp; other details'!$AL$66</definedName>
    <definedName name="dms_Selected_Source">'Business &amp; other details'!$AL$64</definedName>
    <definedName name="dms_Selected_Status">'Business &amp; other details'!$AL$68</definedName>
    <definedName name="dms_ShortRural_flag">'AER lookups'!$AB$13:$AB$17</definedName>
    <definedName name="dms_ShortRural_flag_NSP">'AER ETL'!$C$124</definedName>
    <definedName name="dms_SingleYear_FinalYear_Result">'AER ETL'!$C$77</definedName>
    <definedName name="dms_SingleYear_Model">'AER ETL'!$C$73:$C$75</definedName>
    <definedName name="dms_SingleYearModel">'AER ETL'!$C$76</definedName>
    <definedName name="dms_Source">'AER ETL'!$C$13</definedName>
    <definedName name="dms_SourceList">'AER NRs'!$C$14:$C$27</definedName>
    <definedName name="dms_Specified_FinalYear">'AER ETL'!$C$65</definedName>
    <definedName name="dms_Specified_RYE">'AER ETL'!$C$56</definedName>
    <definedName name="dms_SpecifiedYear_final_year">'AER ETL'!$C$51</definedName>
    <definedName name="dms_SpecifiedYear_Span">'AER ETL'!$C$60</definedName>
    <definedName name="dms_start_year">'AER ETL'!$C$37</definedName>
    <definedName name="dms_State">'Business &amp; other details'!$AL$26</definedName>
    <definedName name="dms_State_List">'AER lookups'!$S$13:$S$17</definedName>
    <definedName name="dms_STPIS_Exclusion_List">'AER NRs'!$H$32:$H$41</definedName>
    <definedName name="dms_SubmissionDate">'AER ETL'!$C$17</definedName>
    <definedName name="dms_Suburb">'Business &amp; other details'!$AL$25</definedName>
    <definedName name="dms_Suburb_List">'AER lookups'!$R$13:$R$17</definedName>
    <definedName name="dms_TemplateNumber">'AER lookups'!$D$9</definedName>
    <definedName name="dms_TNSP_0203_ProjectTrigger">'AER NRs'!$G$65:$G$72</definedName>
    <definedName name="dms_TNSP_0203_SubstationType">'AER NRs'!$C$65:$C$68</definedName>
    <definedName name="dms_TNSP_020301_ProjectTrigger">'AER NRs'!$E$65:$E$72</definedName>
    <definedName name="dms_TNSP_020301_ProjectType">'AER NRs'!$D$65:$D$68</definedName>
    <definedName name="dms_TNSP_020302_ProjectType">'AER NRs'!$F$65:$F$77</definedName>
    <definedName name="dms_Today">'AER lookups'!$A$12</definedName>
    <definedName name="dms_TradingName">'Business &amp; other details'!$AL$16</definedName>
    <definedName name="dms_TradingName_List">'AER lookups'!$B$13:$B$17</definedName>
    <definedName name="dms_TradingNameFull">'AER ETL'!$C$9</definedName>
    <definedName name="dms_TradingNameFull_List">'AER lookups'!$C$13:$C$17</definedName>
    <definedName name="dms_Typed_Submission_Date">'Business &amp; other details'!$AL$74</definedName>
    <definedName name="dms_UID">'AER ETL'!$C$11</definedName>
    <definedName name="dms_UID_List">'AER lookups'!$E$13:$E$17</definedName>
    <definedName name="dms_Urban_flag">'AER lookups'!$AA$13:$AA$17</definedName>
    <definedName name="dms_Urban_flag_NSP">'AER ETL'!$C$123</definedName>
    <definedName name="dms_Worksheet_List">'AER lookups'!$D$23:$D$32</definedName>
    <definedName name="DMS_Xfactor">'AER NRs'!$E$179</definedName>
    <definedName name="dms_y1">'AER lookups'!$E$56</definedName>
    <definedName name="dms_y10">'AER lookups'!$E$65</definedName>
    <definedName name="dms_y11">'AER lookups'!$E$66</definedName>
    <definedName name="dms_y12">'AER lookups'!$E$67</definedName>
    <definedName name="dms_y13">'AER lookups'!$E$68</definedName>
    <definedName name="dms_y14">'AER lookups'!$E$69</definedName>
    <definedName name="dms_y15">'AER lookups'!$E$70</definedName>
    <definedName name="dms_y16">'AER lookups'!$E$71</definedName>
    <definedName name="dms_y2">'AER lookups'!$E$57</definedName>
    <definedName name="dms_y3">'AER lookups'!$E$58</definedName>
    <definedName name="dms_y4">'AER lookups'!$E$59</definedName>
    <definedName name="dms_y5">'AER lookups'!$E$60</definedName>
    <definedName name="dms_y6">'AER lookups'!$E$61</definedName>
    <definedName name="dms_y7">'AER lookups'!$E$62</definedName>
    <definedName name="dms_y8">'AER lookups'!$E$63</definedName>
    <definedName name="dms_y9">'AER lookups'!$E$64</definedName>
    <definedName name="EB">'AER lookups'!$C$27</definedName>
    <definedName name="EB_Fmt2">'AER lookups'!$D$27</definedName>
    <definedName name="Financial">'AER lookups'!$B$37:$B$86</definedName>
    <definedName name="FRCP_final_year">'AER ETL'!$C$47</definedName>
    <definedName name="FRCP_start_year">'AER ETL'!$C$44</definedName>
    <definedName name="FRCP_y1">'Business &amp; other details'!$AL$42</definedName>
    <definedName name="FRCP_y10">'AER lookups'!$I$46</definedName>
    <definedName name="FRCP_y2">'AER lookups'!$I$38</definedName>
    <definedName name="FRCP_y3">'AER lookups'!$I$39</definedName>
    <definedName name="FRCP_y4">'AER lookups'!$I$40</definedName>
    <definedName name="FRCP_y5">'AER lookups'!$I$41</definedName>
    <definedName name="FRCP_y6">'AER lookups'!$I$42</definedName>
    <definedName name="FRCP_y7">'AER lookups'!$I$43</definedName>
    <definedName name="FRCP_y8">'AER lookups'!$I$44</definedName>
    <definedName name="FRCP_y9">'AER lookups'!$I$45</definedName>
    <definedName name="FRY">'Business &amp; other details'!$AL$56</definedName>
    <definedName name="inserted_Power_and_Water__added_NRs__dms_FeederCat_1_and_dms_FeederCat_2">'AER lookups'!$D$7:$D$12</definedName>
    <definedName name="IQ_ADDIN" hidden="1">"AUTO"</definedName>
    <definedName name="IQ_CH" hidden="1">110000</definedName>
    <definedName name="IQ_CQ" hidden="1">5000</definedName>
    <definedName name="IQ_CY" hidden="1">10000</definedName>
    <definedName name="IQ_DAILY" hidden="1">500000</definedName>
    <definedName name="IQ_DNTM" hidden="1">700000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MTD" hidden="1">800000</definedName>
    <definedName name="IQ_NAMES_REVISION_DATE_" hidden="1">40970.780625</definedName>
    <definedName name="IQ_NTM" hidden="1">6000</definedName>
    <definedName name="IQ_QTD" hidden="1">750000</definedName>
    <definedName name="IQ_TODAY" hidden="1">0</definedName>
    <definedName name="IQ_WEEK" hidden="1">50000</definedName>
    <definedName name="IQ_YTD" hidden="1">3000</definedName>
    <definedName name="IQ_YTDMONTH" hidden="1">130000</definedName>
    <definedName name="JurisdictionList">'AER CF'!$C$7:$C$27</definedName>
    <definedName name="LAN" localSheetId="3" hidden="1">{"Ownership",#N/A,FALSE,"Ownership";"Contents",#N/A,FALSE,"Contents"}</definedName>
    <definedName name="LAN" localSheetId="4" hidden="1">{"Ownership",#N/A,FALSE,"Ownership";"Contents",#N/A,FALSE,"Contents"}</definedName>
    <definedName name="LAN" localSheetId="9" hidden="1">{"Ownership",#N/A,FALSE,"Ownership";"Contents",#N/A,FALSE,"Contents"}</definedName>
    <definedName name="LAN" localSheetId="11" hidden="1">{"Ownership",#N/A,FALSE,"Ownership";"Contents",#N/A,FALSE,"Contents"}</definedName>
    <definedName name="LAN" localSheetId="17" hidden="1">{"Ownership",#N/A,FALSE,"Ownership";"Contents",#N/A,FALSE,"Contents"}</definedName>
    <definedName name="LAN" localSheetId="18" hidden="1">{"Ownership",#N/A,FALSE,"Ownership";"Contents",#N/A,FALSE,"Contents"}</definedName>
    <definedName name="LAN" localSheetId="15" hidden="1">{"Ownership",#N/A,FALSE,"Ownership";"Contents",#N/A,FALSE,"Contents"}</definedName>
    <definedName name="LAN" localSheetId="16" hidden="1">{"Ownership",#N/A,FALSE,"Ownership";"Contents",#N/A,FALSE,"Contents"}</definedName>
    <definedName name="LAN" hidden="1">{"Ownership",#N/A,FALSE,"Ownership";"Contents",#N/A,FALSE,"Contents"}</definedName>
    <definedName name="MAIFI_flag">'AER lookups'!$AF$11</definedName>
    <definedName name="PRCP_final_year">'AER ETL'!$C$49</definedName>
    <definedName name="PRCP_start_year">'AER ETL'!$C$46</definedName>
    <definedName name="PRCP_y1">'AER lookups'!$E$37</definedName>
    <definedName name="PRCP_y10">'AER lookups'!$E$46</definedName>
    <definedName name="PRCP_y11">'AER lookups'!$E$47</definedName>
    <definedName name="PRCP_y12">'AER lookups'!$E$48</definedName>
    <definedName name="PRCP_y13">'AER lookups'!$E$49</definedName>
    <definedName name="PRCP_y14">'AER lookups'!$E$50</definedName>
    <definedName name="PRCP_y15">'AER lookups'!$E$51</definedName>
    <definedName name="PRCP_y16">'AER lookups'!$E$52</definedName>
    <definedName name="PRCP_y2">'AER lookups'!$E$38</definedName>
    <definedName name="PRCP_y3">'AER lookups'!$E$39</definedName>
    <definedName name="PRCP_y4">'AER lookups'!$E$40</definedName>
    <definedName name="PRCP_y5">'AER lookups'!$E$41</definedName>
    <definedName name="PRCP_y6">'AER lookups'!$E$42</definedName>
    <definedName name="PRCP_y7">'AER lookups'!$E$43</definedName>
    <definedName name="PRCP_y8">'AER lookups'!$E$44</definedName>
    <definedName name="PRCP_y9">'AER lookups'!$E$45</definedName>
    <definedName name="Pricing">'AER lookups'!$C$28</definedName>
    <definedName name="Pricing_Fmt2">'AER lookups'!$D$28</definedName>
    <definedName name="PTRM">'AER lookups'!$C$29</definedName>
    <definedName name="PTRM_Fmt2">'AER lookups'!$D$29</definedName>
    <definedName name="Reset">'AER lookups'!$C$30</definedName>
    <definedName name="Reset_Fmt2">'AER lookups'!$D$30</definedName>
    <definedName name="RFM">'AER lookups'!$C$31</definedName>
    <definedName name="RFM_Fmt2">'AER lookups'!$D$31</definedName>
    <definedName name="Sector">'AER CF'!$D$7:$D$27</definedName>
    <definedName name="Segment">'AER CF'!$E$7:$E$27</definedName>
    <definedName name="select">'AER NRs'!$C$7:$C$27</definedName>
    <definedName name="teest" localSheetId="3" hidden="1">{"Ownership",#N/A,FALSE,"Ownership";"Contents",#N/A,FALSE,"Contents"}</definedName>
    <definedName name="teest" localSheetId="4" hidden="1">{"Ownership",#N/A,FALSE,"Ownership";"Contents",#N/A,FALSE,"Contents"}</definedName>
    <definedName name="teest" localSheetId="9" hidden="1">{"Ownership",#N/A,FALSE,"Ownership";"Contents",#N/A,FALSE,"Contents"}</definedName>
    <definedName name="teest" localSheetId="11" hidden="1">{"Ownership",#N/A,FALSE,"Ownership";"Contents",#N/A,FALSE,"Contents"}</definedName>
    <definedName name="teest" localSheetId="17" hidden="1">{"Ownership",#N/A,FALSE,"Ownership";"Contents",#N/A,FALSE,"Contents"}</definedName>
    <definedName name="teest" localSheetId="18" hidden="1">{"Ownership",#N/A,FALSE,"Ownership";"Contents",#N/A,FALSE,"Contents"}</definedName>
    <definedName name="teest" localSheetId="15" hidden="1">{"Ownership",#N/A,FALSE,"Ownership";"Contents",#N/A,FALSE,"Contents"}</definedName>
    <definedName name="teest" localSheetId="16" hidden="1">{"Ownership",#N/A,FALSE,"Ownership";"Contents",#N/A,FALSE,"Contents"}</definedName>
    <definedName name="teest" hidden="1">{"Ownership",#N/A,FALSE,"Ownership";"Contents",#N/A,FALSE,"Contents"}</definedName>
    <definedName name="test" localSheetId="3" hidden="1">{"Ownership",#N/A,FALSE,"Ownership";"Contents",#N/A,FALSE,"Contents"}</definedName>
    <definedName name="test" localSheetId="4" hidden="1">{"Ownership",#N/A,FALSE,"Ownership";"Contents",#N/A,FALSE,"Contents"}</definedName>
    <definedName name="test" localSheetId="9" hidden="1">{"Ownership",#N/A,FALSE,"Ownership";"Contents",#N/A,FALSE,"Contents"}</definedName>
    <definedName name="test" localSheetId="11" hidden="1">{"Ownership",#N/A,FALSE,"Ownership";"Contents",#N/A,FALSE,"Contents"}</definedName>
    <definedName name="test" localSheetId="17" hidden="1">{"Ownership",#N/A,FALSE,"Ownership";"Contents",#N/A,FALSE,"Contents"}</definedName>
    <definedName name="test" localSheetId="18" hidden="1">{"Ownership",#N/A,FALSE,"Ownership";"Contents",#N/A,FALSE,"Contents"}</definedName>
    <definedName name="test" localSheetId="15" hidden="1">{"Ownership",#N/A,FALSE,"Ownership";"Contents",#N/A,FALSE,"Contents"}</definedName>
    <definedName name="test" localSheetId="16" hidden="1">{"Ownership",#N/A,FALSE,"Ownership";"Contents",#N/A,FALSE,"Contents"}</definedName>
    <definedName name="test" hidden="1">{"Ownership",#N/A,FALSE,"Ownership";"Contents",#N/A,FALSE,"Contents"}</definedName>
    <definedName name="WACC">'AER lookups'!$C$32</definedName>
    <definedName name="WACC_Fmt2">'AER lookups'!$D$32</definedName>
    <definedName name="wrn.App._.Custodians." localSheetId="3" hidden="1">{"Ownership",#N/A,FALSE,"Ownership";"Contents",#N/A,FALSE,"Contents"}</definedName>
    <definedName name="wrn.App._.Custodians." localSheetId="4" hidden="1">{"Ownership",#N/A,FALSE,"Ownership";"Contents",#N/A,FALSE,"Contents"}</definedName>
    <definedName name="wrn.App._.Custodians." localSheetId="9" hidden="1">{"Ownership",#N/A,FALSE,"Ownership";"Contents",#N/A,FALSE,"Contents"}</definedName>
    <definedName name="wrn.App._.Custodians." localSheetId="11" hidden="1">{"Ownership",#N/A,FALSE,"Ownership";"Contents",#N/A,FALSE,"Contents"}</definedName>
    <definedName name="wrn.App._.Custodians." localSheetId="17" hidden="1">{"Ownership",#N/A,FALSE,"Ownership";"Contents",#N/A,FALSE,"Contents"}</definedName>
    <definedName name="wrn.App._.Custodians." localSheetId="18" hidden="1">{"Ownership",#N/A,FALSE,"Ownership";"Contents",#N/A,FALSE,"Contents"}</definedName>
    <definedName name="wrn.App._.Custodians." localSheetId="15" hidden="1">{"Ownership",#N/A,FALSE,"Ownership";"Contents",#N/A,FALSE,"Contents"}</definedName>
    <definedName name="wrn.App._.Custodians." localSheetId="16" hidden="1">{"Ownership",#N/A,FALSE,"Ownership";"Contents",#N/A,FALSE,"Contents"}</definedName>
    <definedName name="wrn.App._.Custodians." hidden="1">{"Ownership",#N/A,FALSE,"Ownership";"Contents",#N/A,FALSE,"Contents"}</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3" i="36" l="1"/>
  <c r="D63" i="36"/>
  <c r="E63" i="36"/>
  <c r="F63" i="36"/>
  <c r="G63" i="36"/>
  <c r="H63" i="36"/>
  <c r="C64" i="36"/>
  <c r="D64" i="36"/>
  <c r="E64" i="36"/>
  <c r="F64" i="36"/>
  <c r="G64" i="36"/>
  <c r="H64" i="36"/>
  <c r="I63" i="36"/>
  <c r="I64" i="36"/>
  <c r="I43" i="46" l="1"/>
  <c r="I45" i="46"/>
  <c r="J45" i="46"/>
  <c r="K45" i="46"/>
  <c r="L45" i="46"/>
  <c r="H45" i="46"/>
  <c r="J43" i="46"/>
  <c r="K43" i="46"/>
  <c r="L43" i="46"/>
  <c r="H43" i="46"/>
  <c r="G41" i="46"/>
  <c r="D15" i="53" l="1"/>
  <c r="D12" i="53" l="1"/>
  <c r="G40" i="46"/>
  <c r="C15" i="53"/>
  <c r="H40" i="46"/>
  <c r="I40" i="46"/>
  <c r="D48" i="36" l="1"/>
  <c r="D62" i="36" s="1"/>
  <c r="D47" i="36"/>
  <c r="D61" i="36" s="1"/>
  <c r="F40" i="46"/>
  <c r="C12" i="53"/>
  <c r="H44" i="46"/>
  <c r="H42" i="46"/>
  <c r="E48" i="36" s="1"/>
  <c r="E62" i="36" s="1"/>
  <c r="E40" i="46"/>
  <c r="J40" i="46"/>
  <c r="I44" i="46"/>
  <c r="I42" i="46"/>
  <c r="F48" i="36" s="1"/>
  <c r="F62" i="36" s="1"/>
  <c r="C48" i="36" l="1"/>
  <c r="C62" i="36" s="1"/>
  <c r="C47" i="36"/>
  <c r="C61" i="36" s="1"/>
  <c r="E47" i="36"/>
  <c r="E61" i="36" s="1"/>
  <c r="F47" i="36"/>
  <c r="F61" i="36" s="1"/>
  <c r="J44" i="46"/>
  <c r="K40" i="46"/>
  <c r="J42" i="46"/>
  <c r="G48" i="36" s="1"/>
  <c r="G62" i="36" s="1"/>
  <c r="G47" i="36" l="1"/>
  <c r="G61" i="36" s="1"/>
  <c r="L40" i="46"/>
  <c r="K42" i="46"/>
  <c r="K44" i="46"/>
  <c r="H48" i="36" l="1"/>
  <c r="H62" i="36" s="1"/>
  <c r="H47" i="36"/>
  <c r="H61" i="36" s="1"/>
  <c r="L42" i="46"/>
  <c r="I48" i="36" s="1"/>
  <c r="I62" i="36" s="1"/>
  <c r="L44" i="46"/>
  <c r="I47" i="36" l="1"/>
  <c r="I61" i="36"/>
  <c r="H38" i="36" l="1"/>
  <c r="I38" i="36"/>
  <c r="F35" i="36"/>
  <c r="G38" i="36"/>
  <c r="G35" i="36"/>
  <c r="H35" i="36"/>
  <c r="E35" i="36"/>
  <c r="I35" i="36"/>
  <c r="F38" i="36"/>
  <c r="E38" i="36"/>
  <c r="D135" i="36" l="1"/>
  <c r="C133" i="36"/>
  <c r="D133" i="36"/>
  <c r="C135" i="36"/>
  <c r="C38" i="36"/>
  <c r="D38" i="36"/>
  <c r="D35" i="36"/>
  <c r="C35" i="36"/>
  <c r="D33" i="36" l="1"/>
  <c r="C33" i="36"/>
  <c r="D37" i="36"/>
  <c r="C37" i="36"/>
  <c r="F33" i="36"/>
  <c r="F133" i="36"/>
  <c r="I33" i="36"/>
  <c r="I133" i="36"/>
  <c r="H37" i="36"/>
  <c r="H135" i="36"/>
  <c r="E33" i="36"/>
  <c r="E133" i="36"/>
  <c r="G33" i="36"/>
  <c r="G133" i="36"/>
  <c r="E37" i="36"/>
  <c r="E135" i="36"/>
  <c r="F37" i="36"/>
  <c r="F135" i="36"/>
  <c r="G37" i="36"/>
  <c r="G135" i="36"/>
  <c r="I37" i="36"/>
  <c r="I135" i="36"/>
  <c r="H33" i="36"/>
  <c r="H133" i="36"/>
  <c r="E19" i="53" l="1"/>
  <c r="H134" i="36" l="1"/>
  <c r="F134" i="36"/>
  <c r="I134" i="36"/>
  <c r="E134" i="36"/>
  <c r="G134" i="36"/>
  <c r="C134" i="36"/>
  <c r="D134" i="36"/>
  <c r="F132" i="36"/>
  <c r="H132" i="36"/>
  <c r="G132" i="36"/>
  <c r="C132" i="36"/>
  <c r="D132" i="36"/>
  <c r="E132" i="36"/>
  <c r="F34" i="36" l="1"/>
  <c r="C36" i="36"/>
  <c r="C30" i="43"/>
  <c r="F36" i="36"/>
  <c r="F30" i="43"/>
  <c r="D36" i="36"/>
  <c r="D30" i="43"/>
  <c r="I34" i="36"/>
  <c r="C34" i="36"/>
  <c r="D34" i="36"/>
  <c r="E30" i="43"/>
  <c r="G36" i="36"/>
  <c r="G30" i="43"/>
  <c r="E34" i="36"/>
  <c r="H34" i="36"/>
  <c r="H36" i="36"/>
  <c r="H30" i="43"/>
  <c r="G34" i="36"/>
  <c r="H19" i="53"/>
  <c r="E32" i="36"/>
  <c r="F32" i="36"/>
  <c r="G32" i="36"/>
  <c r="I132" i="36"/>
  <c r="C32" i="36"/>
  <c r="D32" i="36"/>
  <c r="I36" i="36" l="1"/>
  <c r="I30" i="43"/>
  <c r="I32" i="36"/>
  <c r="G19" i="53"/>
  <c r="F19" i="53"/>
  <c r="H32" i="36"/>
  <c r="E36" i="36"/>
  <c r="I19" i="53" l="1"/>
  <c r="G11" i="12" l="1"/>
  <c r="G12" i="12" s="1"/>
  <c r="H11" i="12" s="1"/>
  <c r="H12" i="12" s="1"/>
  <c r="I11" i="12" s="1"/>
  <c r="I12" i="12" s="1"/>
  <c r="F12" i="12"/>
  <c r="F11" i="12"/>
  <c r="E11" i="12"/>
  <c r="E37" i="50" l="1"/>
  <c r="F37" i="50" l="1"/>
  <c r="G10" i="50"/>
  <c r="H10" i="50" s="1"/>
  <c r="I10" i="50" s="1"/>
  <c r="G37" i="50" l="1"/>
  <c r="C11" i="2"/>
  <c r="H37" i="50" l="1"/>
  <c r="D16" i="26"/>
  <c r="I37" i="50" l="1"/>
  <c r="B425" i="49"/>
  <c r="B426" i="49"/>
  <c r="B427" i="49"/>
  <c r="B428" i="49"/>
  <c r="B429" i="49"/>
  <c r="B430" i="49"/>
  <c r="B431" i="49"/>
  <c r="B432" i="49"/>
  <c r="B433" i="49"/>
  <c r="B434" i="49"/>
  <c r="B435" i="49"/>
  <c r="B436" i="49"/>
  <c r="B437" i="49"/>
  <c r="B438" i="49"/>
  <c r="B439" i="49"/>
  <c r="B440" i="49"/>
  <c r="B441" i="49"/>
  <c r="B442" i="49"/>
  <c r="B443" i="49"/>
  <c r="B444" i="49"/>
  <c r="B445" i="49"/>
  <c r="B446" i="49"/>
  <c r="B447" i="49"/>
  <c r="B448" i="49"/>
  <c r="B449" i="49"/>
  <c r="B450" i="49"/>
  <c r="B451" i="49"/>
  <c r="B452" i="49"/>
  <c r="B453" i="49"/>
  <c r="B454" i="49"/>
  <c r="B455" i="49"/>
  <c r="B456" i="49"/>
  <c r="B457" i="49"/>
  <c r="B458" i="49"/>
  <c r="B459" i="49"/>
  <c r="B460" i="49"/>
  <c r="B461" i="49"/>
  <c r="B462" i="49"/>
  <c r="B463" i="49"/>
  <c r="B464" i="49"/>
  <c r="B465" i="49"/>
  <c r="B466" i="49"/>
  <c r="B467" i="49"/>
  <c r="B468" i="49"/>
  <c r="B469" i="49"/>
  <c r="B470" i="49"/>
  <c r="B471" i="49"/>
  <c r="B472" i="49"/>
  <c r="B369" i="49"/>
  <c r="B370" i="49"/>
  <c r="B371" i="49"/>
  <c r="B372" i="49"/>
  <c r="B373" i="49"/>
  <c r="B374" i="49"/>
  <c r="B375" i="49"/>
  <c r="B376" i="49"/>
  <c r="B377" i="49"/>
  <c r="B378" i="49"/>
  <c r="B379" i="49"/>
  <c r="B380" i="49"/>
  <c r="B381" i="49"/>
  <c r="B382" i="49"/>
  <c r="B383" i="49"/>
  <c r="B384" i="49"/>
  <c r="B385" i="49"/>
  <c r="B386" i="49"/>
  <c r="B387" i="49"/>
  <c r="B388" i="49"/>
  <c r="B389" i="49"/>
  <c r="B390" i="49"/>
  <c r="B391" i="49"/>
  <c r="B320" i="49"/>
  <c r="B321" i="49"/>
  <c r="B322" i="49"/>
  <c r="B323" i="49"/>
  <c r="B324" i="49"/>
  <c r="B325" i="49"/>
  <c r="B326" i="49"/>
  <c r="B327" i="49"/>
  <c r="B328" i="49"/>
  <c r="B329" i="49"/>
  <c r="B330" i="49"/>
  <c r="B331" i="49"/>
  <c r="B332" i="49"/>
  <c r="B333" i="49"/>
  <c r="B334" i="49"/>
  <c r="B335" i="49"/>
  <c r="B336" i="49"/>
  <c r="B337" i="49"/>
  <c r="B338" i="49"/>
  <c r="B339" i="49"/>
  <c r="B340" i="49"/>
  <c r="B341" i="49"/>
  <c r="B342" i="49"/>
  <c r="B343" i="49"/>
  <c r="B344" i="49"/>
  <c r="B345" i="49"/>
  <c r="B346" i="49"/>
  <c r="B347" i="49"/>
  <c r="B348" i="49"/>
  <c r="B349" i="49"/>
  <c r="B350" i="49"/>
  <c r="B351" i="49"/>
  <c r="B352" i="49"/>
  <c r="B353" i="49"/>
  <c r="B354" i="49"/>
  <c r="B355" i="49"/>
  <c r="B356" i="49"/>
  <c r="B357" i="49"/>
  <c r="B358" i="49"/>
  <c r="B359" i="49"/>
  <c r="B360" i="49"/>
  <c r="B361" i="49"/>
  <c r="B362" i="49"/>
  <c r="B363" i="49"/>
  <c r="B364" i="49"/>
  <c r="B365" i="49"/>
  <c r="B211" i="49"/>
  <c r="B212" i="49"/>
  <c r="B213" i="49"/>
  <c r="B214" i="49"/>
  <c r="B215" i="49"/>
  <c r="B216" i="49"/>
  <c r="B217" i="49"/>
  <c r="B218" i="49"/>
  <c r="B219" i="49"/>
  <c r="B220" i="49"/>
  <c r="B221" i="49"/>
  <c r="B222" i="49"/>
  <c r="B223" i="49"/>
  <c r="B224" i="49"/>
  <c r="B225" i="49"/>
  <c r="B151" i="49"/>
  <c r="B152" i="49"/>
  <c r="B153" i="49"/>
  <c r="B154" i="49"/>
  <c r="B155" i="49"/>
  <c r="B156" i="49"/>
  <c r="B157" i="49"/>
  <c r="B158" i="49"/>
  <c r="B159" i="49"/>
  <c r="B160" i="49"/>
  <c r="B161" i="49"/>
  <c r="B162" i="49"/>
  <c r="B163" i="49"/>
  <c r="B164" i="49"/>
  <c r="B165" i="49"/>
  <c r="B166" i="49"/>
  <c r="B167" i="49"/>
  <c r="B168" i="49"/>
  <c r="B169" i="49"/>
  <c r="B170" i="49"/>
  <c r="B171" i="49"/>
  <c r="B172" i="49"/>
  <c r="B173" i="49"/>
  <c r="B174" i="49"/>
  <c r="B175" i="49"/>
  <c r="B176" i="49"/>
  <c r="B177" i="49"/>
  <c r="B178" i="49"/>
  <c r="B179" i="49"/>
  <c r="B180" i="49"/>
  <c r="B181" i="49"/>
  <c r="B182" i="49"/>
  <c r="B183" i="49"/>
  <c r="B184" i="49"/>
  <c r="B185" i="49"/>
  <c r="B186" i="49"/>
  <c r="B187" i="49"/>
  <c r="B188" i="49"/>
  <c r="B189" i="49"/>
  <c r="B190" i="49"/>
  <c r="B191" i="49"/>
  <c r="B192" i="49"/>
  <c r="B193" i="49"/>
  <c r="B194" i="49"/>
  <c r="B195" i="49"/>
  <c r="B196" i="49"/>
  <c r="B197" i="49"/>
  <c r="B198" i="49"/>
  <c r="B100" i="49"/>
  <c r="B101" i="49"/>
  <c r="B102" i="49"/>
  <c r="B103" i="49"/>
  <c r="B104" i="49"/>
  <c r="B105" i="49"/>
  <c r="B106" i="49"/>
  <c r="B107" i="49"/>
  <c r="B108" i="49"/>
  <c r="B109" i="49"/>
  <c r="B110" i="49"/>
  <c r="B111" i="49"/>
  <c r="B112" i="49"/>
  <c r="B113" i="49"/>
  <c r="B114" i="49"/>
  <c r="B115" i="49"/>
  <c r="B116" i="49"/>
  <c r="B117" i="49"/>
  <c r="B118" i="49"/>
  <c r="B119" i="49"/>
  <c r="B120" i="49"/>
  <c r="B121" i="49"/>
  <c r="B122" i="49"/>
  <c r="B123" i="49"/>
  <c r="B124" i="49"/>
  <c r="B125" i="49"/>
  <c r="B126" i="49"/>
  <c r="B127" i="49"/>
  <c r="B128" i="49"/>
  <c r="B129" i="49"/>
  <c r="B130" i="49"/>
  <c r="B131" i="49"/>
  <c r="B132" i="49"/>
  <c r="B133" i="49"/>
  <c r="B134" i="49"/>
  <c r="B135" i="49"/>
  <c r="B136" i="49"/>
  <c r="B137" i="49"/>
  <c r="B138" i="49"/>
  <c r="B139" i="49"/>
  <c r="B140" i="49"/>
  <c r="B141" i="49"/>
  <c r="B142" i="49"/>
  <c r="B143" i="49"/>
  <c r="B144" i="49"/>
  <c r="B145" i="49"/>
  <c r="B146" i="49"/>
  <c r="B147" i="49"/>
  <c r="B392" i="49" l="1"/>
  <c r="B393" i="49"/>
  <c r="B394" i="49"/>
  <c r="B395" i="49"/>
  <c r="B396" i="49"/>
  <c r="B397" i="49"/>
  <c r="B398" i="49"/>
  <c r="B399" i="49"/>
  <c r="B400" i="49"/>
  <c r="B401" i="49"/>
  <c r="B402" i="49"/>
  <c r="B403" i="49"/>
  <c r="B404" i="49"/>
  <c r="B405" i="49"/>
  <c r="B406" i="49"/>
  <c r="B407" i="49"/>
  <c r="B408" i="49"/>
  <c r="B409" i="49"/>
  <c r="B410" i="49"/>
  <c r="B411" i="49"/>
  <c r="B412" i="49"/>
  <c r="B413" i="49"/>
  <c r="B414" i="49"/>
  <c r="B415" i="49"/>
  <c r="B416" i="49"/>
  <c r="B318" i="49"/>
  <c r="B319" i="49"/>
  <c r="B206" i="49"/>
  <c r="B207" i="49"/>
  <c r="B208" i="49"/>
  <c r="B209" i="49"/>
  <c r="B210" i="49"/>
  <c r="B226" i="49"/>
  <c r="B227" i="49"/>
  <c r="B228" i="49"/>
  <c r="B229" i="49"/>
  <c r="B230" i="49"/>
  <c r="B231" i="49"/>
  <c r="B232" i="49"/>
  <c r="B233" i="49"/>
  <c r="B234" i="49"/>
  <c r="B235" i="49"/>
  <c r="B236" i="49"/>
  <c r="B237" i="49"/>
  <c r="B238" i="49"/>
  <c r="B239" i="49"/>
  <c r="B240" i="49"/>
  <c r="B241" i="49"/>
  <c r="B242" i="49"/>
  <c r="B243" i="49"/>
  <c r="B244" i="49"/>
  <c r="B245" i="49"/>
  <c r="B246" i="49"/>
  <c r="B247" i="49"/>
  <c r="B248" i="49"/>
  <c r="B249" i="49"/>
  <c r="B250" i="49"/>
  <c r="B251" i="49"/>
  <c r="B252" i="49"/>
  <c r="B253" i="49"/>
  <c r="B254" i="49"/>
  <c r="B150" i="49"/>
  <c r="B99" i="49"/>
  <c r="D73" i="26" l="1"/>
  <c r="D130" i="26"/>
  <c r="D33" i="45" l="1"/>
  <c r="E33" i="45"/>
  <c r="F33" i="45"/>
  <c r="G33" i="45"/>
  <c r="H33" i="45"/>
  <c r="I33" i="45"/>
  <c r="I39" i="36" l="1"/>
  <c r="H39" i="36"/>
  <c r="G39" i="36"/>
  <c r="F39" i="36"/>
  <c r="E39" i="36"/>
  <c r="D39" i="36"/>
  <c r="C39" i="36"/>
  <c r="C22" i="53" l="1"/>
  <c r="C19" i="53"/>
  <c r="D22" i="53"/>
  <c r="D19" i="53"/>
  <c r="L74" i="46"/>
  <c r="K74" i="46"/>
  <c r="J74" i="46"/>
  <c r="I74" i="46"/>
  <c r="H74" i="46"/>
  <c r="G74" i="46"/>
  <c r="F74" i="46"/>
  <c r="H69" i="46"/>
  <c r="L103" i="46"/>
  <c r="K103" i="46"/>
  <c r="J103" i="46"/>
  <c r="I103" i="46"/>
  <c r="H103" i="46"/>
  <c r="G103" i="46"/>
  <c r="F103" i="46"/>
  <c r="H98" i="46"/>
  <c r="H39" i="46"/>
  <c r="I136" i="36"/>
  <c r="H136" i="36"/>
  <c r="G136" i="36"/>
  <c r="F136" i="36"/>
  <c r="E136" i="36"/>
  <c r="D136" i="36"/>
  <c r="C136" i="36"/>
  <c r="E131" i="36"/>
  <c r="I103" i="36"/>
  <c r="H103" i="36"/>
  <c r="G103" i="36"/>
  <c r="F103" i="36"/>
  <c r="E103" i="36"/>
  <c r="D103" i="36"/>
  <c r="C103" i="36"/>
  <c r="E96" i="36"/>
  <c r="I65" i="36"/>
  <c r="H65" i="36"/>
  <c r="G65" i="36"/>
  <c r="F65" i="36"/>
  <c r="E65" i="36"/>
  <c r="D65" i="36"/>
  <c r="C65" i="36"/>
  <c r="D16" i="53" l="1"/>
  <c r="D24" i="43" s="1"/>
  <c r="D26" i="43" s="1"/>
  <c r="E16" i="53"/>
  <c r="E24" i="43" s="1"/>
  <c r="E26" i="43" s="1"/>
  <c r="F16" i="53"/>
  <c r="F24" i="43" s="1"/>
  <c r="F26" i="43" s="1"/>
  <c r="G16" i="53"/>
  <c r="G24" i="43" s="1"/>
  <c r="G26" i="43" s="1"/>
  <c r="H16" i="53"/>
  <c r="H24" i="43" s="1"/>
  <c r="H26" i="43" s="1"/>
  <c r="I16" i="53"/>
  <c r="I24" i="43" s="1"/>
  <c r="I26" i="43" s="1"/>
  <c r="D42" i="56" l="1"/>
  <c r="C42" i="56"/>
  <c r="B2" i="56"/>
  <c r="B1" i="56"/>
  <c r="D18" i="54" l="1"/>
  <c r="E18" i="54"/>
  <c r="F18" i="54"/>
  <c r="G18" i="54"/>
  <c r="H18" i="54"/>
  <c r="I18" i="54"/>
  <c r="J18" i="54"/>
  <c r="K18" i="54"/>
  <c r="C18" i="54"/>
  <c r="I16" i="42"/>
  <c r="H16" i="42"/>
  <c r="G16" i="42"/>
  <c r="F16" i="42"/>
  <c r="E16" i="42"/>
  <c r="D16" i="42"/>
  <c r="C16" i="42"/>
  <c r="J15" i="39"/>
  <c r="I15" i="39"/>
  <c r="H15" i="39"/>
  <c r="G15" i="39"/>
  <c r="F15" i="39"/>
  <c r="E15" i="39"/>
  <c r="D15" i="39"/>
  <c r="D126" i="36" l="1"/>
  <c r="E126" i="36"/>
  <c r="F126" i="36"/>
  <c r="G126" i="36"/>
  <c r="H126" i="36"/>
  <c r="I126" i="36"/>
  <c r="C126" i="36"/>
  <c r="D115" i="36"/>
  <c r="E115" i="36"/>
  <c r="F115" i="36"/>
  <c r="G115" i="36"/>
  <c r="H115" i="36"/>
  <c r="I115" i="36"/>
  <c r="C115" i="36"/>
  <c r="D29" i="36" l="1"/>
  <c r="E29" i="36"/>
  <c r="F29" i="36"/>
  <c r="G29" i="36"/>
  <c r="H29" i="36"/>
  <c r="I29" i="36"/>
  <c r="C29" i="36"/>
  <c r="D38" i="49" l="1"/>
  <c r="E38" i="49"/>
  <c r="F38" i="49"/>
  <c r="G38" i="49"/>
  <c r="H38" i="49"/>
  <c r="I38" i="49"/>
  <c r="C38" i="49"/>
  <c r="B2" i="19" l="1"/>
  <c r="B1" i="19"/>
  <c r="L94" i="46" l="1"/>
  <c r="K94" i="46"/>
  <c r="J94" i="46"/>
  <c r="I94" i="46"/>
  <c r="H94" i="46"/>
  <c r="G94" i="46"/>
  <c r="F94" i="46"/>
  <c r="H89" i="46"/>
  <c r="L85" i="46"/>
  <c r="K85" i="46"/>
  <c r="J85" i="46"/>
  <c r="I85" i="46"/>
  <c r="H85" i="46"/>
  <c r="G85" i="46"/>
  <c r="F85" i="46"/>
  <c r="H80" i="46"/>
  <c r="H60" i="46"/>
  <c r="E121" i="36" l="1"/>
  <c r="B2" i="54" l="1"/>
  <c r="B1" i="54"/>
  <c r="I16" i="45" l="1"/>
  <c r="H16" i="45"/>
  <c r="G16" i="45"/>
  <c r="F16" i="45"/>
  <c r="E16" i="45"/>
  <c r="D16" i="45"/>
  <c r="C16" i="45"/>
  <c r="E16" i="26"/>
  <c r="F16" i="26"/>
  <c r="G16" i="26"/>
  <c r="H16" i="26"/>
  <c r="I16" i="26"/>
  <c r="J16" i="26"/>
  <c r="D38" i="42" l="1"/>
  <c r="E38" i="42"/>
  <c r="F38" i="42"/>
  <c r="G38" i="42"/>
  <c r="H38" i="42"/>
  <c r="I38" i="42"/>
  <c r="L65" i="46"/>
  <c r="K65" i="46"/>
  <c r="J65" i="46"/>
  <c r="I65" i="46"/>
  <c r="H65" i="46"/>
  <c r="G65" i="46"/>
  <c r="F65" i="46"/>
  <c r="H15" i="46"/>
  <c r="E9" i="45" l="1"/>
  <c r="B50" i="12" l="1"/>
  <c r="B51" i="12"/>
  <c r="B52" i="12"/>
  <c r="B53" i="12"/>
  <c r="B54" i="12"/>
  <c r="B55" i="12"/>
  <c r="B56" i="12"/>
  <c r="B57" i="12"/>
  <c r="B58" i="12"/>
  <c r="B59" i="12"/>
  <c r="B60" i="12"/>
  <c r="B61" i="12"/>
  <c r="B62" i="12"/>
  <c r="B63" i="12"/>
  <c r="B64" i="12"/>
  <c r="B65" i="12"/>
  <c r="B66" i="12"/>
  <c r="B67" i="12"/>
  <c r="B49" i="12"/>
  <c r="B48" i="12"/>
  <c r="I68" i="12"/>
  <c r="H68" i="12"/>
  <c r="G68" i="12"/>
  <c r="F68" i="12"/>
  <c r="E68" i="12"/>
  <c r="D68" i="12"/>
  <c r="C68" i="12"/>
  <c r="E47" i="12"/>
  <c r="E10" i="53"/>
  <c r="B2" i="53"/>
  <c r="B1" i="53"/>
  <c r="C16" i="53"/>
  <c r="C24" i="43" s="1"/>
  <c r="C26" i="43" s="1"/>
  <c r="B80" i="26"/>
  <c r="B81" i="26"/>
  <c r="B82" i="26"/>
  <c r="B83" i="26"/>
  <c r="B84" i="26"/>
  <c r="B85" i="26"/>
  <c r="B86" i="26"/>
  <c r="B87" i="26"/>
  <c r="B88" i="26"/>
  <c r="B89" i="26"/>
  <c r="B90" i="26"/>
  <c r="B91" i="26"/>
  <c r="B92" i="26"/>
  <c r="B93" i="26"/>
  <c r="B94" i="26"/>
  <c r="B95" i="26"/>
  <c r="B96" i="26"/>
  <c r="B97" i="26"/>
  <c r="B98" i="26"/>
  <c r="B99" i="26"/>
  <c r="B100" i="26"/>
  <c r="B101" i="26"/>
  <c r="B102" i="26"/>
  <c r="B103" i="26"/>
  <c r="B104" i="26"/>
  <c r="B105" i="26"/>
  <c r="B106" i="26"/>
  <c r="B107" i="26"/>
  <c r="B108" i="26"/>
  <c r="B109" i="26"/>
  <c r="B110" i="26"/>
  <c r="B111" i="26"/>
  <c r="B112" i="26"/>
  <c r="B113" i="26"/>
  <c r="B114" i="26"/>
  <c r="B115" i="26"/>
  <c r="B116" i="26"/>
  <c r="B117" i="26"/>
  <c r="B118" i="26"/>
  <c r="B119" i="26"/>
  <c r="B120" i="26"/>
  <c r="B121" i="26"/>
  <c r="B122" i="26"/>
  <c r="B123" i="26"/>
  <c r="B124" i="26"/>
  <c r="B125" i="26"/>
  <c r="B126" i="26"/>
  <c r="B127" i="26"/>
  <c r="B128" i="26"/>
  <c r="B79" i="26"/>
  <c r="E9" i="49" l="1"/>
  <c r="C11" i="49"/>
  <c r="D11" i="49"/>
  <c r="E11" i="49"/>
  <c r="F11" i="49"/>
  <c r="G11" i="49"/>
  <c r="H11" i="49"/>
  <c r="I11" i="49"/>
  <c r="B2" i="51"/>
  <c r="B1" i="51"/>
  <c r="F10" i="51"/>
  <c r="F26" i="51"/>
  <c r="F44" i="51"/>
  <c r="D21" i="51"/>
  <c r="E21" i="51"/>
  <c r="F21" i="51"/>
  <c r="G21" i="51"/>
  <c r="H21" i="51"/>
  <c r="I21" i="51"/>
  <c r="J21" i="51"/>
  <c r="D37" i="51"/>
  <c r="E37" i="51"/>
  <c r="F37" i="51"/>
  <c r="G37" i="51"/>
  <c r="H37" i="51"/>
  <c r="I37" i="51"/>
  <c r="J37" i="51"/>
  <c r="D70" i="51"/>
  <c r="F22" i="46" s="1"/>
  <c r="E70" i="51"/>
  <c r="G22" i="46" s="1"/>
  <c r="F70" i="51"/>
  <c r="H22" i="46" s="1"/>
  <c r="G70" i="51"/>
  <c r="I22" i="46" s="1"/>
  <c r="H70" i="51"/>
  <c r="J22" i="46" s="1"/>
  <c r="I70" i="51"/>
  <c r="K22" i="46" s="1"/>
  <c r="J70" i="51"/>
  <c r="L22" i="46" s="1"/>
  <c r="E17" i="49" l="1"/>
  <c r="E422" i="49" l="1"/>
  <c r="E263" i="49"/>
  <c r="E204" i="49"/>
  <c r="E45" i="49"/>
  <c r="E75" i="50"/>
  <c r="E54" i="50"/>
  <c r="E31" i="50"/>
  <c r="E9" i="50"/>
  <c r="B1" i="50"/>
  <c r="B2" i="50"/>
  <c r="C25" i="50"/>
  <c r="D25" i="50"/>
  <c r="E25" i="50"/>
  <c r="F25" i="50"/>
  <c r="G25" i="50"/>
  <c r="H25" i="50"/>
  <c r="I25" i="50"/>
  <c r="B32" i="50"/>
  <c r="B33" i="50"/>
  <c r="B34" i="50"/>
  <c r="B35" i="50"/>
  <c r="B36" i="50"/>
  <c r="B37" i="50"/>
  <c r="B38" i="50"/>
  <c r="B39" i="50"/>
  <c r="B40" i="50"/>
  <c r="B41" i="50"/>
  <c r="B42" i="50"/>
  <c r="B43" i="50"/>
  <c r="B44" i="50"/>
  <c r="B45" i="50"/>
  <c r="B46" i="50"/>
  <c r="C47" i="50"/>
  <c r="D47" i="50"/>
  <c r="E47" i="50"/>
  <c r="F47" i="50"/>
  <c r="G47" i="50"/>
  <c r="H47" i="50"/>
  <c r="I47" i="50"/>
  <c r="B55" i="50"/>
  <c r="B56" i="50"/>
  <c r="B57" i="50"/>
  <c r="B58" i="50"/>
  <c r="B59" i="50"/>
  <c r="B60" i="50"/>
  <c r="B61" i="50"/>
  <c r="B62" i="50"/>
  <c r="B63" i="50"/>
  <c r="B64" i="50"/>
  <c r="B65" i="50"/>
  <c r="B66" i="50"/>
  <c r="B67" i="50"/>
  <c r="B68" i="50"/>
  <c r="B69" i="50"/>
  <c r="B76" i="50"/>
  <c r="B77" i="50"/>
  <c r="B78" i="50"/>
  <c r="B79" i="50"/>
  <c r="B80" i="50"/>
  <c r="B81" i="50"/>
  <c r="B82" i="50"/>
  <c r="B83" i="50"/>
  <c r="B84" i="50"/>
  <c r="B85" i="50"/>
  <c r="B86" i="50"/>
  <c r="B87" i="50"/>
  <c r="B88" i="50"/>
  <c r="B89" i="50"/>
  <c r="B90" i="50"/>
  <c r="B1" i="49"/>
  <c r="B2" i="49"/>
  <c r="B98" i="49"/>
  <c r="B149" i="49"/>
  <c r="B205" i="49"/>
  <c r="B316" i="49"/>
  <c r="B317" i="49"/>
  <c r="B367" i="49"/>
  <c r="B368" i="49"/>
  <c r="B423" i="49"/>
  <c r="B424" i="49"/>
  <c r="B7" i="46" l="1"/>
  <c r="H27" i="46"/>
  <c r="G56" i="46"/>
  <c r="H56" i="46"/>
  <c r="I56" i="46"/>
  <c r="J56" i="46"/>
  <c r="K56" i="46"/>
  <c r="L56" i="46"/>
  <c r="H51" i="46"/>
  <c r="E21" i="45" l="1"/>
  <c r="E22" i="43"/>
  <c r="E8" i="43"/>
  <c r="E9" i="42"/>
  <c r="J130" i="26"/>
  <c r="I130" i="26"/>
  <c r="H130" i="26"/>
  <c r="G130" i="26"/>
  <c r="F130" i="26"/>
  <c r="E130" i="26"/>
  <c r="F78" i="26"/>
  <c r="J73" i="26"/>
  <c r="I73" i="26"/>
  <c r="H73" i="26"/>
  <c r="G73" i="26"/>
  <c r="F73" i="26"/>
  <c r="E73" i="26"/>
  <c r="F21" i="26"/>
  <c r="F9" i="26"/>
  <c r="B48" i="39"/>
  <c r="B49" i="39"/>
  <c r="B50" i="39"/>
  <c r="B51" i="39"/>
  <c r="B52" i="39"/>
  <c r="B53" i="39"/>
  <c r="B54" i="39"/>
  <c r="B55" i="39"/>
  <c r="B56" i="39"/>
  <c r="B57" i="39"/>
  <c r="B58" i="39"/>
  <c r="B59" i="39"/>
  <c r="B60" i="39"/>
  <c r="B61" i="39"/>
  <c r="B62" i="39"/>
  <c r="B63" i="39"/>
  <c r="B64" i="39"/>
  <c r="B65" i="39"/>
  <c r="B66" i="39"/>
  <c r="B47" i="39"/>
  <c r="J68" i="39"/>
  <c r="I68" i="39"/>
  <c r="H68" i="39"/>
  <c r="G68" i="39"/>
  <c r="F68" i="39"/>
  <c r="E68" i="39"/>
  <c r="D68" i="39"/>
  <c r="F8" i="39"/>
  <c r="F46" i="39" l="1"/>
  <c r="E42" i="39"/>
  <c r="F42" i="39"/>
  <c r="G42" i="39"/>
  <c r="H42" i="39"/>
  <c r="I42" i="39"/>
  <c r="J42" i="39"/>
  <c r="E21" i="42" l="1"/>
  <c r="F20" i="39"/>
  <c r="D58" i="36"/>
  <c r="E58" i="36"/>
  <c r="F58" i="36"/>
  <c r="G58" i="36"/>
  <c r="H58" i="36"/>
  <c r="I58" i="36"/>
  <c r="C58" i="36"/>
  <c r="D51" i="36"/>
  <c r="E51" i="36"/>
  <c r="F51" i="36"/>
  <c r="G51" i="36"/>
  <c r="H51" i="36"/>
  <c r="I51" i="36"/>
  <c r="C51" i="36"/>
  <c r="D31" i="11" l="1"/>
  <c r="E31" i="11"/>
  <c r="F31" i="11"/>
  <c r="G31" i="11"/>
  <c r="H31" i="11"/>
  <c r="I31" i="11"/>
  <c r="C31" i="11"/>
  <c r="E21" i="12" l="1"/>
  <c r="I42" i="12"/>
  <c r="H42" i="12"/>
  <c r="G42" i="12"/>
  <c r="F42" i="12"/>
  <c r="E42" i="12"/>
  <c r="D42" i="12"/>
  <c r="C42" i="12"/>
  <c r="B1" i="46" l="1"/>
  <c r="B2" i="46"/>
  <c r="F56" i="46"/>
  <c r="B1" i="45"/>
  <c r="B2" i="45"/>
  <c r="C33" i="45"/>
  <c r="B1" i="43"/>
  <c r="B2" i="43"/>
  <c r="B1" i="42"/>
  <c r="B2" i="42"/>
  <c r="C38" i="42"/>
  <c r="B1" i="39"/>
  <c r="B2" i="39"/>
  <c r="D42" i="39"/>
  <c r="E110" i="36" l="1"/>
  <c r="E84" i="36"/>
  <c r="E72" i="36"/>
  <c r="E46" i="36"/>
  <c r="E11" i="36"/>
  <c r="B2" i="36"/>
  <c r="B1" i="36"/>
  <c r="C19" i="36"/>
  <c r="C23" i="53" s="1"/>
  <c r="D19" i="36"/>
  <c r="D23" i="53" s="1"/>
  <c r="E19" i="36"/>
  <c r="E22" i="53" s="1"/>
  <c r="E23" i="53" s="1"/>
  <c r="F19" i="36"/>
  <c r="F22" i="53" s="1"/>
  <c r="F23" i="53" s="1"/>
  <c r="G19" i="36"/>
  <c r="G22" i="53" s="1"/>
  <c r="G23" i="53" s="1"/>
  <c r="H19" i="36"/>
  <c r="H22" i="53" s="1"/>
  <c r="H23" i="53" s="1"/>
  <c r="I19" i="36"/>
  <c r="I22" i="53" s="1"/>
  <c r="I23" i="53" s="1"/>
  <c r="C79" i="36"/>
  <c r="D79" i="36"/>
  <c r="E79" i="36"/>
  <c r="F79" i="36"/>
  <c r="G79" i="36"/>
  <c r="H79" i="36"/>
  <c r="I79" i="36"/>
  <c r="C91" i="36"/>
  <c r="D91" i="36"/>
  <c r="E91" i="36"/>
  <c r="F91" i="36"/>
  <c r="G91" i="36"/>
  <c r="H91" i="36"/>
  <c r="I91" i="36"/>
  <c r="B2" i="26" l="1"/>
  <c r="E9" i="12" l="1"/>
  <c r="E10" i="11" l="1"/>
  <c r="B3" i="16"/>
  <c r="B2" i="12" l="1"/>
  <c r="B1" i="12"/>
  <c r="B2" i="11"/>
  <c r="B1" i="11"/>
  <c r="H9" i="9"/>
  <c r="B2" i="9" l="1"/>
  <c r="B1" i="9"/>
  <c r="C13" i="2"/>
  <c r="C20" i="2" l="1"/>
  <c r="C10" i="2" l="1"/>
  <c r="C9" i="2" l="1"/>
  <c r="B4" i="16" s="1"/>
  <c r="D27" i="1" l="1"/>
  <c r="D24" i="1"/>
  <c r="D23" i="1"/>
  <c r="C54" i="2" l="1"/>
  <c r="C29" i="2"/>
  <c r="C17" i="2"/>
  <c r="C16" i="2"/>
  <c r="C15" i="2"/>
  <c r="C14" i="2"/>
  <c r="D212" i="8" l="1"/>
  <c r="E212" i="8"/>
  <c r="F212" i="8"/>
  <c r="G212" i="8"/>
  <c r="D207" i="8"/>
  <c r="E207" i="8"/>
  <c r="F207" i="8"/>
  <c r="G207" i="8"/>
  <c r="H207" i="8"/>
  <c r="I207" i="8"/>
  <c r="J207" i="8"/>
  <c r="K207" i="8"/>
  <c r="L207" i="8"/>
  <c r="M207" i="8"/>
  <c r="C51" i="2" l="1"/>
  <c r="C57" i="2" l="1"/>
  <c r="C37" i="2"/>
  <c r="C80" i="2" l="1"/>
  <c r="V1" i="7" l="1"/>
  <c r="AL62" i="7"/>
  <c r="C69" i="2" l="1"/>
  <c r="V2" i="7" l="1"/>
  <c r="C127" i="4" l="1"/>
  <c r="C114" i="2" l="1"/>
  <c r="C71" i="2" l="1"/>
  <c r="C24" i="2"/>
  <c r="C91" i="2"/>
  <c r="C92" i="2" s="1"/>
  <c r="C98" i="2"/>
  <c r="C93" i="2"/>
  <c r="C94" i="2" s="1"/>
  <c r="C90" i="2"/>
  <c r="C95" i="2"/>
  <c r="C73" i="2"/>
  <c r="C74" i="2"/>
  <c r="C75" i="2"/>
  <c r="C31" i="2"/>
  <c r="C64" i="2"/>
  <c r="C121" i="2"/>
  <c r="C99" i="2"/>
  <c r="C100" i="2" s="1"/>
  <c r="C105" i="2"/>
  <c r="C126" i="2"/>
  <c r="C104" i="2" s="1"/>
  <c r="C125" i="2"/>
  <c r="C124" i="2"/>
  <c r="C123" i="2"/>
  <c r="C122" i="2"/>
  <c r="C120" i="2"/>
  <c r="C70" i="2"/>
  <c r="C27" i="2"/>
  <c r="C35" i="2"/>
  <c r="C22" i="2"/>
  <c r="C21" i="2"/>
  <c r="C40" i="2"/>
  <c r="B2" i="16" l="1"/>
  <c r="C30" i="2"/>
  <c r="C87" i="2" s="1"/>
  <c r="C84" i="2"/>
  <c r="C83" i="2"/>
  <c r="C43" i="2"/>
  <c r="C42" i="2"/>
  <c r="C41" i="2"/>
  <c r="C66" i="2"/>
  <c r="C76" i="2"/>
  <c r="C77" i="2" s="1"/>
  <c r="C65" i="2"/>
  <c r="C103" i="2"/>
  <c r="C101" i="2"/>
  <c r="C102" i="2" s="1"/>
  <c r="C47" i="2"/>
  <c r="C44" i="2"/>
  <c r="C46" i="2"/>
  <c r="C50" i="2"/>
  <c r="C48" i="2"/>
  <c r="C55" i="2" l="1"/>
  <c r="C52" i="2"/>
  <c r="C32" i="2" s="1"/>
  <c r="C81" i="2"/>
  <c r="C56" i="2"/>
  <c r="C45" i="2"/>
  <c r="C49" i="2"/>
  <c r="C9" i="11" l="1"/>
  <c r="C10" i="56"/>
  <c r="C68" i="46"/>
  <c r="D8" i="26"/>
  <c r="D20" i="26"/>
  <c r="C38" i="46"/>
  <c r="C97" i="46"/>
  <c r="C95" i="36"/>
  <c r="C130" i="36"/>
  <c r="C88" i="46"/>
  <c r="C79" i="46"/>
  <c r="C120" i="36"/>
  <c r="C59" i="46"/>
  <c r="D43" i="51"/>
  <c r="C8" i="45"/>
  <c r="C14" i="46"/>
  <c r="D9" i="51"/>
  <c r="D25" i="51"/>
  <c r="C26" i="46"/>
  <c r="C50" i="46"/>
  <c r="C20" i="45"/>
  <c r="C7" i="43"/>
  <c r="C21" i="43"/>
  <c r="C8" i="42"/>
  <c r="D7" i="39"/>
  <c r="C20" i="42"/>
  <c r="C45" i="36"/>
  <c r="D19" i="39"/>
  <c r="C83" i="36"/>
  <c r="C109" i="36"/>
  <c r="C10" i="36"/>
  <c r="C71" i="36"/>
  <c r="C53" i="2"/>
  <c r="C33" i="2" s="1"/>
  <c r="C60" i="2"/>
  <c r="C59" i="2"/>
  <c r="C58" i="2"/>
  <c r="H37" i="1" l="1"/>
  <c r="I44" i="1"/>
  <c r="I48" i="1"/>
  <c r="I47" i="1"/>
  <c r="I42" i="1"/>
  <c r="I45" i="1"/>
  <c r="I50" i="1"/>
  <c r="I40" i="1"/>
  <c r="I38" i="1"/>
  <c r="I49" i="1"/>
  <c r="I43" i="1"/>
  <c r="I41" i="1"/>
  <c r="I51" i="1"/>
  <c r="I46" i="1"/>
  <c r="I52" i="1"/>
  <c r="I39" i="1"/>
  <c r="I37" i="1"/>
  <c r="K69" i="46" l="1"/>
  <c r="J69" i="46"/>
  <c r="L69" i="46"/>
  <c r="I69" i="46"/>
  <c r="K98" i="46"/>
  <c r="J98" i="46"/>
  <c r="L98" i="46"/>
  <c r="I98" i="46"/>
  <c r="K39" i="46"/>
  <c r="J39" i="46"/>
  <c r="L39" i="46"/>
  <c r="I39" i="46"/>
  <c r="H131" i="36"/>
  <c r="G131" i="36"/>
  <c r="I131" i="36"/>
  <c r="F131" i="36"/>
  <c r="H96" i="36"/>
  <c r="G96" i="36"/>
  <c r="I96" i="36"/>
  <c r="F96" i="36"/>
  <c r="K89" i="46"/>
  <c r="K80" i="46"/>
  <c r="L80" i="46"/>
  <c r="L89" i="46"/>
  <c r="I80" i="46"/>
  <c r="I89" i="46"/>
  <c r="J89" i="46"/>
  <c r="J80" i="46"/>
  <c r="K60" i="46"/>
  <c r="L60" i="46"/>
  <c r="I60" i="46"/>
  <c r="J60" i="46"/>
  <c r="H121" i="36"/>
  <c r="I121" i="36"/>
  <c r="F121" i="36"/>
  <c r="G121" i="36"/>
  <c r="L15" i="46"/>
  <c r="K15" i="46"/>
  <c r="J15" i="46"/>
  <c r="I15" i="46"/>
  <c r="I9" i="45"/>
  <c r="H9" i="45"/>
  <c r="G9" i="45"/>
  <c r="F9" i="45"/>
  <c r="F47" i="12"/>
  <c r="I47" i="12"/>
  <c r="G47" i="12"/>
  <c r="H47" i="12"/>
  <c r="F10" i="53"/>
  <c r="I10" i="53"/>
  <c r="G10" i="53"/>
  <c r="H10" i="53"/>
  <c r="F9" i="49"/>
  <c r="I9" i="49"/>
  <c r="G9" i="49"/>
  <c r="H9" i="49"/>
  <c r="G10" i="51"/>
  <c r="J10" i="51"/>
  <c r="H10" i="51"/>
  <c r="I10" i="51"/>
  <c r="G26" i="51"/>
  <c r="J26" i="51"/>
  <c r="H26" i="51"/>
  <c r="I26" i="51"/>
  <c r="J44" i="51"/>
  <c r="I44" i="51"/>
  <c r="H44" i="51"/>
  <c r="G44" i="51"/>
  <c r="I17" i="49"/>
  <c r="H17" i="49"/>
  <c r="G17" i="49"/>
  <c r="F17" i="49"/>
  <c r="I422" i="49"/>
  <c r="H422" i="49"/>
  <c r="G422" i="49"/>
  <c r="F422" i="49"/>
  <c r="I263" i="49"/>
  <c r="H263" i="49"/>
  <c r="G263" i="49"/>
  <c r="F263" i="49"/>
  <c r="I204" i="49"/>
  <c r="H204" i="49"/>
  <c r="G204" i="49"/>
  <c r="F204" i="49"/>
  <c r="I45" i="49"/>
  <c r="H45" i="49"/>
  <c r="G45" i="49"/>
  <c r="F45" i="49"/>
  <c r="I75" i="50"/>
  <c r="H75" i="50"/>
  <c r="G75" i="50"/>
  <c r="F75" i="50"/>
  <c r="I54" i="50"/>
  <c r="H54" i="50"/>
  <c r="G54" i="50"/>
  <c r="F54" i="50"/>
  <c r="I31" i="50"/>
  <c r="H31" i="50"/>
  <c r="G31" i="50"/>
  <c r="F31" i="50"/>
  <c r="I9" i="50"/>
  <c r="H9" i="50"/>
  <c r="G9" i="50"/>
  <c r="F9" i="50"/>
  <c r="L27" i="46"/>
  <c r="K27" i="46"/>
  <c r="J27" i="46"/>
  <c r="I27" i="46"/>
  <c r="L51" i="46"/>
  <c r="K51" i="46"/>
  <c r="J51" i="46"/>
  <c r="I51" i="46"/>
  <c r="I21" i="45"/>
  <c r="H21" i="45"/>
  <c r="G21" i="45"/>
  <c r="F21" i="45"/>
  <c r="I22" i="43"/>
  <c r="H22" i="43"/>
  <c r="G22" i="43"/>
  <c r="F22" i="43"/>
  <c r="I8" i="43"/>
  <c r="H8" i="43"/>
  <c r="G8" i="43"/>
  <c r="F8" i="43"/>
  <c r="I9" i="42"/>
  <c r="H9" i="42"/>
  <c r="G9" i="42"/>
  <c r="F9" i="42"/>
  <c r="J9" i="26"/>
  <c r="J78" i="26"/>
  <c r="J21" i="26"/>
  <c r="I78" i="26"/>
  <c r="I9" i="26"/>
  <c r="I21" i="26"/>
  <c r="H21" i="26"/>
  <c r="H78" i="26"/>
  <c r="H9" i="26"/>
  <c r="G21" i="26"/>
  <c r="G9" i="26"/>
  <c r="G78" i="26"/>
  <c r="J8" i="39"/>
  <c r="I8" i="39"/>
  <c r="H8" i="39"/>
  <c r="G8" i="39"/>
  <c r="J46" i="39"/>
  <c r="I46" i="39"/>
  <c r="H46" i="39"/>
  <c r="G46" i="39"/>
  <c r="I21" i="42"/>
  <c r="H21" i="42"/>
  <c r="G21" i="42"/>
  <c r="F21" i="42"/>
  <c r="J20" i="39"/>
  <c r="I20" i="39"/>
  <c r="H20" i="39"/>
  <c r="G20" i="39"/>
  <c r="H21" i="12"/>
  <c r="I21" i="12"/>
  <c r="F21" i="12"/>
  <c r="G21" i="12"/>
  <c r="G110" i="36"/>
  <c r="H110" i="36"/>
  <c r="I110" i="36"/>
  <c r="F110" i="36"/>
  <c r="G84" i="36"/>
  <c r="H84" i="36"/>
  <c r="I84" i="36"/>
  <c r="F84" i="36"/>
  <c r="G72" i="36"/>
  <c r="H72" i="36"/>
  <c r="I72" i="36"/>
  <c r="F72" i="36"/>
  <c r="G46" i="36"/>
  <c r="H46" i="36"/>
  <c r="I46" i="36"/>
  <c r="F46" i="36"/>
  <c r="I11" i="36"/>
  <c r="H11" i="36"/>
  <c r="G11" i="36"/>
  <c r="F11" i="36"/>
  <c r="F9" i="12"/>
  <c r="I9" i="12"/>
  <c r="H9" i="12"/>
  <c r="G9" i="12"/>
  <c r="I10" i="11"/>
  <c r="H10" i="11"/>
  <c r="G10" i="11"/>
  <c r="F10" i="11"/>
  <c r="L9" i="9"/>
  <c r="K9" i="9"/>
  <c r="J9" i="9"/>
  <c r="I9" i="9"/>
  <c r="BV44" i="7"/>
  <c r="BM44" i="7"/>
  <c r="BD44" i="7"/>
  <c r="AU44" i="7"/>
  <c r="AL44" i="7"/>
  <c r="AL43" i="7"/>
  <c r="BM43" i="7"/>
  <c r="BD43" i="7"/>
  <c r="BV43" i="7"/>
  <c r="AU43" i="7"/>
  <c r="BV42" i="7"/>
  <c r="BM42" i="7"/>
  <c r="AU42" i="7"/>
  <c r="BD42" i="7"/>
  <c r="G44" i="1"/>
  <c r="G40" i="1"/>
  <c r="E49" i="1"/>
  <c r="E43" i="1"/>
  <c r="G49" i="1"/>
  <c r="G42" i="1"/>
  <c r="G38" i="1"/>
  <c r="G37" i="1"/>
  <c r="E52" i="1"/>
  <c r="E50" i="1"/>
  <c r="G48" i="1"/>
  <c r="E41" i="1"/>
  <c r="E39" i="1"/>
  <c r="G39" i="1"/>
  <c r="G51" i="1"/>
  <c r="E44" i="1"/>
  <c r="E38" i="1"/>
  <c r="E47" i="1"/>
  <c r="E42" i="1"/>
  <c r="G47" i="1"/>
  <c r="E40" i="1"/>
  <c r="G45" i="1"/>
  <c r="E48" i="1"/>
  <c r="E37" i="1"/>
  <c r="G43" i="1"/>
  <c r="G50" i="1"/>
  <c r="E46" i="1"/>
  <c r="G46" i="1"/>
  <c r="E51" i="1"/>
  <c r="G41" i="1"/>
  <c r="G52" i="1"/>
  <c r="E45" i="1"/>
  <c r="C11" i="56" l="1"/>
  <c r="D11" i="56"/>
  <c r="D78" i="26"/>
  <c r="D9" i="26"/>
  <c r="D21" i="26"/>
  <c r="C69" i="46"/>
  <c r="D69" i="46"/>
  <c r="F69" i="46"/>
  <c r="E69" i="46"/>
  <c r="G69" i="46"/>
  <c r="C98" i="46"/>
  <c r="D98" i="46"/>
  <c r="F98" i="46"/>
  <c r="E98" i="46"/>
  <c r="G98" i="46"/>
  <c r="C39" i="46"/>
  <c r="D39" i="46"/>
  <c r="F39" i="46"/>
  <c r="E39" i="46"/>
  <c r="G39" i="46"/>
  <c r="C131" i="36"/>
  <c r="D131" i="36"/>
  <c r="C96" i="36"/>
  <c r="D96" i="36"/>
  <c r="F89" i="46"/>
  <c r="F80" i="46"/>
  <c r="E80" i="46"/>
  <c r="E89" i="46"/>
  <c r="D80" i="46"/>
  <c r="D89" i="46"/>
  <c r="C89" i="46"/>
  <c r="C80" i="46"/>
  <c r="G89" i="46"/>
  <c r="G80" i="46"/>
  <c r="F60" i="46"/>
  <c r="E60" i="46"/>
  <c r="D60" i="46"/>
  <c r="C60" i="46"/>
  <c r="G60" i="46"/>
  <c r="E51" i="46"/>
  <c r="D51" i="46"/>
  <c r="C51" i="46"/>
  <c r="C121" i="36"/>
  <c r="D121" i="36"/>
  <c r="C38" i="2"/>
  <c r="E15" i="46"/>
  <c r="C15" i="46"/>
  <c r="F15" i="46"/>
  <c r="D15" i="46"/>
  <c r="G15" i="46"/>
  <c r="C9" i="45"/>
  <c r="D9" i="45"/>
  <c r="D47" i="12"/>
  <c r="C47" i="12"/>
  <c r="D10" i="53"/>
  <c r="C10" i="53"/>
  <c r="D9" i="49"/>
  <c r="C9" i="49"/>
  <c r="E10" i="51"/>
  <c r="D10" i="51"/>
  <c r="E26" i="51"/>
  <c r="D26" i="51"/>
  <c r="E44" i="51"/>
  <c r="D44" i="51"/>
  <c r="C17" i="49"/>
  <c r="D17" i="49"/>
  <c r="C422" i="49"/>
  <c r="D422" i="49"/>
  <c r="C263" i="49"/>
  <c r="D263" i="49"/>
  <c r="C204" i="49"/>
  <c r="D204" i="49"/>
  <c r="C45" i="49"/>
  <c r="D45" i="49"/>
  <c r="C75" i="50"/>
  <c r="D75" i="50"/>
  <c r="C54" i="50"/>
  <c r="D54" i="50"/>
  <c r="C31" i="50"/>
  <c r="D31" i="50"/>
  <c r="C9" i="50"/>
  <c r="D9" i="50"/>
  <c r="F27" i="46"/>
  <c r="E27" i="46"/>
  <c r="D27" i="46"/>
  <c r="G27" i="46"/>
  <c r="C27" i="46"/>
  <c r="F51" i="46"/>
  <c r="G51" i="46"/>
  <c r="C21" i="45"/>
  <c r="D21" i="45"/>
  <c r="C22" i="43"/>
  <c r="D22" i="43"/>
  <c r="C8" i="43"/>
  <c r="D8" i="43"/>
  <c r="C9" i="42"/>
  <c r="D9" i="42"/>
  <c r="E78" i="26"/>
  <c r="E9" i="26"/>
  <c r="E21" i="26"/>
  <c r="D8" i="39"/>
  <c r="E8" i="39"/>
  <c r="D46" i="39"/>
  <c r="E46" i="39"/>
  <c r="C21" i="42"/>
  <c r="D21" i="42"/>
  <c r="E20" i="39"/>
  <c r="D20" i="39"/>
  <c r="D21" i="12"/>
  <c r="C21" i="12"/>
  <c r="C110" i="36"/>
  <c r="D110" i="36"/>
  <c r="C84" i="36"/>
  <c r="D84" i="36"/>
  <c r="C72" i="36"/>
  <c r="D72" i="36"/>
  <c r="C46" i="36"/>
  <c r="D46" i="36"/>
  <c r="D11" i="36"/>
  <c r="C11" i="36"/>
  <c r="C9" i="12"/>
  <c r="D9" i="12"/>
  <c r="C10" i="11"/>
  <c r="D10" i="11"/>
  <c r="E9" i="9"/>
  <c r="C9" i="9"/>
  <c r="F9" i="9"/>
  <c r="G9" i="9"/>
  <c r="D9" i="9"/>
  <c r="AL51" i="7"/>
  <c r="BV52" i="7"/>
  <c r="BM52" i="7"/>
  <c r="BD52" i="7"/>
  <c r="AU52" i="7"/>
  <c r="AL52" i="7"/>
  <c r="BV51" i="7"/>
  <c r="BM51" i="7"/>
  <c r="BD51" i="7"/>
  <c r="AU51" i="7"/>
  <c r="BV50" i="7"/>
  <c r="BM50" i="7"/>
  <c r="BD50" i="7"/>
  <c r="AU50" i="7"/>
  <c r="AL50" i="7"/>
  <c r="BV48" i="7"/>
  <c r="BM48" i="7"/>
  <c r="BD48" i="7"/>
  <c r="AU48" i="7"/>
  <c r="AL48" i="7"/>
  <c r="BV47" i="7"/>
  <c r="BM47" i="7"/>
  <c r="BD47" i="7"/>
  <c r="AU47" i="7"/>
  <c r="BV46" i="7"/>
  <c r="BM46" i="7"/>
  <c r="BD46" i="7"/>
  <c r="AU46" i="7"/>
  <c r="AL46" i="7"/>
  <c r="C117" i="2"/>
  <c r="AL47" i="7"/>
  <c r="C107" i="2"/>
  <c r="C39" i="2"/>
  <c r="E195" i="8" l="1"/>
  <c r="C23" i="2"/>
  <c r="C108" i="2"/>
  <c r="E56" i="1"/>
  <c r="E60" i="1"/>
  <c r="E62" i="1"/>
  <c r="E65" i="1"/>
  <c r="E71" i="1"/>
  <c r="E70" i="1"/>
  <c r="E64" i="1"/>
  <c r="E57" i="1"/>
  <c r="E63" i="1"/>
  <c r="E67" i="1"/>
  <c r="E58" i="1"/>
  <c r="E69" i="1"/>
  <c r="E59" i="1"/>
  <c r="E68" i="1"/>
  <c r="E66" i="1"/>
  <c r="E61" i="1"/>
  <c r="C61" i="2" l="1"/>
  <c r="V3" i="7" s="1"/>
  <c r="K10" i="54"/>
  <c r="J10" i="54"/>
  <c r="I10" i="54"/>
  <c r="H10" i="54"/>
  <c r="G10" i="54"/>
  <c r="F10" i="54"/>
  <c r="D10" i="54"/>
  <c r="E10" i="54"/>
  <c r="C10" i="54"/>
  <c r="B3" i="26" l="1"/>
  <c r="B3" i="53"/>
  <c r="B3" i="43"/>
  <c r="B3" i="36"/>
  <c r="B3" i="51"/>
  <c r="B3" i="39"/>
  <c r="B3" i="12"/>
  <c r="B3" i="19"/>
  <c r="B3" i="54"/>
  <c r="B3" i="45"/>
  <c r="B3" i="50"/>
  <c r="B3" i="46"/>
  <c r="B3" i="42"/>
  <c r="B3" i="11"/>
  <c r="B3" i="4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Hogan, Susan</author>
  </authors>
  <commentList>
    <comment ref="H37" authorId="0" shapeId="0" xr:uid="{00000000-0006-0000-1600-000001000000}">
      <text>
        <r>
          <rPr>
            <b/>
            <sz val="9"/>
            <color rgb="FF000000"/>
            <rFont val="Tahoma"/>
            <family val="2"/>
          </rPr>
          <t>Hogan, Susan:</t>
        </r>
        <r>
          <rPr>
            <sz val="9"/>
            <color rgb="FF000000"/>
            <rFont val="Tahoma"/>
            <family val="2"/>
          </rPr>
          <t xml:space="preserve">
This is populated from FRCP_y1 which is selected by the business on the cover sheet.</t>
        </r>
      </text>
    </comment>
  </commentList>
</comments>
</file>

<file path=xl/sharedStrings.xml><?xml version="1.0" encoding="utf-8"?>
<sst xmlns="http://schemas.openxmlformats.org/spreadsheetml/2006/main" count="2369" uniqueCount="1222">
  <si>
    <t>Data in these columns used for data validation and database purposes.</t>
  </si>
  <si>
    <t>Date last modified:</t>
  </si>
  <si>
    <t>added (Albury and Victora) for AGN</t>
  </si>
  <si>
    <t>updated TransGrid's correct legal name, corrected TasNetworks (T) to June financial year</t>
  </si>
  <si>
    <t>inserted Power and Water, added NRs (dms_FeederCat_1 and dms_FeederCat_2)</t>
  </si>
  <si>
    <t>inserted AEMO as a business</t>
  </si>
  <si>
    <t>TasNetworks (D)</t>
  </si>
  <si>
    <t>CBD</t>
  </si>
  <si>
    <t>Urban</t>
  </si>
  <si>
    <t>Short rural</t>
  </si>
  <si>
    <t>dms_TradingName_List</t>
  </si>
  <si>
    <t>dms_TradingNameFull_List</t>
  </si>
  <si>
    <t>dms_ABN_List</t>
  </si>
  <si>
    <t>dms_JurisdictionList</t>
  </si>
  <si>
    <t>dms_Sector_List</t>
  </si>
  <si>
    <t>dms_Segment_List</t>
  </si>
  <si>
    <t>dms_FormControl_List</t>
  </si>
  <si>
    <t>dms_RPT_List</t>
  </si>
  <si>
    <t>dms_RPTMonth_List</t>
  </si>
  <si>
    <t>dms_CRCPlength_List</t>
  </si>
  <si>
    <t>dms_FRCPlength_List</t>
  </si>
  <si>
    <t>dms_663_List</t>
  </si>
  <si>
    <t>dms_Addr1_List</t>
  </si>
  <si>
    <t>dms_Addr2_List</t>
  </si>
  <si>
    <t>dms_Suburb_List</t>
  </si>
  <si>
    <t>dms_State_List</t>
  </si>
  <si>
    <t>dms_PostCode_List</t>
  </si>
  <si>
    <t>dms_PAddr1_List</t>
  </si>
  <si>
    <t>dms_PAddr2_List</t>
  </si>
  <si>
    <t>dms_PSuburb_List</t>
  </si>
  <si>
    <t>dms_PState_List</t>
  </si>
  <si>
    <t>dms_PPostCode_List</t>
  </si>
  <si>
    <t>dms_CBD_flag</t>
  </si>
  <si>
    <t>dms_Urban_flag</t>
  </si>
  <si>
    <t>dms_ShortRural_flag</t>
  </si>
  <si>
    <t>dms_LongRural_flag</t>
  </si>
  <si>
    <t>dms_FeederType_5_flag</t>
  </si>
  <si>
    <t>dms_MAIFI_flag_List</t>
  </si>
  <si>
    <t>dms_FeederName_1</t>
  </si>
  <si>
    <t>dms_FeederName_2</t>
  </si>
  <si>
    <t>dms_FeederName_3</t>
  </si>
  <si>
    <t>dms_FeederName_4</t>
  </si>
  <si>
    <t>dms_FeederName_5</t>
  </si>
  <si>
    <t>Column1</t>
  </si>
  <si>
    <t>ActewAGL Distribution</t>
  </si>
  <si>
    <t>ACT</t>
  </si>
  <si>
    <t>Electricity</t>
  </si>
  <si>
    <t>Distribution</t>
  </si>
  <si>
    <t>Revenue cap</t>
  </si>
  <si>
    <t>Financial</t>
  </si>
  <si>
    <t>June</t>
  </si>
  <si>
    <t>NO</t>
  </si>
  <si>
    <t>Long rural</t>
  </si>
  <si>
    <t>Gas</t>
  </si>
  <si>
    <t>Weighted average price cap</t>
  </si>
  <si>
    <t>x</t>
  </si>
  <si>
    <t>Vic</t>
  </si>
  <si>
    <t>Transmission</t>
  </si>
  <si>
    <t>Calendar</t>
  </si>
  <si>
    <t>December</t>
  </si>
  <si>
    <t>SA</t>
  </si>
  <si>
    <t>Amadeus</t>
  </si>
  <si>
    <t>NT</t>
  </si>
  <si>
    <t>Level 19, HSBC Building</t>
  </si>
  <si>
    <t>580 George Street</t>
  </si>
  <si>
    <t>SYDNEY</t>
  </si>
  <si>
    <t>NSW</t>
  </si>
  <si>
    <t>APA GasNet</t>
  </si>
  <si>
    <t>PO Box R41</t>
  </si>
  <si>
    <t>ROYAL EXCHANGE</t>
  </si>
  <si>
    <t>Ausgrid</t>
  </si>
  <si>
    <t>AusNet (D)</t>
  </si>
  <si>
    <t>AusNet (T)</t>
  </si>
  <si>
    <t>123 Straight Street</t>
  </si>
  <si>
    <t>PO Box 123</t>
  </si>
  <si>
    <t>CitiPower</t>
  </si>
  <si>
    <t>Directlink</t>
  </si>
  <si>
    <t>Qld</t>
  </si>
  <si>
    <t>ElectraNet</t>
  </si>
  <si>
    <t>Endeavour Energy</t>
  </si>
  <si>
    <t>Energex</t>
  </si>
  <si>
    <t>Ergon Energy</t>
  </si>
  <si>
    <t>Essential Energy</t>
  </si>
  <si>
    <t>Jemena Electricity</t>
  </si>
  <si>
    <t>Murraylink</t>
  </si>
  <si>
    <t>Power and Water</t>
  </si>
  <si>
    <t>Powercor Australia</t>
  </si>
  <si>
    <t>Powerlink</t>
  </si>
  <si>
    <t>Roma to Brisbane Pipeline</t>
  </si>
  <si>
    <t>APT Petroleum Pipelines Limited t/a Roma to Brisbane Pipeline</t>
  </si>
  <si>
    <t>009 737 393</t>
  </si>
  <si>
    <t>SA Power Networks</t>
  </si>
  <si>
    <t>Tas</t>
  </si>
  <si>
    <t>TasNetworks (T)</t>
  </si>
  <si>
    <t>TransGrid</t>
  </si>
  <si>
    <t>United Energy</t>
  </si>
  <si>
    <t>The Reg Year Ending (dms_RYE) must be set to the last year of the regulatory period. For forecast data is is usually (FRCP_y5) for actual it is a single year (CRY). For historical actual data the RYE will need to be set manually in the business details sheet by setting the dms_Multiyear_flag to 1 and putting the correct value in 'dms_Specified_FinalYear. See cells C67:C68</t>
  </si>
  <si>
    <t>Reason for interruption</t>
  </si>
  <si>
    <t>dms_Reason_Interruption_Detailed</t>
  </si>
  <si>
    <t>dms_Reason_Interruption</t>
  </si>
  <si>
    <t>dms_STPIS_Exclusion_List</t>
  </si>
  <si>
    <t xml:space="preserve">dms_Model_List </t>
  </si>
  <si>
    <t>dms_020303_01_UOM</t>
  </si>
  <si>
    <t>dms_020501_01_UOM</t>
  </si>
  <si>
    <t>dms_020501_02_UOM</t>
  </si>
  <si>
    <t>dms_020501_03_UOM</t>
  </si>
  <si>
    <t>dms_020501_04_UOM</t>
  </si>
  <si>
    <t>dms_020603_01_UOM</t>
  </si>
  <si>
    <t>dms_020701_01_UOM</t>
  </si>
  <si>
    <t>dms_020701_02_UOM</t>
  </si>
  <si>
    <t>dms_040102_01_UOM</t>
  </si>
  <si>
    <t>dms_040102_04_UOM</t>
  </si>
  <si>
    <t>dms_030601_01_UOM</t>
  </si>
  <si>
    <t>dms_030601_02_UOM</t>
  </si>
  <si>
    <t>dms_030701_01_UOM</t>
  </si>
  <si>
    <t>dms_030702_01_UOM</t>
  </si>
  <si>
    <t>dms_030703_01_UOM</t>
  </si>
  <si>
    <t>dms_030605_UOM</t>
  </si>
  <si>
    <t>dms_03060703_UOM</t>
  </si>
  <si>
    <t>Animal</t>
  </si>
  <si>
    <t>Animal impact</t>
  </si>
  <si>
    <t>Weather</t>
  </si>
  <si>
    <t>ARR</t>
  </si>
  <si>
    <t>New line on new route - single circuit</t>
  </si>
  <si>
    <t>Circuit line length in km</t>
  </si>
  <si>
    <t>0's</t>
  </si>
  <si>
    <t>km</t>
  </si>
  <si>
    <t>days</t>
  </si>
  <si>
    <t>minutes/customer</t>
  </si>
  <si>
    <t>Customer / km</t>
  </si>
  <si>
    <t>%</t>
  </si>
  <si>
    <t>number</t>
  </si>
  <si>
    <t>Animal nesting/burrowing, etc and other</t>
  </si>
  <si>
    <t>Asset failure</t>
  </si>
  <si>
    <t>Equipment failure</t>
  </si>
  <si>
    <t>CA</t>
  </si>
  <si>
    <t>New line on new route - dual circuit</t>
  </si>
  <si>
    <t>MWh/customer</t>
  </si>
  <si>
    <t>Number of spans</t>
  </si>
  <si>
    <t>Other</t>
  </si>
  <si>
    <t>Operational error</t>
  </si>
  <si>
    <t>CPI</t>
  </si>
  <si>
    <t>New line on new route - other</t>
  </si>
  <si>
    <t>MVA added</t>
  </si>
  <si>
    <t>$0s</t>
  </si>
  <si>
    <t>interruptions/customer</t>
  </si>
  <si>
    <t>kVA / customer</t>
  </si>
  <si>
    <t>LV</t>
  </si>
  <si>
    <t>Overloads</t>
  </si>
  <si>
    <t>Vegetation</t>
  </si>
  <si>
    <t>EB</t>
  </si>
  <si>
    <t>Line rebuild over existing route - single circuit</t>
  </si>
  <si>
    <t>Distribution substation</t>
  </si>
  <si>
    <t>Planned</t>
  </si>
  <si>
    <t>Animals</t>
  </si>
  <si>
    <t>PTRM</t>
  </si>
  <si>
    <t>POST TAX REVENUE MODEL</t>
  </si>
  <si>
    <t>Line rebuild over existing route - dual circuit</t>
  </si>
  <si>
    <t>Number</t>
  </si>
  <si>
    <t>total spend $0s</t>
  </si>
  <si>
    <t>(per cent)</t>
  </si>
  <si>
    <t>HV</t>
  </si>
  <si>
    <t>Network business</t>
  </si>
  <si>
    <t>Third party impacts</t>
  </si>
  <si>
    <t>Reset</t>
  </si>
  <si>
    <t>REGULATORY REPORTING STATEMENT</t>
  </si>
  <si>
    <t>Reconductor - Single circuit</t>
  </si>
  <si>
    <t>net circuit km added</t>
  </si>
  <si>
    <t>years</t>
  </si>
  <si>
    <t>Years</t>
  </si>
  <si>
    <t>Zone substation</t>
  </si>
  <si>
    <t>Third party</t>
  </si>
  <si>
    <t>Transmission failure</t>
  </si>
  <si>
    <t>RFM</t>
  </si>
  <si>
    <t>ROLL FORWARD MODEL</t>
  </si>
  <si>
    <t>Reconductor - Dual circuit</t>
  </si>
  <si>
    <t>Subtransmission</t>
  </si>
  <si>
    <t>Unknown</t>
  </si>
  <si>
    <t>Load shedding</t>
  </si>
  <si>
    <t>WACC</t>
  </si>
  <si>
    <t>WEIGHTED AVERAGE COST OF CAPITAL</t>
  </si>
  <si>
    <t>Trees</t>
  </si>
  <si>
    <t>insert description of 'other'</t>
  </si>
  <si>
    <t>Inter-distributor connection failure</t>
  </si>
  <si>
    <t>dms_DataQuality_List</t>
  </si>
  <si>
    <t>Defects</t>
  </si>
  <si>
    <t>2 - STPIS Exclusion (3.3)(a)</t>
  </si>
  <si>
    <t>Actual</t>
  </si>
  <si>
    <t>Network error</t>
  </si>
  <si>
    <t>3 - STPIS Exclusion (3.3)(a)</t>
  </si>
  <si>
    <t>Estimate</t>
  </si>
  <si>
    <t>Spans</t>
  </si>
  <si>
    <t>Switching and protection error</t>
  </si>
  <si>
    <t>4 - STPIS Exclusion (3.3)(a)</t>
  </si>
  <si>
    <t>Consolidated</t>
  </si>
  <si>
    <t>Fire</t>
  </si>
  <si>
    <t>5 - STPIS Exclusion (3.3)(a)</t>
  </si>
  <si>
    <t/>
  </si>
  <si>
    <t>6 - STPIS Exclusion (3.3)(a)</t>
  </si>
  <si>
    <t>Public</t>
  </si>
  <si>
    <t>Dig-in</t>
  </si>
  <si>
    <t>7 - STPIS Exclusion (3.3)(a)</t>
  </si>
  <si>
    <t>Unauthorised access</t>
  </si>
  <si>
    <t>For all files either AER or business needs to be able to specify the type of submission</t>
  </si>
  <si>
    <t>For PTRM &amp; RFM templates we must provide a choice in case they change their form of control - otherwise it is drawn from the business specific lookup table above.</t>
  </si>
  <si>
    <t>Vehicle impact</t>
  </si>
  <si>
    <t>dms_SourceList</t>
  </si>
  <si>
    <t>dms_FormControl_Choices</t>
  </si>
  <si>
    <t>DMS_Xfactor</t>
  </si>
  <si>
    <t>After appeal</t>
  </si>
  <si>
    <t>x factors</t>
  </si>
  <si>
    <t>Blow-in/Fall-in - NSP responsibility</t>
  </si>
  <si>
    <t>Draft decision</t>
  </si>
  <si>
    <t>Revenue yield</t>
  </si>
  <si>
    <t>Grow-in - NSP responsibility</t>
  </si>
  <si>
    <t>Final decision</t>
  </si>
  <si>
    <t>Blow-in/Fall-in - Other responsible party</t>
  </si>
  <si>
    <t>PTRM update 1</t>
  </si>
  <si>
    <t>Grow-in - Other responsible party</t>
  </si>
  <si>
    <t>PTRM update 2</t>
  </si>
  <si>
    <t>PTRM update 3</t>
  </si>
  <si>
    <t>PTRM update 4</t>
  </si>
  <si>
    <t>PTRM update 5</t>
  </si>
  <si>
    <t>PTRM update 6</t>
  </si>
  <si>
    <t>PTRM update 7</t>
  </si>
  <si>
    <t>Regulatory proposal</t>
  </si>
  <si>
    <t>Reporting</t>
  </si>
  <si>
    <t>Revised regulatory proposal</t>
  </si>
  <si>
    <t>These "row descriptions" are the column headings in the various templates but become row descriptions in the ETL process</t>
  </si>
  <si>
    <t>CRCP_y1</t>
  </si>
  <si>
    <t>Table 6.3 sustained interruptions - row descriptions</t>
  </si>
  <si>
    <t>CRCP_y2</t>
  </si>
  <si>
    <t>dms_060301_CustNo_Affected_Row</t>
  </si>
  <si>
    <t>dms_060301_Avg_Duration_Sustained_Int_Row</t>
  </si>
  <si>
    <t>dms_060301_Effect_unplanned_SAIDI_Row</t>
  </si>
  <si>
    <t>dms_060301_Effect_unplanned_SAIFI_Row</t>
  </si>
  <si>
    <t>Number of customers affected by the interruption</t>
  </si>
  <si>
    <t>Average duration of sustained customer interruption</t>
  </si>
  <si>
    <t>Effect on unplanned SAIDI</t>
  </si>
  <si>
    <t>Effect on unplanned SAIFI</t>
  </si>
  <si>
    <t>CRCP_y4</t>
  </si>
  <si>
    <t>CRCP_y5</t>
  </si>
  <si>
    <t>CRCP_y6</t>
  </si>
  <si>
    <t>CRCP_y7</t>
  </si>
  <si>
    <t>CRCP_y8</t>
  </si>
  <si>
    <t>dms_060101_Rows</t>
  </si>
  <si>
    <t>dms_060102_Rows</t>
  </si>
  <si>
    <t>CRCP_y9</t>
  </si>
  <si>
    <t>Total number of calls 
(after removing excluded events)</t>
  </si>
  <si>
    <t xml:space="preserve">Number of calls answered within 30 seconds 
(after excluding excluded events) </t>
  </si>
  <si>
    <t>CRCP_y11</t>
  </si>
  <si>
    <t>CRCP_y12</t>
  </si>
  <si>
    <t>CRCP_y13</t>
  </si>
  <si>
    <t>CRCP_y14</t>
  </si>
  <si>
    <t>Table 6.7.1 - daily performance data - unplanned - MAIFI  -- row descriptions and header named range values</t>
  </si>
  <si>
    <t>CRCP_y15</t>
  </si>
  <si>
    <t>These headings (Lists) are determined from the INDEX/MATCH function on the NSP selected on the Business &amp; other details sheet</t>
  </si>
  <si>
    <t>dms_060701_Feeder_Header_Lvl4</t>
  </si>
  <si>
    <t>Network</t>
  </si>
  <si>
    <t>dms_060701_Rows</t>
  </si>
  <si>
    <t>All events</t>
  </si>
  <si>
    <t>After removing excluded events</t>
  </si>
  <si>
    <t>2005-06</t>
  </si>
  <si>
    <t>2006</t>
  </si>
  <si>
    <t>2015-16</t>
  </si>
  <si>
    <t>the number of column headings changes from 10 to 12 depending on the number of feeder categories for the NSP</t>
  </si>
  <si>
    <t>2006-07</t>
  </si>
  <si>
    <t>2007</t>
  </si>
  <si>
    <t>2016-17</t>
  </si>
  <si>
    <t>2007-08</t>
  </si>
  <si>
    <t>2008</t>
  </si>
  <si>
    <t>2017-18</t>
  </si>
  <si>
    <t>2008-09</t>
  </si>
  <si>
    <t>2009</t>
  </si>
  <si>
    <t>2018-19</t>
  </si>
  <si>
    <t>2009-10</t>
  </si>
  <si>
    <t>2019-20</t>
  </si>
  <si>
    <t>2010-11</t>
  </si>
  <si>
    <t>2020-21</t>
  </si>
  <si>
    <t>Table 6.8.1 - row descriptions</t>
  </si>
  <si>
    <t>2011-12</t>
  </si>
  <si>
    <t>2021-22</t>
  </si>
  <si>
    <t>dms_060801_01_Rows</t>
  </si>
  <si>
    <t>dms_060801_02_Rows</t>
  </si>
  <si>
    <t>dms_060801_03_Rows</t>
  </si>
  <si>
    <t>dms_060801_04_Rows</t>
  </si>
  <si>
    <t>2012-13</t>
  </si>
  <si>
    <t>2022-23</t>
  </si>
  <si>
    <t>Number of interruptions</t>
  </si>
  <si>
    <t>Duration of interruptions</t>
  </si>
  <si>
    <t>Total unplanned minutes off supply</t>
  </si>
  <si>
    <t>Effect on unplanned MAIFI</t>
  </si>
  <si>
    <t>2013-14</t>
  </si>
  <si>
    <t>2023-24</t>
  </si>
  <si>
    <t>2014-15</t>
  </si>
  <si>
    <t>2024-25</t>
  </si>
  <si>
    <t>2025-26</t>
  </si>
  <si>
    <t>2026-27</t>
  </si>
  <si>
    <t>2027-28</t>
  </si>
  <si>
    <t>Table 7.9.4 - market impact component - row descriptions</t>
  </si>
  <si>
    <t>2028-29</t>
  </si>
  <si>
    <t>dms_070904_01_Rows</t>
  </si>
  <si>
    <t>without exclusions</t>
  </si>
  <si>
    <t>with exclusions</t>
  </si>
  <si>
    <t>2029-30</t>
  </si>
  <si>
    <t>2030-31</t>
  </si>
  <si>
    <t>2031-32</t>
  </si>
  <si>
    <t>2032-33</t>
  </si>
  <si>
    <t>2033-34</t>
  </si>
  <si>
    <t>2034-35</t>
  </si>
  <si>
    <t>2035-36</t>
  </si>
  <si>
    <t>BUSINESS &amp; OTHER DETAILS</t>
  </si>
  <si>
    <t>ENTITY DETAILS</t>
  </si>
  <si>
    <t>Short name</t>
  </si>
  <si>
    <t>Address 1</t>
  </si>
  <si>
    <t>Address 2</t>
  </si>
  <si>
    <t>Suburb</t>
  </si>
  <si>
    <t>State</t>
  </si>
  <si>
    <t>REGULATORY CONTROL PERIODS</t>
  </si>
  <si>
    <t>Source</t>
  </si>
  <si>
    <t>.</t>
  </si>
  <si>
    <t>Submission Date</t>
  </si>
  <si>
    <t>dms_SubmissionDate</t>
  </si>
  <si>
    <t>EBSS - First application of scheme in forthcoming period?</t>
  </si>
  <si>
    <t>No</t>
  </si>
  <si>
    <t>Sector</t>
  </si>
  <si>
    <t>dms_Sector</t>
  </si>
  <si>
    <t>=INDEX(dms_Sector_List,MATCH(dms_TradingName,dms_TradingName_List))</t>
  </si>
  <si>
    <t>Segment</t>
  </si>
  <si>
    <t>dms_Segment</t>
  </si>
  <si>
    <t>=INDEX(dms_Segment_List,MATCH(dms_TradingName,dms_TradingName_List))</t>
  </si>
  <si>
    <t>Regulatory Year Ending</t>
  </si>
  <si>
    <t>dms_RYE</t>
  </si>
  <si>
    <t>=IF(dms_MultiYear_Flag=1,LEFT(dms_Specified_FinalYear,2)&amp;RIGHT(dms_Specified_FinalYear,2),INDEX(dms_RYE_Formula_Result,MATCH(dms_Model,dms_Model_List)))</t>
  </si>
  <si>
    <t>Reporting Period Type</t>
  </si>
  <si>
    <t>dms_RPT</t>
  </si>
  <si>
    <t>=INDEX(dms_RPT_List,MATCH(dms_TradingName,dms_TradingName_List))</t>
  </si>
  <si>
    <t>dms_Model</t>
  </si>
  <si>
    <t>Security Classification</t>
  </si>
  <si>
    <t>dms_Classification</t>
  </si>
  <si>
    <t>Always Public</t>
  </si>
  <si>
    <t>Dollar $ real month</t>
  </si>
  <si>
    <t>dms_RPTMonth</t>
  </si>
  <si>
    <t>=INDEX(dms_RPTMonth_List,MATCH(dms_TradingName,dms_TradingName_List))</t>
  </si>
  <si>
    <t>Dollar $ real  (the last month before the FRCP_y1)</t>
  </si>
  <si>
    <t>dms_DollarReal</t>
  </si>
  <si>
    <t>Dollar $ real previous year (PRCP_y5)</t>
  </si>
  <si>
    <t>dms_DollarReal_Prev</t>
  </si>
  <si>
    <t>=IF(SUM(dms_SingleYear_Model)&gt;0,CONCATENATE(dms_RPTMonth)&amp;" "&amp;VALUE(((LEFT(CRY,2))&amp;RIGHT(CRY,2))-1),CONCATENATE(dms_RPTMonth)&amp;" "&amp;VALUE(((LEFT(dms_CRCP_FirstYear_Result,2)&amp;RIGHT(dms_CRCP_FirstYear_Result,2))))-1)</t>
  </si>
  <si>
    <t>Form of control</t>
  </si>
  <si>
    <t>dms_FormControl</t>
  </si>
  <si>
    <t>=INDEX(dms_FormControl_List,MATCH(dms_TradingName,dms_TradingName_List))</t>
  </si>
  <si>
    <t>Calendar Year for table 3.6 data</t>
  </si>
  <si>
    <t>dms_0306_Year</t>
  </si>
  <si>
    <t>Jurisdiction</t>
  </si>
  <si>
    <t>dms_Jurisdiction</t>
  </si>
  <si>
    <t>=INDEX(dms_JurisdictionList,MATCH(dms_TradingName,dms_TradingName_List))</t>
  </si>
  <si>
    <t>dms_MultiYear_Flag</t>
  </si>
  <si>
    <t>dms_Specified_FinalYear</t>
  </si>
  <si>
    <t>dms_EB</t>
  </si>
  <si>
    <t>dms_CA</t>
  </si>
  <si>
    <t>=dms_SingleYear_Model</t>
  </si>
  <si>
    <t>dms_ARR</t>
  </si>
  <si>
    <t>Single Year Final Year Result</t>
  </si>
  <si>
    <t>dms_SingleYear_FinalYear_Result</t>
  </si>
  <si>
    <t>FRCP length in years</t>
  </si>
  <si>
    <t>dms_FRCPlength_Num</t>
  </si>
  <si>
    <t>=INDEX(dms_FRCPlength_List,MATCH(dms_TradingName,dms_TradingName_List))</t>
  </si>
  <si>
    <t>CRCP length in years</t>
  </si>
  <si>
    <t>dms_CRCPlength_Num</t>
  </si>
  <si>
    <t>=INDEX(dms_CRCPlength_List,MATCH(dms_TradingName,dms_TradingName_List))</t>
  </si>
  <si>
    <t>Table 6.6.3 - Public lighting repair - no. business days</t>
  </si>
  <si>
    <t>dms_663</t>
  </si>
  <si>
    <t>=INDEX(dms_663_List,MATCH(dms_TradingName,dms_TradingName_List))</t>
  </si>
  <si>
    <t>Table 6.7.1 - includes a leap year?</t>
  </si>
  <si>
    <t>dms_060701_MaxRows</t>
  </si>
  <si>
    <t>Table 6.7.1 - Last column (# of feeder categories &gt; 4)</t>
  </si>
  <si>
    <t>dms_060701_MaxCols</t>
  </si>
  <si>
    <t>=IF(dms_FifthFeeder_flag_NSP="NO",8,10)</t>
  </si>
  <si>
    <t>Table 6.7.1 - Number of offset rows</t>
  </si>
  <si>
    <t>dms_060701_OffsetRows</t>
  </si>
  <si>
    <t>Table 6.1.1 and 6.7.1 - Start Date as Text</t>
  </si>
  <si>
    <t>Table 6.1.1 and 6.7.1 - Start Date as Date Value</t>
  </si>
  <si>
    <t>Table 6.8 - Number of offset rows</t>
  </si>
  <si>
    <t>dms_0608_OffsetRows</t>
  </si>
  <si>
    <t>Table 6.8 - Last row</t>
  </si>
  <si>
    <t>dms_0608_LastRow</t>
  </si>
  <si>
    <t>Table 6.8 - MaxRows</t>
  </si>
  <si>
    <t>Table 7.9.4 - first year</t>
  </si>
  <si>
    <t>dms_070904_Start_Year</t>
  </si>
  <si>
    <t>=LEFT(PRCP_y3,4)</t>
  </si>
  <si>
    <t>Distribution Determination Reference</t>
  </si>
  <si>
    <t>dms_DeterminationRef</t>
  </si>
  <si>
    <t>EB/CA Unit of Measure for Monetary Values</t>
  </si>
  <si>
    <t>dms_dollar_nom_UOM</t>
  </si>
  <si>
    <t>Is this Submission File a Subset File</t>
  </si>
  <si>
    <t>dms_Partial</t>
  </si>
  <si>
    <t>discard this record?</t>
  </si>
  <si>
    <t>dms_DISCARD</t>
  </si>
  <si>
    <t>If record is to be discarded from DB set this flag to YES</t>
  </si>
  <si>
    <t>CBD Feeder for this business</t>
  </si>
  <si>
    <t>dms_CBD_flag_NSP</t>
  </si>
  <si>
    <t>Urban Feeder for this business</t>
  </si>
  <si>
    <t>dms_Urban_flag_NSP</t>
  </si>
  <si>
    <t>Short rural Feeder for this business</t>
  </si>
  <si>
    <t>dms_ShortRural_flag_NSP</t>
  </si>
  <si>
    <t>Long rural Feeder for this business</t>
  </si>
  <si>
    <t>dms_LongRural_flag_NSP</t>
  </si>
  <si>
    <t>Fifth Feeder Category (eg. TasNetworks (D))</t>
  </si>
  <si>
    <t>dms_FifthFeeder_flag_NSP</t>
  </si>
  <si>
    <t>=INDEX(dms_FeederType_5_flag,MATCH(dms_TradingName,dms_TradingName_List))</t>
  </si>
  <si>
    <t>USES NAMED RANGES FLAG</t>
  </si>
  <si>
    <t>yes</t>
  </si>
  <si>
    <t>dms_Defined_Names_Used</t>
  </si>
  <si>
    <t>REGULATORY YEARS FOR MULTI RYE SUBMISSIONS</t>
  </si>
  <si>
    <t>Multiple RYE flag</t>
  </si>
  <si>
    <t>dms_Multi_RYE_flag</t>
  </si>
  <si>
    <t>Manually specify RYE</t>
  </si>
  <si>
    <t>Named ranges to apply</t>
  </si>
  <si>
    <t>dms_RYE_01</t>
  </si>
  <si>
    <t>dms_RYE_02</t>
  </si>
  <si>
    <t>dms_RYE_03</t>
  </si>
  <si>
    <t>dms_RYE_04</t>
  </si>
  <si>
    <t>dms_RYE_05</t>
  </si>
  <si>
    <t>major changes to accommodate STPIS</t>
  </si>
  <si>
    <t>dd/mm/yy</t>
  </si>
  <si>
    <t>dms_060801_MaxRows</t>
  </si>
  <si>
    <t>dms_060301_MaxRows</t>
  </si>
  <si>
    <t>The result here is returned to dms_CRCP_FinalYear_Result if response to Q in C73 is "yes" and dms_MultiYear_Flag is set to 1</t>
  </si>
  <si>
    <t>This is set from the answer provided above</t>
  </si>
  <si>
    <t>Start date for telephone answering in 6.1 or 6.7?</t>
  </si>
  <si>
    <t>How many rows in table 6.8?</t>
  </si>
  <si>
    <t>How many rows in tables 6.1 or 6.7?  (leap year?)</t>
  </si>
  <si>
    <t>How many columns in 6.7?   (4 or 5 feeder categories)</t>
  </si>
  <si>
    <t>=DATEVALUE(dms_060701_StartDateTxt)</t>
  </si>
  <si>
    <t>Template Version</t>
  </si>
  <si>
    <t>IF THIS IS AN ABC RIN - make sure the the named range CRY is applied and the named range dms_dollar_nom_UOM is applied</t>
  </si>
  <si>
    <t>IF THIS IS A RESET RIN - make sure the named ranges CRY and dms_dollar_nom_UOM are NOT present in the workbook</t>
  </si>
  <si>
    <t>=IF(SUM(dms_SingleYear_Model)&gt;1,(CONCATENATE(IF(LEN(CRY)=4,"1-Jan-","1-Jul-"),LEFT(CRY,4))),(CONCATENATE(IF(LEN(CRCP_y4)=4,"1-Jan-","1-Jul-"),LEFT(CRCP_y4,4))))</t>
  </si>
  <si>
    <t>=IFERROR(IF(SUM(dms_SingleYear_Model)&lt;&gt;0,(INDIRECT(dms_SingleYear_FinalYear_Ref)),"not a single year RIN"),"CRY not present")</t>
  </si>
  <si>
    <r>
      <t xml:space="preserve">dms_060801_StartCell </t>
    </r>
    <r>
      <rPr>
        <i/>
        <sz val="10"/>
        <color theme="0" tint="-0.499984740745262"/>
        <rFont val="Arial"/>
        <family val="2"/>
      </rPr>
      <t>is only found on worksheet 6.8 and is used to determine the starting date for the date range</t>
    </r>
  </si>
  <si>
    <t>Table 7.9.4 only appears in TNSPs Reset RIN</t>
  </si>
  <si>
    <t>=IFERROR(IF(MONTH(DATE(YEAR(dms_LeapYear),2,29))=2,"is a leap year","not a leap year"),"dms_LeapYear not present")</t>
  </si>
  <si>
    <t>dms_LeapYear_Result</t>
  </si>
  <si>
    <t>=IF(dms_Model="ARR",15,9)</t>
  </si>
  <si>
    <t>FOR ABC RINS THAT SPAN MULTIPLE YEARS - make sure MultiYear Flag is set and final year entered as required</t>
  </si>
  <si>
    <t>dms_060101_StartDateTxt</t>
  </si>
  <si>
    <t>dms_060801_Event_Date</t>
  </si>
  <si>
    <t>dms_060801_OutageID</t>
  </si>
  <si>
    <t>dms_060801_FeederID</t>
  </si>
  <si>
    <t>dms_060801_FeederClass</t>
  </si>
  <si>
    <t>dms_060801_CauseID</t>
  </si>
  <si>
    <t>dms_060801_01_Values</t>
  </si>
  <si>
    <t>dms_060801_02_Values</t>
  </si>
  <si>
    <t>dms_060801_03_Values</t>
  </si>
  <si>
    <t>dms_060801_Excl_Cat</t>
  </si>
  <si>
    <t>dms_060801_04_Values</t>
  </si>
  <si>
    <t>ARR's  6.8 STPIS exclusions</t>
  </si>
  <si>
    <t>Table 6.1 telephone answering - row descriptions and start date</t>
  </si>
  <si>
    <t>CA 6.3 sustained interruptions</t>
  </si>
  <si>
    <t>dms_060301_Event_Date</t>
  </si>
  <si>
    <t>dms_060301_Event_Time</t>
  </si>
  <si>
    <t>dms_060301_AssetID</t>
  </si>
  <si>
    <t>dms_060301_FeederClass</t>
  </si>
  <si>
    <t>dms_060301_Reason</t>
  </si>
  <si>
    <t>dms_060301_DetailedReason</t>
  </si>
  <si>
    <t>dms_060301_CustNo_Affected_Values</t>
  </si>
  <si>
    <t>dms_060301_Avg_Duration_Sustained_Int_Values</t>
  </si>
  <si>
    <t>dms_060301_Effect_unplanned_SAIDI_Values</t>
  </si>
  <si>
    <t>dms_060301_Effect_unplanned_SAIFI_Values</t>
  </si>
  <si>
    <t>dms_060301_MED</t>
  </si>
  <si>
    <r>
      <t xml:space="preserve">insert </t>
    </r>
    <r>
      <rPr>
        <i/>
        <u/>
        <sz val="10"/>
        <color theme="0" tint="-0.499984740745262"/>
        <rFont val="Arial"/>
        <family val="2"/>
      </rPr>
      <t>dms_LeapYear</t>
    </r>
    <r>
      <rPr>
        <i/>
        <sz val="10"/>
        <color theme="0" tint="-0.499984740745262"/>
        <rFont val="Arial"/>
        <family val="2"/>
      </rPr>
      <t xml:space="preserve"> NR if required</t>
    </r>
  </si>
  <si>
    <t>=IFERROR(IF(dms_Model="CA",LOOKUP(2,1/(dms_060301_Avg_Duration_Sustained_Int_Values&lt;&gt;""),(ROW(dms_060301_Avg_Duration_Sustained_Int_Values))),"not a CA"),"6.3 not present")</t>
  </si>
  <si>
    <t>dms_060301_LastRow</t>
  </si>
  <si>
    <t>Table 6.3.1 - last row reference</t>
  </si>
  <si>
    <t>Table 6.3.1 - max number rows</t>
  </si>
  <si>
    <t>insert dms_060801_StartCell NR if required</t>
  </si>
  <si>
    <t>Is dms_LeapYear named range present?</t>
  </si>
  <si>
    <t>MISC</t>
  </si>
  <si>
    <t>dms_0603_FeederList</t>
  </si>
  <si>
    <t>This block works out the various RYE's for ALL RIN types and MODELS</t>
  </si>
  <si>
    <t>DISCARD FILES</t>
  </si>
  <si>
    <t>Reconductor - Other</t>
  </si>
  <si>
    <t>Line upgrade - raising/retensoring</t>
  </si>
  <si>
    <t>Line upgrade - voltage upgrade</t>
  </si>
  <si>
    <t>Line upgrade - capacity</t>
  </si>
  <si>
    <t>String spare circuit</t>
  </si>
  <si>
    <t>New substation establishment</t>
  </si>
  <si>
    <t>Capacity upgrade</t>
  </si>
  <si>
    <t>Voltage upgrade</t>
  </si>
  <si>
    <t>Public lighting NSP?</t>
  </si>
  <si>
    <t>dms_Public_Lighting_List</t>
  </si>
  <si>
    <t>=INDEX(dms_Public_Lighting_List,MATCH(dms_TradingName,dms_TradingName_List))</t>
  </si>
  <si>
    <t>dms_Public_Lighting</t>
  </si>
  <si>
    <t>dms_RYE_06</t>
  </si>
  <si>
    <t>dms_RYE_07</t>
  </si>
  <si>
    <t>dms_RYE_08</t>
  </si>
  <si>
    <t>dms_RYE_09</t>
  </si>
  <si>
    <t>CRY-1  (last full calendar year before CRY)</t>
  </si>
  <si>
    <t>dms_Cal_Year_B4_CRY</t>
  </si>
  <si>
    <t>'=IF(dms_RPT="financial",VALUE(LEFT(dms_SingleYear_FinalYear_Result,4)),VALUE(LEFT(dms_SingleYear_FinalYear_Result,4)-1))</t>
  </si>
  <si>
    <t>CRCP_y3</t>
  </si>
  <si>
    <t>CRCP_y10</t>
  </si>
  <si>
    <t>dms_Worksheet_List</t>
  </si>
  <si>
    <t>dms_0502_Inst_Year</t>
  </si>
  <si>
    <t>For single year RINS this is CRY - multi year RINS need to start a the end of the span of years (ie. FRY)</t>
  </si>
  <si>
    <t>=IF(dms_MultiYear_Flag=1,FRY,CRY)</t>
  </si>
  <si>
    <t>dms_060101_Values</t>
  </si>
  <si>
    <t>dms_060102_Values</t>
  </si>
  <si>
    <t>dms_060701_Values</t>
  </si>
  <si>
    <t>ARRs 6.7 STPIS daily performance</t>
  </si>
  <si>
    <t>MaxRows if Reset and leap year</t>
  </si>
  <si>
    <t>dms_060701_Reset_MaxRows</t>
  </si>
  <si>
    <t>=IF(dms_LeapYear_Result="is a leap year",1827,1826)</t>
  </si>
  <si>
    <t>MaxRows if ARR and leap year</t>
  </si>
  <si>
    <t>dms_060701_ARR_MaxRows</t>
  </si>
  <si>
    <t>=IF(dms_LeapYear_Result="is a leap year",366,365)</t>
  </si>
  <si>
    <t>number of days present in Reset RIN table</t>
  </si>
  <si>
    <t>number of days present in ARR RIN table</t>
  </si>
  <si>
    <t>Table 6.7.1 - Max Rows (leap year/ non leap year)</t>
  </si>
  <si>
    <t>=IF(dms_Model="ARR",dms_060701_ARR_MaxRows,IF(dms_Model="Reset",dms_060701_Reset_MaxRows,"not a relevant RIN type"))</t>
  </si>
  <si>
    <t>PTRM/ RFMs</t>
  </si>
  <si>
    <t>EB RINS</t>
  </si>
  <si>
    <t>ABC RINS THAT SPAN MULTIPLE YEARS</t>
  </si>
  <si>
    <t>CA RINS</t>
  </si>
  <si>
    <t>ARR or RESET RINS</t>
  </si>
  <si>
    <t>ARRs</t>
  </si>
  <si>
    <t>TNSP RESET RINS</t>
  </si>
  <si>
    <t>SUBSET FILES</t>
  </si>
  <si>
    <t>Find how many rows in tables 6.3 sustained interruptions?</t>
  </si>
  <si>
    <t>dms_060301_MaxRows only returns a valid value when cover sheet is attached to a CA file</t>
  </si>
  <si>
    <t>=IFERROR(IF(dms_Model="CA",(dms_060301_LastRow-15),"not a CA"),"error")</t>
  </si>
  <si>
    <t>=IF(dms_Model&lt;&gt;"CA","not a CA","Is a CA")</t>
  </si>
  <si>
    <t>dms_060301_Avg_Duration_Sustained_Int_Values present?</t>
  </si>
  <si>
    <t>If the cover sheet is attached to an ABC RIN apply the NAMED RANGE to the cell</t>
  </si>
  <si>
    <t>=IF(SUM(dms_SingleYear_Model)=1,"yes","no")</t>
  </si>
  <si>
    <t>'dms_LeapYear is used to determine dms_060701_Max_Rows BUT it is only found on worksheet 6.1 or 6.7 and the date value in the cell is used to determine whether it is a leap year</t>
  </si>
  <si>
    <t>=IF(AND(dms_Model="CA",(dms_060301_checkvalue="no")),"error - NR not present","no errors")</t>
  </si>
  <si>
    <t>dms_060301_checkvalue</t>
  </si>
  <si>
    <r>
      <t>Using</t>
    </r>
    <r>
      <rPr>
        <i/>
        <sz val="10"/>
        <color theme="4" tint="-0.499984740745262"/>
        <rFont val="Arial"/>
        <family val="2"/>
      </rPr>
      <t xml:space="preserve"> 060101</t>
    </r>
    <r>
      <rPr>
        <sz val="10"/>
        <color theme="4" tint="-0.499984740745262"/>
        <rFont val="Arial"/>
        <family val="2"/>
      </rPr>
      <t xml:space="preserve"> as naming standard not 060701 for start dates</t>
    </r>
  </si>
  <si>
    <t>dms_060101_StartDateVal</t>
  </si>
  <si>
    <t>=IFERROR(IF(INDEX(dms_060301_Avg_Duration_Sustained_Int_Values,1,1)&lt;&gt;"","yes","no"),"no")</t>
  </si>
  <si>
    <t>Route line length within zone</t>
  </si>
  <si>
    <t>Number of maintenance spans</t>
  </si>
  <si>
    <t>Total length of maintenance spans</t>
  </si>
  <si>
    <t>Length of vegetation corridors</t>
  </si>
  <si>
    <t>Average number of trees per maintenance span</t>
  </si>
  <si>
    <t>Average frequency of cutting cycle</t>
  </si>
  <si>
    <t>dms_020701_01_Rows</t>
  </si>
  <si>
    <t>Is dms_060801_StartCell named range present?</t>
  </si>
  <si>
    <t>=IFERROR(IF(dms_Model="ARR",(ROW(dms_060801_StartCell)-1),"not an ARR"),"6.8 error")</t>
  </si>
  <si>
    <t>dms_060801_StartCell</t>
  </si>
  <si>
    <t>=IFERROR(IF((ROW(dms_060801_StartCell)-1)=1,"yes","yes"),"no")</t>
  </si>
  <si>
    <t>CESS</t>
  </si>
  <si>
    <t>CAPITLAL EXPENDITURE SHARING SCHEMING</t>
  </si>
  <si>
    <t>dms_SingleYearModel</t>
  </si>
  <si>
    <t xml:space="preserve"> Start year for 5.2 in Multi year ABC RINS</t>
  </si>
  <si>
    <t>CONDITIONAL FORMATTING MAP</t>
  </si>
  <si>
    <t>dms_CF_TradingName</t>
  </si>
  <si>
    <t>JurisdictionList</t>
  </si>
  <si>
    <t>dms_CF_3.6.5</t>
  </si>
  <si>
    <t>dms_CF_3.6.7.1</t>
  </si>
  <si>
    <t>dms_CF_3.6.7.2</t>
  </si>
  <si>
    <t>dms_CF_3.6.7.3</t>
  </si>
  <si>
    <t>dms_CF_3.6.7.4</t>
  </si>
  <si>
    <t>dms_CF_6.6.1</t>
  </si>
  <si>
    <t>dms_CF_7.12</t>
  </si>
  <si>
    <t>Y</t>
  </si>
  <si>
    <t>N</t>
  </si>
  <si>
    <t>dms_CF_6.8</t>
  </si>
  <si>
    <t>dms_CF_8.1_A</t>
  </si>
  <si>
    <t>dms_CF_8.1_B</t>
  </si>
  <si>
    <t>dms_CF_8.1_Neg</t>
  </si>
  <si>
    <t>Spare2</t>
  </si>
  <si>
    <t>=INDEX(dms_CF_3.6.5, MATCH(dms_TradingName,dms_CF_TradingName))="Y"</t>
  </si>
  <si>
    <t>=INDEX(dms_CF_3.6.7.1, MATCH(dms_TradingName,dms_CF_TradingName))="Y"</t>
  </si>
  <si>
    <t>=INDEX(dms_CF_3.6.7.2, MATCH(dms_TradingName,dms_CF_TradingName))="Y"</t>
  </si>
  <si>
    <t>=INDEX(dms_CF_3.6.7.3, MATCH(dms_TradingName,dms_CF_TradingName))="Y"</t>
  </si>
  <si>
    <t>=INDEX(dms_CF_3.6.7.4, MATCH(dms_TradingName,dms_CF_TradingName))="Y"</t>
  </si>
  <si>
    <t>=INDEX(dms_CF_6.6.1, MATCH(dms_TradingName,dms_CF_TradingName))="Y"</t>
  </si>
  <si>
    <t>=INDEX(dms_CF_6.8, MATCH(dms_TradingName,dms_CF_TradingName))="Y"</t>
  </si>
  <si>
    <t>=INDEX(dms_CF_7.12, MATCH(dms_TradingName,dms_CF_TradingName))="Y"</t>
  </si>
  <si>
    <t>=INDEX(dms_CF_8.1_A, MATCH(dms_TradingName,dms_CF_TradingName))="Y"</t>
  </si>
  <si>
    <t>=INDEX(dms_CF_8.1_B, MATCH(dms_TradingName,dms_CF_TradingName))="Y"</t>
  </si>
  <si>
    <t>=INDEX(dms_CF_8.1_Neg, MATCH(dms_TradingName,dms_CF_TradingName))="Y"</t>
  </si>
  <si>
    <t>dms_CF_3.6.1</t>
  </si>
  <si>
    <t>dms_CF_3.6.6</t>
  </si>
  <si>
    <t>=IFERROR(IF(dms_060801_StartCell&lt;&gt;"",IF(dms_Model="ARR",(LOOKUP(2,1/(dms_060801_01_Values&lt;&gt;""),(ROW(dms_060801_01_Values)))),"not an ARR"),0),"0")</t>
  </si>
  <si>
    <t>=IFERROR(IF(dms_Model="ARR",(MAX(0,dms_0608_LastRow-dms_0608_OffsetRows)),"not an ARR"),"0")</t>
  </si>
  <si>
    <t>dms_LeapYear</t>
  </si>
  <si>
    <t>dms_CF_4.1</t>
  </si>
  <si>
    <t>=INDEX(dms_CF_4.1, MATCH(dms_TradingName,dms_CF_TradingName))="Y"</t>
  </si>
  <si>
    <t>STYLES IN USE</t>
  </si>
  <si>
    <t>dms_T1</t>
  </si>
  <si>
    <t>dms_1</t>
  </si>
  <si>
    <t>dms_2</t>
  </si>
  <si>
    <t>dms_3</t>
  </si>
  <si>
    <t>dms_4</t>
  </si>
  <si>
    <t>dms_5</t>
  </si>
  <si>
    <t>dms_NUM</t>
  </si>
  <si>
    <t>dms_BH</t>
  </si>
  <si>
    <t>dms_GH</t>
  </si>
  <si>
    <t>dms_GY2</t>
  </si>
  <si>
    <t>dms_GY1</t>
  </si>
  <si>
    <t>dms_BY1</t>
  </si>
  <si>
    <t>dms_BY2</t>
  </si>
  <si>
    <t>dms_T2</t>
  </si>
  <si>
    <t>dms_Row2</t>
  </si>
  <si>
    <t>dms_Row_Locked</t>
  </si>
  <si>
    <t>dms_Row1</t>
  </si>
  <si>
    <t>dms_NUM%</t>
  </si>
  <si>
    <t>dms_CF_4.4.1</t>
  </si>
  <si>
    <t>=INDEX(dms_CF_4.4.1_Neg, MATCH(dms_TradingName,dms_CF_TradingName))="Y"</t>
  </si>
  <si>
    <t>dms_Beg</t>
  </si>
  <si>
    <t>dms_Mid</t>
  </si>
  <si>
    <t>dms_End</t>
  </si>
  <si>
    <t>Beginning of year</t>
  </si>
  <si>
    <t>Mid year</t>
  </si>
  <si>
    <t>End of Year</t>
  </si>
  <si>
    <t>End of year</t>
  </si>
  <si>
    <t>dms_PTRM_RAB_PIT</t>
  </si>
  <si>
    <t>dms_PTRM_TAB_PIT</t>
  </si>
  <si>
    <t>dms_EB_RAB_PIT</t>
  </si>
  <si>
    <t>=IF(dms_Segment="Transmission",dms_Cal_Year_B4_CRY,CRY)</t>
  </si>
  <si>
    <t>=INDEX(dms_CF_3.6.1, MATCH(dms_TradingName,dms_CF_TradingName))="Y"</t>
  </si>
  <si>
    <t>=INDEX(dms_CF_3.6.8, MATCH(dms_TradingName,dms_CF_TradingName))="Y"</t>
  </si>
  <si>
    <t>dms_CF_3.6.8</t>
  </si>
  <si>
    <t>=INDEX(dms_CF_3.6.6, MATCH(dms_TradingName,dms_CF_TradingName))="Y"</t>
  </si>
  <si>
    <t>Worksheet 6.2 STPIS reliability</t>
  </si>
  <si>
    <t>=INDEX(dms_CBD_flag,MATCH(dms_TradingName,dms_TradingName_List))="NO"</t>
  </si>
  <si>
    <t>=INDEX(dms_Urban_flag,MATCH(dms_TradingName,dms_TradingName_List))="NO"</t>
  </si>
  <si>
    <t>=INDEX(dms_ShortRural_flag,MATCH(dms_TradingName,dms_TradingName_List))="NO"</t>
  </si>
  <si>
    <t>=INDEX(dms_LongRural_flag,MATCH(dms_TradingName,dms_TradingName_List))="NO"</t>
  </si>
  <si>
    <t>=INDEX(dms_FeederType_5_flag,MATCH(dms_TradingName,dms_TradingName_List))="NO"</t>
  </si>
  <si>
    <t>Formula</t>
  </si>
  <si>
    <t>Applied to:</t>
  </si>
  <si>
    <t>$D$11,$D$17,$D$23,$D$33,$D$39,$D$45,$D$55,$D$61,$D$67,$D$77,$D$83,$D$89</t>
  </si>
  <si>
    <t>$D$12,$D$18,$D$24,$D$56,$D$62,$D$78,$D$68,$D$84</t>
  </si>
  <si>
    <t>$D$13,$D$19,$D$25,$D$57,$D$63,$D$69,$D$79,$D$85</t>
  </si>
  <si>
    <t>$D$14,$D$20,$D$26,$D$58,$D$64,$D$65,$D$70,$D$71,$D$80,$D$86</t>
  </si>
  <si>
    <t>$D$87,$D$81,$D$71,$D$65,$D$59,$D$49,$D$43,$D$37,$D$21,$D$15</t>
  </si>
  <si>
    <t>=dms_MAIFI_Flag="No"</t>
  </si>
  <si>
    <t>$D$55:$D$72</t>
  </si>
  <si>
    <t>dms_CF_MAIFI_flag</t>
  </si>
  <si>
    <t>Spare1</t>
  </si>
  <si>
    <t>Pricing</t>
  </si>
  <si>
    <t>PRICING PROPOSAL</t>
  </si>
  <si>
    <t>Confidential</t>
  </si>
  <si>
    <t>dms_DataQuality</t>
  </si>
  <si>
    <t>dms_Confid_status_List</t>
  </si>
  <si>
    <t>Data ingestion data quality</t>
  </si>
  <si>
    <t>=IF(dms_DQ_2="Confidential","Consolidated","Public")</t>
  </si>
  <si>
    <t>0</t>
  </si>
  <si>
    <t>INSTRUCTIONS</t>
  </si>
  <si>
    <r>
      <t xml:space="preserve">Complete the following business details regulatory template </t>
    </r>
    <r>
      <rPr>
        <sz val="12"/>
        <color rgb="FFFF0000"/>
        <rFont val="Arial"/>
        <family val="2"/>
      </rPr>
      <t>before</t>
    </r>
    <r>
      <rPr>
        <sz val="12"/>
        <rFont val="Arial"/>
        <family val="2"/>
      </rPr>
      <t xml:space="preserve"> entering data or values in any other regulatory template. This regulatory template is linked to other cells within the spreadsheet and automatically generates column headings and conditional formatting to distinguish business specific input and non-input cells. </t>
    </r>
  </si>
  <si>
    <t>SUBMISSION PARTICULARS INPUT SHEET</t>
  </si>
  <si>
    <t>Business Address</t>
  </si>
  <si>
    <t>Postal Address</t>
  </si>
  <si>
    <t>Post code</t>
  </si>
  <si>
    <t>Business Name</t>
  </si>
  <si>
    <t>ACN/ABN</t>
  </si>
  <si>
    <t>`</t>
  </si>
  <si>
    <t>Contact Names</t>
  </si>
  <si>
    <t>Name</t>
  </si>
  <si>
    <t>Phone</t>
  </si>
  <si>
    <t>Email</t>
  </si>
  <si>
    <t>Forthcoming period</t>
  </si>
  <si>
    <t>Current period</t>
  </si>
  <si>
    <t>Previous period</t>
  </si>
  <si>
    <t>RESETS</t>
  </si>
  <si>
    <t>ANNUAL RINS</t>
  </si>
  <si>
    <t>Commencing year</t>
  </si>
  <si>
    <t>Final year</t>
  </si>
  <si>
    <t>Data Quality</t>
  </si>
  <si>
    <t>Confidentiality Status</t>
  </si>
  <si>
    <t>Amended RIN 
Amendment Reason</t>
  </si>
  <si>
    <t>SUBMISSION DETAILS</t>
  </si>
  <si>
    <t>-- select --</t>
  </si>
  <si>
    <t>THIS FILE</t>
  </si>
  <si>
    <t>dms_DQ_1</t>
  </si>
  <si>
    <t>dms_DQ_2</t>
  </si>
  <si>
    <t>dms_Source</t>
  </si>
  <si>
    <t>dms_AmendmentReason</t>
  </si>
  <si>
    <t>dms_PRCPlength_List</t>
  </si>
  <si>
    <t>PRCP length in years</t>
  </si>
  <si>
    <t>dms_PRCPlength_Num</t>
  </si>
  <si>
    <t>=INDEX(dms_PRCPlength_List,MATCH(dms_TradingName,dms_TradingName_List))</t>
  </si>
  <si>
    <t>RIN type</t>
  </si>
  <si>
    <t>dms_Model_Name_Format1</t>
  </si>
  <si>
    <t>Annual Reporting</t>
  </si>
  <si>
    <t>Category Analysis</t>
  </si>
  <si>
    <t>Capitlal Expenditure</t>
  </si>
  <si>
    <t>Economic Benchmarking</t>
  </si>
  <si>
    <t>Pricing Proposal</t>
  </si>
  <si>
    <t>Post Tax Revenue Model</t>
  </si>
  <si>
    <t>Regulatory Reporting (Reset)</t>
  </si>
  <si>
    <t>Roll Forward Model</t>
  </si>
  <si>
    <t>Weighted Average Cost of Capital</t>
  </si>
  <si>
    <t>dms_Model_Span</t>
  </si>
  <si>
    <t>=(INDEX(dms_Model_Span,MATCH(dms_Model,dms_Model_List))&gt;1)</t>
  </si>
  <si>
    <t>=(INDEX(dms_Model_Span,MATCH(dms_Model,dms_Model_List))=1)</t>
  </si>
  <si>
    <t>Business &amp; other details</t>
  </si>
  <si>
    <t>dms_start_year</t>
  </si>
  <si>
    <t>2036-37</t>
  </si>
  <si>
    <t>2037</t>
  </si>
  <si>
    <t>CURRENT</t>
  </si>
  <si>
    <t>FORTHCOMING</t>
  </si>
  <si>
    <t>PREVIOUS</t>
  </si>
  <si>
    <t>PRCP_y1</t>
  </si>
  <si>
    <t>PRCP_y2</t>
  </si>
  <si>
    <t>PRCP_y3</t>
  </si>
  <si>
    <t>PRCP_y4</t>
  </si>
  <si>
    <t>PRCP_y5</t>
  </si>
  <si>
    <t>PRCP_y6</t>
  </si>
  <si>
    <t>PRCP_y7</t>
  </si>
  <si>
    <t>PRCP_y8</t>
  </si>
  <si>
    <t>PRCP_y9</t>
  </si>
  <si>
    <t>PRCP_y10</t>
  </si>
  <si>
    <t>PRCP_y11</t>
  </si>
  <si>
    <t>PRCP_y12</t>
  </si>
  <si>
    <t>PRCP_y13</t>
  </si>
  <si>
    <t>PRCP_y14</t>
  </si>
  <si>
    <t>PRCP_y15</t>
  </si>
  <si>
    <t>PRCP_y16</t>
  </si>
  <si>
    <t>CRCP_y16</t>
  </si>
  <si>
    <t>FRCP_y2</t>
  </si>
  <si>
    <t>FRCP_y3</t>
  </si>
  <si>
    <t>FRCP_y4</t>
  </si>
  <si>
    <t>FRCP_y5</t>
  </si>
  <si>
    <t>FRCP_y6</t>
  </si>
  <si>
    <t>FRCP_y7</t>
  </si>
  <si>
    <t>FRCP_y8</t>
  </si>
  <si>
    <t>FRCP_y9</t>
  </si>
  <si>
    <t>FRCP_y10</t>
  </si>
  <si>
    <t>FRCP_y11</t>
  </si>
  <si>
    <t>FRCP_y12</t>
  </si>
  <si>
    <t>FRCP_y13</t>
  </si>
  <si>
    <t>FRCP_y14</t>
  </si>
  <si>
    <t>FRCP_y15</t>
  </si>
  <si>
    <t>FRCP_y16</t>
  </si>
  <si>
    <t>2005</t>
  </si>
  <si>
    <t>2000</t>
  </si>
  <si>
    <t>2001</t>
  </si>
  <si>
    <t>2002</t>
  </si>
  <si>
    <t>2003</t>
  </si>
  <si>
    <t>2004</t>
  </si>
  <si>
    <t>1999</t>
  </si>
  <si>
    <t>1998</t>
  </si>
  <si>
    <t>2004-05</t>
  </si>
  <si>
    <t>2003-04</t>
  </si>
  <si>
    <t>2002-03</t>
  </si>
  <si>
    <t>2001-02</t>
  </si>
  <si>
    <t>2000-01</t>
  </si>
  <si>
    <t>1999-00</t>
  </si>
  <si>
    <t>1998-99</t>
  </si>
  <si>
    <t>1997-98</t>
  </si>
  <si>
    <t>1990</t>
  </si>
  <si>
    <t>1991</t>
  </si>
  <si>
    <t>1992</t>
  </si>
  <si>
    <t>1993</t>
  </si>
  <si>
    <t>1994</t>
  </si>
  <si>
    <t>1995</t>
  </si>
  <si>
    <t>1996</t>
  </si>
  <si>
    <t>1997</t>
  </si>
  <si>
    <t>1989</t>
  </si>
  <si>
    <t>1988</t>
  </si>
  <si>
    <t>1987-88</t>
  </si>
  <si>
    <t>1988-89</t>
  </si>
  <si>
    <t>1989-90</t>
  </si>
  <si>
    <t>1990-91</t>
  </si>
  <si>
    <t>1991-92</t>
  </si>
  <si>
    <t>1992-93</t>
  </si>
  <si>
    <t>1993-94</t>
  </si>
  <si>
    <t>1994-95</t>
  </si>
  <si>
    <t>1995-96</t>
  </si>
  <si>
    <t>1996-97</t>
  </si>
  <si>
    <t>dms_CRCP_start_row</t>
  </si>
  <si>
    <t>dms_PRCP_start_row</t>
  </si>
  <si>
    <t>dms_FRCP_start_row</t>
  </si>
  <si>
    <t>dms_RYE_start_row</t>
  </si>
  <si>
    <t>dms_Reset_RYE</t>
  </si>
  <si>
    <t>dms_CRY_RYE</t>
  </si>
  <si>
    <t>FRCP_start_year</t>
  </si>
  <si>
    <t>CRCP_start_year</t>
  </si>
  <si>
    <t>PRCP_start_year</t>
  </si>
  <si>
    <t>dms_Model_Span_List</t>
  </si>
  <si>
    <t>dms_Specified_RYE</t>
  </si>
  <si>
    <t>dms_RYE_result</t>
  </si>
  <si>
    <t>For ABC single year RINS</t>
  </si>
  <si>
    <r>
      <t xml:space="preserve">Uses </t>
    </r>
    <r>
      <rPr>
        <b/>
        <sz val="11"/>
        <color theme="1"/>
        <rFont val="Calibri"/>
        <family val="2"/>
        <scheme val="minor"/>
      </rPr>
      <t>FRCP_y1</t>
    </r>
    <r>
      <rPr>
        <sz val="11"/>
        <color theme="1"/>
        <rFont val="Calibri"/>
        <family val="2"/>
        <scheme val="minor"/>
      </rPr>
      <t xml:space="preserve"> as a start reference</t>
    </r>
  </si>
  <si>
    <r>
      <t xml:space="preserve">Uses the value in </t>
    </r>
    <r>
      <rPr>
        <b/>
        <sz val="11"/>
        <color theme="1"/>
        <rFont val="Calibri"/>
        <family val="2"/>
        <scheme val="minor"/>
      </rPr>
      <t>dms_CRCPlength_Num</t>
    </r>
    <r>
      <rPr>
        <sz val="11"/>
        <color theme="1"/>
        <rFont val="Calibri"/>
        <family val="2"/>
        <scheme val="minor"/>
      </rPr>
      <t xml:space="preserve"> and </t>
    </r>
    <r>
      <rPr>
        <b/>
        <sz val="11"/>
        <color theme="1"/>
        <rFont val="Calibri"/>
        <family val="2"/>
        <scheme val="minor"/>
      </rPr>
      <t>dms_PRCPlength_Num</t>
    </r>
  </si>
  <si>
    <r>
      <t xml:space="preserve">Uses the value in </t>
    </r>
    <r>
      <rPr>
        <b/>
        <sz val="11"/>
        <color theme="1"/>
        <rFont val="Calibri"/>
        <family val="2"/>
        <scheme val="minor"/>
      </rPr>
      <t>dms_CRCPlength_Num</t>
    </r>
  </si>
  <si>
    <r>
      <t xml:space="preserve">Uses the value in </t>
    </r>
    <r>
      <rPr>
        <b/>
        <sz val="11"/>
        <color theme="1"/>
        <rFont val="Calibri"/>
        <family val="2"/>
        <scheme val="minor"/>
      </rPr>
      <t>dms_FRCPlength_Num-1</t>
    </r>
  </si>
  <si>
    <t>Converts the FRCP start row to display the year</t>
  </si>
  <si>
    <t>Converts the CRCP start row to display the year</t>
  </si>
  <si>
    <t>Converts the PRCP start row to display the year</t>
  </si>
  <si>
    <r>
      <t xml:space="preserve">If multi year ABC - uses </t>
    </r>
    <r>
      <rPr>
        <b/>
        <sz val="11"/>
        <color theme="1"/>
        <rFont val="Calibri"/>
        <family val="2"/>
        <scheme val="minor"/>
      </rPr>
      <t>dms_Specified_FinalYear</t>
    </r>
  </si>
  <si>
    <t>=IF(SUM(dms_SingleYear_Model)&gt;0,CONCATENATE(dms_RPTMonth)&amp;" "&amp;VALUE((LEFT(CRY,2))&amp;RIGHT(CRY,2)),CONCATENATE(dms_RPTMonth)&amp;" "&amp;VALUE((LEFT(dms_RYE,2)&amp;RIGHT(dms_RYE,2))))</t>
  </si>
  <si>
    <t>dms_Reset_Span</t>
  </si>
  <si>
    <t>dms_Header_Span</t>
  </si>
  <si>
    <t>FRCP_final_year</t>
  </si>
  <si>
    <t>CRCP_final_year</t>
  </si>
  <si>
    <t>PRCP_final_year</t>
  </si>
  <si>
    <t>Finds the CRCP final year</t>
  </si>
  <si>
    <t>Finds the FRCP final year</t>
  </si>
  <si>
    <t>Finds the PRCP final year</t>
  </si>
  <si>
    <r>
      <t xml:space="preserve">If model span &gt; 1 then uses </t>
    </r>
    <r>
      <rPr>
        <b/>
        <sz val="11"/>
        <color theme="1"/>
        <rFont val="Calibri"/>
        <family val="2"/>
        <scheme val="minor"/>
      </rPr>
      <t xml:space="preserve">dms_Reset_RYE </t>
    </r>
    <r>
      <rPr>
        <sz val="11"/>
        <color theme="1"/>
        <rFont val="Calibri"/>
        <family val="2"/>
        <scheme val="minor"/>
      </rPr>
      <t>otherwise it's a multi year ABC and uses</t>
    </r>
    <r>
      <rPr>
        <b/>
        <sz val="11"/>
        <color theme="1"/>
        <rFont val="Calibri"/>
        <family val="2"/>
        <scheme val="minor"/>
      </rPr>
      <t xml:space="preserve"> dms_Specified_RYE</t>
    </r>
  </si>
  <si>
    <r>
      <rPr>
        <b/>
        <sz val="11"/>
        <color theme="1"/>
        <rFont val="Calibri"/>
        <family val="2"/>
        <scheme val="minor"/>
      </rPr>
      <t>FRCP_y1</t>
    </r>
    <r>
      <rPr>
        <sz val="11"/>
        <color theme="1"/>
        <rFont val="Calibri"/>
        <family val="2"/>
        <scheme val="minor"/>
      </rPr>
      <t xml:space="preserve"> from cover sheet</t>
    </r>
  </si>
  <si>
    <t>Reset span of years as text</t>
  </si>
  <si>
    <t>Multi year ABC span of years as text</t>
  </si>
  <si>
    <t>dms_Reset_final_year</t>
  </si>
  <si>
    <t>Reg Period Lengths</t>
  </si>
  <si>
    <t>Single year RIN?</t>
  </si>
  <si>
    <t>Multi year RIN?</t>
  </si>
  <si>
    <t>Multi Year ABC RIN?</t>
  </si>
  <si>
    <t>Single Year ABC RIN ?</t>
  </si>
  <si>
    <t>Is this a single Year ABC RIN?</t>
  </si>
  <si>
    <t>dms_SpecifiedYear_Span</t>
  </si>
  <si>
    <t>Final year result for ABC multi year</t>
  </si>
  <si>
    <t>Final year result for Reset/Model</t>
  </si>
  <si>
    <t>Multi Year Reset/Model?</t>
  </si>
  <si>
    <t>dms_SpecifiedYear_final_year</t>
  </si>
  <si>
    <t>For Resets and PTRM/RFMs (same as FRCP_final_year)</t>
  </si>
  <si>
    <t>This is a multi year ABC RIN?</t>
  </si>
  <si>
    <t>WHAT IS THE RYE?</t>
  </si>
  <si>
    <r>
      <t xml:space="preserve">Read from </t>
    </r>
    <r>
      <rPr>
        <i/>
        <sz val="11"/>
        <color theme="1"/>
        <rFont val="Calibri"/>
        <family val="2"/>
        <scheme val="minor"/>
      </rPr>
      <t>Business &amp; other details</t>
    </r>
  </si>
  <si>
    <t>Selected here</t>
  </si>
  <si>
    <t>Pre-populated from lookup table</t>
  </si>
  <si>
    <t>Relevant for PTRM, RFMs and Reset RINS</t>
  </si>
  <si>
    <t>All potential values for Regulatory Years or RYEs as calculated</t>
  </si>
  <si>
    <t>Amended</t>
  </si>
  <si>
    <t>CA &amp; RESET RINS 
DNSP ONLY</t>
  </si>
  <si>
    <t>ARR 
DNSP ONLY</t>
  </si>
  <si>
    <t>Spare</t>
  </si>
  <si>
    <t>COVER SHEET</t>
  </si>
  <si>
    <t>Terminal station</t>
  </si>
  <si>
    <t>Switching station</t>
  </si>
  <si>
    <t>Transmission substation</t>
  </si>
  <si>
    <t>Demand growth</t>
  </si>
  <si>
    <t xml:space="preserve"> Voltage issues</t>
  </si>
  <si>
    <t xml:space="preserve"> Reactive power issue</t>
  </si>
  <si>
    <t xml:space="preserve"> Fault level issues</t>
  </si>
  <si>
    <t xml:space="preserve"> Net market benefit</t>
  </si>
  <si>
    <t xml:space="preserve"> Safety</t>
  </si>
  <si>
    <t xml:space="preserve"> Environment</t>
  </si>
  <si>
    <t xml:space="preserve"> Other</t>
  </si>
  <si>
    <t>dms_TNSP_0203_ProjectTrigger</t>
  </si>
  <si>
    <t>dms_TNSP_020301_ProjectType</t>
  </si>
  <si>
    <t>dms_TNSP_0203_SubstationType</t>
  </si>
  <si>
    <t>dms_DNSP_020301_SubstationType</t>
  </si>
  <si>
    <t>Subtransmission substation</t>
  </si>
  <si>
    <t>dms_DNSP_020301_ProjectType</t>
  </si>
  <si>
    <t>Substation upgrade - voltage</t>
  </si>
  <si>
    <t>Substation upgrade - capacity</t>
  </si>
  <si>
    <t>dms_TNSP_020302_ProjectType</t>
  </si>
  <si>
    <t>dms_DNSP_020302_ProjectType</t>
  </si>
  <si>
    <t>dms_DNSP_020301_ProjectTrigger</t>
  </si>
  <si>
    <t>dms_DNSP_020302_ProjectTrigger</t>
  </si>
  <si>
    <t>NAMED RANGES USED IN ETL PROCESS</t>
  </si>
  <si>
    <t>DROP DOWN SELECTORS USED IN WORKBOOKS</t>
  </si>
  <si>
    <t>CA &amp; RESET RINS 
TNSP ONLY</t>
  </si>
  <si>
    <t>Net market benefit</t>
  </si>
  <si>
    <t>dms_TNSP_020301_ProjectTrigger</t>
  </si>
  <si>
    <t>WHEN INSERTING COVER SHEET INTO A TNSP FILE - APPLY THESE NAMED RANGES</t>
  </si>
  <si>
    <t>CA &amp; RESET RINS 
DNSP</t>
  </si>
  <si>
    <t xml:space="preserve">CA &amp; RESET RINS 
TNSP </t>
  </si>
  <si>
    <t>EB &amp; RESET RINS 
DNSP &amp; TNSP</t>
  </si>
  <si>
    <t>metres</t>
  </si>
  <si>
    <t>CA &amp; RESET RINS 
DNSP &amp; TNSP</t>
  </si>
  <si>
    <t xml:space="preserve">STPIS &amp; MIC NAMED RANGES </t>
  </si>
  <si>
    <t>Use these to add to specific worksheets in existing files</t>
  </si>
  <si>
    <t>This is used to create an image to insert on 6.3 STPIS sheet - not for dropdown lists.</t>
  </si>
  <si>
    <t>AER NAMED RANGES</t>
  </si>
  <si>
    <t>AER CONDITIONAL FORMATTING</t>
  </si>
  <si>
    <t>AER LOOKUP TABLES</t>
  </si>
  <si>
    <t>AER ETL INFORMATION</t>
  </si>
  <si>
    <t>A result of 5 is used to signify that it is more than 1 year span</t>
  </si>
  <si>
    <r>
      <t xml:space="preserve">Nested IF - feeds into </t>
    </r>
    <r>
      <rPr>
        <b/>
        <sz val="11"/>
        <color theme="1"/>
        <rFont val="Calibri"/>
        <family val="2"/>
        <scheme val="minor"/>
      </rPr>
      <t>dms_RYE</t>
    </r>
  </si>
  <si>
    <r>
      <t xml:space="preserve">NESTED IF - for </t>
    </r>
    <r>
      <rPr>
        <b/>
        <sz val="11"/>
        <color theme="1"/>
        <rFont val="Calibri"/>
        <family val="2"/>
        <scheme val="minor"/>
      </rPr>
      <t>Sheet Headers</t>
    </r>
  </si>
  <si>
    <t>Model / RIN</t>
  </si>
  <si>
    <t>Data quality</t>
  </si>
  <si>
    <t>Data status</t>
  </si>
  <si>
    <t>Amendment reason</t>
  </si>
  <si>
    <t>Submission date</t>
  </si>
  <si>
    <t xml:space="preserve">Does the named range CRY exist in this file? </t>
  </si>
  <si>
    <t>Redundant</t>
  </si>
  <si>
    <t>dms_Previous_DollarReal_year</t>
  </si>
  <si>
    <t>dms_DollarReal_year</t>
  </si>
  <si>
    <t>$ REAL REFERENCES</t>
  </si>
  <si>
    <r>
      <t xml:space="preserve">Uses the value in </t>
    </r>
    <r>
      <rPr>
        <b/>
        <sz val="11"/>
        <color theme="1"/>
        <rFont val="Calibri"/>
        <family val="2"/>
        <scheme val="minor"/>
      </rPr>
      <t>CRCP_final_year</t>
    </r>
  </si>
  <si>
    <r>
      <t>Uses the value in P</t>
    </r>
    <r>
      <rPr>
        <b/>
        <sz val="11"/>
        <color theme="1"/>
        <rFont val="Calibri"/>
        <family val="2"/>
        <scheme val="minor"/>
      </rPr>
      <t>RCP_final_year</t>
    </r>
  </si>
  <si>
    <r>
      <rPr>
        <b/>
        <sz val="11"/>
        <color theme="1"/>
        <rFont val="Calibri"/>
        <family val="2"/>
        <scheme val="minor"/>
      </rPr>
      <t xml:space="preserve">FRY </t>
    </r>
    <r>
      <rPr>
        <sz val="11"/>
        <color theme="1"/>
        <rFont val="Calibri"/>
        <family val="2"/>
        <scheme val="minor"/>
      </rPr>
      <t>from cover sheet</t>
    </r>
  </si>
  <si>
    <r>
      <t xml:space="preserve">EB &amp; RESET RINS 
</t>
    </r>
    <r>
      <rPr>
        <sz val="26"/>
        <color rgb="FFFF0000"/>
        <rFont val="Calibri"/>
        <family val="2"/>
        <scheme val="minor"/>
      </rPr>
      <t>DNSP ONLY</t>
    </r>
  </si>
  <si>
    <r>
      <t xml:space="preserve">EB &amp; RESET RINS 
</t>
    </r>
    <r>
      <rPr>
        <sz val="26"/>
        <color rgb="FFFF0000"/>
        <rFont val="Calibri"/>
        <family val="2"/>
        <scheme val="minor"/>
      </rPr>
      <t>TNSP ONLY</t>
    </r>
  </si>
  <si>
    <t>dms_CRY_start_year</t>
  </si>
  <si>
    <t>dms_CRY_start_row</t>
  </si>
  <si>
    <t>CRY - FRY</t>
  </si>
  <si>
    <t>dms_y1</t>
  </si>
  <si>
    <t>dms_y2</t>
  </si>
  <si>
    <t>dms_y3</t>
  </si>
  <si>
    <t>dms_y4</t>
  </si>
  <si>
    <t>dms_y5</t>
  </si>
  <si>
    <t>dms_y6</t>
  </si>
  <si>
    <t>dms_y7</t>
  </si>
  <si>
    <t>dms_y8</t>
  </si>
  <si>
    <t>dms_y9</t>
  </si>
  <si>
    <t>dms_y10</t>
  </si>
  <si>
    <t>dms_y11</t>
  </si>
  <si>
    <t>dms_y12</t>
  </si>
  <si>
    <t>dms_y13</t>
  </si>
  <si>
    <t>dms_y14</t>
  </si>
  <si>
    <t>dms_y15</t>
  </si>
  <si>
    <t>dms_y16</t>
  </si>
  <si>
    <t>Full trading name</t>
  </si>
  <si>
    <t>dms_TradingNameFull</t>
  </si>
  <si>
    <t>Trading name</t>
  </si>
  <si>
    <t>dms_MultiYear_FinalYear_Result</t>
  </si>
  <si>
    <t>dms_MultiYear_ABC_RIN</t>
  </si>
  <si>
    <t>dms_N0205_AssetType</t>
  </si>
  <si>
    <t>Cast Iron</t>
  </si>
  <si>
    <t>PVC</t>
  </si>
  <si>
    <t>Polyamide</t>
  </si>
  <si>
    <t>High density polyethylene (80)</t>
  </si>
  <si>
    <t>High density polyethylene (100)</t>
  </si>
  <si>
    <t>High density polyethylene (250)</t>
  </si>
  <si>
    <t>High density polyethylene (575)</t>
  </si>
  <si>
    <t>Medium density polyethylene</t>
  </si>
  <si>
    <t>Unprotected steel</t>
  </si>
  <si>
    <t>Protected steel</t>
  </si>
  <si>
    <t>GAS</t>
  </si>
  <si>
    <t>dms_S140101_UOM</t>
  </si>
  <si>
    <t>dms_S140201_UOM</t>
  </si>
  <si>
    <t>number per km</t>
  </si>
  <si>
    <t>CPI SERIES</t>
  </si>
  <si>
    <t>Name of CPI series</t>
  </si>
  <si>
    <t>Series data</t>
  </si>
  <si>
    <t>EXPENDITURE</t>
  </si>
  <si>
    <t>GENERAL</t>
  </si>
  <si>
    <r>
      <t xml:space="preserve">Complete the </t>
    </r>
    <r>
      <rPr>
        <b/>
        <i/>
        <sz val="14"/>
        <rFont val="Arial"/>
        <family val="2"/>
      </rPr>
      <t>Business &amp; other details</t>
    </r>
    <r>
      <rPr>
        <sz val="14"/>
        <rFont val="Arial"/>
        <family val="2"/>
      </rPr>
      <t xml:space="preserve"> worksheet </t>
    </r>
    <r>
      <rPr>
        <b/>
        <sz val="14"/>
        <color indexed="10"/>
        <rFont val="Arial"/>
        <family val="2"/>
      </rPr>
      <t>before</t>
    </r>
    <r>
      <rPr>
        <sz val="14"/>
        <rFont val="Arial"/>
        <family val="2"/>
      </rPr>
      <t xml:space="preserve"> entering data or values in any other worksheets. The Business &amp; other details worksheet is linked to other worksheets within the workbook and automatically generates certain column headings and conditional formatting.</t>
    </r>
  </si>
  <si>
    <t>CONFIDENTIAL INFORMATION</t>
  </si>
  <si>
    <t>AMENDMENTS</t>
  </si>
  <si>
    <r>
      <t xml:space="preserve">Please resubmit </t>
    </r>
    <r>
      <rPr>
        <b/>
        <sz val="14"/>
        <rFont val="Arial"/>
        <family val="2"/>
      </rPr>
      <t>two (2) files</t>
    </r>
    <r>
      <rPr>
        <sz val="14"/>
        <rFont val="Arial"/>
        <family val="2"/>
      </rPr>
      <t xml:space="preserve"> - a </t>
    </r>
    <r>
      <rPr>
        <b/>
        <sz val="14"/>
        <rFont val="Arial"/>
        <family val="2"/>
      </rPr>
      <t>confidential</t>
    </r>
    <r>
      <rPr>
        <sz val="14"/>
        <rFont val="Arial"/>
        <family val="2"/>
      </rPr>
      <t xml:space="preserve"> version and a </t>
    </r>
    <r>
      <rPr>
        <b/>
        <sz val="14"/>
        <rFont val="Arial"/>
        <family val="2"/>
      </rPr>
      <t>public</t>
    </r>
    <r>
      <rPr>
        <sz val="14"/>
        <rFont val="Arial"/>
        <family val="2"/>
      </rPr>
      <t xml:space="preserve"> version of the amended submission to the AER</t>
    </r>
  </si>
  <si>
    <t>INPUT / NON-INPUT CELLS</t>
  </si>
  <si>
    <t>Yellow = Input cell (mandatory)</t>
  </si>
  <si>
    <t>Darker yellow = input cell (mandatory)</t>
  </si>
  <si>
    <t>Grey = Not applicable/No inputs required</t>
  </si>
  <si>
    <t>NAVIGATION</t>
  </si>
  <si>
    <r>
      <t xml:space="preserve">
</t>
    </r>
    <r>
      <rPr>
        <sz val="12"/>
        <rFont val="Arial"/>
        <family val="2"/>
      </rPr>
      <t xml:space="preserve">Many tables in the worksheets have been "grouped" to allow for easy navigation. To ungroup or group data use the outline symbols in the left margin (for Row groupings) or above the columns (for column groupings). 
</t>
    </r>
  </si>
  <si>
    <t>F3. REVENUE</t>
  </si>
  <si>
    <t>F3.1 - REFERENCE SERVICES</t>
  </si>
  <si>
    <t>Total Revenue</t>
  </si>
  <si>
    <t>VOLUMES</t>
  </si>
  <si>
    <t>N1. DEMAND</t>
  </si>
  <si>
    <t>N2. NETWORK CHARACTERISTICS</t>
  </si>
  <si>
    <t>N1. Demand</t>
  </si>
  <si>
    <t>N2. Network Characteristics</t>
  </si>
  <si>
    <t>F3. Revenue</t>
  </si>
  <si>
    <t>CONTENTS</t>
  </si>
  <si>
    <t>SUBMISSION</t>
  </si>
  <si>
    <t>NETWORK</t>
  </si>
  <si>
    <t>FINANCIAL</t>
  </si>
  <si>
    <t>SERVICES</t>
  </si>
  <si>
    <t>Step changes</t>
  </si>
  <si>
    <t>Productivity growth</t>
  </si>
  <si>
    <t>Output growth</t>
  </si>
  <si>
    <t>Total</t>
  </si>
  <si>
    <t>Other direct expenditure</t>
  </si>
  <si>
    <t>Overheads</t>
  </si>
  <si>
    <t xml:space="preserve"> </t>
  </si>
  <si>
    <t>Expansion</t>
  </si>
  <si>
    <t>Replacement</t>
  </si>
  <si>
    <t>Other capex</t>
  </si>
  <si>
    <t>E1.4.1 - REFERENCE SERVICES</t>
  </si>
  <si>
    <t>E1.4 - CAPITALISED OVERHEADS</t>
  </si>
  <si>
    <t>Capitalised corporate overheads</t>
  </si>
  <si>
    <t>Capitalised network overheads</t>
  </si>
  <si>
    <t>E1.3.1 - REFERENCE SERVICES</t>
  </si>
  <si>
    <t>E1.3 - CAPCONS</t>
  </si>
  <si>
    <t>E1.2.1 - REFERENCE SERVICES</t>
  </si>
  <si>
    <t>E1.2 - OPEX</t>
  </si>
  <si>
    <t>E1.1.1 - REFERENCE SERVICES</t>
  </si>
  <si>
    <t>E1.1 - CAPEX</t>
  </si>
  <si>
    <t>E1. EXPENDITURE SUMMARY</t>
  </si>
  <si>
    <t>CPI series</t>
  </si>
  <si>
    <t>E1. Expenditure Summary</t>
  </si>
  <si>
    <t>Aggregate of other projects with total expenditure of less than $500,000</t>
  </si>
  <si>
    <t xml:space="preserve">E6. NON-NETWORK </t>
  </si>
  <si>
    <t>Reference services</t>
  </si>
  <si>
    <t>E10.2.2 - CAPEX</t>
  </si>
  <si>
    <t>E10.2.1 - OPEX</t>
  </si>
  <si>
    <t>E10.2 - CORPORATE</t>
  </si>
  <si>
    <t>E10.1.2 - CAPEX</t>
  </si>
  <si>
    <t>E10.1.1 - OPEX</t>
  </si>
  <si>
    <t>E10.1 - NETWORK</t>
  </si>
  <si>
    <t>E10. OVERHEADS</t>
  </si>
  <si>
    <t>E13. OTHER CAPITAL EXPENDITURE</t>
  </si>
  <si>
    <t>E20. OPERATING EXPENDITURE</t>
  </si>
  <si>
    <t>Description</t>
  </si>
  <si>
    <t>Non-network</t>
  </si>
  <si>
    <t>Project Name</t>
  </si>
  <si>
    <t>E3.1 - CAPEX - BY DRIVER</t>
  </si>
  <si>
    <t>E2.1 - CAPEX - BY DRIVER</t>
  </si>
  <si>
    <t>E2.2 - CAPEX - BY PROJECT</t>
  </si>
  <si>
    <t>E2.2.1 - EXPENDITURE</t>
  </si>
  <si>
    <t>E2.2.2 - VOLUMES</t>
  </si>
  <si>
    <t>E20.2 - OPEX - BY CATEGORY</t>
  </si>
  <si>
    <t>E20.1 - OPEX - BY DRIVER</t>
  </si>
  <si>
    <t>Base year total opex, excluding category specific</t>
  </si>
  <si>
    <t>Increment from base year to final year</t>
  </si>
  <si>
    <t>Price growth</t>
  </si>
  <si>
    <t>Category specific</t>
  </si>
  <si>
    <t>IMPORTANT!</t>
  </si>
  <si>
    <t>Yes /  No</t>
  </si>
  <si>
    <t>Please nominate the base year</t>
  </si>
  <si>
    <t>KM</t>
  </si>
  <si>
    <t>Injection Point</t>
  </si>
  <si>
    <t>Withdrawal Point</t>
  </si>
  <si>
    <t>N2.3 - AVERAGE UTILISATION - BY PIPELINE</t>
  </si>
  <si>
    <t>N2.2 - NETWORK CAPACITY - BY PIPELINE</t>
  </si>
  <si>
    <t>N2.1 - NETWORK LENGTH - BY PIPELINE</t>
  </si>
  <si>
    <t>Electricity generation customers</t>
  </si>
  <si>
    <t>N1.2 - DEMAND - BY REFERENCE SERVICES</t>
  </si>
  <si>
    <t>Reference service</t>
  </si>
  <si>
    <t>N1.3 - WITHDRAWALS</t>
  </si>
  <si>
    <t>N1.3.1 - PEAK VOLUME - BY LOCATION</t>
  </si>
  <si>
    <t>N1.3.2 - ANNUAL VOLUME - BY LOCATION</t>
  </si>
  <si>
    <t>N1.4 - INJECTIONS</t>
  </si>
  <si>
    <t>N1.4.1 - PEAK VOLUME - BY LOCATION</t>
  </si>
  <si>
    <t>N1.4.2 - ANNUAL VOLUME - BY LOCATION</t>
  </si>
  <si>
    <t>Category desription</t>
  </si>
  <si>
    <t>E17.2 - CATEGORY SPECIFIC FORECASTS</t>
  </si>
  <si>
    <t>Step change</t>
  </si>
  <si>
    <t>E17.1.2 - FORECAST CAPEX</t>
  </si>
  <si>
    <t>E17.1.1 - FORECAST OPEX</t>
  </si>
  <si>
    <t>E17.1 - STEP CHANGES FOR REFERENCE SERVICES</t>
  </si>
  <si>
    <t>E17. STEP CHANGES</t>
  </si>
  <si>
    <t>E2. Repex</t>
  </si>
  <si>
    <t>E6. Non-network</t>
  </si>
  <si>
    <t>E10. Overheads</t>
  </si>
  <si>
    <t>E13. Other capex</t>
  </si>
  <si>
    <t>E17. Step changes</t>
  </si>
  <si>
    <t>E20. Opex</t>
  </si>
  <si>
    <r>
      <t xml:space="preserve">Total </t>
    </r>
    <r>
      <rPr>
        <b/>
        <i/>
        <sz val="10"/>
        <color theme="1" tint="0.499984740745262"/>
        <rFont val="Calibri"/>
        <family val="2"/>
        <scheme val="minor"/>
      </rPr>
      <t>(less capital contributions)</t>
    </r>
  </si>
  <si>
    <r>
      <rPr>
        <sz val="10"/>
        <rFont val="Arial"/>
        <family val="2"/>
      </rPr>
      <t>Capital contributions</t>
    </r>
    <r>
      <rPr>
        <i/>
        <sz val="10"/>
        <rFont val="Arial"/>
        <family val="2"/>
      </rPr>
      <t xml:space="preserve"> included in the above</t>
    </r>
  </si>
  <si>
    <t>Labour expenditure outsourced to unrelated parties</t>
  </si>
  <si>
    <t>Labour expenditure outsourced to related parties</t>
  </si>
  <si>
    <t>In-house labour expenditure</t>
  </si>
  <si>
    <t>E11.3.2 - CAPEX</t>
  </si>
  <si>
    <t>E11.3.1 - OPEX</t>
  </si>
  <si>
    <t>E11.3 - LABOUR / NON-LABOUR EXPENDITURE SPLIT</t>
  </si>
  <si>
    <t>Tables E11.1 and E11.2 intentionlly omitted.</t>
  </si>
  <si>
    <t xml:space="preserve">E11. LABOUR </t>
  </si>
  <si>
    <t>Direct labour</t>
  </si>
  <si>
    <t>Direct materials</t>
  </si>
  <si>
    <t>Direct contractor</t>
  </si>
  <si>
    <t>F3.3 - REBATEABLE SERVICES</t>
  </si>
  <si>
    <t>E3. EXPANSION CAPITAL EXPENDITURE</t>
  </si>
  <si>
    <t>A. MINIMUM</t>
  </si>
  <si>
    <t>B. MAXIMUM</t>
  </si>
  <si>
    <t>C. AVERAGE</t>
  </si>
  <si>
    <t>E3. Expansion</t>
  </si>
  <si>
    <t>E6.1 - NON-NETWORK</t>
  </si>
  <si>
    <t>E13.1 - OTHER CAPEX</t>
  </si>
  <si>
    <t xml:space="preserve">E20.1.1 - REFERENCE SERVICES  </t>
  </si>
  <si>
    <t>E20.2.1 - REFERENCE SERVICES</t>
  </si>
  <si>
    <t>E3.2 - CAPEX - BY PROJECT</t>
  </si>
  <si>
    <t>E3.2.1 - EXPENDITURE</t>
  </si>
  <si>
    <t>E3.2.2 - VOLUMES</t>
  </si>
  <si>
    <t>Pipeline name</t>
  </si>
  <si>
    <t>Australian Transmission Co. (Gas)</t>
  </si>
  <si>
    <t>Pressure events with &gt;12 hr resolution</t>
  </si>
  <si>
    <t>S10.1 - PRESSURE FAULTS</t>
  </si>
  <si>
    <t>S10. SUPPLY QUALITY</t>
  </si>
  <si>
    <t>S10. Supply Quality</t>
  </si>
  <si>
    <t>E6.1.1 - CAPEX - BY DRIVER</t>
  </si>
  <si>
    <t>E6.1.2 - CAPEX BY PROJECT</t>
  </si>
  <si>
    <t>E13.1.1 - CAPEX - BY DRIVER</t>
  </si>
  <si>
    <t>E13.1.2 - CAPEX BY PROJECT</t>
  </si>
  <si>
    <t>E2. REPLACMENT CAPITAL EXPENDITURE</t>
  </si>
  <si>
    <t>E20.3 - OPEX - BY CATEGORY - RELATED PARTY MARGIN EXPENDITURE</t>
  </si>
  <si>
    <t>E20.3.1 - REFERENCE SERVICES</t>
  </si>
  <si>
    <t>GJ</t>
  </si>
  <si>
    <t>GJ / day</t>
  </si>
  <si>
    <t>N1.1 - DEMAND - BY USER TYPE</t>
  </si>
  <si>
    <t>N2.4 - FIRM CONTRACTED CAPACITY - BY PIPELINE</t>
  </si>
  <si>
    <t xml:space="preserve">Total </t>
  </si>
  <si>
    <t>S1.1 - USER NUMBERS - BY USER TYPE</t>
  </si>
  <si>
    <t>S1. USER NUMBERS</t>
  </si>
  <si>
    <t>ELECTRICITY GENERATION USERS</t>
  </si>
  <si>
    <t xml:space="preserve">FORCE MAJEURE </t>
  </si>
  <si>
    <t>Poor pressure events - force majeure</t>
  </si>
  <si>
    <t>Poor pressure events - NOT force majeure</t>
  </si>
  <si>
    <t>USER IMPACT</t>
  </si>
  <si>
    <t>Poor pressure events impacting users</t>
  </si>
  <si>
    <t>User numbers as at 1 July</t>
  </si>
  <si>
    <t>User numbers as at 30 June</t>
  </si>
  <si>
    <t>Total user connections</t>
  </si>
  <si>
    <t>Total user disconnections</t>
  </si>
  <si>
    <t>S1. User Numbers</t>
  </si>
  <si>
    <r>
      <t>Total</t>
    </r>
    <r>
      <rPr>
        <b/>
        <i/>
        <sz val="10"/>
        <color indexed="8"/>
        <rFont val="Arial"/>
        <family val="2"/>
      </rPr>
      <t xml:space="preserve"> </t>
    </r>
    <r>
      <rPr>
        <i/>
        <sz val="9"/>
        <color indexed="8"/>
        <rFont val="Arial"/>
        <family val="2"/>
      </rPr>
      <t>(less capital contributions)</t>
    </r>
  </si>
  <si>
    <t>F2.7 - IMMEDIATE EXPENSING OF CAPEX</t>
  </si>
  <si>
    <t>Asset class</t>
  </si>
  <si>
    <t>F2. CAPITAL EXPENDITURE</t>
  </si>
  <si>
    <t>F2. Capex</t>
  </si>
  <si>
    <t>ADMIN</t>
  </si>
  <si>
    <t>Additional disclosures</t>
  </si>
  <si>
    <t>Non-labour expenditure</t>
  </si>
  <si>
    <t>S1.2 - USER NUMBERS - BY REFERENCE SERVICE</t>
  </si>
  <si>
    <t>S1.2.1 - USER NUMBERS AS AT 1 JULY</t>
  </si>
  <si>
    <t>S1.2.2 - USER NUMBERS AS AT 30 JUNE</t>
  </si>
  <si>
    <t>E1.2.3 - OTHER SERVICES PROVIDED AS A COVERED PIPELINE</t>
  </si>
  <si>
    <t>E1.3.3 - OTHER SERVICES PROVIDED AS A COVERED PIPELINE</t>
  </si>
  <si>
    <t>E1.4.3 - OTHER SERVICES PROVIDED AS A COVERED PIPELINE</t>
  </si>
  <si>
    <t>Repairs and maintenance</t>
  </si>
  <si>
    <t>Other operating</t>
  </si>
  <si>
    <t>Debt raising</t>
  </si>
  <si>
    <t>Equity raising</t>
  </si>
  <si>
    <t>Other services provided as a covered pipeline</t>
  </si>
  <si>
    <t>E20.3.3 - OTHER SERVICES PROVIDED AS A COVERED PIPELINE</t>
  </si>
  <si>
    <t>E20.2.3 - OTHER SERVICES PROVIDED AS A COVERED PIPELINE</t>
  </si>
  <si>
    <t>E20.1.3 - OTHER SERVICES PROVIDED AS A COVERED PIPELINE</t>
  </si>
  <si>
    <t>F3.5 - OTHER SERVICES PROVIDED AS A COVERED PIPELINE</t>
  </si>
  <si>
    <t>E1.1.3 - OTHER SERVICES PROVIDED AS A COVERED PIPELINE</t>
  </si>
  <si>
    <t>E1.1.5 - ALL CAPEX</t>
  </si>
  <si>
    <t>E1.2.5 - ALL OPEX</t>
  </si>
  <si>
    <t>E1.3.5 - ALL CAPCONS</t>
  </si>
  <si>
    <t>E1.4.5 - ALL CAPITALISED OVERHEADS</t>
  </si>
  <si>
    <t>All opex</t>
  </si>
  <si>
    <t>All capex</t>
  </si>
  <si>
    <t>E20.1.5 - ALL OPEX</t>
  </si>
  <si>
    <t>F2.7.1 - ACTUAL - AS COMMISSIONED</t>
  </si>
  <si>
    <t>E20.2.5 - ALL OPEX - BY CATEGORY</t>
  </si>
  <si>
    <t>E20.3.5 - ALL OPEX - BY CATEGORY - RELATED PARTY MARGIN EXPENDITURE</t>
  </si>
  <si>
    <t>TEMPLATE DATE</t>
  </si>
  <si>
    <t>Units</t>
  </si>
  <si>
    <t>Yes</t>
  </si>
  <si>
    <t>EXPENDITURE_x000D_
Forecast ($0's real, June 2022)</t>
  </si>
  <si>
    <t>NUMERICAL VALUES</t>
  </si>
  <si>
    <r>
      <t xml:space="preserve">
DO NOT ROUND </t>
    </r>
    <r>
      <rPr>
        <sz val="14"/>
        <rFont val="Arial"/>
        <family val="2"/>
      </rPr>
      <t xml:space="preserve">values. Report values on a </t>
    </r>
    <r>
      <rPr>
        <b/>
        <sz val="14"/>
        <rFont val="Arial"/>
        <family val="2"/>
      </rPr>
      <t>one for one basis</t>
    </r>
    <r>
      <rPr>
        <sz val="14"/>
        <rFont val="Arial"/>
        <family val="2"/>
      </rPr>
      <t>: that is 1000 is to be entered as '1000'. Applicable units of measure may be identified in the table column headings or row descriptors.</t>
    </r>
    <r>
      <rPr>
        <b/>
        <sz val="14"/>
        <rFont val="Arial"/>
        <family val="2"/>
      </rPr>
      <t xml:space="preserve">
</t>
    </r>
  </si>
  <si>
    <t>APA VTS</t>
  </si>
  <si>
    <t>APA VTS Australia (Operations) Pty Ltd</t>
  </si>
  <si>
    <t>JUNE 2024</t>
  </si>
  <si>
    <t>dms_UID_List</t>
  </si>
  <si>
    <t>GTTNTY100</t>
  </si>
  <si>
    <t>GNTNSW100</t>
  </si>
  <si>
    <t>GTTVIC100</t>
  </si>
  <si>
    <t>UID_123</t>
  </si>
  <si>
    <t>GTTQLD100</t>
  </si>
  <si>
    <t>YES</t>
  </si>
  <si>
    <t>Tariff cap</t>
  </si>
  <si>
    <t>APT Pipelines (NT) Pty Ltd</t>
  </si>
  <si>
    <t>APA GasNet Australia (Operations) Pty Ltd</t>
  </si>
  <si>
    <t>065 083 009</t>
  </si>
  <si>
    <t>Unique ID</t>
  </si>
  <si>
    <t>REVENUE</t>
  </si>
  <si>
    <t>40 075 733 336</t>
  </si>
  <si>
    <r>
      <t xml:space="preserve">
</t>
    </r>
    <r>
      <rPr>
        <sz val="14"/>
        <rFont val="Arial"/>
        <family val="2"/>
      </rPr>
      <t xml:space="preserve">Please use the appropriate style to identify
confidential and protected information
in the </t>
    </r>
    <r>
      <rPr>
        <b/>
        <sz val="14"/>
        <rFont val="Arial"/>
        <family val="2"/>
      </rPr>
      <t>confidential</t>
    </r>
    <r>
      <rPr>
        <sz val="14"/>
        <rFont val="Arial"/>
        <family val="2"/>
      </rPr>
      <t xml:space="preserve"> workbook. 
</t>
    </r>
    <r>
      <rPr>
        <sz val="16"/>
        <rFont val="Arial"/>
        <family val="2"/>
      </rPr>
      <t xml:space="preserve">
</t>
    </r>
  </si>
  <si>
    <t>Do this by selecting the cell that contains the correct cell colour and format, then copy it and 'paste format' to the confidential cells. Alternatively you can change the fill of the cell to the same colour and pattern manually. This will format the cells a specific colour that is identified by the AER's process which in turn identifies that information as confidential or protected in the AER database.</t>
  </si>
  <si>
    <r>
      <rPr>
        <sz val="12"/>
        <rFont val="Arial"/>
        <family val="2"/>
      </rPr>
      <t xml:space="preserve">
If an NSP wishes to correct data previously submitted to the AER it should resubmit that data using the </t>
    </r>
    <r>
      <rPr>
        <b/>
        <sz val="12"/>
        <rFont val="Arial"/>
        <family val="2"/>
      </rPr>
      <t>original completed submission</t>
    </r>
    <r>
      <rPr>
        <sz val="12"/>
        <rFont val="Arial"/>
        <family val="2"/>
      </rPr>
      <t xml:space="preserve"> as the starting point. Please make any necessary changes to the data. Data that is not being amended should be left unchanged. 
NSPs must identify the reason for the amendments in the </t>
    </r>
    <r>
      <rPr>
        <b/>
        <sz val="12"/>
        <rFont val="Arial"/>
        <family val="2"/>
      </rPr>
      <t>Amendment Reason</t>
    </r>
    <r>
      <rPr>
        <sz val="12"/>
        <rFont val="Arial"/>
        <family val="2"/>
      </rPr>
      <t xml:space="preserve"> box on the  Business and other details worksheet. NSPs may provide further details regarding any amendments in the </t>
    </r>
    <r>
      <rPr>
        <b/>
        <sz val="12"/>
        <rFont val="Arial"/>
        <family val="2"/>
      </rPr>
      <t>Amendments</t>
    </r>
    <r>
      <rPr>
        <sz val="12"/>
        <rFont val="Arial"/>
        <family val="2"/>
      </rPr>
      <t xml:space="preserve"> worksheet. 
.</t>
    </r>
  </si>
  <si>
    <r>
      <t>NSP may recolour cells using the</t>
    </r>
    <r>
      <rPr>
        <b/>
        <sz val="12"/>
        <rFont val="Arial"/>
        <family val="2"/>
      </rPr>
      <t xml:space="preserve"> Amended</t>
    </r>
    <r>
      <rPr>
        <sz val="12"/>
        <rFont val="Arial"/>
        <family val="2"/>
      </rPr>
      <t xml:space="preserve"> 
style on the Home ribbon to identify cells that 
contain amended data.
</t>
    </r>
    <r>
      <rPr>
        <b/>
        <sz val="12"/>
        <rFont val="Arial"/>
        <family val="2"/>
      </rPr>
      <t>NB</t>
    </r>
    <r>
      <rPr>
        <sz val="12"/>
        <rFont val="Arial"/>
        <family val="2"/>
      </rPr>
      <t xml:space="preserve">: if data is also CONFIDENTIAL, apply 
the </t>
    </r>
    <r>
      <rPr>
        <b/>
        <sz val="12"/>
        <rFont val="Arial"/>
        <family val="2"/>
      </rPr>
      <t>Amended Confidential</t>
    </r>
    <r>
      <rPr>
        <sz val="12"/>
        <rFont val="Arial"/>
        <family val="2"/>
      </rPr>
      <t xml:space="preserve"> style</t>
    </r>
  </si>
  <si>
    <t>PLEASE DO NOT ENTER TEXT into cells that are to contain numbers (including 'numbers stored as text')</t>
  </si>
  <si>
    <t>E11. Labour</t>
  </si>
  <si>
    <t>#25C6FF</t>
  </si>
  <si>
    <t>Protected (SOCI)</t>
  </si>
  <si>
    <t>#FFCCCC</t>
  </si>
  <si>
    <t>12.5% Grey</t>
  </si>
  <si>
    <t>#FFCCCC &amp; 
12.5% Grey</t>
  </si>
  <si>
    <t>Amended Confidential</t>
  </si>
  <si>
    <t>Firm Transport - Reference Service</t>
  </si>
  <si>
    <t>Firm Service Eastbound</t>
  </si>
  <si>
    <t>Firm Service Westbound</t>
  </si>
  <si>
    <t>Long Term Firm Service</t>
  </si>
  <si>
    <t>Eastbound Long Term Firm Reference Service</t>
  </si>
  <si>
    <t>Westbound Long Term Firm Reference Service</t>
  </si>
  <si>
    <t>Firm Transportation</t>
  </si>
  <si>
    <t>SIB Capex</t>
  </si>
  <si>
    <t>Revenue</t>
  </si>
  <si>
    <t>DN200 Lytton Lateral - ILI - MFL</t>
  </si>
  <si>
    <t>DN250 Peat Lateral - ILI</t>
  </si>
  <si>
    <t>DN250 Peat Lateral - Validation Dig ILI</t>
  </si>
  <si>
    <t>DN300 Metro - ILI - MFL + EMAT</t>
  </si>
  <si>
    <t>DN300 Metro - Validation dig ILI</t>
  </si>
  <si>
    <t>DN400 - MFL Campaign (3 sections) FY28-30</t>
  </si>
  <si>
    <t>DN400 - Validation Dig ILI (3 sections)</t>
  </si>
  <si>
    <t>DN400 - Validation Dig ILI (5 sections)</t>
  </si>
  <si>
    <t>CP Program</t>
  </si>
  <si>
    <t>CP Interference (DN250) and Registration</t>
  </si>
  <si>
    <t>DN200 Lytton Lateral - Validation Dig ILI</t>
  </si>
  <si>
    <t>DN250 Supply Security - Phase 2a</t>
  </si>
  <si>
    <t>DN300 Pig Receiver Safety Upgrades (SEA Compound)</t>
  </si>
  <si>
    <t>DN250 AC Mitigation (Oakey to Bellbird Park)</t>
  </si>
  <si>
    <t>DN250 Suspension - Phase 3</t>
  </si>
  <si>
    <t>Gowrie Creek flood protection</t>
  </si>
  <si>
    <t>Station Painting</t>
  </si>
  <si>
    <t>Controlwave Micro RTUs &amp; Flow Computer end of Life replacement</t>
  </si>
  <si>
    <t>Earthing upgrades</t>
  </si>
  <si>
    <t>Safety Critical Digs (Complex)</t>
  </si>
  <si>
    <t>Safety Critical Digs (Non-complex)</t>
  </si>
  <si>
    <t xml:space="preserve">Ellengrove Reliability </t>
  </si>
  <si>
    <t>Enhanced Methane Survey</t>
  </si>
  <si>
    <t>Minor Projects</t>
  </si>
  <si>
    <t>DN300 Metro ILI - EMAT + C-MFL</t>
  </si>
  <si>
    <t>DN400 - MFL Campaign (5 sections) FY26-28</t>
  </si>
  <si>
    <t>DN300 Metro MFL Validation Digs - FY26</t>
  </si>
  <si>
    <t>Main Switchboard Replacement (Condamine &amp; Gatton)</t>
  </si>
  <si>
    <t>DN250 Safety Critical Dig-Ups (Brassall - Bellbird)</t>
  </si>
  <si>
    <t>Ellengrove Reliability - Valve Replacements and Reliability</t>
  </si>
  <si>
    <t>DN300 Metro ILI - A-MFL</t>
  </si>
  <si>
    <t>Major Capitalisable Maintenance FY27</t>
  </si>
  <si>
    <t>Ellengrove - add BPCS loop to achieve TMEL</t>
  </si>
  <si>
    <t>Corporate</t>
  </si>
  <si>
    <t>Group IT</t>
  </si>
  <si>
    <t>Property Leases</t>
  </si>
  <si>
    <t>Vehicle Leases</t>
  </si>
  <si>
    <t>Access Arrangement</t>
  </si>
  <si>
    <t xml:space="preserve">Mainline </t>
  </si>
  <si>
    <t>Loopline</t>
  </si>
  <si>
    <t>Metro</t>
  </si>
  <si>
    <t>Lytton Lateral</t>
  </si>
  <si>
    <t>Peat Lateral</t>
  </si>
  <si>
    <t>Eastbound Long Term Firm Service</t>
  </si>
  <si>
    <t>Westbound Long Term Firm Service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</si>
</sst>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_(* #,##0_);_(* \(#,##0\);_(* &quot;-&quot;_);_(@_)"/>
    <numFmt numFmtId="165" formatCode="##\ ###\ ###\ ###\ ##0"/>
    <numFmt numFmtId="166" formatCode="#,##0.00000"/>
    <numFmt numFmtId="167" formatCode="#,##0.0000"/>
    <numFmt numFmtId="168" formatCode="_-* #,##0_-;[Red]\(#,##0\)_-;_-* &quot;-&quot;??_-;_-@_-"/>
    <numFmt numFmtId="169" formatCode="_-* #,##0_-;\-* #,##0_-;_-* &quot;-&quot;??_-;_-@_-"/>
    <numFmt numFmtId="170" formatCode="0#\ ####\ ####"/>
    <numFmt numFmtId="171" formatCode="0000"/>
    <numFmt numFmtId="172" formatCode="0.0000"/>
    <numFmt numFmtId="173" formatCode="#,##0.000_ ;[Red]\-#,##0.000\ "/>
  </numFmts>
  <fonts count="141" x14ac:knownFonts="1">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b/>
      <sz val="11"/>
      <color theme="1"/>
      <name val="Arial"/>
      <family val="2"/>
    </font>
    <font>
      <sz val="14"/>
      <color rgb="FFFF0000"/>
      <name val="Arial"/>
      <family val="2"/>
    </font>
    <font>
      <sz val="11"/>
      <color theme="1"/>
      <name val="Arial"/>
      <family val="2"/>
    </font>
    <font>
      <b/>
      <sz val="10"/>
      <color rgb="FFFF0000"/>
      <name val="Arial"/>
      <family val="2"/>
    </font>
    <font>
      <b/>
      <sz val="10"/>
      <name val="Arial"/>
      <family val="2"/>
    </font>
    <font>
      <b/>
      <sz val="11"/>
      <name val="Calibri"/>
      <family val="2"/>
      <scheme val="minor"/>
    </font>
    <font>
      <sz val="10"/>
      <color theme="1"/>
      <name val="Arial"/>
      <family val="2"/>
    </font>
    <font>
      <sz val="11"/>
      <color theme="4" tint="-0.249977111117893"/>
      <name val="Calibri"/>
      <family val="2"/>
      <scheme val="minor"/>
    </font>
    <font>
      <sz val="11"/>
      <color theme="8" tint="-0.249977111117893"/>
      <name val="Arial"/>
      <family val="2"/>
    </font>
    <font>
      <sz val="10"/>
      <color rgb="FFFF0000"/>
      <name val="Arial"/>
      <family val="2"/>
    </font>
    <font>
      <b/>
      <sz val="11"/>
      <color rgb="FFFF0000"/>
      <name val="Arial"/>
      <family val="2"/>
    </font>
    <font>
      <sz val="11"/>
      <name val="Calibri"/>
      <family val="2"/>
      <scheme val="minor"/>
    </font>
    <font>
      <sz val="11"/>
      <color theme="1"/>
      <name val="Calibri"/>
      <family val="2"/>
    </font>
    <font>
      <sz val="9"/>
      <name val="Arial"/>
      <family val="2"/>
    </font>
    <font>
      <sz val="10"/>
      <color rgb="FF000000"/>
      <name val="Arial"/>
      <family val="2"/>
    </font>
    <font>
      <b/>
      <sz val="11"/>
      <name val="Arial"/>
      <family val="2"/>
    </font>
    <font>
      <b/>
      <sz val="11"/>
      <color rgb="FF000000"/>
      <name val="Arial"/>
      <family val="2"/>
    </font>
    <font>
      <sz val="11"/>
      <color rgb="FF000000"/>
      <name val="Arial"/>
      <family val="2"/>
    </font>
    <font>
      <sz val="10"/>
      <color rgb="FF808080"/>
      <name val="Arial"/>
      <family val="2"/>
    </font>
    <font>
      <sz val="10"/>
      <color theme="4"/>
      <name val="Arial"/>
      <family val="2"/>
    </font>
    <font>
      <i/>
      <sz val="10"/>
      <name val="Arial"/>
      <family val="2"/>
    </font>
    <font>
      <b/>
      <sz val="9"/>
      <color rgb="FF000000"/>
      <name val="Tahoma"/>
      <family val="2"/>
    </font>
    <font>
      <sz val="9"/>
      <color rgb="FF000000"/>
      <name val="Tahoma"/>
      <family val="2"/>
    </font>
    <font>
      <b/>
      <sz val="16"/>
      <color theme="0"/>
      <name val="Arial"/>
      <family val="2"/>
    </font>
    <font>
      <b/>
      <sz val="12"/>
      <color theme="0"/>
      <name val="Arial"/>
      <family val="2"/>
    </font>
    <font>
      <b/>
      <sz val="10"/>
      <color theme="1"/>
      <name val="Arial"/>
      <family val="2"/>
    </font>
    <font>
      <b/>
      <sz val="10"/>
      <color theme="1" tint="0.14999847407452621"/>
      <name val="Arial"/>
      <family val="2"/>
    </font>
    <font>
      <sz val="10"/>
      <color theme="4" tint="0.59999389629810485"/>
      <name val="Arial"/>
      <family val="2"/>
    </font>
    <font>
      <sz val="10"/>
      <color theme="0" tint="-0.499984740745262"/>
      <name val="Arial"/>
      <family val="2"/>
    </font>
    <font>
      <b/>
      <sz val="10"/>
      <color theme="0" tint="-0.499984740745262"/>
      <name val="Arial"/>
      <family val="2"/>
    </font>
    <font>
      <sz val="11"/>
      <color theme="5" tint="-0.249977111117893"/>
      <name val="Arial"/>
      <family val="2"/>
    </font>
    <font>
      <sz val="10"/>
      <color theme="5" tint="-0.249977111117893"/>
      <name val="Arial"/>
      <family val="2"/>
    </font>
    <font>
      <sz val="10"/>
      <color theme="4" tint="-0.499984740745262"/>
      <name val="Arial"/>
      <family val="2"/>
    </font>
    <font>
      <b/>
      <sz val="10"/>
      <color rgb="FF808080"/>
      <name val="Arial"/>
      <family val="2"/>
    </font>
    <font>
      <sz val="11"/>
      <color rgb="FFFF0000"/>
      <name val="Arial"/>
      <family val="2"/>
    </font>
    <font>
      <sz val="10"/>
      <color theme="4" tint="-0.249977111117893"/>
      <name val="Arial"/>
      <family val="2"/>
    </font>
    <font>
      <i/>
      <sz val="10"/>
      <color theme="4" tint="-0.249977111117893"/>
      <name val="Arial"/>
      <family val="2"/>
    </font>
    <font>
      <i/>
      <sz val="10"/>
      <color theme="0" tint="-0.499984740745262"/>
      <name val="Arial"/>
      <family val="2"/>
    </font>
    <font>
      <i/>
      <sz val="11"/>
      <color theme="1"/>
      <name val="Arial"/>
      <family val="2"/>
    </font>
    <font>
      <i/>
      <u/>
      <sz val="10"/>
      <color theme="0" tint="-0.499984740745262"/>
      <name val="Arial"/>
      <family val="2"/>
    </font>
    <font>
      <sz val="16"/>
      <color rgb="FFFF0000"/>
      <name val="Arial"/>
      <family val="2"/>
    </font>
    <font>
      <sz val="11"/>
      <name val="Arial"/>
      <family val="2"/>
    </font>
    <font>
      <i/>
      <sz val="10"/>
      <color theme="4" tint="-0.499984740745262"/>
      <name val="Arial"/>
      <family val="2"/>
    </font>
    <font>
      <b/>
      <i/>
      <sz val="10"/>
      <name val="Arial"/>
      <family val="2"/>
    </font>
    <font>
      <b/>
      <i/>
      <sz val="11"/>
      <color theme="1"/>
      <name val="Calibri"/>
      <family val="2"/>
      <scheme val="minor"/>
    </font>
    <font>
      <sz val="11"/>
      <color theme="1" tint="0.34998626667073579"/>
      <name val="Calibri"/>
      <family val="2"/>
      <scheme val="minor"/>
    </font>
    <font>
      <sz val="14"/>
      <color theme="1"/>
      <name val="Arial"/>
      <family val="2"/>
    </font>
    <font>
      <b/>
      <sz val="12"/>
      <name val="Arial"/>
      <family val="2"/>
    </font>
    <font>
      <b/>
      <sz val="10"/>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b/>
      <sz val="10"/>
      <color indexed="8"/>
      <name val="Arial"/>
      <family val="2"/>
    </font>
    <font>
      <b/>
      <sz val="10"/>
      <color theme="0"/>
      <name val="Arial"/>
      <family val="2"/>
    </font>
    <font>
      <b/>
      <sz val="14"/>
      <name val="Arial"/>
      <family val="2"/>
    </font>
    <font>
      <sz val="12"/>
      <name val="Arial"/>
      <family val="2"/>
    </font>
    <font>
      <sz val="12"/>
      <color rgb="FFFF0000"/>
      <name val="Arial"/>
      <family val="2"/>
    </font>
    <font>
      <b/>
      <sz val="11"/>
      <color theme="0"/>
      <name val="Arial"/>
      <family val="2"/>
    </font>
    <font>
      <b/>
      <sz val="24"/>
      <color theme="0"/>
      <name val="Arial"/>
      <family val="2"/>
    </font>
    <font>
      <b/>
      <sz val="14"/>
      <color theme="0"/>
      <name val="Arial"/>
      <family val="2"/>
    </font>
    <font>
      <sz val="14"/>
      <color theme="1"/>
      <name val="Calibri"/>
      <family val="2"/>
      <scheme val="minor"/>
    </font>
    <font>
      <sz val="12"/>
      <color theme="0"/>
      <name val="Arial"/>
      <family val="2"/>
    </font>
    <font>
      <b/>
      <sz val="18"/>
      <color theme="0"/>
      <name val="Arial"/>
      <family val="2"/>
    </font>
    <font>
      <b/>
      <sz val="20"/>
      <color theme="0"/>
      <name val="Arial"/>
      <family val="2"/>
    </font>
    <font>
      <sz val="11"/>
      <color theme="0"/>
      <name val="Arial"/>
      <family val="2"/>
    </font>
    <font>
      <b/>
      <sz val="11"/>
      <color theme="4" tint="-0.499984740745262"/>
      <name val="Arial"/>
      <family val="2"/>
    </font>
    <font>
      <b/>
      <sz val="12"/>
      <color theme="4" tint="-0.499984740745262"/>
      <name val="Arial"/>
      <family val="2"/>
    </font>
    <font>
      <b/>
      <sz val="14"/>
      <color theme="4" tint="-0.499984740745262"/>
      <name val="Arial"/>
      <family val="2"/>
    </font>
    <font>
      <i/>
      <sz val="11"/>
      <color theme="1"/>
      <name val="Calibri"/>
      <family val="2"/>
      <scheme val="minor"/>
    </font>
    <font>
      <b/>
      <sz val="11"/>
      <color theme="3" tint="0.39994506668294322"/>
      <name val="Calibri"/>
      <family val="2"/>
      <scheme val="minor"/>
    </font>
    <font>
      <sz val="22"/>
      <color theme="0"/>
      <name val="Calibri"/>
      <family val="2"/>
      <scheme val="minor"/>
    </font>
    <font>
      <sz val="24"/>
      <color theme="0"/>
      <name val="Calibri"/>
      <family val="2"/>
      <scheme val="minor"/>
    </font>
    <font>
      <sz val="22"/>
      <color theme="1"/>
      <name val="Calibri"/>
      <family val="2"/>
      <scheme val="minor"/>
    </font>
    <font>
      <b/>
      <sz val="22"/>
      <color theme="1"/>
      <name val="Calibri"/>
      <family val="2"/>
      <scheme val="minor"/>
    </font>
    <font>
      <b/>
      <sz val="11"/>
      <color theme="3" tint="0.39997558519241921"/>
      <name val="Calibri"/>
      <family val="2"/>
      <scheme val="minor"/>
    </font>
    <font>
      <b/>
      <i/>
      <sz val="12"/>
      <name val="Arial"/>
      <family val="2"/>
    </font>
    <font>
      <b/>
      <sz val="11"/>
      <color theme="4"/>
      <name val="Arial"/>
      <family val="2"/>
    </font>
    <font>
      <b/>
      <sz val="36"/>
      <color theme="0"/>
      <name val="Calibri"/>
      <family val="2"/>
      <scheme val="minor"/>
    </font>
    <font>
      <sz val="26"/>
      <color theme="0"/>
      <name val="Calibri"/>
      <family val="2"/>
      <scheme val="minor"/>
    </font>
    <font>
      <sz val="26"/>
      <name val="Calibri"/>
      <family val="2"/>
      <scheme val="minor"/>
    </font>
    <font>
      <sz val="26"/>
      <color rgb="FFFF0000"/>
      <name val="Calibri"/>
      <family val="2"/>
      <scheme val="minor"/>
    </font>
    <font>
      <b/>
      <sz val="16"/>
      <name val="Arial"/>
      <family val="2"/>
    </font>
    <font>
      <b/>
      <sz val="36"/>
      <color theme="0"/>
      <name val="Arial"/>
      <family val="2"/>
    </font>
    <font>
      <b/>
      <sz val="22"/>
      <color theme="0"/>
      <name val="Calibri"/>
      <family val="2"/>
      <scheme val="minor"/>
    </font>
    <font>
      <sz val="14"/>
      <name val="Arial"/>
      <family val="2"/>
    </font>
    <font>
      <b/>
      <i/>
      <sz val="14"/>
      <name val="Arial"/>
      <family val="2"/>
    </font>
    <font>
      <b/>
      <sz val="14"/>
      <color indexed="10"/>
      <name val="Arial"/>
      <family val="2"/>
    </font>
    <font>
      <sz val="16"/>
      <name val="Arial"/>
      <family val="2"/>
    </font>
    <font>
      <sz val="11"/>
      <color indexed="18"/>
      <name val="Calibri"/>
      <family val="2"/>
      <scheme val="minor"/>
    </font>
    <font>
      <u/>
      <sz val="11"/>
      <color theme="10"/>
      <name val="Calibri"/>
      <family val="2"/>
      <scheme val="minor"/>
    </font>
    <font>
      <sz val="12"/>
      <color indexed="18"/>
      <name val="Calibri"/>
      <family val="2"/>
      <scheme val="minor"/>
    </font>
    <font>
      <b/>
      <sz val="12"/>
      <color indexed="18"/>
      <name val="Calibri"/>
      <family val="2"/>
      <scheme val="minor"/>
    </font>
    <font>
      <b/>
      <sz val="18"/>
      <color indexed="18"/>
      <name val="Calibri"/>
      <family val="2"/>
      <scheme val="minor"/>
    </font>
    <font>
      <u/>
      <sz val="12"/>
      <color theme="10"/>
      <name val="Calibri"/>
      <family val="2"/>
      <scheme val="minor"/>
    </font>
    <font>
      <sz val="12"/>
      <name val="Calibri"/>
      <family val="2"/>
      <scheme val="minor"/>
    </font>
    <font>
      <b/>
      <sz val="12"/>
      <color theme="0"/>
      <name val="Calibri"/>
      <family val="2"/>
      <scheme val="minor"/>
    </font>
    <font>
      <sz val="12"/>
      <color theme="0"/>
      <name val="Calibri"/>
      <family val="2"/>
      <scheme val="minor"/>
    </font>
    <font>
      <b/>
      <sz val="12"/>
      <name val="Calibri"/>
      <family val="2"/>
      <scheme val="minor"/>
    </font>
    <font>
      <sz val="9"/>
      <color indexed="10"/>
      <name val="Arial"/>
      <family val="2"/>
    </font>
    <font>
      <sz val="10"/>
      <color indexed="9"/>
      <name val="Arial"/>
      <family val="2"/>
    </font>
    <font>
      <b/>
      <sz val="11"/>
      <name val="Calibri"/>
      <family val="2"/>
    </font>
    <font>
      <b/>
      <sz val="16"/>
      <color indexed="9"/>
      <name val="Arial"/>
      <family val="2"/>
    </font>
    <font>
      <b/>
      <sz val="10"/>
      <color theme="1"/>
      <name val="Calibri"/>
      <family val="2"/>
      <scheme val="minor"/>
    </font>
    <font>
      <b/>
      <sz val="10"/>
      <color indexed="10"/>
      <name val="Arial"/>
      <family val="2"/>
    </font>
    <font>
      <b/>
      <sz val="10"/>
      <color indexed="8"/>
      <name val="Calibri"/>
      <family val="2"/>
      <scheme val="minor"/>
    </font>
    <font>
      <sz val="8"/>
      <name val="Arial"/>
      <family val="2"/>
    </font>
    <font>
      <b/>
      <sz val="9"/>
      <name val="Arial"/>
      <family val="2"/>
    </font>
    <font>
      <b/>
      <sz val="12"/>
      <color rgb="FFFFFFFF"/>
      <name val="Arial"/>
      <family val="2"/>
    </font>
    <font>
      <sz val="11"/>
      <name val="Calibri"/>
      <family val="2"/>
    </font>
    <font>
      <b/>
      <sz val="10"/>
      <color rgb="FF000000"/>
      <name val="Arial"/>
      <family val="2"/>
    </font>
    <font>
      <b/>
      <sz val="20"/>
      <color rgb="FFFF0000"/>
      <name val="Calibri"/>
      <family val="2"/>
    </font>
    <font>
      <b/>
      <sz val="12"/>
      <name val="Calibri"/>
      <family val="2"/>
    </font>
    <font>
      <b/>
      <sz val="24"/>
      <color rgb="FFFFFFFF"/>
      <name val="Calibri"/>
      <family val="2"/>
    </font>
    <font>
      <b/>
      <sz val="12"/>
      <color rgb="FFFF0000"/>
      <name val="Calibri"/>
      <family val="2"/>
    </font>
    <font>
      <b/>
      <sz val="18"/>
      <color rgb="FFFFFFFF"/>
      <name val="Calibri"/>
      <family val="2"/>
    </font>
    <font>
      <sz val="11"/>
      <color rgb="FF000000"/>
      <name val="Calibri"/>
      <family val="2"/>
    </font>
    <font>
      <sz val="12"/>
      <color theme="1"/>
      <name val="Calibri"/>
      <family val="2"/>
      <scheme val="minor"/>
    </font>
    <font>
      <b/>
      <i/>
      <sz val="10"/>
      <color theme="1" tint="0.499984740745262"/>
      <name val="Calibri"/>
      <family val="2"/>
      <scheme val="minor"/>
    </font>
    <font>
      <sz val="10"/>
      <name val="Times New Roman"/>
      <family val="1"/>
    </font>
    <font>
      <b/>
      <i/>
      <sz val="10"/>
      <color indexed="8"/>
      <name val="Arial"/>
      <family val="2"/>
    </font>
    <font>
      <i/>
      <sz val="9"/>
      <color indexed="8"/>
      <name val="Arial"/>
      <family val="2"/>
    </font>
    <font>
      <sz val="11"/>
      <name val="Calibri"/>
      <family val="2"/>
      <scheme val="minor"/>
    </font>
    <font>
      <b/>
      <sz val="14"/>
      <color rgb="FFFF0000"/>
      <name val="Arial"/>
      <family val="2"/>
    </font>
    <font>
      <sz val="9"/>
      <name val="Calibri"/>
      <family val="2"/>
      <scheme val="minor"/>
    </font>
    <font>
      <b/>
      <sz val="9"/>
      <color theme="1"/>
      <name val="Arial"/>
      <family val="2"/>
    </font>
  </fonts>
  <fills count="109">
    <fill>
      <patternFill patternType="none"/>
    </fill>
    <fill>
      <patternFill patternType="gray125"/>
    </fill>
    <fill>
      <patternFill patternType="solid">
        <fgColor theme="7" tint="0.59999389629810485"/>
        <bgColor indexed="64"/>
      </patternFill>
    </fill>
    <fill>
      <patternFill patternType="solid">
        <fgColor theme="0" tint="-0.249977111117893"/>
        <bgColor indexed="64"/>
      </patternFill>
    </fill>
    <fill>
      <patternFill patternType="solid">
        <fgColor theme="0"/>
        <bgColor indexed="64"/>
      </patternFill>
    </fill>
    <fill>
      <patternFill patternType="solid">
        <fgColor theme="4" tint="0.59999389629810485"/>
        <bgColor indexed="64"/>
      </patternFill>
    </fill>
    <fill>
      <patternFill patternType="solid">
        <fgColor theme="2" tint="-9.9978637043366805E-2"/>
        <bgColor indexed="64"/>
      </patternFill>
    </fill>
    <fill>
      <patternFill patternType="solid">
        <fgColor theme="2" tint="-0.249977111117893"/>
        <bgColor indexed="64"/>
      </patternFill>
    </fill>
    <fill>
      <patternFill patternType="solid">
        <fgColor theme="2" tint="-0.499984740745262"/>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theme="8" tint="0.59999389629810485"/>
        <bgColor indexed="64"/>
      </patternFill>
    </fill>
    <fill>
      <patternFill patternType="solid">
        <fgColor theme="4" tint="0.79998168889431442"/>
        <bgColor theme="4" tint="0.79998168889431442"/>
      </patternFill>
    </fill>
    <fill>
      <patternFill patternType="solid">
        <fgColor theme="8" tint="0.79998168889431442"/>
        <bgColor indexed="64"/>
      </patternFill>
    </fill>
    <fill>
      <patternFill patternType="solid">
        <fgColor theme="8" tint="0.39997558519241921"/>
        <bgColor indexed="64"/>
      </patternFill>
    </fill>
    <fill>
      <patternFill patternType="solid">
        <fgColor theme="0" tint="-0.14999847407452621"/>
        <bgColor indexed="64"/>
      </patternFill>
    </fill>
    <fill>
      <patternFill patternType="solid">
        <fgColor rgb="FFFFFFFF"/>
        <bgColor rgb="FF000000"/>
      </patternFill>
    </fill>
    <fill>
      <patternFill patternType="solid">
        <fgColor theme="4" tint="0.79998168889431442"/>
        <bgColor indexed="64"/>
      </patternFill>
    </fill>
    <fill>
      <patternFill patternType="solid">
        <fgColor theme="1"/>
        <bgColor indexed="64"/>
      </patternFill>
    </fill>
    <fill>
      <patternFill patternType="solid">
        <fgColor rgb="FFB8CCE4"/>
        <bgColor rgb="FF000000"/>
      </patternFill>
    </fill>
    <fill>
      <patternFill patternType="solid">
        <fgColor theme="9" tint="0.59999389629810485"/>
        <bgColor indexed="64"/>
      </patternFill>
    </fill>
    <fill>
      <patternFill patternType="solid">
        <fgColor rgb="FFFABF8F"/>
        <bgColor rgb="FF000000"/>
      </patternFill>
    </fill>
    <fill>
      <patternFill patternType="solid">
        <fgColor theme="0" tint="-0.14999847407452621"/>
        <bgColor rgb="FF000000"/>
      </patternFill>
    </fill>
    <fill>
      <patternFill patternType="solid">
        <fgColor theme="0" tint="-0.34998626667073579"/>
        <bgColor indexed="64"/>
      </patternFill>
    </fill>
    <fill>
      <patternFill patternType="solid">
        <fgColor rgb="FFFFFFCC"/>
        <bgColor indexed="64"/>
      </patternFill>
    </fill>
    <fill>
      <patternFill patternType="solid">
        <fgColor rgb="FFFFFFCC"/>
        <bgColor rgb="FF000000"/>
      </patternFill>
    </fill>
    <fill>
      <patternFill patternType="solid">
        <fgColor theme="4" tint="-0.499984740745262"/>
        <bgColor indexed="64"/>
      </patternFill>
    </fill>
    <fill>
      <patternFill patternType="solid">
        <fgColor rgb="FFBFBFBF"/>
        <bgColor rgb="FF000000"/>
      </patternFill>
    </fill>
    <fill>
      <patternFill patternType="solid">
        <fgColor rgb="FFCCCCFF"/>
        <bgColor indexed="64"/>
      </patternFill>
    </fill>
    <fill>
      <patternFill patternType="solid">
        <fgColor rgb="FFFFFF99"/>
        <bgColor indexed="64"/>
      </patternFill>
    </fill>
    <fill>
      <patternFill patternType="solid">
        <fgColor theme="4" tint="0.39997558519241921"/>
        <bgColor indexed="64"/>
      </patternFill>
    </fill>
    <fill>
      <patternFill patternType="solid">
        <fgColor theme="4" tint="0.39997558519241921"/>
        <bgColor theme="4" tint="0.79998168889431442"/>
      </patternFill>
    </fill>
    <fill>
      <patternFill patternType="solid">
        <fgColor theme="6" tint="0.39997558519241921"/>
        <bgColor theme="4" tint="0.79998168889431442"/>
      </patternFill>
    </fill>
    <fill>
      <patternFill patternType="solid">
        <fgColor theme="3" tint="0.59999389629810485"/>
        <bgColor indexed="64"/>
      </patternFill>
    </fill>
    <fill>
      <patternFill patternType="solid">
        <fgColor theme="8" tint="-0.249977111117893"/>
        <bgColor indexed="64"/>
      </patternFill>
    </fill>
    <fill>
      <patternFill patternType="solid">
        <fgColor theme="0" tint="-0.499984740745262"/>
        <bgColor indexed="64"/>
      </patternFill>
    </fill>
    <fill>
      <patternFill patternType="solid">
        <fgColor rgb="FFD9D9D9"/>
        <bgColor rgb="FF000000"/>
      </patternFill>
    </fill>
    <fill>
      <patternFill patternType="solid">
        <fgColor rgb="FFEEECE1"/>
        <bgColor rgb="FF000000"/>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6795556505021"/>
        <bgColor indexed="64"/>
      </patternFill>
    </fill>
    <fill>
      <patternFill patternType="solid">
        <fgColor theme="6" tint="0.39994506668294322"/>
        <bgColor indexed="64"/>
      </patternFill>
    </fill>
    <fill>
      <patternFill patternType="solid">
        <fgColor theme="6" tint="0.59996337778862885"/>
        <bgColor indexed="64"/>
      </patternFill>
    </fill>
    <fill>
      <patternFill patternType="solid">
        <fgColor theme="4"/>
        <bgColor indexed="64"/>
      </patternFill>
    </fill>
    <fill>
      <patternFill patternType="solid">
        <fgColor theme="0" tint="-0.249977111117893"/>
        <bgColor rgb="FF000000"/>
      </patternFill>
    </fill>
    <fill>
      <patternFill patternType="solid">
        <fgColor rgb="FFFFCCCC"/>
        <bgColor indexed="64"/>
      </patternFill>
    </fill>
    <fill>
      <patternFill patternType="gray125">
        <fgColor theme="3" tint="0.39991454817346722"/>
        <bgColor rgb="FFFFFFCC"/>
      </patternFill>
    </fill>
    <fill>
      <patternFill patternType="solid">
        <fgColor theme="6"/>
        <bgColor indexed="64"/>
      </patternFill>
    </fill>
    <fill>
      <patternFill patternType="solid">
        <fgColor theme="7"/>
        <bgColor indexed="64"/>
      </patternFill>
    </fill>
    <fill>
      <patternFill patternType="solid">
        <fgColor theme="7" tint="0.79998168889431442"/>
        <bgColor indexed="64"/>
      </patternFill>
    </fill>
    <fill>
      <patternFill patternType="solid">
        <fgColor theme="3"/>
        <bgColor indexed="64"/>
      </patternFill>
    </fill>
    <fill>
      <patternFill patternType="solid">
        <fgColor theme="9"/>
        <bgColor indexed="64"/>
      </patternFill>
    </fill>
    <fill>
      <patternFill patternType="solid">
        <fgColor theme="5" tint="-0.249977111117893"/>
        <bgColor indexed="64"/>
      </patternFill>
    </fill>
    <fill>
      <patternFill patternType="solid">
        <fgColor rgb="FFFF0000"/>
        <bgColor indexed="64"/>
      </patternFill>
    </fill>
    <fill>
      <patternFill patternType="solid">
        <fgColor theme="9" tint="0.39997558519241921"/>
        <bgColor rgb="FF000000"/>
      </patternFill>
    </fill>
    <fill>
      <patternFill patternType="solid">
        <fgColor theme="2" tint="-0.749992370372631"/>
        <bgColor indexed="64"/>
      </patternFill>
    </fill>
    <fill>
      <patternFill patternType="solid">
        <fgColor theme="0" tint="-0.14999847407452621"/>
        <bgColor theme="0" tint="-0.14999847407452621"/>
      </patternFill>
    </fill>
    <fill>
      <patternFill patternType="solid">
        <fgColor theme="3" tint="0.79998168889431442"/>
        <bgColor indexed="64"/>
      </patternFill>
    </fill>
    <fill>
      <patternFill patternType="solid">
        <fgColor theme="3" tint="-0.249977111117893"/>
        <bgColor indexed="64"/>
      </patternFill>
    </fill>
    <fill>
      <patternFill patternType="solid">
        <fgColor theme="6" tint="-0.249977111117893"/>
        <bgColor indexed="64"/>
      </patternFill>
    </fill>
    <fill>
      <patternFill patternType="solid">
        <fgColor theme="9" tint="-0.249977111117893"/>
        <bgColor indexed="64"/>
      </patternFill>
    </fill>
    <fill>
      <patternFill patternType="solid">
        <fgColor indexed="26"/>
        <bgColor indexed="64"/>
      </patternFill>
    </fill>
    <fill>
      <patternFill patternType="solid">
        <fgColor indexed="8"/>
        <bgColor indexed="64"/>
      </patternFill>
    </fill>
    <fill>
      <patternFill patternType="solid">
        <fgColor rgb="FF000000"/>
        <bgColor rgb="FF000000"/>
      </patternFill>
    </fill>
    <fill>
      <patternFill patternType="solid">
        <fgColor rgb="FFC4D79B"/>
        <bgColor rgb="FF000000"/>
      </patternFill>
    </fill>
    <fill>
      <patternFill patternType="solid">
        <fgColor rgb="FF777777"/>
        <bgColor rgb="FF000000"/>
      </patternFill>
    </fill>
    <fill>
      <patternFill patternType="solid">
        <fgColor rgb="FFFCD5B4"/>
        <bgColor rgb="FF000000"/>
      </patternFill>
    </fill>
    <fill>
      <patternFill patternType="solid">
        <fgColor rgb="FFFF0000"/>
        <bgColor rgb="FF000000"/>
      </patternFill>
    </fill>
    <fill>
      <patternFill patternType="solid">
        <fgColor rgb="FFFFFFCC"/>
        <bgColor rgb="FFFFFFCC"/>
      </patternFill>
    </fill>
    <fill>
      <patternFill patternType="solid">
        <fgColor theme="4"/>
        <bgColor theme="4"/>
      </patternFill>
    </fill>
    <fill>
      <patternFill patternType="gray125">
        <fgColor rgb="FF000000"/>
        <bgColor rgb="FFFFCCCC"/>
      </patternFill>
    </fill>
    <fill>
      <patternFill patternType="solid">
        <fgColor rgb="FFFFCCCC"/>
        <bgColor rgb="FF000000"/>
      </patternFill>
    </fill>
    <fill>
      <patternFill patternType="solid">
        <fgColor rgb="FF25C6FF"/>
        <bgColor rgb="FF000000"/>
      </patternFill>
    </fill>
    <fill>
      <patternFill patternType="solid">
        <fgColor theme="0" tint="-0.34998626667073579"/>
        <bgColor rgb="FF000000"/>
      </patternFill>
    </fill>
    <fill>
      <patternFill patternType="solid">
        <fgColor theme="0" tint="-0.24994659260841701"/>
        <bgColor indexed="64"/>
      </patternFill>
    </fill>
    <fill>
      <patternFill patternType="solid">
        <fgColor theme="5" tint="0.79998168889431442"/>
        <bgColor indexed="64"/>
      </patternFill>
    </fill>
    <fill>
      <patternFill patternType="solid">
        <fgColor rgb="FF25C6FF"/>
        <bgColor indexed="64"/>
      </patternFill>
    </fill>
    <fill>
      <patternFill patternType="gray125">
        <fgColor theme="3"/>
        <bgColor rgb="FFFFFFCC"/>
      </patternFill>
    </fill>
    <fill>
      <patternFill patternType="gray125">
        <fgColor theme="3" tint="0.39991454817346722"/>
        <bgColor rgb="FFFFCCCC"/>
      </patternFill>
    </fill>
    <fill>
      <patternFill patternType="gray125">
        <fgColor theme="3"/>
        <bgColor rgb="FFFFCCCC"/>
      </patternFill>
    </fill>
  </fills>
  <borders count="32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top/>
      <bottom style="medium">
        <color indexed="64"/>
      </bottom>
      <diagonal/>
    </border>
    <border>
      <left/>
      <right/>
      <top/>
      <bottom style="medium">
        <color auto="1"/>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top/>
      <bottom/>
      <diagonal/>
    </border>
    <border>
      <left/>
      <right style="medium">
        <color indexed="64"/>
      </right>
      <top/>
      <bottom/>
      <diagonal/>
    </border>
    <border>
      <left style="thin">
        <color theme="0" tint="-0.24994659260841701"/>
      </left>
      <right/>
      <top style="medium">
        <color indexed="64"/>
      </top>
      <bottom/>
      <diagonal/>
    </border>
    <border>
      <left style="medium">
        <color indexed="64"/>
      </left>
      <right/>
      <top style="thin">
        <color theme="0" tint="-0.34998626667073579"/>
      </top>
      <bottom/>
      <diagonal/>
    </border>
    <border>
      <left style="thin">
        <color theme="0" tint="-0.34998626667073579"/>
      </left>
      <right/>
      <top style="thin">
        <color theme="0" tint="-0.34998626667073579"/>
      </top>
      <bottom/>
      <diagonal/>
    </border>
    <border>
      <left style="medium">
        <color indexed="64"/>
      </left>
      <right/>
      <top style="thin">
        <color theme="0" tint="-0.24994659260841701"/>
      </top>
      <bottom/>
      <diagonal/>
    </border>
    <border>
      <left style="thin">
        <color theme="0" tint="-0.24994659260841701"/>
      </left>
      <right/>
      <top style="thin">
        <color theme="0" tint="-0.24994659260841701"/>
      </top>
      <bottom/>
      <diagonal/>
    </border>
    <border>
      <left/>
      <right/>
      <top style="thin">
        <color theme="0" tint="-0.24994659260841701"/>
      </top>
      <bottom/>
      <diagonal/>
    </border>
    <border>
      <left style="medium">
        <color indexed="64"/>
      </left>
      <right/>
      <top style="thin">
        <color theme="0" tint="-0.24994659260841701"/>
      </top>
      <bottom style="medium">
        <color indexed="64"/>
      </bottom>
      <diagonal/>
    </border>
    <border>
      <left style="thin">
        <color theme="0" tint="-0.24994659260841701"/>
      </left>
      <right/>
      <top style="thin">
        <color theme="0" tint="-0.24994659260841701"/>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rgb="FFBFBFBF"/>
      </right>
      <top style="medium">
        <color indexed="64"/>
      </top>
      <bottom style="medium">
        <color auto="1"/>
      </bottom>
      <diagonal/>
    </border>
    <border>
      <left style="thin">
        <color rgb="FFBFBFBF"/>
      </left>
      <right style="thin">
        <color rgb="FFBFBFBF"/>
      </right>
      <top style="medium">
        <color indexed="64"/>
      </top>
      <bottom style="medium">
        <color auto="1"/>
      </bottom>
      <diagonal/>
    </border>
    <border>
      <left style="medium">
        <color indexed="64"/>
      </left>
      <right/>
      <top style="thin">
        <color indexed="64"/>
      </top>
      <bottom/>
      <diagonal/>
    </border>
    <border>
      <left style="medium">
        <color auto="1"/>
      </left>
      <right style="medium">
        <color indexed="64"/>
      </right>
      <top style="medium">
        <color auto="1"/>
      </top>
      <bottom style="thin">
        <color theme="0" tint="-0.24994659260841701"/>
      </bottom>
      <diagonal/>
    </border>
    <border>
      <left style="medium">
        <color indexed="64"/>
      </left>
      <right style="thin">
        <color theme="0" tint="-0.24994659260841701"/>
      </right>
      <top style="medium">
        <color indexed="64"/>
      </top>
      <bottom style="thin">
        <color theme="0" tint="-0.24994659260841701"/>
      </bottom>
      <diagonal/>
    </border>
    <border>
      <left style="medium">
        <color indexed="64"/>
      </left>
      <right style="thin">
        <color rgb="FFBFBFBF"/>
      </right>
      <top/>
      <bottom style="thin">
        <color rgb="FFBFBFBF"/>
      </bottom>
      <diagonal/>
    </border>
    <border>
      <left style="thin">
        <color rgb="FFBFBFBF"/>
      </left>
      <right style="thin">
        <color rgb="FFBFBFBF"/>
      </right>
      <top/>
      <bottom style="thin">
        <color rgb="FFBFBFBF"/>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style="medium">
        <color rgb="FFFF0000"/>
      </right>
      <top/>
      <bottom style="thin">
        <color theme="0" tint="-0.24994659260841701"/>
      </bottom>
      <diagonal/>
    </border>
    <border>
      <left style="medium">
        <color rgb="FFFF0000"/>
      </left>
      <right style="thin">
        <color theme="0" tint="-0.24994659260841701"/>
      </right>
      <top/>
      <bottom style="thin">
        <color theme="0" tint="-0.24994659260841701"/>
      </bottom>
      <diagonal/>
    </border>
    <border>
      <left style="medium">
        <color indexed="64"/>
      </left>
      <right style="medium">
        <color indexed="64"/>
      </right>
      <top style="thin">
        <color theme="0" tint="-0.24994659260841701"/>
      </top>
      <bottom style="thin">
        <color theme="0" tint="-0.24994659260841701"/>
      </bottom>
      <diagonal/>
    </border>
    <border>
      <left style="medium">
        <color indexed="64"/>
      </left>
      <right style="thin">
        <color theme="0" tint="-0.24994659260841701"/>
      </right>
      <top style="thin">
        <color theme="0" tint="-0.24994659260841701"/>
      </top>
      <bottom style="thin">
        <color theme="0" tint="-0.24994659260841701"/>
      </bottom>
      <diagonal/>
    </border>
    <border>
      <left style="medium">
        <color indexed="64"/>
      </left>
      <right style="thin">
        <color rgb="FFBFBFBF"/>
      </right>
      <top style="thin">
        <color rgb="FFBFBFBF"/>
      </top>
      <bottom style="thin">
        <color rgb="FFBFBFBF"/>
      </bottom>
      <diagonal/>
    </border>
    <border>
      <left style="thin">
        <color rgb="FFBFBFBF"/>
      </left>
      <right style="thin">
        <color rgb="FFBFBFBF"/>
      </right>
      <top style="thin">
        <color rgb="FFBFBFBF"/>
      </top>
      <bottom style="thin">
        <color rgb="FFBFBFBF"/>
      </bottom>
      <diagonal/>
    </border>
    <border>
      <left style="medium">
        <color rgb="FFFF0000"/>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medium">
        <color rgb="FFFF0000"/>
      </right>
      <top style="thin">
        <color theme="0" tint="-0.24994659260841701"/>
      </top>
      <bottom style="thin">
        <color theme="0" tint="-0.24994659260841701"/>
      </bottom>
      <diagonal/>
    </border>
    <border>
      <left style="medium">
        <color indexed="64"/>
      </left>
      <right/>
      <top/>
      <bottom style="thin">
        <color indexed="64"/>
      </bottom>
      <diagonal/>
    </border>
    <border>
      <left style="medium">
        <color indexed="64"/>
      </left>
      <right style="medium">
        <color indexed="64"/>
      </right>
      <top style="thin">
        <color theme="0" tint="-0.24994659260841701"/>
      </top>
      <bottom style="medium">
        <color indexed="64"/>
      </bottom>
      <diagonal/>
    </border>
    <border>
      <left style="medium">
        <color indexed="64"/>
      </left>
      <right style="thin">
        <color theme="0" tint="-0.24994659260841701"/>
      </right>
      <top style="thin">
        <color theme="0" tint="-0.24994659260841701"/>
      </top>
      <bottom style="medium">
        <color indexed="64"/>
      </bottom>
      <diagonal/>
    </border>
    <border>
      <left style="medium">
        <color indexed="64"/>
      </left>
      <right style="medium">
        <color auto="1"/>
      </right>
      <top/>
      <bottom style="thin">
        <color auto="1"/>
      </bottom>
      <diagonal/>
    </border>
    <border>
      <left style="medium">
        <color auto="1"/>
      </left>
      <right style="medium">
        <color indexed="64"/>
      </right>
      <top style="thin">
        <color auto="1"/>
      </top>
      <bottom style="thin">
        <color auto="1"/>
      </bottom>
      <diagonal/>
    </border>
    <border>
      <left style="medium">
        <color indexed="64"/>
      </left>
      <right style="medium">
        <color indexed="64"/>
      </right>
      <top style="thin">
        <color indexed="64"/>
      </top>
      <bottom/>
      <diagonal/>
    </border>
    <border>
      <left style="medium">
        <color auto="1"/>
      </left>
      <right style="thin">
        <color auto="1"/>
      </right>
      <top/>
      <bottom style="thin">
        <color theme="0" tint="-0.24994659260841701"/>
      </bottom>
      <diagonal/>
    </border>
    <border>
      <left style="medium">
        <color indexed="64"/>
      </left>
      <right style="thin">
        <color indexed="64"/>
      </right>
      <top style="thin">
        <color theme="0" tint="-0.24994659260841701"/>
      </top>
      <bottom style="thin">
        <color theme="0" tint="-0.24994659260841701"/>
      </bottom>
      <diagonal/>
    </border>
    <border>
      <left style="medium">
        <color indexed="64"/>
      </left>
      <right style="thin">
        <color rgb="FFBFBFBF"/>
      </right>
      <top style="thin">
        <color rgb="FFBFBFBF"/>
      </top>
      <bottom style="medium">
        <color auto="1"/>
      </bottom>
      <diagonal/>
    </border>
    <border>
      <left style="thin">
        <color rgb="FFBFBFBF"/>
      </left>
      <right style="thin">
        <color rgb="FFBFBFBF"/>
      </right>
      <top style="thin">
        <color rgb="FFBFBFBF"/>
      </top>
      <bottom style="medium">
        <color indexed="64"/>
      </bottom>
      <diagonal/>
    </border>
    <border>
      <left style="thin">
        <color theme="0" tint="-0.24994659260841701"/>
      </left>
      <right style="thin">
        <color theme="0" tint="-0.24994659260841701"/>
      </right>
      <top style="thin">
        <color theme="0" tint="-0.24994659260841701"/>
      </top>
      <bottom style="medium">
        <color indexed="64"/>
      </bottom>
      <diagonal/>
    </border>
    <border>
      <left style="medium">
        <color indexed="64"/>
      </left>
      <right style="thin">
        <color indexed="64"/>
      </right>
      <top style="thin">
        <color theme="0" tint="-0.24994659260841701"/>
      </top>
      <bottom style="medium">
        <color indexed="64"/>
      </bottom>
      <diagonal/>
    </border>
    <border>
      <left style="medium">
        <color indexed="64"/>
      </left>
      <right style="thin">
        <color theme="0" tint="-0.24994659260841701"/>
      </right>
      <top style="medium">
        <color indexed="64"/>
      </top>
      <bottom/>
      <diagonal/>
    </border>
    <border>
      <left style="thin">
        <color theme="0" tint="-0.24994659260841701"/>
      </left>
      <right style="medium">
        <color indexed="64"/>
      </right>
      <top style="medium">
        <color indexed="64"/>
      </top>
      <bottom/>
      <diagonal/>
    </border>
    <border>
      <left/>
      <right style="medium">
        <color indexed="64"/>
      </right>
      <top style="medium">
        <color indexed="64"/>
      </top>
      <bottom style="thin">
        <color theme="0" tint="-0.34998626667073579"/>
      </bottom>
      <diagonal/>
    </border>
    <border>
      <left style="thin">
        <color theme="0" tint="-0.24994659260841701"/>
      </left>
      <right style="thin">
        <color theme="0" tint="-0.24994659260841701"/>
      </right>
      <top style="medium">
        <color indexed="64"/>
      </top>
      <bottom style="thin">
        <color theme="0" tint="-0.24994659260841701"/>
      </bottom>
      <diagonal/>
    </border>
    <border>
      <left/>
      <right style="medium">
        <color indexed="64"/>
      </right>
      <top style="thin">
        <color theme="0" tint="-0.34998626667073579"/>
      </top>
      <bottom style="thin">
        <color theme="0" tint="-0.34998626667073579"/>
      </bottom>
      <diagonal/>
    </border>
    <border>
      <left/>
      <right style="medium">
        <color indexed="64"/>
      </right>
      <top style="thin">
        <color theme="0" tint="-0.34998626667073579"/>
      </top>
      <bottom style="medium">
        <color indexed="64"/>
      </bottom>
      <diagonal/>
    </border>
    <border>
      <left style="medium">
        <color indexed="64"/>
      </left>
      <right style="thin">
        <color theme="0" tint="-0.24994659260841701"/>
      </right>
      <top style="medium">
        <color indexed="64"/>
      </top>
      <bottom style="medium">
        <color indexed="64"/>
      </bottom>
      <diagonal/>
    </border>
    <border>
      <left style="medium">
        <color indexed="64"/>
      </left>
      <right style="thin">
        <color theme="0" tint="-0.24994659260841701"/>
      </right>
      <top/>
      <bottom style="thin">
        <color theme="0" tint="-0.24994659260841701"/>
      </bottom>
      <diagonal/>
    </border>
    <border>
      <left style="medium">
        <color indexed="64"/>
      </left>
      <right style="thin">
        <color rgb="FFA6A6A6"/>
      </right>
      <top style="thin">
        <color rgb="FFA6A6A6"/>
      </top>
      <bottom style="thin">
        <color rgb="FFA6A6A6"/>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theme="0" tint="-0.24994659260841701"/>
      </left>
      <right style="thin">
        <color theme="0" tint="-0.24994659260841701"/>
      </right>
      <top style="medium">
        <color indexed="64"/>
      </top>
      <bottom style="medium">
        <color indexed="64"/>
      </bottom>
      <diagonal/>
    </border>
    <border>
      <left style="thin">
        <color theme="0" tint="-0.24994659260841701"/>
      </left>
      <right style="medium">
        <color indexed="64"/>
      </right>
      <top style="medium">
        <color indexed="64"/>
      </top>
      <bottom style="medium">
        <color indexed="64"/>
      </bottom>
      <diagonal/>
    </border>
    <border>
      <left style="thin">
        <color theme="0" tint="-0.24994659260841701"/>
      </left>
      <right style="medium">
        <color indexed="64"/>
      </right>
      <top style="medium">
        <color indexed="64"/>
      </top>
      <bottom style="thin">
        <color theme="0" tint="-0.24994659260841701"/>
      </bottom>
      <diagonal/>
    </border>
    <border>
      <left style="thin">
        <color theme="0" tint="-0.24994659260841701"/>
      </left>
      <right style="medium">
        <color indexed="64"/>
      </right>
      <top style="thin">
        <color theme="0" tint="-0.24994659260841701"/>
      </top>
      <bottom style="thin">
        <color theme="0" tint="-0.24994659260841701"/>
      </bottom>
      <diagonal/>
    </border>
    <border>
      <left style="thin">
        <color theme="0" tint="-0.24994659260841701"/>
      </left>
      <right style="medium">
        <color indexed="64"/>
      </right>
      <top style="thin">
        <color theme="0" tint="-0.24994659260841701"/>
      </top>
      <bottom style="medium">
        <color indexed="64"/>
      </bottom>
      <diagonal/>
    </border>
    <border>
      <left/>
      <right/>
      <top style="thin">
        <color indexed="64"/>
      </top>
      <bottom style="thin">
        <color indexed="64"/>
      </bottom>
      <diagonal/>
    </border>
    <border>
      <left/>
      <right/>
      <top style="thin">
        <color theme="0" tint="-0.24994659260841701"/>
      </top>
      <bottom style="thin">
        <color theme="0" tint="-0.24994659260841701"/>
      </bottom>
      <diagonal/>
    </border>
    <border>
      <left/>
      <right/>
      <top/>
      <bottom style="thin">
        <color indexed="64"/>
      </bottom>
      <diagonal/>
    </border>
    <border>
      <left/>
      <right style="medium">
        <color indexed="64"/>
      </right>
      <top/>
      <bottom style="thin">
        <color indexed="64"/>
      </bottom>
      <diagonal/>
    </border>
    <border>
      <left style="thin">
        <color theme="0" tint="-0.24994659260841701"/>
      </left>
      <right/>
      <top style="medium">
        <color indexed="64"/>
      </top>
      <bottom style="thin">
        <color theme="0" tint="-0.24994659260841701"/>
      </bottom>
      <diagonal/>
    </border>
    <border>
      <left/>
      <right style="medium">
        <color indexed="64"/>
      </right>
      <top style="medium">
        <color auto="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style="medium">
        <color auto="1"/>
      </right>
      <top style="thin">
        <color theme="0" tint="-0.24994659260841701"/>
      </top>
      <bottom style="thin">
        <color theme="0" tint="-0.24994659260841701"/>
      </bottom>
      <diagonal/>
    </border>
    <border>
      <left/>
      <right/>
      <top style="thin">
        <color theme="0" tint="-0.24994659260841701"/>
      </top>
      <bottom style="medium">
        <color indexed="64"/>
      </bottom>
      <diagonal/>
    </border>
    <border>
      <left/>
      <right style="medium">
        <color auto="1"/>
      </right>
      <top style="thin">
        <color theme="0" tint="-0.24994659260841701"/>
      </top>
      <bottom style="medium">
        <color auto="1"/>
      </bottom>
      <diagonal/>
    </border>
    <border>
      <left style="medium">
        <color indexed="64"/>
      </left>
      <right style="thin">
        <color theme="0" tint="-0.24994659260841701"/>
      </right>
      <top/>
      <bottom style="thin">
        <color indexed="64"/>
      </bottom>
      <diagonal/>
    </border>
    <border>
      <left style="thin">
        <color theme="0" tint="-0.24994659260841701"/>
      </left>
      <right style="thin">
        <color theme="0" tint="-0.24994659260841701"/>
      </right>
      <top/>
      <bottom style="thin">
        <color indexed="64"/>
      </bottom>
      <diagonal/>
    </border>
    <border>
      <left style="thin">
        <color theme="0" tint="-0.24994659260841701"/>
      </left>
      <right/>
      <top/>
      <bottom style="thin">
        <color indexed="64"/>
      </bottom>
      <diagonal/>
    </border>
    <border>
      <left style="medium">
        <color indexed="64"/>
      </left>
      <right style="thin">
        <color theme="0" tint="-0.24994659260841701"/>
      </right>
      <top/>
      <bottom/>
      <diagonal/>
    </border>
    <border>
      <left style="thin">
        <color theme="0" tint="-0.24994659260841701"/>
      </left>
      <right/>
      <top/>
      <bottom style="thin">
        <color theme="0" tint="-0.24994659260841701"/>
      </bottom>
      <diagonal/>
    </border>
    <border>
      <left/>
      <right/>
      <top/>
      <bottom style="thin">
        <color theme="0" tint="-0.24994659260841701"/>
      </bottom>
      <diagonal/>
    </border>
    <border>
      <left/>
      <right style="medium">
        <color indexed="64"/>
      </right>
      <top/>
      <bottom style="thin">
        <color theme="0" tint="-0.24994659260841701"/>
      </bottom>
      <diagonal/>
    </border>
    <border>
      <left style="thin">
        <color theme="0" tint="-0.24994659260841701"/>
      </left>
      <right style="thin">
        <color theme="0" tint="-0.24994659260841701"/>
      </right>
      <top style="thin">
        <color theme="0" tint="-0.24994659260841701"/>
      </top>
      <bottom style="thin">
        <color indexed="64"/>
      </bottom>
      <diagonal/>
    </border>
    <border>
      <left style="thin">
        <color theme="0" tint="-0.24994659260841701"/>
      </left>
      <right/>
      <top style="thin">
        <color theme="0" tint="-0.24994659260841701"/>
      </top>
      <bottom style="thin">
        <color indexed="64"/>
      </bottom>
      <diagonal/>
    </border>
    <border>
      <left style="thin">
        <color theme="0" tint="-0.24994659260841701"/>
      </left>
      <right style="thin">
        <color theme="0" tint="-0.24994659260841701"/>
      </right>
      <top/>
      <bottom/>
      <diagonal/>
    </border>
    <border>
      <left style="thin">
        <color theme="0" tint="-0.24994659260841701"/>
      </left>
      <right/>
      <top/>
      <bottom/>
      <diagonal/>
    </border>
    <border>
      <left/>
      <right style="medium">
        <color indexed="64"/>
      </right>
      <top style="thin">
        <color theme="0" tint="-0.24994659260841701"/>
      </top>
      <bottom/>
      <diagonal/>
    </border>
    <border>
      <left style="medium">
        <color indexed="64"/>
      </left>
      <right style="thin">
        <color theme="0" tint="-0.24994659260841701"/>
      </right>
      <top/>
      <bottom style="medium">
        <color indexed="64"/>
      </bottom>
      <diagonal/>
    </border>
    <border>
      <left style="thin">
        <color theme="0" tint="-0.24994659260841701"/>
      </left>
      <right style="thin">
        <color theme="0" tint="-0.24994659260841701"/>
      </right>
      <top/>
      <bottom style="medium">
        <color indexed="64"/>
      </bottom>
      <diagonal/>
    </border>
    <border>
      <left style="thin">
        <color theme="0" tint="-0.24994659260841701"/>
      </left>
      <right/>
      <top/>
      <bottom style="medium">
        <color indexed="64"/>
      </bottom>
      <diagonal/>
    </border>
    <border>
      <left style="thin">
        <color theme="0" tint="-0.24994659260841701"/>
      </left>
      <right style="medium">
        <color indexed="64"/>
      </right>
      <top/>
      <bottom style="medium">
        <color indexed="64"/>
      </bottom>
      <diagonal/>
    </border>
    <border>
      <left style="thin">
        <color rgb="FFBFBFBF"/>
      </left>
      <right style="medium">
        <color indexed="64"/>
      </right>
      <top style="medium">
        <color indexed="64"/>
      </top>
      <bottom style="medium">
        <color indexed="64"/>
      </bottom>
      <diagonal/>
    </border>
    <border>
      <left style="thin">
        <color rgb="FFBFBFBF"/>
      </left>
      <right style="medium">
        <color indexed="64"/>
      </right>
      <top/>
      <bottom style="thin">
        <color rgb="FFBFBFBF"/>
      </bottom>
      <diagonal/>
    </border>
    <border>
      <left style="thin">
        <color rgb="FFBFBFBF"/>
      </left>
      <right style="medium">
        <color indexed="64"/>
      </right>
      <top style="thin">
        <color rgb="FFBFBFBF"/>
      </top>
      <bottom style="thin">
        <color rgb="FFBFBFBF"/>
      </bottom>
      <diagonal/>
    </border>
    <border>
      <left style="thin">
        <color rgb="FFBFBFBF"/>
      </left>
      <right style="medium">
        <color indexed="64"/>
      </right>
      <top style="thin">
        <color rgb="FFBFBFBF"/>
      </top>
      <bottom style="medium">
        <color indexed="64"/>
      </bottom>
      <diagonal/>
    </border>
    <border>
      <left style="medium">
        <color indexed="64"/>
      </left>
      <right style="thin">
        <color theme="0" tint="-0.24994659260841701"/>
      </right>
      <top/>
      <bottom style="mediumDashed">
        <color theme="0" tint="-0.34998626667073579"/>
      </bottom>
      <diagonal/>
    </border>
    <border>
      <left style="thin">
        <color theme="0" tint="-0.24994659260841701"/>
      </left>
      <right style="thin">
        <color theme="0" tint="-0.24994659260841701"/>
      </right>
      <top/>
      <bottom style="mediumDashed">
        <color theme="0" tint="-0.34998626667073579"/>
      </bottom>
      <diagonal/>
    </border>
    <border>
      <left style="thin">
        <color theme="0" tint="-0.24994659260841701"/>
      </left>
      <right/>
      <top/>
      <bottom style="mediumDashed">
        <color theme="0" tint="-0.34998626667073579"/>
      </bottom>
      <diagonal/>
    </border>
    <border>
      <left/>
      <right/>
      <top/>
      <bottom style="mediumDashed">
        <color theme="0" tint="-0.34998626667073579"/>
      </bottom>
      <diagonal/>
    </border>
    <border>
      <left style="medium">
        <color indexed="64"/>
      </left>
      <right style="thin">
        <color theme="0" tint="-0.24994659260841701"/>
      </right>
      <top/>
      <bottom style="thin">
        <color theme="0" tint="-0.14996795556505021"/>
      </bottom>
      <diagonal/>
    </border>
    <border>
      <left/>
      <right/>
      <top/>
      <bottom style="thin">
        <color theme="0" tint="-0.14996795556505021"/>
      </bottom>
      <diagonal/>
    </border>
    <border>
      <left/>
      <right style="medium">
        <color indexed="64"/>
      </right>
      <top/>
      <bottom style="thin">
        <color theme="0" tint="-0.14996795556505021"/>
      </bottom>
      <diagonal/>
    </border>
    <border>
      <left/>
      <right style="medium">
        <color indexed="64"/>
      </right>
      <top/>
      <bottom style="mediumDashed">
        <color theme="0" tint="-0.34998626667073579"/>
      </bottom>
      <diagonal/>
    </border>
    <border>
      <left style="thin">
        <color theme="0" tint="-0.24994659260841701"/>
      </left>
      <right/>
      <top style="medium">
        <color indexed="64"/>
      </top>
      <bottom style="medium">
        <color indexed="64"/>
      </bottom>
      <diagonal/>
    </border>
    <border>
      <left style="medium">
        <color indexed="64"/>
      </left>
      <right style="thin">
        <color rgb="FFBFBFBF"/>
      </right>
      <top style="medium">
        <color indexed="64"/>
      </top>
      <bottom style="mediumDashed">
        <color indexed="64"/>
      </bottom>
      <diagonal/>
    </border>
    <border>
      <left style="thin">
        <color rgb="FFBFBFBF"/>
      </left>
      <right style="thin">
        <color rgb="FFBFBFBF"/>
      </right>
      <top style="medium">
        <color indexed="64"/>
      </top>
      <bottom style="mediumDashed">
        <color indexed="64"/>
      </bottom>
      <diagonal/>
    </border>
    <border>
      <left style="thin">
        <color rgb="FFBFBFBF"/>
      </left>
      <right style="medium">
        <color indexed="64"/>
      </right>
      <top style="medium">
        <color indexed="64"/>
      </top>
      <bottom style="mediumDashed">
        <color indexed="64"/>
      </bottom>
      <diagonal/>
    </border>
    <border>
      <left style="thin">
        <color indexed="64"/>
      </left>
      <right style="medium">
        <color indexed="64"/>
      </right>
      <top style="medium">
        <color indexed="64"/>
      </top>
      <bottom style="medium">
        <color indexed="64"/>
      </bottom>
      <diagonal/>
    </border>
    <border>
      <left style="thin">
        <color theme="0" tint="-0.24994659260841701"/>
      </left>
      <right style="medium">
        <color indexed="64"/>
      </right>
      <top/>
      <bottom style="thin">
        <color theme="0" tint="-0.24994659260841701"/>
      </bottom>
      <diagonal/>
    </border>
    <border>
      <left style="medium">
        <color indexed="64"/>
      </left>
      <right style="thin">
        <color theme="0" tint="-0.24994659260841701"/>
      </right>
      <top style="mediumDashed">
        <color indexed="64"/>
      </top>
      <bottom style="thin">
        <color indexed="64"/>
      </bottom>
      <diagonal/>
    </border>
    <border>
      <left style="thin">
        <color theme="0" tint="-0.24994659260841701"/>
      </left>
      <right style="thin">
        <color theme="0" tint="-0.24994659260841701"/>
      </right>
      <top style="mediumDashed">
        <color indexed="64"/>
      </top>
      <bottom style="thin">
        <color indexed="64"/>
      </bottom>
      <diagonal/>
    </border>
    <border>
      <left style="thin">
        <color theme="0" tint="-0.24994659260841701"/>
      </left>
      <right/>
      <top style="mediumDashed">
        <color indexed="64"/>
      </top>
      <bottom style="thin">
        <color indexed="64"/>
      </bottom>
      <diagonal/>
    </border>
    <border>
      <left/>
      <right/>
      <top style="mediumDashed">
        <color indexed="64"/>
      </top>
      <bottom style="thin">
        <color indexed="64"/>
      </bottom>
      <diagonal/>
    </border>
    <border>
      <left/>
      <right style="medium">
        <color indexed="64"/>
      </right>
      <top style="mediumDashed">
        <color indexed="64"/>
      </top>
      <bottom style="thin">
        <color indexed="64"/>
      </bottom>
      <diagonal/>
    </border>
    <border>
      <left style="medium">
        <color indexed="64"/>
      </left>
      <right style="thin">
        <color theme="0" tint="-0.24994659260841701"/>
      </right>
      <top style="thin">
        <color theme="0" tint="-0.24994659260841701"/>
      </top>
      <bottom style="hair">
        <color indexed="64"/>
      </bottom>
      <diagonal/>
    </border>
    <border>
      <left style="thin">
        <color theme="0" tint="-0.24994659260841701"/>
      </left>
      <right style="thin">
        <color theme="0" tint="-0.24994659260841701"/>
      </right>
      <top style="thin">
        <color theme="0" tint="-0.24994659260841701"/>
      </top>
      <bottom style="hair">
        <color indexed="64"/>
      </bottom>
      <diagonal/>
    </border>
    <border>
      <left style="thin">
        <color theme="0" tint="-0.24994659260841701"/>
      </left>
      <right style="medium">
        <color indexed="64"/>
      </right>
      <top style="thin">
        <color theme="0" tint="-0.24994659260841701"/>
      </top>
      <bottom style="hair">
        <color indexed="64"/>
      </bottom>
      <diagonal/>
    </border>
    <border>
      <left style="medium">
        <color auto="1"/>
      </left>
      <right/>
      <top style="medium">
        <color auto="1"/>
      </top>
      <bottom style="thin">
        <color theme="0" tint="-0.24994659260841701"/>
      </bottom>
      <diagonal/>
    </border>
    <border>
      <left style="medium">
        <color indexed="64"/>
      </left>
      <right/>
      <top style="thin">
        <color theme="0" tint="-0.24994659260841701"/>
      </top>
      <bottom style="thin">
        <color theme="0" tint="-0.24994659260841701"/>
      </bottom>
      <diagonal/>
    </border>
    <border>
      <left style="medium">
        <color indexed="64"/>
      </left>
      <right style="thin">
        <color theme="0" tint="-0.24994659260841701"/>
      </right>
      <top style="thin">
        <color indexed="64"/>
      </top>
      <bottom style="thin">
        <color indexed="64"/>
      </bottom>
      <diagonal/>
    </border>
    <border>
      <left style="thin">
        <color theme="0" tint="-0.24994659260841701"/>
      </left>
      <right style="thin">
        <color theme="0" tint="-0.24994659260841701"/>
      </right>
      <top style="thin">
        <color indexed="64"/>
      </top>
      <bottom style="thin">
        <color indexed="64"/>
      </bottom>
      <diagonal/>
    </border>
    <border>
      <left style="thin">
        <color theme="0" tint="-0.24994659260841701"/>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rgb="FFBFBFBF"/>
      </right>
      <top style="thin">
        <color rgb="FFBFBFBF"/>
      </top>
      <bottom/>
      <diagonal/>
    </border>
    <border>
      <left style="thin">
        <color rgb="FFBFBFBF"/>
      </left>
      <right style="thin">
        <color rgb="FFBFBFBF"/>
      </right>
      <top style="thin">
        <color rgb="FFBFBFBF"/>
      </top>
      <bottom/>
      <diagonal/>
    </border>
    <border>
      <left style="thin">
        <color rgb="FFBFBFBF"/>
      </left>
      <right style="medium">
        <color indexed="64"/>
      </right>
      <top style="thin">
        <color rgb="FFBFBFBF"/>
      </top>
      <bottom/>
      <diagonal/>
    </border>
    <border>
      <left style="thin">
        <color theme="0" tint="-0.24994659260841701"/>
      </left>
      <right style="medium">
        <color indexed="64"/>
      </right>
      <top style="thin">
        <color theme="0" tint="-0.24994659260841701"/>
      </top>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rgb="FFA6A6A6"/>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auto="1"/>
      </left>
      <right style="thin">
        <color theme="0" tint="-0.24994659260841701"/>
      </right>
      <top style="medium">
        <color auto="1"/>
      </top>
      <bottom style="thin">
        <color indexed="64"/>
      </bottom>
      <diagonal/>
    </border>
    <border>
      <left style="thin">
        <color theme="0" tint="-0.24994659260841701"/>
      </left>
      <right style="thin">
        <color theme="0" tint="-0.24994659260841701"/>
      </right>
      <top style="thin">
        <color auto="1"/>
      </top>
      <bottom style="medium">
        <color indexed="64"/>
      </bottom>
      <diagonal/>
    </border>
    <border>
      <left/>
      <right/>
      <top style="thin">
        <color indexed="64"/>
      </top>
      <bottom style="medium">
        <color indexed="64"/>
      </bottom>
      <diagonal/>
    </border>
    <border>
      <left/>
      <right style="thin">
        <color theme="0" tint="-0.24994659260841701"/>
      </right>
      <top style="thin">
        <color theme="0" tint="-0.24994659260841701"/>
      </top>
      <bottom style="thin">
        <color theme="0" tint="-0.24994659260841701"/>
      </bottom>
      <diagonal/>
    </border>
    <border>
      <left/>
      <right style="thin">
        <color theme="0" tint="-0.24994659260841701"/>
      </right>
      <top style="thin">
        <color theme="0" tint="-0.24994659260841701"/>
      </top>
      <bottom style="medium">
        <color indexed="64"/>
      </bottom>
      <diagonal/>
    </border>
    <border>
      <left style="medium">
        <color auto="1"/>
      </left>
      <right style="medium">
        <color indexed="64"/>
      </right>
      <top/>
      <bottom style="thin">
        <color theme="0" tint="-0.24994659260841701"/>
      </bottom>
      <diagonal/>
    </border>
    <border>
      <left/>
      <right style="thin">
        <color theme="0" tint="-0.24994659260841701"/>
      </right>
      <top/>
      <bottom style="thin">
        <color theme="0" tint="-0.24994659260841701"/>
      </bottom>
      <diagonal/>
    </border>
    <border>
      <left/>
      <right/>
      <top style="medium">
        <color indexed="64"/>
      </top>
      <bottom style="thin">
        <color theme="0" tint="-0.24994659260841701"/>
      </bottom>
      <diagonal/>
    </border>
    <border>
      <left style="medium">
        <color indexed="64"/>
      </left>
      <right style="thin">
        <color theme="0" tint="-0.24994659260841701"/>
      </right>
      <top style="thin">
        <color theme="0" tint="-0.24994659260841701"/>
      </top>
      <bottom style="thin">
        <color indexed="64"/>
      </bottom>
      <diagonal/>
    </border>
    <border>
      <left/>
      <right/>
      <top style="thin">
        <color theme="0" tint="-0.24994659260841701"/>
      </top>
      <bottom style="thin">
        <color indexed="64"/>
      </bottom>
      <diagonal/>
    </border>
    <border>
      <left/>
      <right style="medium">
        <color indexed="64"/>
      </right>
      <top style="thin">
        <color theme="0" tint="-0.24994659260841701"/>
      </top>
      <bottom style="thin">
        <color indexed="64"/>
      </bottom>
      <diagonal/>
    </border>
    <border>
      <left style="medium">
        <color indexed="64"/>
      </left>
      <right/>
      <top/>
      <bottom style="thin">
        <color theme="0" tint="-0.24994659260841701"/>
      </bottom>
      <diagonal/>
    </border>
    <border>
      <left style="medium">
        <color indexed="64"/>
      </left>
      <right/>
      <top style="thin">
        <color theme="0" tint="-0.24994659260841701"/>
      </top>
      <bottom style="thin">
        <color indexed="64"/>
      </bottom>
      <diagonal/>
    </border>
    <border>
      <left style="medium">
        <color indexed="64"/>
      </left>
      <right/>
      <top style="thin">
        <color indexed="64"/>
      </top>
      <bottom style="thin">
        <color theme="0" tint="-0.24994659260841701"/>
      </bottom>
      <diagonal/>
    </border>
    <border>
      <left/>
      <right style="medium">
        <color indexed="64"/>
      </right>
      <top style="thin">
        <color indexed="64"/>
      </top>
      <bottom style="thin">
        <color theme="0" tint="-0.2499465926084170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theme="0" tint="-0.34998626667073579"/>
      </top>
      <bottom/>
      <diagonal/>
    </border>
    <border>
      <left/>
      <right style="medium">
        <color indexed="64"/>
      </right>
      <top style="thin">
        <color indexed="64"/>
      </top>
      <bottom/>
      <diagonal/>
    </border>
    <border>
      <left style="thin">
        <color indexed="64"/>
      </left>
      <right/>
      <top/>
      <bottom/>
      <diagonal/>
    </border>
    <border>
      <left style="medium">
        <color indexed="64"/>
      </left>
      <right style="thin">
        <color indexed="64"/>
      </right>
      <top style="medium">
        <color indexed="64"/>
      </top>
      <bottom/>
      <diagonal/>
    </border>
    <border>
      <left/>
      <right style="thin">
        <color indexed="64"/>
      </right>
      <top/>
      <bottom style="medium">
        <color auto="1"/>
      </bottom>
      <diagonal/>
    </border>
    <border>
      <left style="thin">
        <color theme="0" tint="-0.24994659260841701"/>
      </left>
      <right style="thin">
        <color theme="0" tint="-0.24994659260841701"/>
      </right>
      <top style="medium">
        <color indexed="64"/>
      </top>
      <bottom/>
      <diagonal/>
    </border>
    <border>
      <left style="thin">
        <color rgb="FFBFBFBF"/>
      </left>
      <right style="thin">
        <color indexed="64"/>
      </right>
      <top style="medium">
        <color indexed="64"/>
      </top>
      <bottom/>
      <diagonal/>
    </border>
    <border>
      <left style="thin">
        <color rgb="FFBFBFBF"/>
      </left>
      <right style="medium">
        <color indexed="64"/>
      </right>
      <top style="medium">
        <color indexed="64"/>
      </top>
      <bottom/>
      <diagonal/>
    </border>
    <border>
      <left style="thin">
        <color rgb="FFBFBFBF"/>
      </left>
      <right style="thin">
        <color rgb="FFBFBFBF"/>
      </right>
      <top style="medium">
        <color indexed="64"/>
      </top>
      <bottom/>
      <diagonal/>
    </border>
    <border>
      <left style="dotted">
        <color rgb="FFFF0000"/>
      </left>
      <right style="medium">
        <color indexed="64"/>
      </right>
      <top style="dotted">
        <color rgb="FFFF0000"/>
      </top>
      <bottom/>
      <diagonal/>
    </border>
    <border>
      <left style="medium">
        <color indexed="64"/>
      </left>
      <right style="thin">
        <color indexed="64"/>
      </right>
      <top style="dotted">
        <color rgb="FFFF0000"/>
      </top>
      <bottom style="medium">
        <color indexed="64"/>
      </bottom>
      <diagonal/>
    </border>
    <border>
      <left style="thin">
        <color rgb="FFBFBFBF"/>
      </left>
      <right style="thin">
        <color indexed="64"/>
      </right>
      <top style="dotted">
        <color rgb="FFFF0000"/>
      </top>
      <bottom style="medium">
        <color auto="1"/>
      </bottom>
      <diagonal/>
    </border>
    <border>
      <left style="thin">
        <color rgb="FFBFBFBF"/>
      </left>
      <right style="dotted">
        <color rgb="FFFF0000"/>
      </right>
      <top style="dotted">
        <color rgb="FFFF0000"/>
      </top>
      <bottom style="medium">
        <color indexed="64"/>
      </bottom>
      <diagonal/>
    </border>
    <border>
      <left style="dotted">
        <color rgb="FFFF0000"/>
      </left>
      <right style="medium">
        <color indexed="64"/>
      </right>
      <top/>
      <bottom/>
      <diagonal/>
    </border>
    <border>
      <left style="thin">
        <color theme="0" tint="-0.24994659260841701"/>
      </left>
      <right style="dotted">
        <color rgb="FFFF0000"/>
      </right>
      <top/>
      <bottom style="thin">
        <color theme="0" tint="-0.24994659260841701"/>
      </bottom>
      <diagonal/>
    </border>
    <border>
      <left style="thin">
        <color theme="0" tint="-0.24994659260841701"/>
      </left>
      <right style="dotted">
        <color rgb="FFFF0000"/>
      </right>
      <top style="thin">
        <color theme="0" tint="-0.24994659260841701"/>
      </top>
      <bottom style="thin">
        <color theme="0" tint="-0.24994659260841701"/>
      </bottom>
      <diagonal/>
    </border>
    <border>
      <left style="thin">
        <color theme="0" tint="-0.24994659260841701"/>
      </left>
      <right style="dotted">
        <color rgb="FFFF0000"/>
      </right>
      <top style="thin">
        <color theme="0" tint="-0.24994659260841701"/>
      </top>
      <bottom style="medium">
        <color indexed="64"/>
      </bottom>
      <diagonal/>
    </border>
    <border>
      <left style="dotted">
        <color rgb="FFFF0000"/>
      </left>
      <right/>
      <top/>
      <bottom/>
      <diagonal/>
    </border>
    <border>
      <left/>
      <right style="dotted">
        <color rgb="FFFF0000"/>
      </right>
      <top/>
      <bottom/>
      <diagonal/>
    </border>
    <border>
      <left style="dotted">
        <color rgb="FFFF0000"/>
      </left>
      <right style="medium">
        <color rgb="FFFF0000"/>
      </right>
      <top/>
      <bottom/>
      <diagonal/>
    </border>
    <border>
      <left style="dotted">
        <color rgb="FFFF0000"/>
      </left>
      <right style="medium">
        <color rgb="FFFF0000"/>
      </right>
      <top/>
      <bottom style="dotted">
        <color rgb="FFFF0000"/>
      </bottom>
      <diagonal/>
    </border>
    <border>
      <left style="medium">
        <color rgb="FFFF0000"/>
      </left>
      <right style="thin">
        <color theme="0" tint="-0.24994659260841701"/>
      </right>
      <top style="thin">
        <color theme="0" tint="-0.24994659260841701"/>
      </top>
      <bottom style="dotted">
        <color rgb="FFFF0000"/>
      </bottom>
      <diagonal/>
    </border>
    <border>
      <left style="thin">
        <color theme="0" tint="-0.24994659260841701"/>
      </left>
      <right style="thin">
        <color theme="0" tint="-0.24994659260841701"/>
      </right>
      <top style="thin">
        <color theme="0" tint="-0.24994659260841701"/>
      </top>
      <bottom style="dotted">
        <color rgb="FFFF0000"/>
      </bottom>
      <diagonal/>
    </border>
    <border>
      <left style="thin">
        <color theme="0" tint="-0.24994659260841701"/>
      </left>
      <right style="medium">
        <color rgb="FFFF0000"/>
      </right>
      <top style="thin">
        <color theme="0" tint="-0.24994659260841701"/>
      </top>
      <bottom style="dotted">
        <color rgb="FFFF0000"/>
      </bottom>
      <diagonal/>
    </border>
    <border>
      <left/>
      <right style="dotted">
        <color rgb="FFFF0000"/>
      </right>
      <top/>
      <bottom style="dotted">
        <color rgb="FFFF0000"/>
      </bottom>
      <diagonal/>
    </border>
    <border>
      <left style="medium">
        <color rgb="FFFF0000"/>
      </left>
      <right style="thin">
        <color theme="0" tint="-0.24994659260841701"/>
      </right>
      <top style="medium">
        <color rgb="FFFF0000"/>
      </top>
      <bottom style="medium">
        <color rgb="FFFF0000"/>
      </bottom>
      <diagonal/>
    </border>
    <border>
      <left style="thin">
        <color theme="0" tint="-0.24994659260841701"/>
      </left>
      <right style="thin">
        <color theme="0" tint="-0.24994659260841701"/>
      </right>
      <top style="medium">
        <color rgb="FFFF0000"/>
      </top>
      <bottom style="medium">
        <color rgb="FFFF0000"/>
      </bottom>
      <diagonal/>
    </border>
    <border>
      <left style="thin">
        <color theme="0" tint="-0.24994659260841701"/>
      </left>
      <right style="medium">
        <color rgb="FFFF0000"/>
      </right>
      <top style="medium">
        <color rgb="FFFF0000"/>
      </top>
      <bottom style="medium">
        <color rgb="FFFF0000"/>
      </bottom>
      <diagonal/>
    </border>
    <border>
      <left/>
      <right style="thin">
        <color indexed="64"/>
      </right>
      <top style="thin">
        <color indexed="64"/>
      </top>
      <bottom style="thin">
        <color indexed="64"/>
      </bottom>
      <diagonal/>
    </border>
    <border>
      <left/>
      <right style="thin">
        <color theme="0" tint="-0.24994659260841701"/>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theme="0" tint="-0.24994659260841701"/>
      </left>
      <right style="medium">
        <color indexed="64"/>
      </right>
      <top/>
      <bottom style="thin">
        <color indexed="64"/>
      </bottom>
      <diagonal/>
    </border>
    <border>
      <left style="thin">
        <color theme="0" tint="-0.24994659260841701"/>
      </left>
      <right style="medium">
        <color indexed="64"/>
      </right>
      <top style="thin">
        <color theme="0" tint="-0.24994659260841701"/>
      </top>
      <bottom style="thin">
        <color indexed="64"/>
      </bottom>
      <diagonal/>
    </border>
    <border>
      <left style="thin">
        <color theme="0" tint="-0.24994659260841701"/>
      </left>
      <right style="medium">
        <color indexed="64"/>
      </right>
      <top style="thin">
        <color indexed="64"/>
      </top>
      <bottom style="thin">
        <color theme="0" tint="-0.24994659260841701"/>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style="thin">
        <color rgb="FFBFBFBF"/>
      </right>
      <top/>
      <bottom style="mediumDashed">
        <color indexed="64"/>
      </bottom>
      <diagonal/>
    </border>
    <border>
      <left style="thin">
        <color rgb="FFBFBFBF"/>
      </left>
      <right style="thin">
        <color rgb="FFBFBFBF"/>
      </right>
      <top/>
      <bottom style="mediumDashed">
        <color indexed="64"/>
      </bottom>
      <diagonal/>
    </border>
    <border>
      <left style="thin">
        <color rgb="FFBFBFBF"/>
      </left>
      <right style="medium">
        <color indexed="64"/>
      </right>
      <top/>
      <bottom style="mediumDashed">
        <color indexed="64"/>
      </bottom>
      <diagonal/>
    </border>
    <border>
      <left/>
      <right/>
      <top style="medium">
        <color auto="1"/>
      </top>
      <bottom style="thin">
        <color indexed="64"/>
      </bottom>
      <diagonal/>
    </border>
    <border>
      <left/>
      <right style="medium">
        <color indexed="64"/>
      </right>
      <top style="medium">
        <color auto="1"/>
      </top>
      <bottom style="thin">
        <color indexed="64"/>
      </bottom>
      <diagonal/>
    </border>
    <border>
      <left/>
      <right/>
      <top style="thin">
        <color indexed="64"/>
      </top>
      <bottom/>
      <diagonal/>
    </border>
    <border>
      <left style="thin">
        <color indexed="64"/>
      </left>
      <right style="thin">
        <color rgb="FFBFBFBF"/>
      </right>
      <top style="medium">
        <color indexed="64"/>
      </top>
      <bottom style="medium">
        <color indexed="64"/>
      </bottom>
      <diagonal/>
    </border>
    <border>
      <left style="thin">
        <color theme="0" tint="-0.24994659260841701"/>
      </left>
      <right/>
      <top style="mediumDashed">
        <color indexed="64"/>
      </top>
      <bottom/>
      <diagonal/>
    </border>
    <border>
      <left/>
      <right/>
      <top style="mediumDashed">
        <color indexed="64"/>
      </top>
      <bottom/>
      <diagonal/>
    </border>
    <border>
      <left/>
      <right style="medium">
        <color indexed="64"/>
      </right>
      <top style="mediumDashed">
        <color indexed="64"/>
      </top>
      <bottom/>
      <diagonal/>
    </border>
    <border>
      <left style="medium">
        <color indexed="64"/>
      </left>
      <right/>
      <top style="thin">
        <color theme="4" tint="0.39997558519241921"/>
      </top>
      <bottom style="medium">
        <color auto="1"/>
      </bottom>
      <diagonal/>
    </border>
    <border>
      <left style="thin">
        <color indexed="64"/>
      </left>
      <right/>
      <top style="medium">
        <color indexed="64"/>
      </top>
      <bottom/>
      <diagonal/>
    </border>
    <border>
      <left style="medium">
        <color indexed="64"/>
      </left>
      <right/>
      <top style="thin">
        <color theme="4" tint="0.39997558519241921"/>
      </top>
      <bottom/>
      <diagonal/>
    </border>
    <border>
      <left/>
      <right/>
      <top style="thin">
        <color theme="4" tint="0.39997558519241921"/>
      </top>
      <bottom/>
      <diagonal/>
    </border>
    <border>
      <left/>
      <right style="medium">
        <color indexed="64"/>
      </right>
      <top style="thin">
        <color theme="4" tint="0.39997558519241921"/>
      </top>
      <bottom/>
      <diagonal/>
    </border>
    <border>
      <left style="medium">
        <color indexed="64"/>
      </left>
      <right style="medium">
        <color indexed="64"/>
      </right>
      <top style="thin">
        <color theme="0" tint="-0.24994659260841701"/>
      </top>
      <bottom/>
      <diagonal/>
    </border>
    <border>
      <left style="medium">
        <color indexed="64"/>
      </left>
      <right/>
      <top style="thin">
        <color indexed="64"/>
      </top>
      <bottom style="thin">
        <color indexed="64"/>
      </bottom>
      <diagonal/>
    </border>
    <border>
      <left style="medium">
        <color auto="1"/>
      </left>
      <right style="thin">
        <color theme="0" tint="-0.34998626667073579"/>
      </right>
      <top style="medium">
        <color indexed="64"/>
      </top>
      <bottom style="thin">
        <color theme="0" tint="-0.34998626667073579"/>
      </bottom>
      <diagonal/>
    </border>
    <border>
      <left style="thin">
        <color theme="0" tint="-0.34998626667073579"/>
      </left>
      <right style="thin">
        <color theme="0" tint="-0.34998626667073579"/>
      </right>
      <top style="medium">
        <color indexed="64"/>
      </top>
      <bottom style="thin">
        <color theme="0" tint="-0.34998626667073579"/>
      </bottom>
      <diagonal/>
    </border>
    <border>
      <left style="thin">
        <color theme="0" tint="-0.34998626667073579"/>
      </left>
      <right style="medium">
        <color indexed="64"/>
      </right>
      <top style="medium">
        <color indexed="64"/>
      </top>
      <bottom style="thin">
        <color theme="0" tint="-0.34998626667073579"/>
      </bottom>
      <diagonal/>
    </border>
    <border>
      <left style="medium">
        <color auto="1"/>
      </left>
      <right style="thin">
        <color theme="0" tint="-0.34998626667073579"/>
      </right>
      <top style="thin">
        <color theme="0" tint="-0.34998626667073579"/>
      </top>
      <bottom style="medium">
        <color indexed="64"/>
      </bottom>
      <diagonal/>
    </border>
    <border>
      <left style="thin">
        <color theme="0" tint="-0.34998626667073579"/>
      </left>
      <right style="thin">
        <color theme="0" tint="-0.34998626667073579"/>
      </right>
      <top style="thin">
        <color theme="0" tint="-0.34998626667073579"/>
      </top>
      <bottom style="medium">
        <color indexed="64"/>
      </bottom>
      <diagonal/>
    </border>
    <border>
      <left style="thin">
        <color theme="0" tint="-0.34998626667073579"/>
      </left>
      <right style="medium">
        <color indexed="64"/>
      </right>
      <top style="thin">
        <color theme="0" tint="-0.34998626667073579"/>
      </top>
      <bottom style="medium">
        <color indexed="64"/>
      </bottom>
      <diagonal/>
    </border>
    <border>
      <left style="medium">
        <color auto="1"/>
      </left>
      <right style="thin">
        <color theme="0" tint="-0.34998626667073579"/>
      </right>
      <top/>
      <bottom/>
      <diagonal/>
    </border>
    <border>
      <left style="thin">
        <color theme="0" tint="-0.34998626667073579"/>
      </left>
      <right style="thin">
        <color theme="0" tint="-0.34998626667073579"/>
      </right>
      <top/>
      <bottom/>
      <diagonal/>
    </border>
    <border>
      <left style="thin">
        <color theme="0" tint="-0.34998626667073579"/>
      </left>
      <right style="medium">
        <color indexed="64"/>
      </right>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bottom/>
      <diagonal/>
    </border>
    <border>
      <left style="medium">
        <color indexed="64"/>
      </left>
      <right style="medium">
        <color indexed="64"/>
      </right>
      <top style="medium">
        <color indexed="64"/>
      </top>
      <bottom style="thin">
        <color theme="0" tint="-0.34998626667073579"/>
      </bottom>
      <diagonal/>
    </border>
    <border>
      <left style="medium">
        <color indexed="64"/>
      </left>
      <right style="medium">
        <color indexed="64"/>
      </right>
      <top style="thin">
        <color theme="0" tint="-0.34998626667073579"/>
      </top>
      <bottom style="medium">
        <color indexed="64"/>
      </bottom>
      <diagonal/>
    </border>
    <border>
      <left style="medium">
        <color indexed="64"/>
      </left>
      <right/>
      <top style="thin">
        <color indexed="64"/>
      </top>
      <bottom style="medium">
        <color indexed="64"/>
      </bottom>
      <diagonal/>
    </border>
    <border>
      <left style="thin">
        <color theme="0" tint="-0.24994659260841701"/>
      </left>
      <right style="thin">
        <color theme="0" tint="-0.24994659260841701"/>
      </right>
      <top style="thin">
        <color theme="0" tint="-0.24994659260841701"/>
      </top>
      <bottom/>
      <diagonal/>
    </border>
    <border>
      <left style="medium">
        <color indexed="64"/>
      </left>
      <right style="thin">
        <color rgb="FFA6A6A6"/>
      </right>
      <top/>
      <bottom style="thin">
        <color rgb="FFA6A6A6"/>
      </bottom>
      <diagonal/>
    </border>
    <border>
      <left style="thin">
        <color theme="0" tint="-0.34998626667073579"/>
      </left>
      <right style="medium">
        <color indexed="64"/>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style="thin">
        <color theme="0" tint="-0.34998626667073579"/>
      </right>
      <top style="medium">
        <color indexed="64"/>
      </top>
      <bottom style="thin">
        <color theme="0" tint="-0.34998626667073579"/>
      </bottom>
      <diagonal/>
    </border>
    <border>
      <left style="thin">
        <color theme="0" tint="-0.34998626667073579"/>
      </left>
      <right style="thin">
        <color theme="0" tint="-0.34998626667073579"/>
      </right>
      <top style="medium">
        <color indexed="64"/>
      </top>
      <bottom style="medium">
        <color indexed="64"/>
      </bottom>
      <diagonal/>
    </border>
    <border>
      <left style="thin">
        <color theme="0" tint="-0.34998626667073579"/>
      </left>
      <right style="medium">
        <color indexed="64"/>
      </right>
      <top style="medium">
        <color indexed="64"/>
      </top>
      <bottom style="medium">
        <color indexed="64"/>
      </bottom>
      <diagonal/>
    </border>
    <border>
      <left style="medium">
        <color indexed="64"/>
      </left>
      <right style="thin">
        <color theme="0" tint="-0.34998626667073579"/>
      </right>
      <top style="medium">
        <color indexed="64"/>
      </top>
      <bottom style="medium">
        <color indexed="64"/>
      </bottom>
      <diagonal/>
    </border>
    <border>
      <left style="medium">
        <color indexed="64"/>
      </left>
      <right style="thin">
        <color theme="0" tint="-0.34998626667073579"/>
      </right>
      <top style="thin">
        <color theme="0" tint="-0.34998626667073579"/>
      </top>
      <bottom style="thin">
        <color theme="0" tint="-0.34998626667073579"/>
      </bottom>
      <diagonal/>
    </border>
    <border>
      <left/>
      <right style="thin">
        <color theme="0" tint="-0.34998626667073579"/>
      </right>
      <top/>
      <bottom style="medium">
        <color indexed="64"/>
      </bottom>
      <diagonal/>
    </border>
    <border>
      <left style="medium">
        <color indexed="64"/>
      </left>
      <right style="medium">
        <color auto="1"/>
      </right>
      <top style="thin">
        <color rgb="FFA6A6A6"/>
      </top>
      <bottom style="medium">
        <color indexed="64"/>
      </bottom>
      <diagonal/>
    </border>
    <border>
      <left style="medium">
        <color indexed="64"/>
      </left>
      <right style="thin">
        <color theme="0" tint="-0.24994659260841701"/>
      </right>
      <top style="thin">
        <color indexed="64"/>
      </top>
      <bottom style="medium">
        <color indexed="64"/>
      </bottom>
      <diagonal/>
    </border>
    <border>
      <left style="thin">
        <color theme="0" tint="-0.24994659260841701"/>
      </left>
      <right style="medium">
        <color indexed="64"/>
      </right>
      <top style="thin">
        <color indexed="64"/>
      </top>
      <bottom style="medium">
        <color indexed="64"/>
      </bottom>
      <diagonal/>
    </border>
    <border>
      <left style="thin">
        <color theme="0" tint="-0.24994659260841701"/>
      </left>
      <right style="thin">
        <color indexed="64"/>
      </right>
      <top style="thin">
        <color theme="0" tint="-0.24994659260841701"/>
      </top>
      <bottom style="medium">
        <color indexed="64"/>
      </bottom>
      <diagonal/>
    </border>
    <border>
      <left style="thin">
        <color theme="0" tint="-0.24994659260841701"/>
      </left>
      <right style="thin">
        <color indexed="64"/>
      </right>
      <top style="thin">
        <color theme="0" tint="-0.24994659260841701"/>
      </top>
      <bottom style="thin">
        <color theme="0" tint="-0.24994659260841701"/>
      </bottom>
      <diagonal/>
    </border>
    <border>
      <left style="thin">
        <color indexed="64"/>
      </left>
      <right style="thin">
        <color theme="0" tint="-0.24994659260841701"/>
      </right>
      <top style="thin">
        <color theme="0" tint="-0.24994659260841701"/>
      </top>
      <bottom style="thin">
        <color theme="0" tint="-0.24994659260841701"/>
      </bottom>
      <diagonal/>
    </border>
    <border>
      <left style="thin">
        <color theme="0" tint="-0.24994659260841701"/>
      </left>
      <right style="thin">
        <color indexed="64"/>
      </right>
      <top style="medium">
        <color indexed="64"/>
      </top>
      <bottom style="thin">
        <color theme="0" tint="-0.24994659260841701"/>
      </bottom>
      <diagonal/>
    </border>
    <border>
      <left/>
      <right style="thin">
        <color theme="0" tint="-0.24994659260841701"/>
      </right>
      <top style="medium">
        <color indexed="64"/>
      </top>
      <bottom style="thin">
        <color theme="0" tint="-0.24994659260841701"/>
      </bottom>
      <diagonal/>
    </border>
    <border>
      <left style="medium">
        <color indexed="64"/>
      </left>
      <right style="thin">
        <color theme="0" tint="-0.34998626667073579"/>
      </right>
      <top/>
      <bottom style="medium">
        <color indexed="64"/>
      </bottom>
      <diagonal/>
    </border>
    <border>
      <left style="thin">
        <color theme="0" tint="-0.34998626667073579"/>
      </left>
      <right style="thin">
        <color theme="0" tint="-0.34998626667073579"/>
      </right>
      <top/>
      <bottom style="medium">
        <color indexed="64"/>
      </bottom>
      <diagonal/>
    </border>
    <border>
      <left style="medium">
        <color indexed="64"/>
      </left>
      <right style="thin">
        <color theme="0" tint="-0.34998626667073579"/>
      </right>
      <top/>
      <bottom style="thin">
        <color theme="0" tint="-0.34998626667073579"/>
      </bottom>
      <diagonal/>
    </border>
    <border>
      <left style="thin">
        <color theme="0" tint="-0.34998626667073579"/>
      </left>
      <right style="medium">
        <color indexed="64"/>
      </right>
      <top style="thin">
        <color theme="0" tint="-0.34998626667073579"/>
      </top>
      <bottom style="thin">
        <color indexed="64"/>
      </bottom>
      <diagonal/>
    </border>
    <border>
      <left style="thin">
        <color theme="0" tint="-0.34998626667073579"/>
      </left>
      <right style="thin">
        <color theme="0" tint="-0.34998626667073579"/>
      </right>
      <top style="thin">
        <color theme="0" tint="-0.34998626667073579"/>
      </top>
      <bottom style="thin">
        <color indexed="64"/>
      </bottom>
      <diagonal/>
    </border>
    <border>
      <left style="medium">
        <color indexed="64"/>
      </left>
      <right style="thin">
        <color theme="0" tint="-0.34998626667073579"/>
      </right>
      <top style="thin">
        <color theme="0" tint="-0.34998626667073579"/>
      </top>
      <bottom style="thin">
        <color indexed="64"/>
      </bottom>
      <diagonal/>
    </border>
    <border>
      <left style="thin">
        <color theme="0" tint="-0.34998626667073579"/>
      </left>
      <right style="medium">
        <color indexed="64"/>
      </right>
      <top/>
      <bottom style="medium">
        <color auto="1"/>
      </bottom>
      <diagonal/>
    </border>
    <border>
      <left style="thin">
        <color theme="0" tint="-0.34998626667073579"/>
      </left>
      <right style="medium">
        <color indexed="64"/>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style="thin">
        <color theme="0" tint="-0.34998626667073579"/>
      </bottom>
      <diagonal/>
    </border>
    <border>
      <left style="medium">
        <color indexed="64"/>
      </left>
      <right style="thin">
        <color rgb="FFA6A6A6"/>
      </right>
      <top style="medium">
        <color indexed="64"/>
      </top>
      <bottom style="thin">
        <color rgb="FFA6A6A6"/>
      </bottom>
      <diagonal/>
    </border>
    <border>
      <left style="medium">
        <color indexed="64"/>
      </left>
      <right/>
      <top style="thin">
        <color rgb="FFA6A6A6"/>
      </top>
      <bottom style="medium">
        <color indexed="64"/>
      </bottom>
      <diagonal/>
    </border>
    <border>
      <left style="thin">
        <color indexed="64"/>
      </left>
      <right style="thin">
        <color theme="0" tint="-0.24994659260841701"/>
      </right>
      <top style="medium">
        <color indexed="64"/>
      </top>
      <bottom style="thin">
        <color theme="0" tint="-0.24994659260841701"/>
      </bottom>
      <diagonal/>
    </border>
    <border>
      <left style="thin">
        <color indexed="64"/>
      </left>
      <right style="thin">
        <color theme="0" tint="-0.24994659260841701"/>
      </right>
      <top style="thin">
        <color theme="0" tint="-0.24994659260841701"/>
      </top>
      <bottom style="medium">
        <color indexed="64"/>
      </bottom>
      <diagonal/>
    </border>
    <border>
      <left style="thin">
        <color theme="0" tint="-0.34998626667073579"/>
      </left>
      <right style="thin">
        <color indexed="64"/>
      </right>
      <top/>
      <bottom style="thin">
        <color theme="0" tint="-0.34998626667073579"/>
      </bottom>
      <diagonal/>
    </border>
    <border>
      <left style="thin">
        <color theme="0" tint="-0.34998626667073579"/>
      </left>
      <right style="thin">
        <color indexed="64"/>
      </right>
      <top style="medium">
        <color indexed="64"/>
      </top>
      <bottom style="thin">
        <color theme="0" tint="-0.34998626667073579"/>
      </bottom>
      <diagonal/>
    </border>
    <border>
      <left style="thin">
        <color indexed="64"/>
      </left>
      <right style="thin">
        <color theme="0" tint="-0.34998626667073579"/>
      </right>
      <top style="medium">
        <color indexed="64"/>
      </top>
      <bottom style="thin">
        <color theme="0" tint="-0.34998626667073579"/>
      </bottom>
      <diagonal/>
    </border>
    <border>
      <left style="medium">
        <color indexed="64"/>
      </left>
      <right style="thin">
        <color indexed="64"/>
      </right>
      <top style="thin">
        <color rgb="FFA6A6A6"/>
      </top>
      <bottom style="thin">
        <color rgb="FFA6A6A6"/>
      </bottom>
      <diagonal/>
    </border>
    <border>
      <left style="medium">
        <color indexed="64"/>
      </left>
      <right style="thin">
        <color indexed="64"/>
      </right>
      <top style="thin">
        <color rgb="FFA6A6A6"/>
      </top>
      <bottom style="medium">
        <color indexed="64"/>
      </bottom>
      <diagonal/>
    </border>
    <border>
      <left style="medium">
        <color auto="1"/>
      </left>
      <right/>
      <top style="medium">
        <color auto="1"/>
      </top>
      <bottom style="thin">
        <color rgb="FFBFBFBF"/>
      </bottom>
      <diagonal/>
    </border>
    <border>
      <left/>
      <right/>
      <top style="medium">
        <color indexed="64"/>
      </top>
      <bottom style="thin">
        <color rgb="FFBFBFBF"/>
      </bottom>
      <diagonal/>
    </border>
    <border>
      <left style="medium">
        <color indexed="64"/>
      </left>
      <right/>
      <top style="thin">
        <color rgb="FFBFBFBF"/>
      </top>
      <bottom style="thin">
        <color indexed="64"/>
      </bottom>
      <diagonal/>
    </border>
    <border>
      <left/>
      <right/>
      <top style="thin">
        <color rgb="FFBFBFBF"/>
      </top>
      <bottom style="thin">
        <color indexed="64"/>
      </bottom>
      <diagonal/>
    </border>
    <border>
      <left style="thin">
        <color indexed="64"/>
      </left>
      <right style="thin">
        <color rgb="FFBFBFBF"/>
      </right>
      <top style="medium">
        <color indexed="64"/>
      </top>
      <bottom style="thin">
        <color rgb="FFBFBFBF"/>
      </bottom>
      <diagonal/>
    </border>
    <border>
      <left/>
      <right style="thin">
        <color rgb="FFBFBFBF"/>
      </right>
      <top style="medium">
        <color indexed="64"/>
      </top>
      <bottom style="thin">
        <color rgb="FFBFBFBF"/>
      </bottom>
      <diagonal/>
    </border>
    <border>
      <left style="thin">
        <color rgb="FFBFBFBF"/>
      </left>
      <right style="thin">
        <color rgb="FFBFBFBF"/>
      </right>
      <top style="medium">
        <color indexed="64"/>
      </top>
      <bottom style="thin">
        <color rgb="FFBFBFBF"/>
      </bottom>
      <diagonal/>
    </border>
    <border>
      <left style="thin">
        <color rgb="FFBFBFBF"/>
      </left>
      <right style="medium">
        <color indexed="64"/>
      </right>
      <top style="medium">
        <color indexed="64"/>
      </top>
      <bottom style="thin">
        <color rgb="FFBFBFBF"/>
      </bottom>
      <diagonal/>
    </border>
    <border>
      <left style="thin">
        <color indexed="64"/>
      </left>
      <right style="thin">
        <color rgb="FFBFBFBF"/>
      </right>
      <top style="thin">
        <color rgb="FFBFBFBF"/>
      </top>
      <bottom style="thin">
        <color rgb="FFBFBFBF"/>
      </bottom>
      <diagonal/>
    </border>
    <border>
      <left/>
      <right style="thin">
        <color rgb="FFBFBFBF"/>
      </right>
      <top style="thin">
        <color rgb="FFBFBFBF"/>
      </top>
      <bottom style="thin">
        <color rgb="FFBFBFBF"/>
      </bottom>
      <diagonal/>
    </border>
    <border>
      <left style="thin">
        <color indexed="64"/>
      </left>
      <right style="thin">
        <color rgb="FFBFBFBF"/>
      </right>
      <top style="thin">
        <color rgb="FFBFBFBF"/>
      </top>
      <bottom style="medium">
        <color indexed="64"/>
      </bottom>
      <diagonal/>
    </border>
    <border>
      <left/>
      <right style="thin">
        <color rgb="FFBFBFBF"/>
      </right>
      <top style="thin">
        <color rgb="FFBFBFBF"/>
      </top>
      <bottom style="medium">
        <color indexed="64"/>
      </bottom>
      <diagonal/>
    </border>
    <border>
      <left style="medium">
        <color indexed="64"/>
      </left>
      <right style="thin">
        <color rgb="FFA6A6A6"/>
      </right>
      <top style="thin">
        <color rgb="FFA6A6A6"/>
      </top>
      <bottom style="thin">
        <color indexed="64"/>
      </bottom>
      <diagonal/>
    </border>
    <border>
      <left style="medium">
        <color indexed="64"/>
      </left>
      <right style="medium">
        <color indexed="64"/>
      </right>
      <top style="thin">
        <color rgb="FFA6A6A6"/>
      </top>
      <bottom style="thin">
        <color indexed="64"/>
      </bottom>
      <diagonal/>
    </border>
    <border>
      <left/>
      <right style="thin">
        <color theme="0" tint="-0.24994659260841701"/>
      </right>
      <top style="thin">
        <color theme="0" tint="-0.24994659260841701"/>
      </top>
      <bottom style="thin">
        <color indexed="64"/>
      </bottom>
      <diagonal/>
    </border>
    <border>
      <left style="thin">
        <color theme="0" tint="-0.24994659260841701"/>
      </left>
      <right style="medium">
        <color indexed="64"/>
      </right>
      <top/>
      <bottom/>
      <diagonal/>
    </border>
    <border>
      <left style="thin">
        <color theme="0" tint="-0.24994659260841701"/>
      </left>
      <right style="thin">
        <color indexed="64"/>
      </right>
      <top/>
      <bottom style="thin">
        <color theme="0" tint="-0.24994659260841701"/>
      </bottom>
      <diagonal/>
    </border>
    <border>
      <left/>
      <right style="thin">
        <color theme="0" tint="-0.24994659260841701"/>
      </right>
      <top/>
      <bottom style="medium">
        <color indexed="64"/>
      </bottom>
      <diagonal/>
    </border>
    <border>
      <left style="thin">
        <color theme="0" tint="-0.24994659260841701"/>
      </left>
      <right style="thin">
        <color indexed="64"/>
      </right>
      <top/>
      <bottom style="medium">
        <color indexed="64"/>
      </bottom>
      <diagonal/>
    </border>
    <border>
      <left/>
      <right style="thin">
        <color theme="0" tint="-0.24994659260841701"/>
      </right>
      <top style="medium">
        <color indexed="64"/>
      </top>
      <bottom/>
      <diagonal/>
    </border>
    <border>
      <left style="medium">
        <color indexed="64"/>
      </left>
      <right style="medium">
        <color indexed="64"/>
      </right>
      <top style="thin">
        <color rgb="FFA6A6A6"/>
      </top>
      <bottom style="thin">
        <color rgb="FFA6A6A6"/>
      </bottom>
      <diagonal/>
    </border>
    <border>
      <left style="medium">
        <color indexed="64"/>
      </left>
      <right style="medium">
        <color indexed="64"/>
      </right>
      <top style="medium">
        <color auto="1"/>
      </top>
      <bottom style="thin">
        <color rgb="FFA6A6A6"/>
      </bottom>
      <diagonal/>
    </border>
    <border>
      <left style="thin">
        <color rgb="FFBFBFBF"/>
      </left>
      <right style="thin">
        <color indexed="64"/>
      </right>
      <top style="thin">
        <color rgb="FFBFBFBF"/>
      </top>
      <bottom style="thin">
        <color rgb="FFBFBFBF"/>
      </bottom>
      <diagonal/>
    </border>
    <border>
      <left style="thin">
        <color rgb="FFBFBFBF"/>
      </left>
      <right style="thin">
        <color indexed="64"/>
      </right>
      <top style="medium">
        <color auto="1"/>
      </top>
      <bottom style="thin">
        <color rgb="FFBFBFBF"/>
      </bottom>
      <diagonal/>
    </border>
    <border>
      <left style="medium">
        <color indexed="64"/>
      </left>
      <right style="thin">
        <color theme="0" tint="-0.24994659260841701"/>
      </right>
      <top style="thin">
        <color theme="0" tint="-0.24994659260841701"/>
      </top>
      <bottom/>
      <diagonal/>
    </border>
    <border>
      <left style="thin">
        <color theme="0" tint="-0.34998626667073579"/>
      </left>
      <right style="thin">
        <color indexed="64"/>
      </right>
      <top style="thin">
        <color theme="0" tint="-0.34998626667073579"/>
      </top>
      <bottom style="thin">
        <color theme="0" tint="-0.34998626667073579"/>
      </bottom>
      <diagonal/>
    </border>
    <border>
      <left style="thin">
        <color rgb="FFBFBFBF"/>
      </left>
      <right style="thin">
        <color auto="1"/>
      </right>
      <top style="thin">
        <color rgb="FFBFBFBF"/>
      </top>
      <bottom style="medium">
        <color indexed="64"/>
      </bottom>
      <diagonal/>
    </border>
    <border>
      <left style="medium">
        <color auto="1"/>
      </left>
      <right style="thin">
        <color theme="0" tint="-0.34998626667073579"/>
      </right>
      <top style="thin">
        <color indexed="64"/>
      </top>
      <bottom style="medium">
        <color indexed="64"/>
      </bottom>
      <diagonal/>
    </border>
    <border>
      <left style="thin">
        <color theme="0" tint="-0.34998626667073579"/>
      </left>
      <right style="thin">
        <color theme="0" tint="-0.34998626667073579"/>
      </right>
      <top style="thin">
        <color indexed="64"/>
      </top>
      <bottom style="medium">
        <color indexed="64"/>
      </bottom>
      <diagonal/>
    </border>
    <border>
      <left style="thin">
        <color theme="0" tint="-0.34998626667073579"/>
      </left>
      <right style="medium">
        <color indexed="64"/>
      </right>
      <top style="thin">
        <color indexed="64"/>
      </top>
      <bottom style="medium">
        <color indexed="64"/>
      </bottom>
      <diagonal/>
    </border>
    <border>
      <left/>
      <right style="medium">
        <color indexed="64"/>
      </right>
      <top style="medium">
        <color indexed="64"/>
      </top>
      <bottom style="thin">
        <color rgb="FFBFBFBF"/>
      </bottom>
      <diagonal/>
    </border>
    <border>
      <left/>
      <right style="medium">
        <color indexed="64"/>
      </right>
      <top style="thin">
        <color rgb="FFBFBFBF"/>
      </top>
      <bottom style="thin">
        <color indexed="64"/>
      </bottom>
      <diagonal/>
    </border>
    <border>
      <left style="thin">
        <color theme="0" tint="-0.34998626667073579"/>
      </left>
      <right style="thin">
        <color auto="1"/>
      </right>
      <top/>
      <bottom style="medium">
        <color indexed="64"/>
      </bottom>
      <diagonal/>
    </border>
    <border>
      <left style="thin">
        <color auto="1"/>
      </left>
      <right style="thin">
        <color theme="0" tint="-0.34998626667073579"/>
      </right>
      <top style="thin">
        <color theme="0" tint="-0.34998626667073579"/>
      </top>
      <bottom style="thin">
        <color theme="0" tint="-0.34998626667073579"/>
      </bottom>
      <diagonal/>
    </border>
    <border>
      <left style="thin">
        <color theme="0" tint="-0.34998626667073579"/>
      </left>
      <right style="thin">
        <color auto="1"/>
      </right>
      <top style="thin">
        <color theme="0" tint="-0.34998626667073579"/>
      </top>
      <bottom style="thin">
        <color indexed="64"/>
      </bottom>
      <diagonal/>
    </border>
    <border>
      <left style="thin">
        <color auto="1"/>
      </left>
      <right style="thin">
        <color theme="0" tint="-0.34998626667073579"/>
      </right>
      <top style="thin">
        <color theme="0" tint="-0.34998626667073579"/>
      </top>
      <bottom style="thin">
        <color indexed="64"/>
      </bottom>
      <diagonal/>
    </border>
    <border>
      <left style="thin">
        <color auto="1"/>
      </left>
      <right style="thin">
        <color theme="0" tint="-0.34998626667073579"/>
      </right>
      <top/>
      <bottom style="medium">
        <color indexed="64"/>
      </bottom>
      <diagonal/>
    </border>
    <border>
      <left style="medium">
        <color indexed="64"/>
      </left>
      <right style="thin">
        <color indexed="64"/>
      </right>
      <top style="thin">
        <color rgb="FFA6A6A6"/>
      </top>
      <bottom style="thin">
        <color indexed="64"/>
      </bottom>
      <diagonal/>
    </border>
    <border>
      <left style="medium">
        <color indexed="64"/>
      </left>
      <right style="medium">
        <color indexed="64"/>
      </right>
      <top/>
      <bottom style="medium">
        <color indexed="64"/>
      </bottom>
      <diagonal/>
    </border>
    <border>
      <left/>
      <right style="thin">
        <color theme="0" tint="-0.34998626667073579"/>
      </right>
      <top/>
      <bottom/>
      <diagonal/>
    </border>
    <border>
      <left style="medium">
        <color indexed="64"/>
      </left>
      <right style="thin">
        <color indexed="64"/>
      </right>
      <top style="medium">
        <color auto="1"/>
      </top>
      <bottom style="thin">
        <color theme="0" tint="-0.34998626667073579"/>
      </bottom>
      <diagonal/>
    </border>
    <border>
      <left style="medium">
        <color indexed="64"/>
      </left>
      <right style="thin">
        <color indexed="64"/>
      </right>
      <top/>
      <bottom style="thin">
        <color theme="0" tint="-0.34998626667073579"/>
      </bottom>
      <diagonal/>
    </border>
    <border>
      <left style="medium">
        <color indexed="64"/>
      </left>
      <right style="thin">
        <color indexed="64"/>
      </right>
      <top style="thin">
        <color theme="0" tint="-0.34998626667073579"/>
      </top>
      <bottom style="thin">
        <color theme="0" tint="-0.34998626667073579"/>
      </bottom>
      <diagonal/>
    </border>
    <border>
      <left style="medium">
        <color indexed="64"/>
      </left>
      <right style="thin">
        <color indexed="64"/>
      </right>
      <top style="thin">
        <color theme="0" tint="-0.34998626667073579"/>
      </top>
      <bottom style="medium">
        <color indexed="64"/>
      </bottom>
      <diagonal/>
    </border>
    <border>
      <left/>
      <right style="thin">
        <color theme="0" tint="-0.24994659260841701"/>
      </right>
      <top/>
      <bottom/>
      <diagonal/>
    </border>
    <border>
      <left style="medium">
        <color indexed="64"/>
      </left>
      <right style="medium">
        <color auto="1"/>
      </right>
      <top style="thin">
        <color rgb="FFA6A6A6"/>
      </top>
      <bottom/>
      <diagonal/>
    </border>
    <border>
      <left style="thin">
        <color theme="0" tint="-0.24994659260841701"/>
      </left>
      <right style="thin">
        <color indexed="64"/>
      </right>
      <top/>
      <bottom/>
      <diagonal/>
    </border>
    <border>
      <left style="thin">
        <color indexed="64"/>
      </left>
      <right style="thin">
        <color theme="0" tint="-0.34998626667073579"/>
      </right>
      <top/>
      <bottom style="thin">
        <color theme="0" tint="-0.34998626667073579"/>
      </bottom>
      <diagonal/>
    </border>
    <border>
      <left style="medium">
        <color indexed="64"/>
      </left>
      <right style="thin">
        <color rgb="FFA6A6A6"/>
      </right>
      <top style="thin">
        <color rgb="FFA6A6A6"/>
      </top>
      <bottom style="medium">
        <color indexed="64"/>
      </bottom>
      <diagonal/>
    </border>
    <border>
      <left style="thin">
        <color indexed="64"/>
      </left>
      <right style="thin">
        <color theme="0" tint="-0.24994659260841701"/>
      </right>
      <top style="medium">
        <color indexed="64"/>
      </top>
      <bottom style="medium">
        <color indexed="64"/>
      </bottom>
      <diagonal/>
    </border>
    <border>
      <left style="medium">
        <color indexed="64"/>
      </left>
      <right/>
      <top/>
      <bottom style="thin">
        <color rgb="FFA6A6A6"/>
      </bottom>
      <diagonal/>
    </border>
    <border>
      <left style="medium">
        <color indexed="64"/>
      </left>
      <right/>
      <top style="thin">
        <color rgb="FFA6A6A6"/>
      </top>
      <bottom style="thin">
        <color rgb="FFA6A6A6"/>
      </bottom>
      <diagonal/>
    </border>
    <border>
      <left style="thin">
        <color indexed="64"/>
      </left>
      <right style="thin">
        <color theme="0" tint="-0.24994659260841701"/>
      </right>
      <top style="thin">
        <color theme="0" tint="-0.24994659260841701"/>
      </top>
      <bottom style="thin">
        <color indexed="64"/>
      </bottom>
      <diagonal/>
    </border>
    <border>
      <left style="thin">
        <color indexed="64"/>
      </left>
      <right style="thin">
        <color theme="0" tint="-0.24994659260841701"/>
      </right>
      <top/>
      <bottom style="medium">
        <color indexed="64"/>
      </bottom>
      <diagonal/>
    </border>
    <border>
      <left style="medium">
        <color indexed="64"/>
      </left>
      <right style="medium">
        <color indexed="64"/>
      </right>
      <top/>
      <bottom style="thin">
        <color rgb="FFA6A6A6"/>
      </bottom>
      <diagonal/>
    </border>
    <border>
      <left style="medium">
        <color indexed="64"/>
      </left>
      <right style="thin">
        <color theme="4" tint="0.39997558519241921"/>
      </right>
      <top style="thin">
        <color theme="4"/>
      </top>
      <bottom/>
      <diagonal/>
    </border>
    <border>
      <left style="medium">
        <color indexed="64"/>
      </left>
      <right style="thin">
        <color theme="0" tint="-0.34998626667073579"/>
      </right>
      <top style="thin">
        <color theme="0" tint="-0.34998626667073579"/>
      </top>
      <bottom/>
      <diagonal/>
    </border>
    <border>
      <left/>
      <right/>
      <top style="medium">
        <color indexed="64"/>
      </top>
      <bottom style="thin">
        <color theme="4" tint="0.3999755851924192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top style="thin">
        <color theme="0" tint="-0.14996795556505021"/>
      </top>
      <bottom/>
      <diagonal/>
    </border>
    <border>
      <left style="thin">
        <color theme="0" tint="-0.14996795556505021"/>
      </left>
      <right style="thin">
        <color theme="0" tint="-0.14996795556505021"/>
      </right>
      <top style="thin">
        <color theme="0" tint="-0.14996795556505021"/>
      </top>
      <bottom/>
      <diagonal/>
    </border>
  </borders>
  <cellStyleXfs count="74">
    <xf numFmtId="0" fontId="0" fillId="0" borderId="0"/>
    <xf numFmtId="49" fontId="19" fillId="10" borderId="142" applyBorder="0">
      <alignment horizontal="centerContinuous" vertical="center" wrapText="1"/>
    </xf>
    <xf numFmtId="169" fontId="68" fillId="103" borderId="20" applyBorder="0">
      <alignment horizontal="right" vertical="center"/>
      <protection locked="0"/>
    </xf>
    <xf numFmtId="0" fontId="9" fillId="30" borderId="79">
      <alignment horizontal="centerContinuous" vertical="center" wrapText="1"/>
    </xf>
    <xf numFmtId="0" fontId="27" fillId="35" borderId="0">
      <alignment vertical="center"/>
    </xf>
    <xf numFmtId="0" fontId="28" fillId="18" borderId="19">
      <alignment vertical="center"/>
    </xf>
    <xf numFmtId="0" fontId="51" fillId="102" borderId="19" applyBorder="0">
      <alignment vertical="center"/>
    </xf>
    <xf numFmtId="0" fontId="8" fillId="27" borderId="19" applyBorder="0" applyProtection="0">
      <alignment vertical="center"/>
    </xf>
    <xf numFmtId="0" fontId="52" fillId="36" borderId="131" applyBorder="0">
      <alignment vertical="center"/>
    </xf>
    <xf numFmtId="0" fontId="52" fillId="37" borderId="131" applyBorder="0">
      <alignment horizontal="left" vertical="center"/>
    </xf>
    <xf numFmtId="168" fontId="15" fillId="25" borderId="132" applyBorder="0">
      <alignment horizontal="right"/>
      <protection locked="0"/>
    </xf>
    <xf numFmtId="49" fontId="3" fillId="24" borderId="38" applyBorder="0" applyAlignment="0">
      <alignment horizontal="left" vertical="center" wrapText="1"/>
      <protection locked="0"/>
    </xf>
    <xf numFmtId="0" fontId="53" fillId="0" borderId="0" applyNumberFormat="0" applyFill="0" applyBorder="0" applyAlignment="0" applyProtection="0"/>
    <xf numFmtId="0" fontId="54" fillId="0" borderId="133" applyNumberFormat="0" applyFill="0" applyAlignment="0" applyProtection="0"/>
    <xf numFmtId="0" fontId="55" fillId="0" borderId="134" applyNumberFormat="0" applyFill="0" applyAlignment="0" applyProtection="0"/>
    <xf numFmtId="0" fontId="56" fillId="0" borderId="135" applyNumberFormat="0" applyFill="0" applyAlignment="0" applyProtection="0"/>
    <xf numFmtId="0" fontId="56" fillId="0" borderId="0" applyNumberFormat="0" applyFill="0" applyBorder="0" applyAlignment="0" applyProtection="0"/>
    <xf numFmtId="0" fontId="57" fillId="38" borderId="0" applyNumberFormat="0" applyBorder="0" applyAlignment="0" applyProtection="0"/>
    <xf numFmtId="0" fontId="58" fillId="39" borderId="0" applyNumberFormat="0" applyBorder="0" applyAlignment="0" applyProtection="0"/>
    <xf numFmtId="0" fontId="59" fillId="40" borderId="0" applyNumberFormat="0" applyBorder="0" applyAlignment="0" applyProtection="0"/>
    <xf numFmtId="0" fontId="60" fillId="41" borderId="136" applyNumberFormat="0" applyAlignment="0" applyProtection="0"/>
    <xf numFmtId="0" fontId="61" fillId="42" borderId="137" applyNumberFormat="0" applyAlignment="0" applyProtection="0"/>
    <xf numFmtId="0" fontId="62" fillId="42" borderId="136" applyNumberFormat="0" applyAlignment="0" applyProtection="0"/>
    <xf numFmtId="0" fontId="63" fillId="0" borderId="138" applyNumberFormat="0" applyFill="0" applyAlignment="0" applyProtection="0"/>
    <xf numFmtId="0" fontId="64" fillId="43" borderId="139" applyNumberFormat="0" applyAlignment="0" applyProtection="0"/>
    <xf numFmtId="0" fontId="65" fillId="0" borderId="0" applyNumberFormat="0" applyFill="0" applyBorder="0" applyAlignment="0" applyProtection="0"/>
    <xf numFmtId="0" fontId="1" fillId="44" borderId="140" applyNumberFormat="0" applyFont="0" applyAlignment="0" applyProtection="0"/>
    <xf numFmtId="0" fontId="66" fillId="0" borderId="0" applyNumberFormat="0" applyFill="0" applyBorder="0" applyAlignment="0" applyProtection="0"/>
    <xf numFmtId="0" fontId="2" fillId="0" borderId="141" applyNumberFormat="0" applyFill="0" applyAlignment="0" applyProtection="0"/>
    <xf numFmtId="0" fontId="67" fillId="45"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67" fillId="48" borderId="0" applyNumberFormat="0" applyBorder="0" applyAlignment="0" applyProtection="0"/>
    <xf numFmtId="0" fontId="67" fillId="49" borderId="0" applyNumberFormat="0" applyBorder="0" applyAlignment="0" applyProtection="0"/>
    <xf numFmtId="0" fontId="1" fillId="50" borderId="0" applyNumberFormat="0" applyBorder="0" applyAlignment="0" applyProtection="0"/>
    <xf numFmtId="0" fontId="1" fillId="51" borderId="0" applyNumberFormat="0" applyBorder="0" applyAlignment="0" applyProtection="0"/>
    <xf numFmtId="0" fontId="67" fillId="52" borderId="0" applyNumberFormat="0" applyBorder="0" applyAlignment="0" applyProtection="0"/>
    <xf numFmtId="0" fontId="67" fillId="53" borderId="0" applyNumberFormat="0" applyBorder="0" applyAlignment="0" applyProtection="0"/>
    <xf numFmtId="0" fontId="1" fillId="54" borderId="0" applyNumberFormat="0" applyBorder="0" applyAlignment="0" applyProtection="0"/>
    <xf numFmtId="0" fontId="1" fillId="55" borderId="0" applyNumberFormat="0" applyBorder="0" applyAlignment="0" applyProtection="0"/>
    <xf numFmtId="0" fontId="67" fillId="56" borderId="0" applyNumberFormat="0" applyBorder="0" applyAlignment="0" applyProtection="0"/>
    <xf numFmtId="0" fontId="67" fillId="57"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0" fontId="67" fillId="60" borderId="0" applyNumberFormat="0" applyBorder="0" applyAlignment="0" applyProtection="0"/>
    <xf numFmtId="0" fontId="67" fillId="61" borderId="0" applyNumberFormat="0" applyBorder="0" applyAlignment="0" applyProtection="0"/>
    <xf numFmtId="0" fontId="1" fillId="62" borderId="0" applyNumberFormat="0" applyBorder="0" applyAlignment="0" applyProtection="0"/>
    <xf numFmtId="0" fontId="1" fillId="63" borderId="0" applyNumberFormat="0" applyBorder="0" applyAlignment="0" applyProtection="0"/>
    <xf numFmtId="0" fontId="67" fillId="64" borderId="0" applyNumberFormat="0" applyBorder="0" applyAlignment="0" applyProtection="0"/>
    <xf numFmtId="0" fontId="67" fillId="65" borderId="0" applyNumberFormat="0" applyBorder="0" applyAlignment="0" applyProtection="0"/>
    <xf numFmtId="0" fontId="1" fillId="66" borderId="0" applyNumberFormat="0" applyBorder="0" applyAlignment="0" applyProtection="0"/>
    <xf numFmtId="0" fontId="1" fillId="67" borderId="0" applyNumberFormat="0" applyBorder="0" applyAlignment="0" applyProtection="0"/>
    <xf numFmtId="0" fontId="67" fillId="68" borderId="0" applyNumberFormat="0" applyBorder="0" applyAlignment="0" applyProtection="0"/>
    <xf numFmtId="0" fontId="9" fillId="70" borderId="5" applyBorder="0">
      <alignment horizontal="right" vertical="center" wrapText="1" indent="1"/>
    </xf>
    <xf numFmtId="0" fontId="116" fillId="71" borderId="5" applyBorder="0">
      <alignment horizontal="right" vertical="center" wrapText="1" indent="1"/>
    </xf>
    <xf numFmtId="0" fontId="9" fillId="30" borderId="143">
      <alignment horizontal="right" vertical="center" wrapText="1" indent="1"/>
    </xf>
    <xf numFmtId="0" fontId="9" fillId="5" borderId="143">
      <alignment horizontal="right" vertical="center" wrapText="1" indent="1"/>
    </xf>
    <xf numFmtId="169" fontId="68" fillId="69" borderId="144">
      <alignment horizontal="right" vertical="center"/>
      <protection locked="0"/>
    </xf>
    <xf numFmtId="49" fontId="3" fillId="29" borderId="38" applyAlignment="0" applyProtection="0">
      <alignment horizontal="left" vertical="center" wrapText="1"/>
      <protection locked="0"/>
    </xf>
    <xf numFmtId="0" fontId="3" fillId="0" borderId="60" applyBorder="0">
      <alignment horizontal="left" vertical="center" wrapText="1" indent="1"/>
    </xf>
    <xf numFmtId="0" fontId="67" fillId="18" borderId="0" applyNumberFormat="0" applyBorder="0" applyAlignment="0" applyProtection="0"/>
    <xf numFmtId="10" fontId="15" fillId="25" borderId="132" applyBorder="0">
      <alignment horizontal="right"/>
      <protection locked="0"/>
    </xf>
    <xf numFmtId="49" fontId="27" fillId="18" borderId="0">
      <alignment vertical="center"/>
    </xf>
    <xf numFmtId="0" fontId="105" fillId="0" borderId="0" applyNumberFormat="0" applyFill="0" applyBorder="0" applyAlignment="0" applyProtection="0"/>
    <xf numFmtId="49" fontId="116" fillId="30" borderId="63">
      <alignment horizontal="center" vertical="center" wrapText="1"/>
    </xf>
    <xf numFmtId="0" fontId="27" fillId="35" borderId="0" applyNumberFormat="0" applyFont="0" applyBorder="0" applyAlignment="0" applyProtection="0">
      <alignment vertical="center"/>
    </xf>
    <xf numFmtId="0" fontId="105" fillId="0" borderId="0" applyNumberFormat="0" applyFill="0" applyBorder="0" applyAlignment="0" applyProtection="0"/>
    <xf numFmtId="9" fontId="1" fillId="0" borderId="0" applyFont="0" applyFill="0" applyBorder="0" applyAlignment="0" applyProtection="0"/>
    <xf numFmtId="0" fontId="85" fillId="75" borderId="38" applyNumberFormat="0" applyFont="0" applyBorder="0" applyAlignment="0" applyProtection="0"/>
    <xf numFmtId="168" fontId="15" fillId="99" borderId="233" applyNumberFormat="0" applyFont="0" applyBorder="0" applyAlignment="0" applyProtection="0">
      <alignment horizontal="right"/>
      <protection locked="0"/>
    </xf>
    <xf numFmtId="168" fontId="15" fillId="100" borderId="233" applyNumberFormat="0" applyFont="0" applyBorder="0" applyAlignment="0" applyProtection="0">
      <alignment horizontal="right"/>
      <protection locked="0"/>
    </xf>
    <xf numFmtId="168" fontId="15" fillId="101" borderId="233" applyNumberFormat="0" applyFont="0" applyBorder="0" applyAlignment="0" applyProtection="0">
      <alignment horizontal="right"/>
      <protection locked="0"/>
    </xf>
    <xf numFmtId="168" fontId="15" fillId="25" borderId="132" applyNumberFormat="0" applyFont="0" applyBorder="0" applyAlignment="0" applyProtection="0">
      <alignment horizontal="right"/>
      <protection locked="0"/>
    </xf>
    <xf numFmtId="173" fontId="1" fillId="3" borderId="38" applyBorder="0"/>
  </cellStyleXfs>
  <cellXfs count="1577">
    <xf numFmtId="0" fontId="0" fillId="0" borderId="0" xfId="0"/>
    <xf numFmtId="168" fontId="15" fillId="25" borderId="299" xfId="10" applyBorder="1">
      <alignment horizontal="right"/>
      <protection locked="0"/>
    </xf>
    <xf numFmtId="169" fontId="68" fillId="103" borderId="20" xfId="2">
      <alignment horizontal="right" vertical="center"/>
      <protection locked="0"/>
    </xf>
    <xf numFmtId="0" fontId="9" fillId="30" borderId="27" xfId="3" applyBorder="1" applyAlignment="1">
      <alignment vertical="center" wrapText="1"/>
    </xf>
    <xf numFmtId="0" fontId="0" fillId="0" borderId="0" xfId="0" applyAlignment="1">
      <alignment vertical="center"/>
    </xf>
    <xf numFmtId="0" fontId="6" fillId="4" borderId="0" xfId="0" applyFont="1" applyFill="1"/>
    <xf numFmtId="0" fontId="6" fillId="4" borderId="0" xfId="0" applyFont="1" applyFill="1" applyAlignment="1">
      <alignment horizontal="center"/>
    </xf>
    <xf numFmtId="1" fontId="6" fillId="4" borderId="0" xfId="0" applyNumberFormat="1" applyFont="1" applyFill="1"/>
    <xf numFmtId="49" fontId="6" fillId="4" borderId="0" xfId="0" applyNumberFormat="1" applyFont="1" applyFill="1"/>
    <xf numFmtId="0" fontId="3" fillId="0" borderId="15" xfId="0" applyFont="1" applyBorder="1" applyAlignment="1">
      <alignment vertical="top"/>
    </xf>
    <xf numFmtId="0" fontId="10" fillId="4" borderId="15" xfId="0" applyFont="1" applyFill="1" applyBorder="1" applyAlignment="1">
      <alignment vertical="top"/>
    </xf>
    <xf numFmtId="0" fontId="10" fillId="4" borderId="15" xfId="0" applyFont="1" applyFill="1" applyBorder="1" applyAlignment="1">
      <alignment horizontal="center" vertical="top"/>
    </xf>
    <xf numFmtId="0" fontId="3" fillId="0" borderId="14" xfId="0" applyFont="1" applyBorder="1" applyAlignment="1">
      <alignment vertical="center"/>
    </xf>
    <xf numFmtId="0" fontId="3" fillId="12" borderId="15" xfId="0" applyFont="1" applyFill="1" applyBorder="1" applyAlignment="1">
      <alignment vertical="top"/>
    </xf>
    <xf numFmtId="0" fontId="3" fillId="12" borderId="14" xfId="0" applyFont="1" applyFill="1" applyBorder="1" applyAlignment="1">
      <alignment vertical="center"/>
    </xf>
    <xf numFmtId="0" fontId="3" fillId="0" borderId="15" xfId="0" applyFont="1" applyBorder="1" applyAlignment="1">
      <alignment vertical="center"/>
    </xf>
    <xf numFmtId="0" fontId="3" fillId="12" borderId="15" xfId="0" applyFont="1" applyFill="1" applyBorder="1" applyAlignment="1">
      <alignment vertical="center"/>
    </xf>
    <xf numFmtId="0" fontId="10" fillId="0" borderId="15" xfId="0" applyFont="1" applyBorder="1" applyAlignment="1">
      <alignment vertical="top"/>
    </xf>
    <xf numFmtId="0" fontId="6" fillId="4" borderId="12" xfId="0" applyFont="1" applyFill="1" applyBorder="1" applyAlignment="1">
      <alignment vertical="top"/>
    </xf>
    <xf numFmtId="165" fontId="3" fillId="4" borderId="13" xfId="0" applyNumberFormat="1" applyFont="1" applyFill="1" applyBorder="1" applyAlignment="1">
      <alignment horizontal="right" vertical="top" indent="1"/>
    </xf>
    <xf numFmtId="0" fontId="6" fillId="3" borderId="12" xfId="0" applyFont="1" applyFill="1" applyBorder="1" applyAlignment="1">
      <alignment vertical="top"/>
    </xf>
    <xf numFmtId="165" fontId="3" fillId="3" borderId="13" xfId="0" applyNumberFormat="1" applyFont="1" applyFill="1" applyBorder="1" applyAlignment="1">
      <alignment horizontal="right" vertical="top" indent="1"/>
    </xf>
    <xf numFmtId="0" fontId="3" fillId="3" borderId="15" xfId="0" applyFont="1" applyFill="1" applyBorder="1" applyAlignment="1">
      <alignment vertical="top"/>
    </xf>
    <xf numFmtId="0" fontId="3" fillId="3" borderId="15" xfId="0" applyFont="1" applyFill="1" applyBorder="1" applyAlignment="1">
      <alignment horizontal="center" vertical="top"/>
    </xf>
    <xf numFmtId="0" fontId="3" fillId="3" borderId="14" xfId="0" applyFont="1" applyFill="1" applyBorder="1" applyAlignment="1">
      <alignment vertical="center"/>
    </xf>
    <xf numFmtId="0" fontId="3" fillId="3" borderId="15" xfId="0" applyFont="1" applyFill="1" applyBorder="1" applyAlignment="1">
      <alignment vertical="center"/>
    </xf>
    <xf numFmtId="0" fontId="0" fillId="0" borderId="2" xfId="0" applyBorder="1"/>
    <xf numFmtId="0" fontId="6" fillId="4" borderId="0" xfId="0" applyFont="1" applyFill="1" applyAlignment="1">
      <alignment vertical="center"/>
    </xf>
    <xf numFmtId="1" fontId="6" fillId="4" borderId="0" xfId="0" applyNumberFormat="1" applyFont="1" applyFill="1" applyAlignment="1">
      <alignment vertical="center"/>
    </xf>
    <xf numFmtId="0" fontId="0" fillId="0" borderId="0" xfId="0" applyAlignment="1">
      <alignment horizontal="center"/>
    </xf>
    <xf numFmtId="0" fontId="0" fillId="0" borderId="39" xfId="0" applyBorder="1"/>
    <xf numFmtId="0" fontId="0" fillId="0" borderId="38" xfId="0" applyBorder="1"/>
    <xf numFmtId="0" fontId="1" fillId="0" borderId="0" xfId="0" applyFont="1" applyAlignment="1">
      <alignment horizontal="left" indent="2"/>
    </xf>
    <xf numFmtId="0" fontId="0" fillId="0" borderId="50" xfId="0" applyBorder="1"/>
    <xf numFmtId="0" fontId="0" fillId="0" borderId="55" xfId="0" applyBorder="1"/>
    <xf numFmtId="0" fontId="8" fillId="20" borderId="20" xfId="0" applyFont="1" applyFill="1" applyBorder="1" applyAlignment="1">
      <alignment vertical="center"/>
    </xf>
    <xf numFmtId="0" fontId="8" fillId="20" borderId="21" xfId="0" applyFont="1" applyFill="1" applyBorder="1" applyAlignment="1">
      <alignment vertical="center"/>
    </xf>
    <xf numFmtId="0" fontId="0" fillId="0" borderId="9" xfId="0" applyBorder="1" applyAlignment="1">
      <alignment vertical="center"/>
    </xf>
    <xf numFmtId="0" fontId="0" fillId="0" borderId="10" xfId="0" applyBorder="1" applyAlignment="1">
      <alignment vertical="center"/>
    </xf>
    <xf numFmtId="0" fontId="23" fillId="0" borderId="0" xfId="0" applyFont="1" applyAlignment="1">
      <alignment vertical="center"/>
    </xf>
    <xf numFmtId="0" fontId="9" fillId="10" borderId="61" xfId="0" applyFont="1" applyFill="1" applyBorder="1" applyAlignment="1">
      <alignment horizontal="center" vertical="center" wrapText="1"/>
    </xf>
    <xf numFmtId="0" fontId="8" fillId="10" borderId="62" xfId="0" applyFont="1" applyFill="1" applyBorder="1" applyAlignment="1">
      <alignment horizontal="center" vertical="center" wrapText="1"/>
    </xf>
    <xf numFmtId="0" fontId="3" fillId="0" borderId="0" xfId="0" applyFont="1"/>
    <xf numFmtId="0" fontId="24" fillId="0" borderId="0" xfId="0" applyFont="1"/>
    <xf numFmtId="167" fontId="8" fillId="10" borderId="63" xfId="0" applyNumberFormat="1" applyFont="1" applyFill="1" applyBorder="1" applyAlignment="1">
      <alignment horizontal="center" vertical="center" wrapText="1"/>
    </xf>
    <xf numFmtId="167" fontId="8" fillId="9" borderId="63" xfId="0" applyNumberFormat="1" applyFont="1" applyFill="1" applyBorder="1" applyAlignment="1">
      <alignment horizontal="center" vertical="center" wrapText="1"/>
    </xf>
    <xf numFmtId="0" fontId="3" fillId="16" borderId="0" xfId="0" applyFont="1" applyFill="1" applyAlignment="1">
      <alignment vertical="top"/>
    </xf>
    <xf numFmtId="167" fontId="8" fillId="9" borderId="64" xfId="0" applyNumberFormat="1" applyFont="1" applyFill="1" applyBorder="1" applyAlignment="1">
      <alignment horizontal="center" vertical="center" wrapText="1"/>
    </xf>
    <xf numFmtId="167" fontId="8" fillId="9" borderId="65" xfId="0" applyNumberFormat="1" applyFont="1" applyFill="1" applyBorder="1" applyAlignment="1">
      <alignment horizontal="center" vertical="center" wrapText="1"/>
    </xf>
    <xf numFmtId="0" fontId="3" fillId="16" borderId="0" xfId="0" applyFont="1" applyFill="1"/>
    <xf numFmtId="0" fontId="3" fillId="0" borderId="0" xfId="0" quotePrefix="1" applyFont="1"/>
    <xf numFmtId="0" fontId="0" fillId="0" borderId="0" xfId="0" applyAlignment="1">
      <alignment horizontal="right" indent="1"/>
    </xf>
    <xf numFmtId="49" fontId="3" fillId="22" borderId="27" xfId="0" applyNumberFormat="1" applyFont="1" applyFill="1" applyBorder="1" applyAlignment="1">
      <alignment horizontal="center"/>
    </xf>
    <xf numFmtId="49" fontId="0" fillId="15" borderId="66" xfId="0" applyNumberFormat="1" applyFill="1" applyBorder="1" applyAlignment="1">
      <alignment horizontal="center"/>
    </xf>
    <xf numFmtId="14" fontId="8" fillId="10" borderId="22" xfId="0" applyNumberFormat="1" applyFont="1" applyFill="1" applyBorder="1" applyAlignment="1">
      <alignment vertical="center"/>
    </xf>
    <xf numFmtId="49" fontId="3" fillId="22" borderId="34" xfId="0" applyNumberFormat="1" applyFont="1" applyFill="1" applyBorder="1" applyAlignment="1">
      <alignment horizontal="center"/>
    </xf>
    <xf numFmtId="49" fontId="0" fillId="15" borderId="67" xfId="0" applyNumberFormat="1" applyFill="1" applyBorder="1" applyAlignment="1">
      <alignment horizontal="center"/>
    </xf>
    <xf numFmtId="0" fontId="8" fillId="9" borderId="61" xfId="0" applyFont="1" applyFill="1" applyBorder="1" applyAlignment="1">
      <alignment horizontal="center" vertical="center" wrapText="1"/>
    </xf>
    <xf numFmtId="0" fontId="0" fillId="0" borderId="6" xfId="0" applyBorder="1" applyAlignment="1">
      <alignment vertical="center"/>
    </xf>
    <xf numFmtId="49" fontId="3" fillId="22" borderId="42" xfId="0" applyNumberFormat="1" applyFont="1" applyFill="1" applyBorder="1" applyAlignment="1">
      <alignment horizontal="center"/>
    </xf>
    <xf numFmtId="49" fontId="0" fillId="15" borderId="68" xfId="0" applyNumberFormat="1" applyFill="1" applyBorder="1" applyAlignment="1">
      <alignment horizontal="center"/>
    </xf>
    <xf numFmtId="0" fontId="6" fillId="4" borderId="0" xfId="0" applyFont="1" applyFill="1" applyProtection="1">
      <protection locked="0"/>
    </xf>
    <xf numFmtId="0" fontId="0" fillId="0" borderId="0" xfId="0" quotePrefix="1"/>
    <xf numFmtId="0" fontId="32" fillId="5" borderId="0" xfId="0" applyFont="1" applyFill="1" applyAlignment="1">
      <alignment vertical="top"/>
    </xf>
    <xf numFmtId="0" fontId="32" fillId="5" borderId="10" xfId="0" applyFont="1" applyFill="1" applyBorder="1" applyAlignment="1">
      <alignment vertical="top"/>
    </xf>
    <xf numFmtId="0" fontId="3" fillId="5" borderId="34" xfId="0" applyFont="1" applyFill="1" applyBorder="1" applyAlignment="1">
      <alignment vertical="top"/>
    </xf>
    <xf numFmtId="0" fontId="3" fillId="5" borderId="38" xfId="0" applyFont="1" applyFill="1" applyBorder="1" applyAlignment="1">
      <alignment horizontal="center" vertical="top"/>
    </xf>
    <xf numFmtId="0" fontId="32" fillId="5" borderId="75" xfId="0" quotePrefix="1" applyFont="1" applyFill="1" applyBorder="1" applyAlignment="1">
      <alignment vertical="top"/>
    </xf>
    <xf numFmtId="0" fontId="32" fillId="5" borderId="70" xfId="0" applyFont="1" applyFill="1" applyBorder="1" applyAlignment="1">
      <alignment vertical="top"/>
    </xf>
    <xf numFmtId="0" fontId="8" fillId="5" borderId="38" xfId="0" applyFont="1" applyFill="1" applyBorder="1" applyAlignment="1">
      <alignment horizontal="center" vertical="top"/>
    </xf>
    <xf numFmtId="0" fontId="3" fillId="5" borderId="38" xfId="0" quotePrefix="1" applyFont="1" applyFill="1" applyBorder="1" applyAlignment="1">
      <alignment horizontal="center" vertical="top"/>
    </xf>
    <xf numFmtId="0" fontId="3" fillId="5" borderId="50" xfId="0" applyFont="1" applyFill="1" applyBorder="1" applyAlignment="1">
      <alignment horizontal="center" vertical="top"/>
    </xf>
    <xf numFmtId="0" fontId="32" fillId="5" borderId="18" xfId="0" quotePrefix="1" applyFont="1" applyFill="1" applyBorder="1" applyAlignment="1">
      <alignment vertical="top"/>
    </xf>
    <xf numFmtId="0" fontId="32" fillId="5" borderId="77" xfId="0" applyFont="1" applyFill="1" applyBorder="1" applyAlignment="1">
      <alignment vertical="top"/>
    </xf>
    <xf numFmtId="0" fontId="32" fillId="5" borderId="71" xfId="0" applyFont="1" applyFill="1" applyBorder="1" applyAlignment="1">
      <alignment vertical="top"/>
    </xf>
    <xf numFmtId="0" fontId="32" fillId="5" borderId="72" xfId="0" applyFont="1" applyFill="1" applyBorder="1" applyAlignment="1">
      <alignment vertical="top"/>
    </xf>
    <xf numFmtId="0" fontId="32" fillId="5" borderId="83" xfId="0" quotePrefix="1" applyFont="1" applyFill="1" applyBorder="1" applyAlignment="1">
      <alignment vertical="top"/>
    </xf>
    <xf numFmtId="0" fontId="32" fillId="5" borderId="84" xfId="0" applyFont="1" applyFill="1" applyBorder="1" applyAlignment="1">
      <alignment vertical="top"/>
    </xf>
    <xf numFmtId="0" fontId="3" fillId="5" borderId="59" xfId="0" applyFont="1" applyFill="1" applyBorder="1" applyAlignment="1">
      <alignment horizontal="left" vertical="top" indent="2"/>
    </xf>
    <xf numFmtId="0" fontId="3" fillId="5" borderId="30" xfId="0" applyFont="1" applyFill="1" applyBorder="1" applyAlignment="1">
      <alignment horizontal="center" vertical="top"/>
    </xf>
    <xf numFmtId="0" fontId="3" fillId="5" borderId="34" xfId="0" applyFont="1" applyFill="1" applyBorder="1" applyAlignment="1">
      <alignment horizontal="left" vertical="top" indent="2"/>
    </xf>
    <xf numFmtId="0" fontId="6" fillId="5" borderId="71" xfId="0" applyFont="1" applyFill="1" applyBorder="1" applyAlignment="1">
      <alignment vertical="top"/>
    </xf>
    <xf numFmtId="0" fontId="6" fillId="5" borderId="72" xfId="0" applyFont="1" applyFill="1" applyBorder="1" applyAlignment="1">
      <alignment vertical="top"/>
    </xf>
    <xf numFmtId="0" fontId="6" fillId="5" borderId="0" xfId="0" applyFont="1" applyFill="1" applyAlignment="1">
      <alignment vertical="top"/>
    </xf>
    <xf numFmtId="0" fontId="6" fillId="5" borderId="10" xfId="0" applyFont="1" applyFill="1" applyBorder="1" applyAlignment="1">
      <alignment vertical="top"/>
    </xf>
    <xf numFmtId="0" fontId="3" fillId="5" borderId="88" xfId="0" quotePrefix="1" applyFont="1" applyFill="1" applyBorder="1" applyAlignment="1">
      <alignment horizontal="center" vertical="top"/>
    </xf>
    <xf numFmtId="0" fontId="32" fillId="5" borderId="89" xfId="0" quotePrefix="1" applyFont="1" applyFill="1" applyBorder="1" applyAlignment="1">
      <alignment horizontal="left" vertical="top"/>
    </xf>
    <xf numFmtId="0" fontId="3" fillId="5" borderId="80" xfId="0" quotePrefix="1" applyFont="1" applyFill="1" applyBorder="1" applyAlignment="1">
      <alignment horizontal="center" vertical="top"/>
    </xf>
    <xf numFmtId="0" fontId="32" fillId="5" borderId="89" xfId="0" quotePrefix="1" applyFont="1" applyFill="1" applyBorder="1" applyAlignment="1">
      <alignment vertical="top"/>
    </xf>
    <xf numFmtId="0" fontId="33" fillId="5" borderId="89" xfId="0" quotePrefix="1" applyFont="1" applyFill="1" applyBorder="1" applyAlignment="1">
      <alignment vertical="top"/>
    </xf>
    <xf numFmtId="0" fontId="3" fillId="5" borderId="38" xfId="0" quotePrefix="1" applyFont="1" applyFill="1" applyBorder="1" applyAlignment="1">
      <alignment horizontal="center" vertical="center"/>
    </xf>
    <xf numFmtId="0" fontId="34" fillId="5" borderId="75" xfId="0" quotePrefix="1" applyFont="1" applyFill="1" applyBorder="1" applyAlignment="1">
      <alignment vertical="top"/>
    </xf>
    <xf numFmtId="0" fontId="34" fillId="5" borderId="70" xfId="0" applyFont="1" applyFill="1" applyBorder="1" applyAlignment="1">
      <alignment vertical="top"/>
    </xf>
    <xf numFmtId="0" fontId="34" fillId="5" borderId="76" xfId="0" applyFont="1" applyFill="1" applyBorder="1" applyAlignment="1">
      <alignment vertical="top"/>
    </xf>
    <xf numFmtId="0" fontId="10" fillId="5" borderId="38" xfId="0" quotePrefix="1" applyFont="1" applyFill="1" applyBorder="1" applyAlignment="1">
      <alignment horizontal="center" vertical="center"/>
    </xf>
    <xf numFmtId="0" fontId="32" fillId="5" borderId="38" xfId="0" quotePrefix="1" applyFont="1" applyFill="1" applyBorder="1" applyAlignment="1">
      <alignment vertical="top"/>
    </xf>
    <xf numFmtId="0" fontId="32" fillId="5" borderId="38" xfId="0" applyFont="1" applyFill="1" applyBorder="1" applyAlignment="1">
      <alignment vertical="top"/>
    </xf>
    <xf numFmtId="0" fontId="32" fillId="5" borderId="67" xfId="0" applyFont="1" applyFill="1" applyBorder="1" applyAlignment="1">
      <alignment vertical="top"/>
    </xf>
    <xf numFmtId="0" fontId="3" fillId="5" borderId="91" xfId="0" applyFont="1" applyFill="1" applyBorder="1" applyAlignment="1">
      <alignment horizontal="left" vertical="top" indent="2"/>
    </xf>
    <xf numFmtId="0" fontId="3" fillId="5" borderId="92" xfId="0" applyFont="1" applyFill="1" applyBorder="1" applyAlignment="1">
      <alignment horizontal="center" vertical="top"/>
    </xf>
    <xf numFmtId="0" fontId="32" fillId="5" borderId="93" xfId="0" quotePrefix="1" applyFont="1" applyFill="1" applyBorder="1" applyAlignment="1">
      <alignment horizontal="left" vertical="top"/>
    </xf>
    <xf numFmtId="0" fontId="32" fillId="5" borderId="92" xfId="0" applyFont="1" applyFill="1" applyBorder="1" applyAlignment="1">
      <alignment vertical="top"/>
    </xf>
    <xf numFmtId="0" fontId="32" fillId="5" borderId="94" xfId="0" applyFont="1" applyFill="1" applyBorder="1" applyAlignment="1">
      <alignment vertical="top"/>
    </xf>
    <xf numFmtId="0" fontId="35" fillId="2" borderId="0" xfId="0" quotePrefix="1" applyFont="1" applyFill="1"/>
    <xf numFmtId="0" fontId="6" fillId="2" borderId="0" xfId="0" applyFont="1" applyFill="1"/>
    <xf numFmtId="0" fontId="21" fillId="27" borderId="24" xfId="0" applyFont="1" applyFill="1" applyBorder="1"/>
    <xf numFmtId="0" fontId="3" fillId="19" borderId="28" xfId="0" applyFont="1" applyFill="1" applyBorder="1" applyAlignment="1">
      <alignment vertical="top"/>
    </xf>
    <xf numFmtId="0" fontId="37" fillId="19" borderId="29" xfId="0" quotePrefix="1" applyFont="1" applyFill="1" applyBorder="1" applyAlignment="1">
      <alignment vertical="top"/>
    </xf>
    <xf numFmtId="0" fontId="22" fillId="19" borderId="29" xfId="0" quotePrefix="1" applyFont="1" applyFill="1" applyBorder="1" applyAlignment="1">
      <alignment vertical="top"/>
    </xf>
    <xf numFmtId="0" fontId="22" fillId="19" borderId="29" xfId="0" applyFont="1" applyFill="1" applyBorder="1" applyAlignment="1">
      <alignment vertical="top"/>
    </xf>
    <xf numFmtId="0" fontId="22" fillId="19" borderId="96" xfId="0" applyFont="1" applyFill="1" applyBorder="1" applyAlignment="1">
      <alignment vertical="top"/>
    </xf>
    <xf numFmtId="0" fontId="3" fillId="19" borderId="35" xfId="0" applyFont="1" applyFill="1" applyBorder="1" applyAlignment="1">
      <alignment horizontal="left" vertical="top" indent="2"/>
    </xf>
    <xf numFmtId="0" fontId="8" fillId="19" borderId="36" xfId="0" applyFont="1" applyFill="1" applyBorder="1" applyAlignment="1">
      <alignment horizontal="center" vertical="top"/>
    </xf>
    <xf numFmtId="0" fontId="8" fillId="19" borderId="36" xfId="0" quotePrefix="1" applyFont="1" applyFill="1" applyBorder="1" applyAlignment="1">
      <alignment vertical="top"/>
    </xf>
    <xf numFmtId="0" fontId="3" fillId="19" borderId="36" xfId="0" quotePrefix="1" applyFont="1" applyFill="1" applyBorder="1" applyAlignment="1">
      <alignment vertical="top"/>
    </xf>
    <xf numFmtId="0" fontId="3" fillId="19" borderId="36" xfId="0" applyFont="1" applyFill="1" applyBorder="1" applyAlignment="1">
      <alignment vertical="top"/>
    </xf>
    <xf numFmtId="0" fontId="3" fillId="19" borderId="97" xfId="0" applyFont="1" applyFill="1" applyBorder="1" applyAlignment="1">
      <alignment vertical="top"/>
    </xf>
    <xf numFmtId="0" fontId="3" fillId="19" borderId="36" xfId="0" applyFont="1" applyFill="1" applyBorder="1" applyAlignment="1">
      <alignment horizontal="center" vertical="top"/>
    </xf>
    <xf numFmtId="0" fontId="37" fillId="19" borderId="36" xfId="0" quotePrefix="1" applyFont="1" applyFill="1" applyBorder="1" applyAlignment="1">
      <alignment vertical="top"/>
    </xf>
    <xf numFmtId="0" fontId="22" fillId="19" borderId="36" xfId="0" quotePrefix="1" applyFont="1" applyFill="1" applyBorder="1" applyAlignment="1">
      <alignment vertical="top"/>
    </xf>
    <xf numFmtId="0" fontId="22" fillId="19" borderId="36" xfId="0" applyFont="1" applyFill="1" applyBorder="1" applyAlignment="1">
      <alignment vertical="top"/>
    </xf>
    <xf numFmtId="0" fontId="22" fillId="19" borderId="97" xfId="0" applyFont="1" applyFill="1" applyBorder="1" applyAlignment="1">
      <alignment vertical="top"/>
    </xf>
    <xf numFmtId="0" fontId="3" fillId="19" borderId="48" xfId="0" applyFont="1" applyFill="1" applyBorder="1" applyAlignment="1">
      <alignment horizontal="left" vertical="top" indent="2"/>
    </xf>
    <xf numFmtId="0" fontId="3" fillId="19" borderId="49" xfId="0" applyFont="1" applyFill="1" applyBorder="1" applyAlignment="1">
      <alignment horizontal="center" vertical="top"/>
    </xf>
    <xf numFmtId="0" fontId="37" fillId="19" borderId="49" xfId="0" quotePrefix="1" applyFont="1" applyFill="1" applyBorder="1" applyAlignment="1">
      <alignment vertical="top"/>
    </xf>
    <xf numFmtId="0" fontId="22" fillId="19" borderId="49" xfId="0" quotePrefix="1" applyFont="1" applyFill="1" applyBorder="1" applyAlignment="1">
      <alignment vertical="top"/>
    </xf>
    <xf numFmtId="0" fontId="22" fillId="19" borderId="49" xfId="0" applyFont="1" applyFill="1" applyBorder="1" applyAlignment="1">
      <alignment vertical="top"/>
    </xf>
    <xf numFmtId="0" fontId="22" fillId="19" borderId="98" xfId="0" applyFont="1" applyFill="1" applyBorder="1" applyAlignment="1">
      <alignment vertical="top"/>
    </xf>
    <xf numFmtId="0" fontId="32" fillId="5" borderId="88" xfId="0" quotePrefix="1" applyFont="1" applyFill="1" applyBorder="1" applyAlignment="1">
      <alignment vertical="top"/>
    </xf>
    <xf numFmtId="0" fontId="32" fillId="5" borderId="80" xfId="0" quotePrefix="1" applyFont="1" applyFill="1" applyBorder="1" applyAlignment="1">
      <alignment vertical="top"/>
    </xf>
    <xf numFmtId="0" fontId="32" fillId="5" borderId="101" xfId="0" quotePrefix="1" applyFont="1" applyFill="1" applyBorder="1" applyAlignment="1">
      <alignment horizontal="left" vertical="top"/>
    </xf>
    <xf numFmtId="0" fontId="6" fillId="5" borderId="102" xfId="0" applyFont="1" applyFill="1" applyBorder="1" applyAlignment="1">
      <alignment vertical="top"/>
    </xf>
    <xf numFmtId="0" fontId="40" fillId="5" borderId="82" xfId="0" applyFont="1" applyFill="1" applyBorder="1" applyAlignment="1">
      <alignment horizontal="left" vertical="top" indent="1"/>
    </xf>
    <xf numFmtId="0" fontId="39" fillId="5" borderId="82" xfId="0" applyFont="1" applyFill="1" applyBorder="1" applyAlignment="1">
      <alignment horizontal="left" vertical="top" indent="2"/>
    </xf>
    <xf numFmtId="0" fontId="39" fillId="5" borderId="99" xfId="0" applyFont="1" applyFill="1" applyBorder="1" applyAlignment="1">
      <alignment horizontal="left" vertical="top" indent="2"/>
    </xf>
    <xf numFmtId="0" fontId="39" fillId="5" borderId="79" xfId="0" applyFont="1" applyFill="1" applyBorder="1" applyAlignment="1">
      <alignment horizontal="left" vertical="top" indent="2"/>
    </xf>
    <xf numFmtId="0" fontId="8" fillId="5" borderId="88" xfId="0" quotePrefix="1" applyFont="1" applyFill="1" applyBorder="1" applyAlignment="1">
      <alignment horizontal="center" vertical="top"/>
    </xf>
    <xf numFmtId="0" fontId="41" fillId="5" borderId="89" xfId="0" quotePrefix="1" applyFont="1" applyFill="1" applyBorder="1" applyAlignment="1">
      <alignment horizontal="left" vertical="top"/>
    </xf>
    <xf numFmtId="0" fontId="32" fillId="5" borderId="88" xfId="0" quotePrefix="1" applyFont="1" applyFill="1" applyBorder="1" applyAlignment="1">
      <alignment horizontal="left" vertical="top"/>
    </xf>
    <xf numFmtId="0" fontId="41" fillId="5" borderId="88" xfId="0" quotePrefix="1" applyFont="1" applyFill="1" applyBorder="1" applyAlignment="1">
      <alignment horizontal="left" vertical="top" indent="3"/>
    </xf>
    <xf numFmtId="0" fontId="32" fillId="5" borderId="100" xfId="0" quotePrefix="1" applyFont="1" applyFill="1" applyBorder="1" applyAlignment="1">
      <alignment vertical="top"/>
    </xf>
    <xf numFmtId="0" fontId="32" fillId="5" borderId="50" xfId="0" quotePrefix="1" applyFont="1" applyFill="1" applyBorder="1" applyAlignment="1">
      <alignment vertical="top"/>
    </xf>
    <xf numFmtId="0" fontId="32" fillId="5" borderId="30" xfId="0" quotePrefix="1" applyFont="1" applyFill="1" applyBorder="1" applyAlignment="1">
      <alignment vertical="top"/>
    </xf>
    <xf numFmtId="0" fontId="32" fillId="5" borderId="92" xfId="0" quotePrefix="1" applyFont="1" applyFill="1" applyBorder="1" applyAlignment="1">
      <alignment vertical="top"/>
    </xf>
    <xf numFmtId="0" fontId="42" fillId="5" borderId="0" xfId="0" applyFont="1" applyFill="1" applyAlignment="1">
      <alignment vertical="top"/>
    </xf>
    <xf numFmtId="0" fontId="41" fillId="5" borderId="88" xfId="0" quotePrefix="1" applyFont="1" applyFill="1" applyBorder="1" applyAlignment="1">
      <alignment horizontal="left" vertical="top" indent="1"/>
    </xf>
    <xf numFmtId="0" fontId="0" fillId="0" borderId="6" xfId="0" applyBorder="1"/>
    <xf numFmtId="0" fontId="32" fillId="5" borderId="0" xfId="0" quotePrefix="1" applyFont="1" applyFill="1" applyAlignment="1">
      <alignment horizontal="left" vertical="top" indent="1"/>
    </xf>
    <xf numFmtId="0" fontId="0" fillId="0" borderId="0" xfId="0" applyAlignment="1">
      <alignment vertical="top"/>
    </xf>
    <xf numFmtId="0" fontId="0" fillId="0" borderId="0" xfId="0" applyAlignment="1">
      <alignment horizontal="center" vertical="top"/>
    </xf>
    <xf numFmtId="0" fontId="41" fillId="5" borderId="88" xfId="0" applyFont="1" applyFill="1" applyBorder="1" applyAlignment="1">
      <alignment horizontal="center" vertical="top" wrapText="1"/>
    </xf>
    <xf numFmtId="0" fontId="32" fillId="5" borderId="88" xfId="0" quotePrefix="1" applyFont="1" applyFill="1" applyBorder="1" applyAlignment="1">
      <alignment horizontal="left" vertical="top" indent="1"/>
    </xf>
    <xf numFmtId="0" fontId="32" fillId="5" borderId="80" xfId="0" quotePrefix="1" applyFont="1" applyFill="1" applyBorder="1" applyAlignment="1">
      <alignment horizontal="left" vertical="top" indent="1"/>
    </xf>
    <xf numFmtId="0" fontId="3" fillId="5" borderId="0" xfId="0" applyFont="1" applyFill="1" applyAlignment="1">
      <alignment horizontal="center" vertical="top" wrapText="1"/>
    </xf>
    <xf numFmtId="0" fontId="39" fillId="5" borderId="91" xfId="0" applyFont="1" applyFill="1" applyBorder="1" applyAlignment="1">
      <alignment horizontal="left" vertical="top" indent="2"/>
    </xf>
    <xf numFmtId="0" fontId="39" fillId="5" borderId="82" xfId="0" applyFont="1" applyFill="1" applyBorder="1" applyAlignment="1">
      <alignment horizontal="left" vertical="top" indent="1"/>
    </xf>
    <xf numFmtId="0" fontId="3" fillId="5" borderId="88" xfId="0" applyFont="1" applyFill="1" applyBorder="1" applyAlignment="1">
      <alignment horizontal="center" vertical="top"/>
    </xf>
    <xf numFmtId="0" fontId="40" fillId="5" borderId="103" xfId="0" applyFont="1" applyFill="1" applyBorder="1" applyAlignment="1">
      <alignment horizontal="left" vertical="top" indent="1"/>
    </xf>
    <xf numFmtId="0" fontId="6" fillId="5" borderId="104" xfId="0" applyFont="1" applyFill="1" applyBorder="1" applyAlignment="1">
      <alignment vertical="top"/>
    </xf>
    <xf numFmtId="0" fontId="6" fillId="5" borderId="105" xfId="0" applyFont="1" applyFill="1" applyBorder="1" applyAlignment="1">
      <alignment vertical="top"/>
    </xf>
    <xf numFmtId="0" fontId="3" fillId="5" borderId="92" xfId="0" quotePrefix="1" applyFont="1" applyFill="1" applyBorder="1" applyAlignment="1">
      <alignment horizontal="center" vertical="top"/>
    </xf>
    <xf numFmtId="0" fontId="32" fillId="5" borderId="92" xfId="0" quotePrefix="1" applyFont="1" applyFill="1" applyBorder="1" applyAlignment="1">
      <alignment horizontal="left" vertical="top"/>
    </xf>
    <xf numFmtId="0" fontId="6" fillId="5" borderId="6" xfId="0" applyFont="1" applyFill="1" applyBorder="1" applyAlignment="1">
      <alignment vertical="top"/>
    </xf>
    <xf numFmtId="0" fontId="6" fillId="5" borderId="7" xfId="0" applyFont="1" applyFill="1" applyBorder="1" applyAlignment="1">
      <alignment vertical="top"/>
    </xf>
    <xf numFmtId="0" fontId="32" fillId="5" borderId="6" xfId="0" quotePrefix="1" applyFont="1" applyFill="1" applyBorder="1" applyAlignment="1">
      <alignment horizontal="left" vertical="top" indent="1"/>
    </xf>
    <xf numFmtId="0" fontId="0" fillId="5" borderId="70" xfId="0" applyFill="1" applyBorder="1"/>
    <xf numFmtId="0" fontId="0" fillId="5" borderId="76" xfId="0" applyFill="1" applyBorder="1"/>
    <xf numFmtId="0" fontId="0" fillId="5" borderId="77" xfId="0" applyFill="1" applyBorder="1"/>
    <xf numFmtId="0" fontId="0" fillId="5" borderId="78" xfId="0" applyFill="1" applyBorder="1"/>
    <xf numFmtId="0" fontId="0" fillId="5" borderId="84" xfId="0" applyFill="1" applyBorder="1"/>
    <xf numFmtId="0" fontId="0" fillId="5" borderId="85" xfId="0" applyFill="1" applyBorder="1"/>
    <xf numFmtId="0" fontId="6" fillId="5" borderId="106" xfId="0" applyFont="1" applyFill="1" applyBorder="1" applyAlignment="1">
      <alignment vertical="top"/>
    </xf>
    <xf numFmtId="0" fontId="3" fillId="5" borderId="58" xfId="0" applyFont="1" applyFill="1" applyBorder="1" applyAlignment="1">
      <alignment vertical="top"/>
    </xf>
    <xf numFmtId="0" fontId="10" fillId="5" borderId="64" xfId="0" quotePrefix="1" applyFont="1" applyFill="1" applyBorder="1" applyAlignment="1">
      <alignment horizontal="center" vertical="center"/>
    </xf>
    <xf numFmtId="0" fontId="32" fillId="5" borderId="64" xfId="0" quotePrefix="1" applyFont="1" applyFill="1" applyBorder="1" applyAlignment="1">
      <alignment vertical="top"/>
    </xf>
    <xf numFmtId="0" fontId="38" fillId="5" borderId="107" xfId="0" quotePrefix="1" applyFont="1" applyFill="1" applyBorder="1" applyAlignment="1">
      <alignment vertical="top"/>
    </xf>
    <xf numFmtId="0" fontId="34" fillId="5" borderId="20" xfId="0" applyFont="1" applyFill="1" applyBorder="1" applyAlignment="1">
      <alignment vertical="top"/>
    </xf>
    <xf numFmtId="0" fontId="34" fillId="5" borderId="21" xfId="0" applyFont="1" applyFill="1" applyBorder="1" applyAlignment="1">
      <alignment vertical="top"/>
    </xf>
    <xf numFmtId="0" fontId="44" fillId="2" borderId="0" xfId="0" applyFont="1" applyFill="1"/>
    <xf numFmtId="0" fontId="5" fillId="2" borderId="0" xfId="0" applyFont="1" applyFill="1" applyAlignment="1">
      <alignment horizontal="center"/>
    </xf>
    <xf numFmtId="14" fontId="3" fillId="5" borderId="88" xfId="0" quotePrefix="1" applyNumberFormat="1" applyFont="1" applyFill="1" applyBorder="1" applyAlignment="1">
      <alignment horizontal="center" vertical="top" wrapText="1"/>
    </xf>
    <xf numFmtId="0" fontId="20" fillId="27" borderId="108" xfId="0" applyFont="1" applyFill="1" applyBorder="1"/>
    <xf numFmtId="0" fontId="21" fillId="27" borderId="109" xfId="0" applyFont="1" applyFill="1" applyBorder="1"/>
    <xf numFmtId="0" fontId="16" fillId="27" borderId="109" xfId="0" applyFont="1" applyFill="1" applyBorder="1"/>
    <xf numFmtId="0" fontId="16" fillId="27" borderId="110" xfId="0" applyFont="1" applyFill="1" applyBorder="1"/>
    <xf numFmtId="49" fontId="19" fillId="28" borderId="0" xfId="0" applyNumberFormat="1" applyFont="1" applyFill="1" applyAlignment="1">
      <alignment horizontal="right" vertical="top"/>
    </xf>
    <xf numFmtId="0" fontId="45" fillId="28" borderId="0" xfId="0" applyFont="1" applyFill="1" applyAlignment="1">
      <alignment vertical="top"/>
    </xf>
    <xf numFmtId="14" fontId="45" fillId="28" borderId="0" xfId="0" applyNumberFormat="1" applyFont="1" applyFill="1" applyAlignment="1">
      <alignment horizontal="left" vertical="top"/>
    </xf>
    <xf numFmtId="0" fontId="45" fillId="28" borderId="0" xfId="0" applyFont="1" applyFill="1" applyAlignment="1">
      <alignment horizontal="left" vertical="top"/>
    </xf>
    <xf numFmtId="0" fontId="8" fillId="10" borderId="111" xfId="0" applyFont="1" applyFill="1" applyBorder="1" applyAlignment="1">
      <alignment horizontal="center" vertical="center" wrapText="1"/>
    </xf>
    <xf numFmtId="0" fontId="32" fillId="5" borderId="30" xfId="0" applyFont="1" applyFill="1" applyBorder="1" applyAlignment="1">
      <alignment vertical="top"/>
    </xf>
    <xf numFmtId="0" fontId="32" fillId="5" borderId="112" xfId="0" applyFont="1" applyFill="1" applyBorder="1" applyAlignment="1">
      <alignment vertical="top"/>
    </xf>
    <xf numFmtId="0" fontId="3" fillId="5" borderId="113" xfId="0" applyFont="1" applyFill="1" applyBorder="1" applyAlignment="1">
      <alignment vertical="top"/>
    </xf>
    <xf numFmtId="0" fontId="32" fillId="5" borderId="114" xfId="0" quotePrefix="1" applyFont="1" applyFill="1" applyBorder="1" applyAlignment="1">
      <alignment horizontal="left" vertical="top"/>
    </xf>
    <xf numFmtId="0" fontId="6" fillId="5" borderId="115" xfId="0" applyFont="1" applyFill="1" applyBorder="1" applyAlignment="1">
      <alignment vertical="top"/>
    </xf>
    <xf numFmtId="0" fontId="6" fillId="5" borderId="116" xfId="0" applyFont="1" applyFill="1" applyBorder="1" applyAlignment="1">
      <alignment vertical="top"/>
    </xf>
    <xf numFmtId="0" fontId="6" fillId="5" borderId="117" xfId="0" applyFont="1" applyFill="1" applyBorder="1" applyAlignment="1">
      <alignment vertical="top"/>
    </xf>
    <xf numFmtId="0" fontId="3" fillId="5" borderId="118" xfId="0" applyFont="1" applyFill="1" applyBorder="1" applyAlignment="1">
      <alignment horizontal="left" vertical="top" indent="2"/>
    </xf>
    <xf numFmtId="0" fontId="3" fillId="5" borderId="119" xfId="0" applyFont="1" applyFill="1" applyBorder="1" applyAlignment="1">
      <alignment horizontal="center" vertical="top"/>
    </xf>
    <xf numFmtId="0" fontId="32" fillId="5" borderId="119" xfId="0" quotePrefix="1" applyFont="1" applyFill="1" applyBorder="1" applyAlignment="1">
      <alignment vertical="top"/>
    </xf>
    <xf numFmtId="0" fontId="32" fillId="5" borderId="119" xfId="0" applyFont="1" applyFill="1" applyBorder="1" applyAlignment="1">
      <alignment vertical="top"/>
    </xf>
    <xf numFmtId="0" fontId="32" fillId="5" borderId="120" xfId="0" applyFont="1" applyFill="1" applyBorder="1" applyAlignment="1">
      <alignment vertical="top"/>
    </xf>
    <xf numFmtId="0" fontId="3" fillId="5" borderId="114" xfId="0" applyFont="1" applyFill="1" applyBorder="1" applyAlignment="1">
      <alignment horizontal="center" vertical="top"/>
    </xf>
    <xf numFmtId="0" fontId="4" fillId="15" borderId="4" xfId="0" applyFont="1" applyFill="1" applyBorder="1" applyAlignment="1">
      <alignment horizontal="center" vertical="center" wrapText="1"/>
    </xf>
    <xf numFmtId="167" fontId="32" fillId="4" borderId="64" xfId="0" applyNumberFormat="1" applyFont="1" applyFill="1" applyBorder="1"/>
    <xf numFmtId="0" fontId="0" fillId="0" borderId="65" xfId="0" applyBorder="1"/>
    <xf numFmtId="0" fontId="3" fillId="5" borderId="123" xfId="0" applyFont="1" applyFill="1" applyBorder="1" applyAlignment="1">
      <alignment vertical="top"/>
    </xf>
    <xf numFmtId="0" fontId="3" fillId="5" borderId="124" xfId="0" quotePrefix="1" applyFont="1" applyFill="1" applyBorder="1" applyAlignment="1">
      <alignment horizontal="center" vertical="top"/>
    </xf>
    <xf numFmtId="0" fontId="32" fillId="5" borderId="124" xfId="0" quotePrefix="1" applyFont="1" applyFill="1" applyBorder="1" applyAlignment="1">
      <alignment horizontal="left" vertical="top"/>
    </xf>
    <xf numFmtId="0" fontId="6" fillId="5" borderId="69" xfId="0" applyFont="1" applyFill="1" applyBorder="1" applyAlignment="1">
      <alignment vertical="top"/>
    </xf>
    <xf numFmtId="0" fontId="6" fillId="5" borderId="126" xfId="0" applyFont="1" applyFill="1" applyBorder="1" applyAlignment="1">
      <alignment vertical="top"/>
    </xf>
    <xf numFmtId="0" fontId="32" fillId="5" borderId="125" xfId="0" quotePrefix="1" applyFont="1" applyFill="1" applyBorder="1" applyAlignment="1">
      <alignment vertical="top"/>
    </xf>
    <xf numFmtId="0" fontId="3" fillId="19" borderId="127" xfId="0" applyFont="1" applyFill="1" applyBorder="1" applyAlignment="1">
      <alignment horizontal="left" vertical="top" indent="2"/>
    </xf>
    <xf numFmtId="0" fontId="3" fillId="19" borderId="128" xfId="0" applyFont="1" applyFill="1" applyBorder="1" applyAlignment="1">
      <alignment horizontal="center" vertical="top"/>
    </xf>
    <xf numFmtId="0" fontId="37" fillId="19" borderId="128" xfId="0" quotePrefix="1" applyFont="1" applyFill="1" applyBorder="1" applyAlignment="1">
      <alignment vertical="top"/>
    </xf>
    <xf numFmtId="0" fontId="22" fillId="19" borderId="128" xfId="0" quotePrefix="1" applyFont="1" applyFill="1" applyBorder="1" applyAlignment="1">
      <alignment vertical="top"/>
    </xf>
    <xf numFmtId="0" fontId="22" fillId="19" borderId="128" xfId="0" applyFont="1" applyFill="1" applyBorder="1" applyAlignment="1">
      <alignment vertical="top"/>
    </xf>
    <xf numFmtId="0" fontId="22" fillId="19" borderId="129" xfId="0" applyFont="1" applyFill="1" applyBorder="1" applyAlignment="1">
      <alignment vertical="top"/>
    </xf>
    <xf numFmtId="0" fontId="0" fillId="0" borderId="10" xfId="0" applyBorder="1"/>
    <xf numFmtId="0" fontId="19" fillId="5" borderId="88" xfId="0" quotePrefix="1" applyFont="1" applyFill="1" applyBorder="1" applyAlignment="1">
      <alignment horizontal="center" vertical="top"/>
    </xf>
    <xf numFmtId="0" fontId="19" fillId="5" borderId="100" xfId="0" quotePrefix="1" applyFont="1" applyFill="1" applyBorder="1" applyAlignment="1">
      <alignment horizontal="center" vertical="top"/>
    </xf>
    <xf numFmtId="0" fontId="32" fillId="5" borderId="89" xfId="0" quotePrefix="1" applyFont="1" applyFill="1" applyBorder="1" applyAlignment="1">
      <alignment horizontal="center" vertical="center"/>
    </xf>
    <xf numFmtId="0" fontId="39" fillId="5" borderId="82" xfId="0" applyFont="1" applyFill="1" applyBorder="1" applyAlignment="1">
      <alignment horizontal="left" vertical="top" indent="4"/>
    </xf>
    <xf numFmtId="0" fontId="40" fillId="5" borderId="82" xfId="0" applyFont="1" applyFill="1" applyBorder="1" applyAlignment="1">
      <alignment horizontal="left"/>
    </xf>
    <xf numFmtId="0" fontId="24" fillId="5" borderId="88" xfId="0" quotePrefix="1" applyFont="1" applyFill="1" applyBorder="1" applyAlignment="1">
      <alignment horizontal="left"/>
    </xf>
    <xf numFmtId="0" fontId="32" fillId="5" borderId="88" xfId="0" quotePrefix="1" applyFont="1" applyFill="1" applyBorder="1"/>
    <xf numFmtId="0" fontId="32" fillId="5" borderId="89" xfId="0" quotePrefix="1" applyFont="1" applyFill="1" applyBorder="1" applyAlignment="1">
      <alignment horizontal="left"/>
    </xf>
    <xf numFmtId="0" fontId="6" fillId="5" borderId="0" xfId="0" applyFont="1" applyFill="1"/>
    <xf numFmtId="0" fontId="6" fillId="5" borderId="10" xfId="0" applyFont="1" applyFill="1" applyBorder="1"/>
    <xf numFmtId="0" fontId="40" fillId="5" borderId="82" xfId="0" applyFont="1" applyFill="1" applyBorder="1" applyAlignment="1">
      <alignment horizontal="left" vertical="top" indent="2"/>
    </xf>
    <xf numFmtId="0" fontId="32" fillId="5" borderId="81" xfId="0" quotePrefix="1" applyFont="1" applyFill="1" applyBorder="1" applyAlignment="1">
      <alignment horizontal="left" vertical="top"/>
    </xf>
    <xf numFmtId="0" fontId="38" fillId="5" borderId="75" xfId="0" quotePrefix="1" applyFont="1" applyFill="1" applyBorder="1" applyAlignment="1">
      <alignment horizontal="left" vertical="top" indent="4"/>
    </xf>
    <xf numFmtId="0" fontId="36" fillId="5" borderId="75" xfId="0" applyFont="1" applyFill="1" applyBorder="1" applyAlignment="1">
      <alignment horizontal="left" vertical="top" indent="3"/>
    </xf>
    <xf numFmtId="0" fontId="46" fillId="5" borderId="89" xfId="0" quotePrefix="1" applyFont="1" applyFill="1" applyBorder="1" applyAlignment="1">
      <alignment horizontal="left" vertical="top" indent="2"/>
    </xf>
    <xf numFmtId="0" fontId="32" fillId="5" borderId="87" xfId="0" quotePrefix="1" applyFont="1" applyFill="1" applyBorder="1" applyAlignment="1">
      <alignment horizontal="left" vertical="top"/>
    </xf>
    <xf numFmtId="0" fontId="8" fillId="5" borderId="80" xfId="0" quotePrefix="1" applyFont="1" applyFill="1" applyBorder="1" applyAlignment="1">
      <alignment horizontal="center" wrapText="1"/>
    </xf>
    <xf numFmtId="0" fontId="8" fillId="5" borderId="30" xfId="0" quotePrefix="1" applyFont="1" applyFill="1" applyBorder="1" applyAlignment="1">
      <alignment horizontal="center" wrapText="1"/>
    </xf>
    <xf numFmtId="0" fontId="36" fillId="5" borderId="89" xfId="0" applyFont="1" applyFill="1" applyBorder="1" applyAlignment="1">
      <alignment horizontal="left" vertical="top" indent="3"/>
    </xf>
    <xf numFmtId="0" fontId="8" fillId="0" borderId="0" xfId="0" applyFont="1"/>
    <xf numFmtId="0" fontId="1" fillId="0" borderId="0" xfId="0" applyFont="1"/>
    <xf numFmtId="0" fontId="0" fillId="0" borderId="0" xfId="0" applyAlignment="1">
      <alignment vertical="top" wrapText="1"/>
    </xf>
    <xf numFmtId="0" fontId="3" fillId="0" borderId="0" xfId="0" applyFont="1" applyAlignment="1">
      <alignment horizontal="left"/>
    </xf>
    <xf numFmtId="0" fontId="6" fillId="30" borderId="1" xfId="0" applyFont="1" applyFill="1" applyBorder="1" applyAlignment="1">
      <alignment vertical="top"/>
    </xf>
    <xf numFmtId="0" fontId="3" fillId="31" borderId="11" xfId="0" applyFont="1" applyFill="1" applyBorder="1" applyAlignment="1">
      <alignment vertical="top"/>
    </xf>
    <xf numFmtId="0" fontId="6" fillId="30" borderId="14" xfId="0" applyFont="1" applyFill="1" applyBorder="1" applyAlignment="1">
      <alignment vertical="top"/>
    </xf>
    <xf numFmtId="0" fontId="3" fillId="31" borderId="15" xfId="0" applyFont="1" applyFill="1" applyBorder="1" applyAlignment="1">
      <alignment vertical="top"/>
    </xf>
    <xf numFmtId="0" fontId="6" fillId="10" borderId="14" xfId="0" applyFont="1" applyFill="1" applyBorder="1" applyAlignment="1">
      <alignment vertical="top"/>
    </xf>
    <xf numFmtId="0" fontId="3" fillId="32" borderId="15" xfId="0" applyFont="1" applyFill="1" applyBorder="1" applyAlignment="1">
      <alignment vertical="top"/>
    </xf>
    <xf numFmtId="0" fontId="3" fillId="10" borderId="15" xfId="0" applyFont="1" applyFill="1" applyBorder="1" applyAlignment="1">
      <alignment vertical="top"/>
    </xf>
    <xf numFmtId="0" fontId="3" fillId="30" borderId="15" xfId="0" applyFont="1" applyFill="1" applyBorder="1" applyAlignment="1">
      <alignment vertical="top"/>
    </xf>
    <xf numFmtId="0" fontId="6" fillId="30" borderId="17" xfId="0" applyFont="1" applyFill="1" applyBorder="1" applyAlignment="1">
      <alignment vertical="top"/>
    </xf>
    <xf numFmtId="0" fontId="3" fillId="30" borderId="18" xfId="0" applyFont="1" applyFill="1" applyBorder="1" applyAlignment="1">
      <alignment vertical="top"/>
    </xf>
    <xf numFmtId="0" fontId="2" fillId="2" borderId="5" xfId="0" applyFont="1" applyFill="1" applyBorder="1" applyAlignment="1">
      <alignment horizontal="center" vertical="top"/>
    </xf>
    <xf numFmtId="0" fontId="2" fillId="2" borderId="6" xfId="0" applyFont="1" applyFill="1" applyBorder="1" applyAlignment="1">
      <alignment horizontal="center" vertical="top"/>
    </xf>
    <xf numFmtId="0" fontId="32" fillId="5" borderId="89" xfId="0" quotePrefix="1" applyFont="1" applyFill="1" applyBorder="1" applyAlignment="1">
      <alignment horizontal="center" vertical="top"/>
    </xf>
    <xf numFmtId="0" fontId="0" fillId="0" borderId="0" xfId="0" quotePrefix="1" applyAlignment="1">
      <alignment horizontal="center" vertical="top"/>
    </xf>
    <xf numFmtId="0" fontId="32" fillId="5" borderId="93" xfId="0" quotePrefix="1" applyFont="1" applyFill="1" applyBorder="1" applyAlignment="1">
      <alignment horizontal="center" vertical="top"/>
    </xf>
    <xf numFmtId="0" fontId="11" fillId="0" borderId="14" xfId="0" applyFont="1" applyBorder="1"/>
    <xf numFmtId="0" fontId="3" fillId="0" borderId="15" xfId="0" applyFont="1" applyBorder="1"/>
    <xf numFmtId="0" fontId="11" fillId="12" borderId="14" xfId="0" applyFont="1" applyFill="1" applyBorder="1"/>
    <xf numFmtId="0" fontId="3" fillId="12" borderId="15" xfId="0" applyFont="1" applyFill="1" applyBorder="1"/>
    <xf numFmtId="0" fontId="11" fillId="12" borderId="15" xfId="0" applyFont="1" applyFill="1" applyBorder="1"/>
    <xf numFmtId="0" fontId="11" fillId="0" borderId="15" xfId="0" applyFont="1" applyBorder="1"/>
    <xf numFmtId="0" fontId="27" fillId="35" borderId="0" xfId="4">
      <alignment vertical="center"/>
    </xf>
    <xf numFmtId="0" fontId="28" fillId="18" borderId="19" xfId="5">
      <alignment vertical="center"/>
    </xf>
    <xf numFmtId="0" fontId="51" fillId="102" borderId="0" xfId="6" applyBorder="1">
      <alignment vertical="center"/>
    </xf>
    <xf numFmtId="0" fontId="8" fillId="27" borderId="0" xfId="7" applyBorder="1">
      <alignment vertical="center"/>
    </xf>
    <xf numFmtId="0" fontId="52" fillId="36" borderId="0" xfId="8" applyBorder="1">
      <alignment vertical="center"/>
    </xf>
    <xf numFmtId="0" fontId="52" fillId="37" borderId="0" xfId="9" applyBorder="1">
      <alignment horizontal="left" vertical="center"/>
    </xf>
    <xf numFmtId="168" fontId="15" fillId="25" borderId="0" xfId="10" applyBorder="1">
      <alignment horizontal="right"/>
      <protection locked="0"/>
    </xf>
    <xf numFmtId="49" fontId="19" fillId="10" borderId="121" xfId="1" applyBorder="1" applyAlignment="1">
      <alignment vertical="center" wrapText="1"/>
    </xf>
    <xf numFmtId="0" fontId="9" fillId="70" borderId="143" xfId="53" applyBorder="1">
      <alignment horizontal="right" vertical="center" wrapText="1" indent="1"/>
    </xf>
    <xf numFmtId="0" fontId="116" fillId="71" borderId="143" xfId="54" applyBorder="1">
      <alignment horizontal="right" vertical="center" wrapText="1" indent="1"/>
    </xf>
    <xf numFmtId="0" fontId="9" fillId="30" borderId="143" xfId="55">
      <alignment horizontal="right" vertical="center" wrapText="1" indent="1"/>
    </xf>
    <xf numFmtId="0" fontId="9" fillId="5" borderId="143" xfId="56">
      <alignment horizontal="right" vertical="center" wrapText="1" indent="1"/>
    </xf>
    <xf numFmtId="169" fontId="68" fillId="69" borderId="144" xfId="57">
      <alignment horizontal="right" vertical="center"/>
      <protection locked="0"/>
    </xf>
    <xf numFmtId="49" fontId="3" fillId="29" borderId="38" xfId="58" applyAlignment="1" applyProtection="1"/>
    <xf numFmtId="0" fontId="3" fillId="0" borderId="60" xfId="59">
      <alignment horizontal="left" vertical="center" wrapText="1" indent="1"/>
    </xf>
    <xf numFmtId="49" fontId="3" fillId="24" borderId="38" xfId="11" applyAlignment="1">
      <protection locked="0"/>
    </xf>
    <xf numFmtId="10" fontId="15" fillId="25" borderId="0" xfId="61" applyBorder="1">
      <alignment horizontal="right"/>
      <protection locked="0"/>
    </xf>
    <xf numFmtId="0" fontId="0" fillId="18" borderId="0" xfId="60" applyFont="1"/>
    <xf numFmtId="49" fontId="27" fillId="18" borderId="0" xfId="62">
      <alignment vertical="center"/>
    </xf>
    <xf numFmtId="0" fontId="0" fillId="0" borderId="75" xfId="0" applyBorder="1"/>
    <xf numFmtId="0" fontId="1" fillId="2" borderId="6" xfId="0" quotePrefix="1" applyFont="1" applyFill="1" applyBorder="1" applyAlignment="1">
      <alignment horizontal="left" vertical="top"/>
    </xf>
    <xf numFmtId="0" fontId="1" fillId="2" borderId="6" xfId="0" applyFont="1" applyFill="1" applyBorder="1" applyAlignment="1">
      <alignment horizontal="left" vertical="top"/>
    </xf>
    <xf numFmtId="49" fontId="1" fillId="2" borderId="6" xfId="0" quotePrefix="1" applyNumberFormat="1" applyFont="1" applyFill="1" applyBorder="1" applyAlignment="1">
      <alignment horizontal="left" vertical="top"/>
    </xf>
    <xf numFmtId="0" fontId="1" fillId="2" borderId="7" xfId="0" applyFont="1" applyFill="1" applyBorder="1" applyAlignment="1">
      <alignment horizontal="left" vertical="top"/>
    </xf>
    <xf numFmtId="0" fontId="49" fillId="29" borderId="1" xfId="0" applyFont="1" applyFill="1" applyBorder="1" applyAlignment="1">
      <alignment horizontal="center"/>
    </xf>
    <xf numFmtId="0" fontId="49" fillId="29" borderId="11" xfId="0" applyFont="1" applyFill="1" applyBorder="1" applyAlignment="1">
      <alignment horizontal="center"/>
    </xf>
    <xf numFmtId="0" fontId="49" fillId="29" borderId="14" xfId="0" applyFont="1" applyFill="1" applyBorder="1" applyAlignment="1">
      <alignment horizontal="center"/>
    </xf>
    <xf numFmtId="0" fontId="49" fillId="29" borderId="15" xfId="0" applyFont="1" applyFill="1" applyBorder="1" applyAlignment="1">
      <alignment horizontal="center"/>
    </xf>
    <xf numFmtId="0" fontId="49" fillId="29" borderId="17" xfId="0" applyFont="1" applyFill="1" applyBorder="1" applyAlignment="1">
      <alignment horizontal="center"/>
    </xf>
    <xf numFmtId="0" fontId="49" fillId="29" borderId="18" xfId="0" applyFont="1" applyFill="1" applyBorder="1" applyAlignment="1">
      <alignment horizontal="center"/>
    </xf>
    <xf numFmtId="0" fontId="0" fillId="2" borderId="6" xfId="0" quotePrefix="1" applyFill="1" applyBorder="1" applyAlignment="1">
      <alignment horizontal="left" vertical="top"/>
    </xf>
    <xf numFmtId="0" fontId="2" fillId="0" borderId="0" xfId="0" applyFont="1"/>
    <xf numFmtId="0" fontId="1" fillId="0" borderId="0" xfId="0" quotePrefix="1" applyFont="1"/>
    <xf numFmtId="0" fontId="27" fillId="4" borderId="0" xfId="4" applyFill="1">
      <alignment vertical="center"/>
    </xf>
    <xf numFmtId="0" fontId="0" fillId="4" borderId="0" xfId="0" applyFill="1"/>
    <xf numFmtId="0" fontId="0" fillId="26" borderId="0" xfId="0" applyFill="1"/>
    <xf numFmtId="0" fontId="6" fillId="26" borderId="0" xfId="0" applyFont="1" applyFill="1"/>
    <xf numFmtId="0" fontId="73" fillId="26" borderId="0" xfId="0" applyFont="1" applyFill="1"/>
    <xf numFmtId="0" fontId="73" fillId="26" borderId="0" xfId="0" applyFont="1" applyFill="1" applyAlignment="1">
      <alignment wrapText="1"/>
    </xf>
    <xf numFmtId="0" fontId="6" fillId="26" borderId="0" xfId="0" applyFont="1" applyFill="1" applyAlignment="1">
      <alignment horizontal="left"/>
    </xf>
    <xf numFmtId="0" fontId="73" fillId="26" borderId="0" xfId="0" applyFont="1" applyFill="1" applyAlignment="1">
      <alignment horizontal="right"/>
    </xf>
    <xf numFmtId="0" fontId="69" fillId="26" borderId="0" xfId="0" applyFont="1" applyFill="1" applyAlignment="1">
      <alignment horizontal="right"/>
    </xf>
    <xf numFmtId="0" fontId="6" fillId="26" borderId="0" xfId="0" applyFont="1" applyFill="1" applyAlignment="1">
      <alignment vertical="center"/>
    </xf>
    <xf numFmtId="0" fontId="50" fillId="26" borderId="0" xfId="0" applyFont="1" applyFill="1" applyAlignment="1">
      <alignment vertical="center"/>
    </xf>
    <xf numFmtId="0" fontId="76" fillId="0" borderId="0" xfId="0" applyFont="1" applyAlignment="1">
      <alignment vertical="center"/>
    </xf>
    <xf numFmtId="0" fontId="77" fillId="26" borderId="0" xfId="0" applyFont="1" applyFill="1"/>
    <xf numFmtId="0" fontId="71" fillId="4" borderId="0" xfId="4" applyFont="1" applyFill="1" applyAlignment="1">
      <alignment horizontal="justify" vertical="center" wrapText="1"/>
    </xf>
    <xf numFmtId="0" fontId="6" fillId="26" borderId="0" xfId="0" applyFont="1" applyFill="1" applyAlignment="1">
      <alignment vertical="top"/>
    </xf>
    <xf numFmtId="0" fontId="77" fillId="26" borderId="0" xfId="0" applyFont="1" applyFill="1" applyAlignment="1">
      <alignment vertical="top"/>
    </xf>
    <xf numFmtId="0" fontId="28" fillId="26" borderId="0" xfId="0" applyFont="1" applyFill="1" applyAlignment="1">
      <alignment vertical="top"/>
    </xf>
    <xf numFmtId="0" fontId="75" fillId="26" borderId="0" xfId="0" applyFont="1" applyFill="1" applyAlignment="1">
      <alignment vertical="top" wrapText="1"/>
    </xf>
    <xf numFmtId="0" fontId="74" fillId="26" borderId="0" xfId="0" applyFont="1" applyFill="1" applyAlignment="1">
      <alignment vertical="top"/>
    </xf>
    <xf numFmtId="0" fontId="74" fillId="26" borderId="0" xfId="0" applyFont="1" applyFill="1"/>
    <xf numFmtId="0" fontId="6" fillId="4" borderId="0" xfId="0" applyFont="1" applyFill="1" applyAlignment="1">
      <alignment vertical="top"/>
    </xf>
    <xf numFmtId="0" fontId="77" fillId="4" borderId="0" xfId="0" applyFont="1" applyFill="1" applyAlignment="1">
      <alignment vertical="top"/>
    </xf>
    <xf numFmtId="0" fontId="74" fillId="26" borderId="0" xfId="0" applyFont="1" applyFill="1" applyAlignment="1">
      <alignment horizontal="center" vertical="top"/>
    </xf>
    <xf numFmtId="0" fontId="75" fillId="26" borderId="0" xfId="0" applyFont="1" applyFill="1" applyAlignment="1">
      <alignment horizontal="left"/>
    </xf>
    <xf numFmtId="0" fontId="74" fillId="4" borderId="0" xfId="0" applyFont="1" applyFill="1"/>
    <xf numFmtId="0" fontId="50" fillId="4" borderId="0" xfId="0" applyFont="1" applyFill="1" applyAlignment="1">
      <alignment vertical="center"/>
    </xf>
    <xf numFmtId="0" fontId="74" fillId="4" borderId="0" xfId="0" applyFont="1" applyFill="1" applyAlignment="1">
      <alignment vertical="top"/>
    </xf>
    <xf numFmtId="49" fontId="78" fillId="4" borderId="0" xfId="62" applyFont="1" applyFill="1">
      <alignment vertical="center"/>
    </xf>
    <xf numFmtId="0" fontId="27" fillId="15" borderId="0" xfId="4" applyFill="1">
      <alignment vertical="center"/>
    </xf>
    <xf numFmtId="0" fontId="70" fillId="15" borderId="0" xfId="4" applyFont="1" applyFill="1">
      <alignment vertical="center"/>
    </xf>
    <xf numFmtId="0" fontId="38" fillId="26" borderId="0" xfId="0" applyFont="1" applyFill="1" applyAlignment="1">
      <alignment vertical="top"/>
    </xf>
    <xf numFmtId="0" fontId="80" fillId="26" borderId="0" xfId="0" applyFont="1" applyFill="1" applyAlignment="1">
      <alignment vertical="top"/>
    </xf>
    <xf numFmtId="0" fontId="74" fillId="26" borderId="0" xfId="0" applyFont="1" applyFill="1" applyAlignment="1">
      <alignment horizontal="centerContinuous" vertical="top"/>
    </xf>
    <xf numFmtId="0" fontId="4" fillId="26" borderId="0" xfId="0" applyFont="1" applyFill="1" applyAlignment="1">
      <alignment horizontal="center" vertical="top"/>
    </xf>
    <xf numFmtId="0" fontId="73" fillId="26" borderId="0" xfId="0" applyFont="1" applyFill="1" applyAlignment="1">
      <alignment vertical="top"/>
    </xf>
    <xf numFmtId="0" fontId="14" fillId="26" borderId="0" xfId="0" applyFont="1" applyFill="1" applyAlignment="1">
      <alignment vertical="top"/>
    </xf>
    <xf numFmtId="0" fontId="3" fillId="24" borderId="64" xfId="0" applyFont="1" applyFill="1" applyBorder="1" applyAlignment="1" applyProtection="1">
      <alignment horizontal="center"/>
      <protection locked="0"/>
    </xf>
    <xf numFmtId="0" fontId="6" fillId="5" borderId="64" xfId="0" applyFont="1" applyFill="1" applyBorder="1"/>
    <xf numFmtId="0" fontId="81" fillId="26" borderId="0" xfId="0" applyFont="1" applyFill="1" applyAlignment="1">
      <alignment horizontal="center" vertical="top"/>
    </xf>
    <xf numFmtId="0" fontId="82" fillId="26" borderId="0" xfId="0" applyFont="1" applyFill="1" applyAlignment="1">
      <alignment horizontal="center" vertical="top"/>
    </xf>
    <xf numFmtId="0" fontId="81" fillId="26" borderId="0" xfId="0" applyFont="1" applyFill="1" applyAlignment="1">
      <alignment vertical="top"/>
    </xf>
    <xf numFmtId="0" fontId="81" fillId="26" borderId="0" xfId="0" applyFont="1" applyFill="1" applyAlignment="1">
      <alignment horizontal="left" vertical="top"/>
    </xf>
    <xf numFmtId="0" fontId="83" fillId="26" borderId="0" xfId="0" applyFont="1" applyFill="1" applyAlignment="1">
      <alignment vertical="top"/>
    </xf>
    <xf numFmtId="0" fontId="0" fillId="0" borderId="0" xfId="0" applyAlignment="1">
      <alignment vertical="center" wrapText="1"/>
    </xf>
    <xf numFmtId="0" fontId="0" fillId="74" borderId="0" xfId="0" applyFill="1"/>
    <xf numFmtId="0" fontId="75" fillId="26" borderId="0" xfId="0" applyFont="1" applyFill="1"/>
    <xf numFmtId="14" fontId="0" fillId="0" borderId="0" xfId="0" applyNumberFormat="1"/>
    <xf numFmtId="14" fontId="0" fillId="0" borderId="0" xfId="0" applyNumberFormat="1" applyAlignment="1">
      <alignment vertical="center" wrapText="1"/>
    </xf>
    <xf numFmtId="0" fontId="0" fillId="0" borderId="0" xfId="0" quotePrefix="1" applyAlignment="1">
      <alignment horizontal="left"/>
    </xf>
    <xf numFmtId="0" fontId="0" fillId="0" borderId="0" xfId="0" applyAlignment="1">
      <alignment horizontal="left"/>
    </xf>
    <xf numFmtId="0" fontId="3" fillId="0" borderId="14" xfId="0" applyFont="1" applyBorder="1" applyAlignment="1">
      <alignment horizontal="left" vertical="top"/>
    </xf>
    <xf numFmtId="0" fontId="3" fillId="12" borderId="14" xfId="0" applyFont="1" applyFill="1" applyBorder="1" applyAlignment="1">
      <alignment horizontal="left" vertical="top"/>
    </xf>
    <xf numFmtId="0" fontId="0" fillId="3" borderId="14" xfId="0" applyFill="1" applyBorder="1" applyAlignment="1">
      <alignment horizontal="left" vertical="top"/>
    </xf>
    <xf numFmtId="0" fontId="0" fillId="0" borderId="0" xfId="0" applyAlignment="1">
      <alignment horizontal="left" vertical="center"/>
    </xf>
    <xf numFmtId="0" fontId="4" fillId="15" borderId="4" xfId="0" applyFont="1" applyFill="1" applyBorder="1" applyAlignment="1">
      <alignment horizontal="left" vertical="center" wrapText="1"/>
    </xf>
    <xf numFmtId="14" fontId="0" fillId="10" borderId="22" xfId="0" applyNumberFormat="1" applyFill="1" applyBorder="1" applyAlignment="1">
      <alignment horizontal="left" vertical="center"/>
    </xf>
    <xf numFmtId="167" fontId="8" fillId="9" borderId="63" xfId="0" applyNumberFormat="1" applyFont="1" applyFill="1" applyBorder="1" applyAlignment="1">
      <alignment horizontal="left" vertical="center" wrapText="1"/>
    </xf>
    <xf numFmtId="167" fontId="8" fillId="9" borderId="64" xfId="0" applyNumberFormat="1" applyFont="1" applyFill="1" applyBorder="1" applyAlignment="1">
      <alignment horizontal="left" vertical="center" wrapText="1"/>
    </xf>
    <xf numFmtId="14" fontId="8" fillId="10" borderId="22" xfId="0" applyNumberFormat="1" applyFont="1" applyFill="1" applyBorder="1" applyAlignment="1">
      <alignment horizontal="left" vertical="center"/>
    </xf>
    <xf numFmtId="0" fontId="0" fillId="0" borderId="0" xfId="0" applyAlignment="1">
      <alignment horizontal="left" vertical="top"/>
    </xf>
    <xf numFmtId="0" fontId="6" fillId="4" borderId="0" xfId="0" applyFont="1" applyFill="1" applyAlignment="1">
      <alignment horizontal="left"/>
    </xf>
    <xf numFmtId="0" fontId="0" fillId="0" borderId="0" xfId="0" quotePrefix="1" applyAlignment="1">
      <alignment horizontal="center"/>
    </xf>
    <xf numFmtId="0" fontId="2" fillId="0" borderId="0" xfId="0" quotePrefix="1" applyFont="1" applyAlignment="1">
      <alignment horizontal="left"/>
    </xf>
    <xf numFmtId="0" fontId="2" fillId="0" borderId="0" xfId="0" quotePrefix="1" applyFont="1"/>
    <xf numFmtId="0" fontId="6" fillId="4" borderId="0" xfId="0" quotePrefix="1" applyFont="1" applyFill="1" applyAlignment="1">
      <alignment horizontal="left"/>
    </xf>
    <xf numFmtId="1" fontId="4" fillId="4" borderId="0" xfId="0" applyNumberFormat="1" applyFont="1" applyFill="1" applyAlignment="1">
      <alignment horizontal="center"/>
    </xf>
    <xf numFmtId="0" fontId="8" fillId="0" borderId="0" xfId="0" applyFont="1" applyAlignment="1">
      <alignment horizontal="center"/>
    </xf>
    <xf numFmtId="0" fontId="0" fillId="0" borderId="149" xfId="0" applyBorder="1" applyAlignment="1">
      <alignment horizontal="right"/>
    </xf>
    <xf numFmtId="0" fontId="0" fillId="0" borderId="70" xfId="0" applyBorder="1" applyAlignment="1">
      <alignment horizontal="right"/>
    </xf>
    <xf numFmtId="0" fontId="0" fillId="0" borderId="77" xfId="0" applyBorder="1" applyAlignment="1">
      <alignment horizontal="right"/>
    </xf>
    <xf numFmtId="0" fontId="14" fillId="21" borderId="20" xfId="0" applyFont="1" applyFill="1" applyBorder="1" applyAlignment="1">
      <alignment horizontal="center"/>
    </xf>
    <xf numFmtId="0" fontId="0" fillId="0" borderId="84" xfId="0" applyBorder="1" applyAlignment="1">
      <alignment horizontal="right"/>
    </xf>
    <xf numFmtId="0" fontId="0" fillId="30" borderId="26" xfId="0" applyFill="1" applyBorder="1" applyAlignment="1">
      <alignment horizontal="left"/>
    </xf>
    <xf numFmtId="0" fontId="0" fillId="30" borderId="33" xfId="0" applyFill="1" applyBorder="1" applyAlignment="1">
      <alignment horizontal="left"/>
    </xf>
    <xf numFmtId="0" fontId="0" fillId="30" borderId="33" xfId="0" quotePrefix="1" applyFill="1" applyBorder="1" applyAlignment="1">
      <alignment horizontal="left"/>
    </xf>
    <xf numFmtId="0" fontId="0" fillId="30" borderId="41" xfId="0" quotePrefix="1" applyFill="1" applyBorder="1" applyAlignment="1">
      <alignment horizontal="left"/>
    </xf>
    <xf numFmtId="0" fontId="3" fillId="11" borderId="0" xfId="0" applyFont="1" applyFill="1" applyAlignment="1">
      <alignment horizontal="center"/>
    </xf>
    <xf numFmtId="0" fontId="32" fillId="11" borderId="30" xfId="0" quotePrefix="1" applyFont="1" applyFill="1" applyBorder="1" applyAlignment="1">
      <alignment vertical="top"/>
    </xf>
    <xf numFmtId="0" fontId="32" fillId="11" borderId="83" xfId="0" quotePrefix="1" applyFont="1" applyFill="1" applyBorder="1" applyAlignment="1">
      <alignment vertical="top"/>
    </xf>
    <xf numFmtId="0" fontId="32" fillId="11" borderId="84" xfId="0" applyFont="1" applyFill="1" applyBorder="1" applyAlignment="1">
      <alignment vertical="top"/>
    </xf>
    <xf numFmtId="0" fontId="0" fillId="11" borderId="84" xfId="0" applyFill="1" applyBorder="1"/>
    <xf numFmtId="0" fontId="0" fillId="11" borderId="85" xfId="0" applyFill="1" applyBorder="1"/>
    <xf numFmtId="0" fontId="32" fillId="11" borderId="38" xfId="0" quotePrefix="1" applyFont="1" applyFill="1" applyBorder="1" applyAlignment="1">
      <alignment vertical="top"/>
    </xf>
    <xf numFmtId="0" fontId="32" fillId="11" borderId="75" xfId="0" quotePrefix="1" applyFont="1" applyFill="1" applyBorder="1" applyAlignment="1">
      <alignment vertical="top"/>
    </xf>
    <xf numFmtId="0" fontId="32" fillId="11" borderId="70" xfId="0" applyFont="1" applyFill="1" applyBorder="1" applyAlignment="1">
      <alignment vertical="top"/>
    </xf>
    <xf numFmtId="0" fontId="0" fillId="11" borderId="70" xfId="0" applyFill="1" applyBorder="1"/>
    <xf numFmtId="0" fontId="0" fillId="11" borderId="76" xfId="0" applyFill="1" applyBorder="1"/>
    <xf numFmtId="0" fontId="32" fillId="11" borderId="0" xfId="0" applyFont="1" applyFill="1" applyAlignment="1">
      <alignment vertical="top"/>
    </xf>
    <xf numFmtId="0" fontId="6" fillId="11" borderId="0" xfId="0" applyFont="1" applyFill="1"/>
    <xf numFmtId="0" fontId="32" fillId="11" borderId="86" xfId="0" quotePrefix="1" applyFont="1" applyFill="1" applyBorder="1" applyAlignment="1">
      <alignment vertical="top"/>
    </xf>
    <xf numFmtId="0" fontId="32" fillId="11" borderId="87" xfId="0" quotePrefix="1" applyFont="1" applyFill="1" applyBorder="1" applyAlignment="1">
      <alignment vertical="top"/>
    </xf>
    <xf numFmtId="0" fontId="6" fillId="11" borderId="71" xfId="0" applyFont="1" applyFill="1" applyBorder="1"/>
    <xf numFmtId="0" fontId="6" fillId="11" borderId="72" xfId="0" applyFont="1" applyFill="1" applyBorder="1"/>
    <xf numFmtId="0" fontId="32" fillId="11" borderId="88" xfId="0" quotePrefix="1" applyFont="1" applyFill="1" applyBorder="1" applyAlignment="1">
      <alignment vertical="top"/>
    </xf>
    <xf numFmtId="0" fontId="32" fillId="11" borderId="89" xfId="0" quotePrefix="1" applyFont="1" applyFill="1" applyBorder="1" applyAlignment="1">
      <alignment vertical="top"/>
    </xf>
    <xf numFmtId="0" fontId="6" fillId="11" borderId="10" xfId="0" applyFont="1" applyFill="1" applyBorder="1"/>
    <xf numFmtId="0" fontId="32" fillId="11" borderId="85" xfId="0" applyFont="1" applyFill="1" applyBorder="1" applyAlignment="1">
      <alignment vertical="top"/>
    </xf>
    <xf numFmtId="0" fontId="3" fillId="11" borderId="30" xfId="0" applyFont="1" applyFill="1" applyBorder="1" applyAlignment="1">
      <alignment horizontal="center" vertical="top"/>
    </xf>
    <xf numFmtId="0" fontId="32" fillId="11" borderId="30" xfId="0" quotePrefix="1" applyFont="1" applyFill="1" applyBorder="1" applyAlignment="1">
      <alignment horizontal="left" vertical="top"/>
    </xf>
    <xf numFmtId="0" fontId="32" fillId="11" borderId="83" xfId="0" quotePrefix="1" applyFont="1" applyFill="1" applyBorder="1" applyAlignment="1">
      <alignment horizontal="left" vertical="top"/>
    </xf>
    <xf numFmtId="0" fontId="3" fillId="11" borderId="38" xfId="0" applyFont="1" applyFill="1" applyBorder="1" applyAlignment="1">
      <alignment horizontal="center" vertical="top"/>
    </xf>
    <xf numFmtId="0" fontId="32" fillId="11" borderId="0" xfId="0" quotePrefix="1" applyFont="1" applyFill="1" applyAlignment="1">
      <alignment vertical="top"/>
    </xf>
    <xf numFmtId="0" fontId="0" fillId="11" borderId="0" xfId="0" applyFill="1"/>
    <xf numFmtId="0" fontId="0" fillId="11" borderId="10" xfId="0" applyFill="1" applyBorder="1"/>
    <xf numFmtId="0" fontId="5" fillId="11" borderId="38" xfId="0" quotePrefix="1" applyFont="1" applyFill="1" applyBorder="1" applyAlignment="1">
      <alignment horizontal="center" vertical="center"/>
    </xf>
    <xf numFmtId="0" fontId="3" fillId="11" borderId="59" xfId="0" applyFont="1" applyFill="1" applyBorder="1" applyAlignment="1">
      <alignment horizontal="left" vertical="top" indent="4"/>
    </xf>
    <xf numFmtId="0" fontId="3" fillId="11" borderId="9" xfId="0" applyFont="1" applyFill="1" applyBorder="1" applyAlignment="1">
      <alignment horizontal="left" vertical="top" indent="4"/>
    </xf>
    <xf numFmtId="0" fontId="3" fillId="11" borderId="150" xfId="0" applyFont="1" applyFill="1" applyBorder="1" applyAlignment="1">
      <alignment horizontal="left" vertical="top" indent="4"/>
    </xf>
    <xf numFmtId="0" fontId="8" fillId="11" borderId="86" xfId="0" applyFont="1" applyFill="1" applyBorder="1" applyAlignment="1">
      <alignment horizontal="center" vertical="top"/>
    </xf>
    <xf numFmtId="0" fontId="32" fillId="11" borderId="151" xfId="0" applyFont="1" applyFill="1" applyBorder="1" applyAlignment="1">
      <alignment vertical="top"/>
    </xf>
    <xf numFmtId="0" fontId="32" fillId="11" borderId="152" xfId="0" applyFont="1" applyFill="1" applyBorder="1" applyAlignment="1">
      <alignment vertical="top"/>
    </xf>
    <xf numFmtId="0" fontId="8" fillId="11" borderId="59" xfId="0" applyFont="1" applyFill="1" applyBorder="1" applyAlignment="1">
      <alignment horizontal="left" vertical="top"/>
    </xf>
    <xf numFmtId="0" fontId="8" fillId="11" borderId="82" xfId="0" applyFont="1" applyFill="1" applyBorder="1" applyAlignment="1">
      <alignment horizontal="left" vertical="top"/>
    </xf>
    <xf numFmtId="0" fontId="3" fillId="11" borderId="86" xfId="0" applyFont="1" applyFill="1" applyBorder="1" applyAlignment="1">
      <alignment horizontal="center" vertical="top"/>
    </xf>
    <xf numFmtId="0" fontId="32" fillId="11" borderId="86" xfId="0" quotePrefix="1" applyFont="1" applyFill="1" applyBorder="1" applyAlignment="1">
      <alignment horizontal="left" vertical="top"/>
    </xf>
    <xf numFmtId="0" fontId="32" fillId="11" borderId="87" xfId="0" quotePrefix="1" applyFont="1" applyFill="1" applyBorder="1" applyAlignment="1">
      <alignment horizontal="left" vertical="top"/>
    </xf>
    <xf numFmtId="0" fontId="3" fillId="11" borderId="30" xfId="0" quotePrefix="1" applyFont="1" applyFill="1" applyBorder="1" applyAlignment="1">
      <alignment horizontal="center" vertical="top"/>
    </xf>
    <xf numFmtId="0" fontId="10" fillId="11" borderId="40" xfId="0" applyFont="1" applyFill="1" applyBorder="1" applyAlignment="1">
      <alignment horizontal="left" indent="4"/>
    </xf>
    <xf numFmtId="0" fontId="3" fillId="11" borderId="80" xfId="0" quotePrefix="1" applyFont="1" applyFill="1" applyBorder="1" applyAlignment="1">
      <alignment horizontal="center" vertical="top"/>
    </xf>
    <xf numFmtId="0" fontId="32" fillId="11" borderId="30" xfId="0" quotePrefix="1" applyFont="1" applyFill="1" applyBorder="1" applyAlignment="1">
      <alignment horizontal="center" vertical="top"/>
    </xf>
    <xf numFmtId="0" fontId="39" fillId="18" borderId="9" xfId="0" applyFont="1" applyFill="1" applyBorder="1" applyAlignment="1">
      <alignment horizontal="left" vertical="top" indent="2"/>
    </xf>
    <xf numFmtId="0" fontId="3" fillId="18" borderId="0" xfId="0" quotePrefix="1" applyFont="1" applyFill="1" applyAlignment="1">
      <alignment horizontal="center" vertical="top"/>
    </xf>
    <xf numFmtId="0" fontId="32" fillId="18" borderId="0" xfId="0" quotePrefix="1" applyFont="1" applyFill="1" applyAlignment="1">
      <alignment vertical="top"/>
    </xf>
    <xf numFmtId="0" fontId="33" fillId="18" borderId="0" xfId="0" quotePrefix="1" applyFont="1" applyFill="1" applyAlignment="1">
      <alignment vertical="top"/>
    </xf>
    <xf numFmtId="0" fontId="6" fillId="18" borderId="0" xfId="0" applyFont="1" applyFill="1" applyAlignment="1">
      <alignment vertical="top"/>
    </xf>
    <xf numFmtId="0" fontId="6" fillId="18" borderId="10" xfId="0" applyFont="1" applyFill="1" applyBorder="1" applyAlignment="1">
      <alignment vertical="top"/>
    </xf>
    <xf numFmtId="0" fontId="79" fillId="18" borderId="0" xfId="62" quotePrefix="1" applyNumberFormat="1" applyFont="1">
      <alignment vertical="center"/>
    </xf>
    <xf numFmtId="0" fontId="79" fillId="18" borderId="0" xfId="62" applyNumberFormat="1" applyFont="1">
      <alignment vertical="center"/>
    </xf>
    <xf numFmtId="49" fontId="79" fillId="18" borderId="0" xfId="62" applyFont="1">
      <alignment vertical="center"/>
    </xf>
    <xf numFmtId="0" fontId="0" fillId="0" borderId="0" xfId="0" applyAlignment="1">
      <alignment horizontal="right"/>
    </xf>
    <xf numFmtId="0" fontId="85" fillId="75" borderId="0" xfId="0" applyFont="1" applyFill="1"/>
    <xf numFmtId="0" fontId="0" fillId="0" borderId="67" xfId="0" applyBorder="1"/>
    <xf numFmtId="0" fontId="0" fillId="0" borderId="34" xfId="0" applyBorder="1" applyAlignment="1">
      <alignment vertical="center"/>
    </xf>
    <xf numFmtId="0" fontId="0" fillId="0" borderId="34" xfId="0" applyBorder="1"/>
    <xf numFmtId="0" fontId="0" fillId="0" borderId="42" xfId="0" applyBorder="1"/>
    <xf numFmtId="0" fontId="0" fillId="0" borderId="68" xfId="0" applyBorder="1"/>
    <xf numFmtId="0" fontId="0" fillId="0" borderId="0" xfId="0" applyAlignment="1">
      <alignment wrapText="1"/>
    </xf>
    <xf numFmtId="0" fontId="8" fillId="76" borderId="24" xfId="0" applyFont="1" applyFill="1" applyBorder="1" applyAlignment="1">
      <alignment vertical="center" wrapText="1"/>
    </xf>
    <xf numFmtId="0" fontId="8" fillId="76" borderId="24" xfId="0" applyFont="1" applyFill="1" applyBorder="1" applyAlignment="1">
      <alignment horizontal="left" vertical="center" wrapText="1"/>
    </xf>
    <xf numFmtId="0" fontId="8" fillId="80" borderId="52" xfId="0" applyFont="1" applyFill="1" applyBorder="1" applyAlignment="1">
      <alignment horizontal="center" vertical="center" wrapText="1"/>
    </xf>
    <xf numFmtId="0" fontId="73" fillId="79" borderId="4" xfId="0" applyFont="1" applyFill="1" applyBorder="1" applyAlignment="1">
      <alignment horizontal="center" vertical="center" wrapText="1"/>
    </xf>
    <xf numFmtId="0" fontId="86" fillId="81" borderId="0" xfId="0" applyFont="1" applyFill="1" applyAlignment="1">
      <alignment horizontal="left"/>
    </xf>
    <xf numFmtId="0" fontId="88" fillId="0" borderId="0" xfId="0" applyFont="1"/>
    <xf numFmtId="0" fontId="89" fillId="0" borderId="0" xfId="0" applyFont="1" applyAlignment="1">
      <alignment horizontal="right"/>
    </xf>
    <xf numFmtId="0" fontId="87" fillId="81" borderId="0" xfId="0" applyFont="1" applyFill="1" applyAlignment="1">
      <alignment horizontal="left"/>
    </xf>
    <xf numFmtId="0" fontId="0" fillId="0" borderId="67" xfId="0" applyBorder="1" applyAlignment="1">
      <alignment vertical="center"/>
    </xf>
    <xf numFmtId="0" fontId="0" fillId="0" borderId="68" xfId="0" applyBorder="1" applyAlignment="1">
      <alignment vertical="center"/>
    </xf>
    <xf numFmtId="0" fontId="0" fillId="0" borderId="18" xfId="0" applyBorder="1"/>
    <xf numFmtId="0" fontId="0" fillId="0" borderId="38" xfId="0" applyBorder="1" applyAlignment="1">
      <alignment vertical="center"/>
    </xf>
    <xf numFmtId="0" fontId="0" fillId="81" borderId="0" xfId="0" applyFill="1"/>
    <xf numFmtId="0" fontId="6" fillId="4" borderId="6" xfId="0" applyFont="1" applyFill="1" applyBorder="1"/>
    <xf numFmtId="0" fontId="0" fillId="0" borderId="50" xfId="0" applyBorder="1" applyAlignment="1">
      <alignment vertical="center"/>
    </xf>
    <xf numFmtId="1" fontId="6" fillId="4" borderId="38" xfId="0" applyNumberFormat="1" applyFont="1" applyFill="1" applyBorder="1"/>
    <xf numFmtId="0" fontId="6" fillId="4" borderId="38" xfId="0" applyFont="1" applyFill="1" applyBorder="1"/>
    <xf numFmtId="0" fontId="2" fillId="3" borderId="4" xfId="0" applyFont="1" applyFill="1" applyBorder="1" applyAlignment="1">
      <alignment horizontal="left" vertical="top" wrapText="1"/>
    </xf>
    <xf numFmtId="0" fontId="4" fillId="3" borderId="4" xfId="0" applyFont="1" applyFill="1" applyBorder="1" applyAlignment="1">
      <alignment horizontal="left" vertical="top" wrapText="1"/>
    </xf>
    <xf numFmtId="0" fontId="6" fillId="3" borderId="22" xfId="0" applyFont="1" applyFill="1" applyBorder="1" applyAlignment="1">
      <alignment horizontal="left" vertical="top" wrapText="1"/>
    </xf>
    <xf numFmtId="0" fontId="69" fillId="72" borderId="22" xfId="0" applyFont="1" applyFill="1" applyBorder="1" applyAlignment="1">
      <alignment horizontal="center" vertical="center" wrapText="1"/>
    </xf>
    <xf numFmtId="0" fontId="0" fillId="0" borderId="3" xfId="0" applyBorder="1"/>
    <xf numFmtId="0" fontId="69" fillId="77" borderId="163" xfId="0" applyFont="1" applyFill="1" applyBorder="1" applyAlignment="1">
      <alignment vertical="center" wrapText="1"/>
    </xf>
    <xf numFmtId="0" fontId="69" fillId="77" borderId="166" xfId="0" applyFont="1" applyFill="1" applyBorder="1" applyAlignment="1">
      <alignment vertical="center" wrapText="1"/>
    </xf>
    <xf numFmtId="0" fontId="69" fillId="77" borderId="167" xfId="0" applyFont="1" applyFill="1" applyBorder="1" applyAlignment="1">
      <alignment vertical="center" wrapText="1"/>
    </xf>
    <xf numFmtId="0" fontId="0" fillId="0" borderId="66" xfId="0" applyBorder="1"/>
    <xf numFmtId="0" fontId="8" fillId="80" borderId="58" xfId="0" applyFont="1" applyFill="1" applyBorder="1" applyAlignment="1">
      <alignment horizontal="center" vertical="center" wrapText="1"/>
    </xf>
    <xf numFmtId="0" fontId="8" fillId="80" borderId="64" xfId="0" applyFont="1" applyFill="1" applyBorder="1" applyAlignment="1">
      <alignment horizontal="center" vertical="center" wrapText="1"/>
    </xf>
    <xf numFmtId="0" fontId="8" fillId="80" borderId="65" xfId="0" applyFont="1" applyFill="1" applyBorder="1" applyAlignment="1">
      <alignment horizontal="center" vertical="center" wrapText="1"/>
    </xf>
    <xf numFmtId="0" fontId="8" fillId="80" borderId="165" xfId="0" applyFont="1" applyFill="1" applyBorder="1" applyAlignment="1">
      <alignment horizontal="center" vertical="center" wrapText="1"/>
    </xf>
    <xf numFmtId="0" fontId="2" fillId="80" borderId="53" xfId="0" applyFont="1" applyFill="1" applyBorder="1" applyAlignment="1">
      <alignment vertical="center"/>
    </xf>
    <xf numFmtId="0" fontId="0" fillId="5" borderId="34" xfId="0" applyFill="1" applyBorder="1" applyAlignment="1">
      <alignment horizontal="center" vertical="center" wrapText="1"/>
    </xf>
    <xf numFmtId="0" fontId="0" fillId="78" borderId="27" xfId="0" applyFill="1" applyBorder="1" applyAlignment="1">
      <alignment horizontal="center" vertical="center" wrapText="1"/>
    </xf>
    <xf numFmtId="0" fontId="0" fillId="78" borderId="34" xfId="0" applyFill="1" applyBorder="1" applyAlignment="1">
      <alignment horizontal="center" vertical="center" wrapText="1"/>
    </xf>
    <xf numFmtId="0" fontId="0" fillId="78" borderId="42" xfId="0" applyFill="1" applyBorder="1" applyAlignment="1">
      <alignment horizontal="center" vertical="center" wrapText="1"/>
    </xf>
    <xf numFmtId="0" fontId="0" fillId="78" borderId="55" xfId="0" applyFill="1" applyBorder="1" applyAlignment="1">
      <alignment horizontal="center" vertical="center" wrapText="1"/>
    </xf>
    <xf numFmtId="0" fontId="0" fillId="78" borderId="38" xfId="0" applyFill="1" applyBorder="1" applyAlignment="1">
      <alignment horizontal="center" vertical="center" wrapText="1"/>
    </xf>
    <xf numFmtId="0" fontId="3" fillId="0" borderId="38" xfId="0" applyFont="1" applyBorder="1" applyAlignment="1">
      <alignment vertical="center"/>
    </xf>
    <xf numFmtId="0" fontId="3" fillId="0" borderId="34" xfId="0" applyFont="1" applyBorder="1" applyAlignment="1">
      <alignment vertical="center"/>
    </xf>
    <xf numFmtId="0" fontId="3" fillId="0" borderId="42" xfId="0" applyFont="1" applyBorder="1" applyAlignment="1">
      <alignment vertical="center"/>
    </xf>
    <xf numFmtId="0" fontId="3" fillId="0" borderId="50" xfId="0" applyFont="1" applyBorder="1" applyAlignment="1">
      <alignment vertical="center"/>
    </xf>
    <xf numFmtId="0" fontId="3" fillId="0" borderId="38" xfId="0" applyFont="1" applyBorder="1"/>
    <xf numFmtId="0" fontId="3" fillId="0" borderId="67" xfId="0" applyFont="1" applyBorder="1"/>
    <xf numFmtId="0" fontId="3" fillId="0" borderId="50" xfId="0" applyFont="1" applyBorder="1"/>
    <xf numFmtId="0" fontId="3" fillId="0" borderId="68" xfId="0" applyFont="1" applyBorder="1"/>
    <xf numFmtId="0" fontId="16" fillId="9" borderId="27" xfId="0" applyFont="1" applyFill="1" applyBorder="1" applyAlignment="1">
      <alignment wrapText="1"/>
    </xf>
    <xf numFmtId="0" fontId="16" fillId="9" borderId="34" xfId="0" applyFont="1" applyFill="1" applyBorder="1" applyAlignment="1">
      <alignment wrapText="1"/>
    </xf>
    <xf numFmtId="0" fontId="3" fillId="9" borderId="55" xfId="0" applyFont="1" applyFill="1" applyBorder="1" applyAlignment="1">
      <alignment wrapText="1"/>
    </xf>
    <xf numFmtId="0" fontId="3" fillId="9" borderId="38" xfId="0" applyFont="1" applyFill="1" applyBorder="1" applyAlignment="1">
      <alignment wrapText="1"/>
    </xf>
    <xf numFmtId="0" fontId="3" fillId="9" borderId="50" xfId="0" applyFont="1" applyFill="1" applyBorder="1" applyAlignment="1">
      <alignment wrapText="1"/>
    </xf>
    <xf numFmtId="0" fontId="17" fillId="9" borderId="55" xfId="0" applyFont="1" applyFill="1" applyBorder="1" applyAlignment="1">
      <alignment vertical="center"/>
    </xf>
    <xf numFmtId="0" fontId="17" fillId="9" borderId="38" xfId="0" applyFont="1" applyFill="1" applyBorder="1" applyAlignment="1">
      <alignment vertical="center"/>
    </xf>
    <xf numFmtId="0" fontId="18" fillId="9" borderId="55" xfId="0" applyFont="1" applyFill="1" applyBorder="1" applyAlignment="1">
      <alignment vertical="center" wrapText="1"/>
    </xf>
    <xf numFmtId="0" fontId="18" fillId="9" borderId="38" xfId="0" applyFont="1" applyFill="1" applyBorder="1" applyAlignment="1">
      <alignment vertical="center" wrapText="1"/>
    </xf>
    <xf numFmtId="0" fontId="18" fillId="9" borderId="66" xfId="0" applyFont="1" applyFill="1" applyBorder="1" applyAlignment="1">
      <alignment vertical="center" wrapText="1"/>
    </xf>
    <xf numFmtId="0" fontId="18" fillId="9" borderId="67" xfId="0" applyFont="1" applyFill="1" applyBorder="1" applyAlignment="1">
      <alignment vertical="center" wrapText="1"/>
    </xf>
    <xf numFmtId="0" fontId="0" fillId="20" borderId="5" xfId="0" applyFill="1" applyBorder="1"/>
    <xf numFmtId="0" fontId="0" fillId="20" borderId="6" xfId="0" applyFill="1" applyBorder="1"/>
    <xf numFmtId="0" fontId="0" fillId="20" borderId="7" xfId="0" applyFill="1" applyBorder="1"/>
    <xf numFmtId="0" fontId="0" fillId="5" borderId="9" xfId="0" applyFill="1" applyBorder="1" applyAlignment="1">
      <alignment horizontal="center"/>
    </xf>
    <xf numFmtId="0" fontId="0" fillId="5" borderId="0" xfId="0" applyFill="1" applyAlignment="1">
      <alignment horizontal="center"/>
    </xf>
    <xf numFmtId="0" fontId="0" fillId="5" borderId="38" xfId="0" applyFill="1" applyBorder="1" applyAlignment="1">
      <alignment horizontal="center" vertical="center" wrapText="1"/>
    </xf>
    <xf numFmtId="0" fontId="0" fillId="5" borderId="30" xfId="0" applyFill="1" applyBorder="1" applyAlignment="1">
      <alignment horizontal="center" vertical="center" wrapText="1"/>
    </xf>
    <xf numFmtId="0" fontId="0" fillId="5" borderId="50" xfId="0" applyFill="1" applyBorder="1" applyAlignment="1">
      <alignment horizontal="center" vertical="center" wrapText="1"/>
    </xf>
    <xf numFmtId="0" fontId="0" fillId="5" borderId="37" xfId="0" applyFill="1" applyBorder="1" applyAlignment="1">
      <alignment horizontal="center"/>
    </xf>
    <xf numFmtId="0" fontId="0" fillId="5" borderId="39" xfId="0" applyFill="1" applyBorder="1" applyAlignment="1">
      <alignment horizontal="center" vertical="center" wrapText="1"/>
    </xf>
    <xf numFmtId="0" fontId="0" fillId="5" borderId="33" xfId="0" applyFill="1" applyBorder="1" applyAlignment="1">
      <alignment horizontal="center"/>
    </xf>
    <xf numFmtId="0" fontId="0" fillId="5" borderId="41" xfId="0" applyFill="1" applyBorder="1" applyAlignment="1">
      <alignment horizontal="center"/>
    </xf>
    <xf numFmtId="0" fontId="6" fillId="0" borderId="33" xfId="0" applyFont="1" applyBorder="1"/>
    <xf numFmtId="0" fontId="6" fillId="0" borderId="51" xfId="0" applyFont="1" applyBorder="1"/>
    <xf numFmtId="0" fontId="6" fillId="0" borderId="41" xfId="0" applyFont="1" applyBorder="1"/>
    <xf numFmtId="0" fontId="6" fillId="5" borderId="46" xfId="0" quotePrefix="1" applyFont="1" applyFill="1" applyBorder="1"/>
    <xf numFmtId="0" fontId="6" fillId="5" borderId="46" xfId="0" applyFont="1" applyFill="1" applyBorder="1"/>
    <xf numFmtId="0" fontId="6" fillId="5" borderId="47" xfId="0" applyFont="1" applyFill="1" applyBorder="1"/>
    <xf numFmtId="0" fontId="6" fillId="5" borderId="147" xfId="0" applyFont="1" applyFill="1" applyBorder="1"/>
    <xf numFmtId="0" fontId="6" fillId="5" borderId="33" xfId="0" applyFont="1" applyFill="1" applyBorder="1"/>
    <xf numFmtId="0" fontId="6" fillId="5" borderId="26" xfId="0" applyFont="1" applyFill="1" applyBorder="1"/>
    <xf numFmtId="0" fontId="6" fillId="5" borderId="41" xfId="0" applyFont="1" applyFill="1" applyBorder="1"/>
    <xf numFmtId="0" fontId="6" fillId="5" borderId="54" xfId="0" applyFont="1" applyFill="1" applyBorder="1"/>
    <xf numFmtId="0" fontId="6" fillId="5" borderId="56" xfId="0" applyFont="1" applyFill="1" applyBorder="1"/>
    <xf numFmtId="0" fontId="6" fillId="5" borderId="57" xfId="0" applyFont="1" applyFill="1" applyBorder="1"/>
    <xf numFmtId="0" fontId="0" fillId="9" borderId="27" xfId="0" applyFill="1" applyBorder="1"/>
    <xf numFmtId="0" fontId="0" fillId="9" borderId="34" xfId="0" applyFill="1" applyBorder="1"/>
    <xf numFmtId="0" fontId="0" fillId="9" borderId="55" xfId="0" applyFill="1" applyBorder="1" applyProtection="1">
      <protection locked="0"/>
    </xf>
    <xf numFmtId="0" fontId="0" fillId="9" borderId="38" xfId="0" applyFill="1" applyBorder="1" applyProtection="1">
      <protection locked="0"/>
    </xf>
    <xf numFmtId="49" fontId="0" fillId="9" borderId="55" xfId="0" applyNumberFormat="1" applyFill="1" applyBorder="1"/>
    <xf numFmtId="0" fontId="0" fillId="9" borderId="38" xfId="0" applyFill="1" applyBorder="1"/>
    <xf numFmtId="0" fontId="0" fillId="9" borderId="38" xfId="0" applyFill="1" applyBorder="1" applyAlignment="1">
      <alignment vertical="center"/>
    </xf>
    <xf numFmtId="0" fontId="0" fillId="9" borderId="55" xfId="0" applyFill="1" applyBorder="1" applyAlignment="1">
      <alignment vertical="center"/>
    </xf>
    <xf numFmtId="0" fontId="0" fillId="9" borderId="50" xfId="0" applyFill="1" applyBorder="1"/>
    <xf numFmtId="49" fontId="0" fillId="9" borderId="66" xfId="0" applyNumberFormat="1" applyFill="1" applyBorder="1"/>
    <xf numFmtId="0" fontId="0" fillId="9" borderId="67" xfId="0" applyFill="1" applyBorder="1"/>
    <xf numFmtId="0" fontId="0" fillId="9" borderId="67" xfId="0" applyFill="1" applyBorder="1" applyAlignment="1">
      <alignment vertical="center"/>
    </xf>
    <xf numFmtId="0" fontId="8" fillId="10" borderId="168" xfId="0" applyFont="1" applyFill="1" applyBorder="1" applyAlignment="1">
      <alignment vertical="center" wrapText="1"/>
    </xf>
    <xf numFmtId="0" fontId="45" fillId="9" borderId="33" xfId="0" applyFont="1" applyFill="1" applyBorder="1" applyAlignment="1">
      <alignment horizontal="center" vertical="top" wrapText="1"/>
    </xf>
    <xf numFmtId="0" fontId="6" fillId="9" borderId="41" xfId="0" applyFont="1" applyFill="1" applyBorder="1" applyAlignment="1">
      <alignment horizontal="center" vertical="center"/>
    </xf>
    <xf numFmtId="0" fontId="45" fillId="9" borderId="147" xfId="0" applyFont="1" applyFill="1" applyBorder="1" applyAlignment="1">
      <alignment horizontal="center" vertical="top" wrapText="1"/>
    </xf>
    <xf numFmtId="0" fontId="8" fillId="76" borderId="22" xfId="0" applyFont="1" applyFill="1" applyBorder="1" applyAlignment="1">
      <alignment vertical="center" wrapText="1"/>
    </xf>
    <xf numFmtId="0" fontId="17" fillId="9" borderId="26" xfId="0" applyFont="1" applyFill="1" applyBorder="1" applyAlignment="1">
      <alignment horizontal="center" vertical="center"/>
    </xf>
    <xf numFmtId="0" fontId="17" fillId="9" borderId="33" xfId="0" applyFont="1" applyFill="1" applyBorder="1" applyAlignment="1">
      <alignment horizontal="center" vertical="center"/>
    </xf>
    <xf numFmtId="0" fontId="17" fillId="9" borderId="41" xfId="0" applyFont="1" applyFill="1" applyBorder="1" applyAlignment="1">
      <alignment horizontal="center" vertical="center"/>
    </xf>
    <xf numFmtId="0" fontId="8" fillId="10" borderId="23" xfId="0" applyFont="1" applyFill="1" applyBorder="1" applyAlignment="1">
      <alignment vertical="center" wrapText="1"/>
    </xf>
    <xf numFmtId="0" fontId="8" fillId="10" borderId="24" xfId="0" applyFont="1" applyFill="1" applyBorder="1" applyAlignment="1">
      <alignment vertical="center" wrapText="1"/>
    </xf>
    <xf numFmtId="0" fontId="8" fillId="10" borderId="95" xfId="0" applyFont="1" applyFill="1" applyBorder="1" applyAlignment="1">
      <alignment vertical="center" wrapText="1"/>
    </xf>
    <xf numFmtId="0" fontId="69" fillId="72" borderId="170" xfId="0" applyFont="1" applyFill="1" applyBorder="1" applyAlignment="1">
      <alignment horizontal="center" vertical="center" wrapText="1"/>
    </xf>
    <xf numFmtId="0" fontId="69" fillId="72" borderId="171" xfId="0" applyFont="1" applyFill="1" applyBorder="1" applyAlignment="1">
      <alignment horizontal="center" vertical="center" wrapText="1"/>
    </xf>
    <xf numFmtId="0" fontId="69" fillId="72" borderId="172" xfId="0" applyFont="1" applyFill="1" applyBorder="1" applyAlignment="1">
      <alignment horizontal="center" vertical="center" wrapText="1"/>
    </xf>
    <xf numFmtId="0" fontId="0" fillId="5" borderId="174" xfId="0" applyFill="1" applyBorder="1" applyAlignment="1">
      <alignment horizontal="center" vertical="center" wrapText="1"/>
    </xf>
    <xf numFmtId="0" fontId="0" fillId="0" borderId="175" xfId="0" applyBorder="1"/>
    <xf numFmtId="0" fontId="0" fillId="0" borderId="176" xfId="0" applyBorder="1"/>
    <xf numFmtId="0" fontId="88" fillId="0" borderId="177" xfId="0" applyFont="1" applyBorder="1"/>
    <xf numFmtId="0" fontId="0" fillId="0" borderId="178" xfId="0" applyBorder="1"/>
    <xf numFmtId="0" fontId="64" fillId="82" borderId="0" xfId="0" applyFont="1" applyFill="1" applyAlignment="1">
      <alignment horizontal="centerContinuous"/>
    </xf>
    <xf numFmtId="0" fontId="0" fillId="5" borderId="181" xfId="0" applyFill="1" applyBorder="1" applyAlignment="1">
      <alignment horizontal="center"/>
    </xf>
    <xf numFmtId="0" fontId="0" fillId="0" borderId="182" xfId="0" applyBorder="1"/>
    <xf numFmtId="0" fontId="0" fillId="0" borderId="183" xfId="0" applyBorder="1"/>
    <xf numFmtId="0" fontId="0" fillId="0" borderId="184" xfId="0" applyBorder="1"/>
    <xf numFmtId="0" fontId="0" fillId="5" borderId="32" xfId="0" applyFill="1" applyBorder="1" applyAlignment="1">
      <alignment horizontal="center"/>
    </xf>
    <xf numFmtId="0" fontId="0" fillId="0" borderId="30" xfId="0" applyBorder="1"/>
    <xf numFmtId="0" fontId="0" fillId="5" borderId="31" xfId="0" applyFill="1" applyBorder="1" applyAlignment="1">
      <alignment horizontal="center" vertical="center" wrapText="1"/>
    </xf>
    <xf numFmtId="0" fontId="69" fillId="72" borderId="185" xfId="0" applyFont="1" applyFill="1" applyBorder="1" applyAlignment="1">
      <alignment horizontal="center" vertical="center" wrapText="1"/>
    </xf>
    <xf numFmtId="0" fontId="69" fillId="72" borderId="186" xfId="0" applyFont="1" applyFill="1" applyBorder="1" applyAlignment="1">
      <alignment horizontal="center" vertical="center" wrapText="1"/>
    </xf>
    <xf numFmtId="0" fontId="69" fillId="72" borderId="187" xfId="0" applyFont="1" applyFill="1" applyBorder="1" applyAlignment="1">
      <alignment horizontal="center" vertical="center" wrapText="1"/>
    </xf>
    <xf numFmtId="0" fontId="0" fillId="4" borderId="44" xfId="0" applyFill="1" applyBorder="1" applyAlignment="1">
      <alignment vertical="center"/>
    </xf>
    <xf numFmtId="0" fontId="0" fillId="4" borderId="8" xfId="0" applyFill="1" applyBorder="1" applyAlignment="1">
      <alignment vertical="center"/>
    </xf>
    <xf numFmtId="0" fontId="0" fillId="4" borderId="43" xfId="0" applyFill="1" applyBorder="1" applyAlignment="1">
      <alignment vertical="center"/>
    </xf>
    <xf numFmtId="0" fontId="0" fillId="4" borderId="8" xfId="0" applyFill="1" applyBorder="1" applyAlignment="1">
      <alignment vertical="top"/>
    </xf>
    <xf numFmtId="0" fontId="0" fillId="4" borderId="147" xfId="0" applyFill="1" applyBorder="1" applyAlignment="1">
      <alignment vertical="center"/>
    </xf>
    <xf numFmtId="0" fontId="0" fillId="4" borderId="33" xfId="0" applyFill="1" applyBorder="1" applyAlignment="1">
      <alignment vertical="center"/>
    </xf>
    <xf numFmtId="0" fontId="0" fillId="4" borderId="41" xfId="0" applyFill="1" applyBorder="1" applyAlignment="1">
      <alignment vertical="center"/>
    </xf>
    <xf numFmtId="167" fontId="8" fillId="10" borderId="188" xfId="0" applyNumberFormat="1" applyFont="1" applyFill="1" applyBorder="1" applyAlignment="1">
      <alignment horizontal="center" vertical="center" wrapText="1"/>
    </xf>
    <xf numFmtId="167" fontId="8" fillId="9" borderId="189" xfId="0" applyNumberFormat="1" applyFont="1" applyFill="1" applyBorder="1" applyAlignment="1">
      <alignment horizontal="center" vertical="center" wrapText="1"/>
    </xf>
    <xf numFmtId="167" fontId="32" fillId="4" borderId="189" xfId="0" applyNumberFormat="1" applyFont="1" applyFill="1" applyBorder="1"/>
    <xf numFmtId="0" fontId="3" fillId="0" borderId="0" xfId="0" applyFont="1" applyAlignment="1">
      <alignment horizontal="right" vertical="center"/>
    </xf>
    <xf numFmtId="166" fontId="8" fillId="15" borderId="190" xfId="0" applyNumberFormat="1" applyFont="1" applyFill="1" applyBorder="1" applyAlignment="1" applyProtection="1">
      <alignment horizontal="left" vertical="center" wrapText="1"/>
      <protection locked="0"/>
    </xf>
    <xf numFmtId="3" fontId="8" fillId="15" borderId="164" xfId="0" applyNumberFormat="1" applyFont="1" applyFill="1" applyBorder="1" applyAlignment="1">
      <alignment horizontal="left" vertical="center" wrapText="1"/>
    </xf>
    <xf numFmtId="3" fontId="8" fillId="15" borderId="190" xfId="0" applyNumberFormat="1" applyFont="1" applyFill="1" applyBorder="1" applyAlignment="1" applyProtection="1">
      <alignment horizontal="left" vertical="center" wrapText="1"/>
      <protection locked="0"/>
    </xf>
    <xf numFmtId="166" fontId="8" fillId="15" borderId="191" xfId="0" applyNumberFormat="1" applyFont="1" applyFill="1" applyBorder="1" applyAlignment="1" applyProtection="1">
      <alignment horizontal="left" vertical="center" wrapText="1"/>
      <protection locked="0"/>
    </xf>
    <xf numFmtId="0" fontId="90" fillId="0" borderId="19" xfId="0" applyFont="1" applyBorder="1" applyAlignment="1">
      <alignment horizontal="center" vertical="center"/>
    </xf>
    <xf numFmtId="0" fontId="90" fillId="0" borderId="20" xfId="0" applyFont="1" applyBorder="1" applyAlignment="1">
      <alignment horizontal="center" vertical="center"/>
    </xf>
    <xf numFmtId="0" fontId="90" fillId="0" borderId="21" xfId="0" applyFont="1" applyBorder="1" applyAlignment="1">
      <alignment horizontal="center" vertical="center"/>
    </xf>
    <xf numFmtId="0" fontId="8" fillId="76" borderId="0" xfId="0" applyFont="1" applyFill="1" applyAlignment="1">
      <alignment horizontal="right" vertical="center" wrapText="1"/>
    </xf>
    <xf numFmtId="0" fontId="92" fillId="0" borderId="22" xfId="0" applyFont="1" applyBorder="1" applyAlignment="1">
      <alignment horizontal="right"/>
    </xf>
    <xf numFmtId="0" fontId="92" fillId="0" borderId="19" xfId="0" applyFont="1" applyBorder="1" applyAlignment="1">
      <alignment horizontal="right" vertical="center"/>
    </xf>
    <xf numFmtId="0" fontId="91" fillId="0" borderId="0" xfId="0" applyFont="1" applyAlignment="1">
      <alignment vertical="center"/>
    </xf>
    <xf numFmtId="0" fontId="47" fillId="0" borderId="0" xfId="0" applyFont="1"/>
    <xf numFmtId="0" fontId="8" fillId="0" borderId="0" xfId="0" applyFont="1" applyAlignment="1">
      <alignment vertical="center"/>
    </xf>
    <xf numFmtId="0" fontId="3" fillId="0" borderId="0" xfId="0" applyFont="1" applyAlignment="1">
      <alignment horizontal="left" indent="3"/>
    </xf>
    <xf numFmtId="0" fontId="8" fillId="20" borderId="19" xfId="0" applyFont="1" applyFill="1" applyBorder="1" applyAlignment="1">
      <alignment vertical="center"/>
    </xf>
    <xf numFmtId="0" fontId="90" fillId="0" borderId="1" xfId="0" applyFont="1" applyBorder="1" applyAlignment="1">
      <alignment horizontal="center" vertical="center" wrapText="1"/>
    </xf>
    <xf numFmtId="0" fontId="90" fillId="0" borderId="2" xfId="0" applyFont="1" applyBorder="1" applyAlignment="1">
      <alignment horizontal="center" vertical="center" wrapText="1"/>
    </xf>
    <xf numFmtId="0" fontId="90" fillId="0" borderId="3" xfId="0" applyFont="1" applyBorder="1" applyAlignment="1">
      <alignment horizontal="center" vertical="center" wrapText="1"/>
    </xf>
    <xf numFmtId="0" fontId="90" fillId="0" borderId="58" xfId="0" applyFont="1" applyBorder="1" applyAlignment="1">
      <alignment horizontal="center" vertical="center" wrapText="1"/>
    </xf>
    <xf numFmtId="0" fontId="90" fillId="0" borderId="64" xfId="0" applyFont="1" applyBorder="1" applyAlignment="1">
      <alignment horizontal="center" vertical="center" wrapText="1"/>
    </xf>
    <xf numFmtId="0" fontId="90" fillId="0" borderId="65" xfId="0" applyFont="1" applyBorder="1" applyAlignment="1">
      <alignment horizontal="center" vertical="center" wrapText="1"/>
    </xf>
    <xf numFmtId="0" fontId="2" fillId="7" borderId="0" xfId="0" applyFont="1" applyFill="1" applyAlignment="1">
      <alignment vertical="center"/>
    </xf>
    <xf numFmtId="0" fontId="47" fillId="7" borderId="0" xfId="0" applyFont="1" applyFill="1" applyAlignment="1">
      <alignment vertical="center"/>
    </xf>
    <xf numFmtId="0" fontId="47" fillId="9" borderId="0" xfId="0" applyFont="1" applyFill="1"/>
    <xf numFmtId="0" fontId="91" fillId="9" borderId="0" xfId="0" applyFont="1" applyFill="1" applyAlignment="1">
      <alignment vertical="center"/>
    </xf>
    <xf numFmtId="0" fontId="48" fillId="9" borderId="0" xfId="0" applyFont="1" applyFill="1" applyAlignment="1">
      <alignment vertical="top"/>
    </xf>
    <xf numFmtId="49" fontId="0" fillId="9" borderId="73" xfId="0" applyNumberFormat="1" applyFill="1" applyBorder="1"/>
    <xf numFmtId="0" fontId="0" fillId="9" borderId="75" xfId="0" applyFill="1" applyBorder="1"/>
    <xf numFmtId="0" fontId="0" fillId="9" borderId="75" xfId="0" applyFill="1" applyBorder="1" applyAlignment="1">
      <alignment vertical="center"/>
    </xf>
    <xf numFmtId="0" fontId="0" fillId="0" borderId="74" xfId="0" applyBorder="1" applyAlignment="1">
      <alignment horizontal="left" vertical="center"/>
    </xf>
    <xf numFmtId="0" fontId="0" fillId="0" borderId="76" xfId="0" applyBorder="1" applyAlignment="1">
      <alignment horizontal="left" vertical="center"/>
    </xf>
    <xf numFmtId="0" fontId="0" fillId="0" borderId="72" xfId="0" applyBorder="1" applyAlignment="1">
      <alignment horizontal="left" vertical="center"/>
    </xf>
    <xf numFmtId="0" fontId="0" fillId="4" borderId="74" xfId="0" applyFill="1" applyBorder="1" applyAlignment="1">
      <alignment horizontal="left" vertical="center"/>
    </xf>
    <xf numFmtId="0" fontId="0" fillId="4" borderId="76" xfId="0" applyFill="1" applyBorder="1" applyAlignment="1">
      <alignment horizontal="left" vertical="center"/>
    </xf>
    <xf numFmtId="0" fontId="3" fillId="22" borderId="27" xfId="0" applyFont="1" applyFill="1" applyBorder="1" applyAlignment="1">
      <alignment horizontal="left"/>
    </xf>
    <xf numFmtId="0" fontId="3" fillId="22" borderId="34" xfId="0" applyFont="1" applyFill="1" applyBorder="1" applyAlignment="1">
      <alignment horizontal="left"/>
    </xf>
    <xf numFmtId="0" fontId="8" fillId="15" borderId="4" xfId="0" applyFont="1" applyFill="1" applyBorder="1" applyAlignment="1">
      <alignment horizontal="center" vertical="center" wrapText="1"/>
    </xf>
    <xf numFmtId="0" fontId="15" fillId="15" borderId="55" xfId="0" applyFont="1" applyFill="1" applyBorder="1"/>
    <xf numFmtId="0" fontId="15" fillId="15" borderId="38" xfId="0" applyFont="1" applyFill="1" applyBorder="1"/>
    <xf numFmtId="0" fontId="0" fillId="4" borderId="67" xfId="0" applyFill="1" applyBorder="1" applyAlignment="1">
      <alignment horizontal="left" vertical="center"/>
    </xf>
    <xf numFmtId="0" fontId="0" fillId="4" borderId="68" xfId="0" applyFill="1" applyBorder="1" applyAlignment="1">
      <alignment horizontal="left" vertical="center"/>
    </xf>
    <xf numFmtId="0" fontId="0" fillId="15" borderId="66" xfId="0" applyFill="1" applyBorder="1" applyAlignment="1">
      <alignment horizontal="left" vertical="center"/>
    </xf>
    <xf numFmtId="0" fontId="0" fillId="15" borderId="67" xfId="0" applyFill="1" applyBorder="1" applyAlignment="1">
      <alignment horizontal="left" vertical="center"/>
    </xf>
    <xf numFmtId="0" fontId="0" fillId="15" borderId="67" xfId="0" applyFill="1" applyBorder="1"/>
    <xf numFmtId="0" fontId="0" fillId="15" borderId="112" xfId="0" applyFill="1" applyBorder="1"/>
    <xf numFmtId="0" fontId="0" fillId="15" borderId="193" xfId="0" applyFill="1" applyBorder="1" applyAlignment="1">
      <alignment horizontal="left" vertical="center"/>
    </xf>
    <xf numFmtId="0" fontId="0" fillId="15" borderId="112" xfId="0" applyFill="1" applyBorder="1" applyAlignment="1">
      <alignment horizontal="left" vertical="center"/>
    </xf>
    <xf numFmtId="0" fontId="0" fillId="15" borderId="194" xfId="0" applyFill="1" applyBorder="1"/>
    <xf numFmtId="0" fontId="0" fillId="15" borderId="193" xfId="0" applyFill="1" applyBorder="1"/>
    <xf numFmtId="0" fontId="0" fillId="15" borderId="192" xfId="0" applyFill="1" applyBorder="1" applyAlignment="1">
      <alignment horizontal="left" vertical="center"/>
    </xf>
    <xf numFmtId="0" fontId="0" fillId="18" borderId="10" xfId="0" applyFill="1" applyBorder="1"/>
    <xf numFmtId="0" fontId="0" fillId="18" borderId="7" xfId="0" applyFill="1" applyBorder="1"/>
    <xf numFmtId="1" fontId="42" fillId="4" borderId="0" xfId="0" applyNumberFormat="1" applyFont="1" applyFill="1"/>
    <xf numFmtId="0" fontId="0" fillId="0" borderId="85" xfId="0" applyBorder="1"/>
    <xf numFmtId="0" fontId="0" fillId="0" borderId="152" xfId="0" applyBorder="1"/>
    <xf numFmtId="0" fontId="0" fillId="0" borderId="156" xfId="0" applyBorder="1"/>
    <xf numFmtId="0" fontId="0" fillId="4" borderId="85" xfId="0" applyFill="1" applyBorder="1" applyAlignment="1">
      <alignment horizontal="left" vertical="center"/>
    </xf>
    <xf numFmtId="0" fontId="0" fillId="4" borderId="152" xfId="0" applyFill="1" applyBorder="1" applyAlignment="1">
      <alignment horizontal="left" vertical="center"/>
    </xf>
    <xf numFmtId="0" fontId="0" fillId="4" borderId="72" xfId="0" applyFill="1" applyBorder="1" applyAlignment="1">
      <alignment horizontal="left" vertical="center"/>
    </xf>
    <xf numFmtId="0" fontId="0" fillId="4" borderId="43" xfId="0" applyFill="1" applyBorder="1" applyAlignment="1">
      <alignment vertical="top"/>
    </xf>
    <xf numFmtId="0" fontId="79" fillId="18" borderId="0" xfId="62" applyNumberFormat="1" applyFont="1" applyAlignment="1">
      <alignment horizontal="left" vertical="center"/>
    </xf>
    <xf numFmtId="0" fontId="0" fillId="79" borderId="0" xfId="0" applyFill="1"/>
    <xf numFmtId="0" fontId="93" fillId="79" borderId="0" xfId="0" applyFont="1" applyFill="1" applyAlignment="1">
      <alignment vertical="center"/>
    </xf>
    <xf numFmtId="0" fontId="8" fillId="11" borderId="59" xfId="0" applyFont="1" applyFill="1" applyBorder="1" applyAlignment="1">
      <alignment horizontal="left"/>
    </xf>
    <xf numFmtId="0" fontId="3" fillId="11" borderId="75" xfId="0" quotePrefix="1" applyFont="1" applyFill="1" applyBorder="1" applyAlignment="1">
      <alignment horizontal="center" vertical="top"/>
    </xf>
    <xf numFmtId="0" fontId="3" fillId="5" borderId="34" xfId="0" applyFont="1" applyFill="1" applyBorder="1" applyAlignment="1">
      <alignment vertical="center"/>
    </xf>
    <xf numFmtId="0" fontId="32" fillId="5" borderId="38" xfId="0" quotePrefix="1" applyFont="1" applyFill="1" applyBorder="1" applyAlignment="1">
      <alignment vertical="center"/>
    </xf>
    <xf numFmtId="0" fontId="32" fillId="5" borderId="75" xfId="0" quotePrefix="1" applyFont="1" applyFill="1" applyBorder="1" applyAlignment="1">
      <alignment vertical="center"/>
    </xf>
    <xf numFmtId="0" fontId="32" fillId="5" borderId="70" xfId="0" applyFont="1" applyFill="1" applyBorder="1" applyAlignment="1">
      <alignment vertical="center"/>
    </xf>
    <xf numFmtId="0" fontId="0" fillId="5" borderId="70" xfId="0" applyFill="1" applyBorder="1" applyAlignment="1">
      <alignment vertical="center"/>
    </xf>
    <xf numFmtId="0" fontId="0" fillId="5" borderId="76" xfId="0" applyFill="1" applyBorder="1" applyAlignment="1">
      <alignment vertical="center"/>
    </xf>
    <xf numFmtId="0" fontId="8" fillId="24" borderId="0" xfId="0" applyFont="1" applyFill="1" applyAlignment="1" applyProtection="1">
      <alignment horizontal="left"/>
      <protection locked="0"/>
    </xf>
    <xf numFmtId="0" fontId="32" fillId="5" borderId="0" xfId="0" applyFont="1" applyFill="1" applyAlignment="1" applyProtection="1">
      <alignment horizontal="left"/>
      <protection locked="0"/>
    </xf>
    <xf numFmtId="0" fontId="30" fillId="5" borderId="0" xfId="0" applyFont="1" applyFill="1" applyAlignment="1" applyProtection="1">
      <alignment horizontal="left" vertical="top"/>
      <protection locked="0"/>
    </xf>
    <xf numFmtId="0" fontId="6" fillId="5" borderId="0" xfId="0" applyFont="1" applyFill="1" applyAlignment="1" applyProtection="1">
      <alignment horizontal="left"/>
      <protection locked="0"/>
    </xf>
    <xf numFmtId="0" fontId="4" fillId="5" borderId="0" xfId="0" applyFont="1" applyFill="1" applyAlignment="1" applyProtection="1">
      <alignment horizontal="left" wrapText="1"/>
      <protection locked="0"/>
    </xf>
    <xf numFmtId="0" fontId="32" fillId="5" borderId="0" xfId="0" applyFont="1" applyFill="1" applyAlignment="1" applyProtection="1">
      <alignment horizontal="left" vertical="center"/>
      <protection locked="0"/>
    </xf>
    <xf numFmtId="0" fontId="6" fillId="5" borderId="10" xfId="0" applyFont="1" applyFill="1" applyBorder="1" applyAlignment="1" applyProtection="1">
      <alignment horizontal="left"/>
      <protection locked="0"/>
    </xf>
    <xf numFmtId="0" fontId="4" fillId="5" borderId="10" xfId="0" applyFont="1" applyFill="1" applyBorder="1" applyAlignment="1" applyProtection="1">
      <alignment horizontal="left" wrapText="1"/>
      <protection locked="0"/>
    </xf>
    <xf numFmtId="14" fontId="3" fillId="24" borderId="6" xfId="0" quotePrefix="1" applyNumberFormat="1" applyFont="1" applyFill="1" applyBorder="1" applyAlignment="1" applyProtection="1">
      <alignment horizontal="left" vertical="top"/>
      <protection locked="0"/>
    </xf>
    <xf numFmtId="0" fontId="31" fillId="5" borderId="6" xfId="0" applyFont="1" applyFill="1" applyBorder="1" applyAlignment="1" applyProtection="1">
      <alignment horizontal="left"/>
      <protection locked="0"/>
    </xf>
    <xf numFmtId="0" fontId="30" fillId="5" borderId="6" xfId="0" applyFont="1" applyFill="1" applyBorder="1" applyAlignment="1" applyProtection="1">
      <alignment horizontal="left" vertical="top"/>
      <protection locked="0"/>
    </xf>
    <xf numFmtId="0" fontId="32" fillId="5" borderId="6" xfId="0" applyFont="1" applyFill="1" applyBorder="1" applyAlignment="1" applyProtection="1">
      <alignment horizontal="left" vertical="top"/>
      <protection locked="0"/>
    </xf>
    <xf numFmtId="0" fontId="32" fillId="5" borderId="7" xfId="0" applyFont="1" applyFill="1" applyBorder="1" applyAlignment="1" applyProtection="1">
      <alignment horizontal="left" vertical="top"/>
      <protection locked="0"/>
    </xf>
    <xf numFmtId="0" fontId="3" fillId="5" borderId="9" xfId="0" applyFont="1" applyFill="1" applyBorder="1" applyAlignment="1" applyProtection="1">
      <alignment horizontal="left" indent="2"/>
      <protection locked="0"/>
    </xf>
    <xf numFmtId="0" fontId="3" fillId="5" borderId="9" xfId="0" applyFont="1" applyFill="1" applyBorder="1" applyAlignment="1" applyProtection="1">
      <alignment horizontal="left" vertical="center" indent="2"/>
      <protection locked="0"/>
    </xf>
    <xf numFmtId="0" fontId="3" fillId="5" borderId="5" xfId="0" applyFont="1" applyFill="1" applyBorder="1" applyAlignment="1" applyProtection="1">
      <alignment horizontal="left" vertical="top" indent="2"/>
      <protection locked="0"/>
    </xf>
    <xf numFmtId="0" fontId="3" fillId="5" borderId="58" xfId="0" applyFont="1" applyFill="1" applyBorder="1" applyAlignment="1">
      <alignment horizontal="left" indent="2"/>
    </xf>
    <xf numFmtId="0" fontId="3" fillId="5" borderId="148" xfId="0" applyFont="1" applyFill="1" applyBorder="1" applyAlignment="1">
      <alignment horizontal="left" vertical="top" indent="2"/>
    </xf>
    <xf numFmtId="0" fontId="3" fillId="5" borderId="145" xfId="0" applyFont="1" applyFill="1" applyBorder="1" applyAlignment="1">
      <alignment horizontal="left" vertical="top" indent="2"/>
    </xf>
    <xf numFmtId="0" fontId="3" fillId="5" borderId="146" xfId="0" applyFont="1" applyFill="1" applyBorder="1" applyAlignment="1">
      <alignment horizontal="left" vertical="top" indent="2"/>
    </xf>
    <xf numFmtId="0" fontId="3" fillId="5" borderId="34" xfId="0" applyFont="1" applyFill="1" applyBorder="1" applyAlignment="1">
      <alignment horizontal="left" vertical="top" indent="1"/>
    </xf>
    <xf numFmtId="0" fontId="3" fillId="5" borderId="34" xfId="0" applyFont="1" applyFill="1" applyBorder="1" applyAlignment="1">
      <alignment horizontal="left" vertical="center"/>
    </xf>
    <xf numFmtId="0" fontId="3" fillId="5" borderId="38" xfId="0" applyFont="1" applyFill="1" applyBorder="1" applyAlignment="1">
      <alignment horizontal="center" vertical="center"/>
    </xf>
    <xf numFmtId="0" fontId="3" fillId="5" borderId="34" xfId="0" applyFont="1" applyFill="1" applyBorder="1" applyAlignment="1">
      <alignment horizontal="left" vertical="center" indent="2"/>
    </xf>
    <xf numFmtId="0" fontId="0" fillId="13" borderId="1" xfId="0" applyFill="1" applyBorder="1" applyAlignment="1">
      <alignment horizontal="left" indent="1"/>
    </xf>
    <xf numFmtId="0" fontId="0" fillId="13" borderId="155" xfId="0" applyFill="1" applyBorder="1" applyAlignment="1">
      <alignment horizontal="left" indent="1"/>
    </xf>
    <xf numFmtId="0" fontId="0" fillId="13" borderId="122" xfId="0" applyFill="1" applyBorder="1" applyAlignment="1">
      <alignment horizontal="left" indent="1"/>
    </xf>
    <xf numFmtId="0" fontId="0" fillId="13" borderId="14" xfId="0" applyFill="1" applyBorder="1" applyAlignment="1">
      <alignment horizontal="left" indent="1"/>
    </xf>
    <xf numFmtId="0" fontId="0" fillId="13" borderId="154" xfId="0" applyFill="1" applyBorder="1" applyAlignment="1">
      <alignment horizontal="left" indent="1"/>
    </xf>
    <xf numFmtId="0" fontId="0" fillId="13" borderId="153" xfId="0" applyFill="1" applyBorder="1" applyAlignment="1">
      <alignment horizontal="left" indent="1"/>
    </xf>
    <xf numFmtId="0" fontId="0" fillId="13" borderId="17" xfId="0" applyFill="1" applyBorder="1" applyAlignment="1">
      <alignment horizontal="left" indent="1"/>
    </xf>
    <xf numFmtId="0" fontId="3" fillId="5" borderId="50" xfId="0" quotePrefix="1" applyFont="1" applyFill="1" applyBorder="1" applyAlignment="1">
      <alignment horizontal="center" vertical="top"/>
    </xf>
    <xf numFmtId="0" fontId="20" fillId="27" borderId="197" xfId="0" applyFont="1" applyFill="1" applyBorder="1"/>
    <xf numFmtId="0" fontId="21" fillId="27" borderId="198" xfId="0" applyFont="1" applyFill="1" applyBorder="1"/>
    <xf numFmtId="0" fontId="16" fillId="27" borderId="198" xfId="0" applyFont="1" applyFill="1" applyBorder="1"/>
    <xf numFmtId="0" fontId="16" fillId="27" borderId="199" xfId="0" applyFont="1" applyFill="1" applyBorder="1"/>
    <xf numFmtId="0" fontId="21" fillId="27" borderId="168" xfId="0" applyFont="1" applyFill="1" applyBorder="1"/>
    <xf numFmtId="0" fontId="16" fillId="27" borderId="168" xfId="0" applyFont="1" applyFill="1" applyBorder="1"/>
    <xf numFmtId="0" fontId="16" fillId="27" borderId="167" xfId="0" applyFont="1" applyFill="1" applyBorder="1"/>
    <xf numFmtId="0" fontId="0" fillId="5" borderId="38" xfId="0" applyFill="1" applyBorder="1"/>
    <xf numFmtId="0" fontId="0" fillId="5" borderId="67" xfId="0" applyFill="1" applyBorder="1"/>
    <xf numFmtId="0" fontId="32" fillId="5" borderId="50" xfId="0" applyFont="1" applyFill="1" applyBorder="1" applyAlignment="1">
      <alignment vertical="top"/>
    </xf>
    <xf numFmtId="0" fontId="0" fillId="5" borderId="50" xfId="0" applyFill="1" applyBorder="1"/>
    <xf numFmtId="0" fontId="0" fillId="5" borderId="68" xfId="0" applyFill="1" applyBorder="1"/>
    <xf numFmtId="0" fontId="0" fillId="5" borderId="55" xfId="0" applyFill="1" applyBorder="1" applyAlignment="1">
      <alignment vertical="center"/>
    </xf>
    <xf numFmtId="0" fontId="0" fillId="5" borderId="66" xfId="0" applyFill="1" applyBorder="1" applyAlignment="1">
      <alignment vertical="center"/>
    </xf>
    <xf numFmtId="0" fontId="3" fillId="5" borderId="42" xfId="0" applyFont="1" applyFill="1" applyBorder="1" applyAlignment="1">
      <alignment horizontal="left" vertical="top" indent="1"/>
    </xf>
    <xf numFmtId="0" fontId="7" fillId="0" borderId="1" xfId="0" applyFont="1" applyBorder="1" applyAlignment="1">
      <alignment horizontal="left"/>
    </xf>
    <xf numFmtId="0" fontId="6" fillId="4" borderId="2" xfId="0" applyFont="1" applyFill="1" applyBorder="1"/>
    <xf numFmtId="0" fontId="7" fillId="4" borderId="9" xfId="0" applyFont="1" applyFill="1" applyBorder="1"/>
    <xf numFmtId="0" fontId="6" fillId="4" borderId="10" xfId="0" applyFont="1" applyFill="1" applyBorder="1"/>
    <xf numFmtId="0" fontId="7" fillId="0" borderId="5" xfId="0" applyFont="1" applyBorder="1"/>
    <xf numFmtId="0" fontId="6" fillId="4" borderId="7" xfId="0" applyFont="1" applyFill="1" applyBorder="1"/>
    <xf numFmtId="0" fontId="20" fillId="83" borderId="108" xfId="0" applyFont="1" applyFill="1" applyBorder="1"/>
    <xf numFmtId="0" fontId="21" fillId="83" borderId="109" xfId="0" applyFont="1" applyFill="1" applyBorder="1"/>
    <xf numFmtId="0" fontId="16" fillId="83" borderId="109" xfId="0" applyFont="1" applyFill="1" applyBorder="1"/>
    <xf numFmtId="0" fontId="16" fillId="83" borderId="110" xfId="0" applyFont="1" applyFill="1" applyBorder="1"/>
    <xf numFmtId="0" fontId="20" fillId="83" borderId="23" xfId="0" applyFont="1" applyFill="1" applyBorder="1"/>
    <xf numFmtId="0" fontId="21" fillId="83" borderId="24" xfId="0" applyFont="1" applyFill="1" applyBorder="1"/>
    <xf numFmtId="0" fontId="16" fillId="83" borderId="24" xfId="0" applyFont="1" applyFill="1" applyBorder="1"/>
    <xf numFmtId="0" fontId="21" fillId="83" borderId="95" xfId="0" applyFont="1" applyFill="1" applyBorder="1"/>
    <xf numFmtId="0" fontId="0" fillId="30" borderId="155" xfId="0" quotePrefix="1" applyFill="1" applyBorder="1" applyAlignment="1">
      <alignment horizontal="center"/>
    </xf>
    <xf numFmtId="0" fontId="0" fillId="30" borderId="122" xfId="0" applyFill="1" applyBorder="1" applyAlignment="1">
      <alignment horizontal="center"/>
    </xf>
    <xf numFmtId="0" fontId="0" fillId="30" borderId="14" xfId="0" applyFill="1" applyBorder="1" applyAlignment="1">
      <alignment horizontal="center"/>
    </xf>
    <xf numFmtId="0" fontId="0" fillId="30" borderId="155" xfId="0" applyFill="1" applyBorder="1" applyAlignment="1">
      <alignment horizontal="center"/>
    </xf>
    <xf numFmtId="0" fontId="0" fillId="30" borderId="154" xfId="0" applyFill="1" applyBorder="1" applyAlignment="1">
      <alignment horizontal="center"/>
    </xf>
    <xf numFmtId="0" fontId="0" fillId="30" borderId="153" xfId="0" applyFill="1" applyBorder="1" applyAlignment="1">
      <alignment horizontal="center"/>
    </xf>
    <xf numFmtId="0" fontId="0" fillId="30" borderId="17" xfId="0" applyFill="1" applyBorder="1" applyAlignment="1">
      <alignment horizontal="center"/>
    </xf>
    <xf numFmtId="0" fontId="0" fillId="13" borderId="122" xfId="0" applyFill="1" applyBorder="1" applyAlignment="1">
      <alignment horizontal="left"/>
    </xf>
    <xf numFmtId="0" fontId="0" fillId="13" borderId="70" xfId="0" applyFill="1" applyBorder="1"/>
    <xf numFmtId="0" fontId="0" fillId="13" borderId="76" xfId="0" applyFill="1" applyBorder="1"/>
    <xf numFmtId="0" fontId="0" fillId="13" borderId="70" xfId="0" quotePrefix="1" applyFill="1" applyBorder="1"/>
    <xf numFmtId="0" fontId="0" fillId="13" borderId="17" xfId="0" applyFill="1" applyBorder="1" applyAlignment="1">
      <alignment horizontal="left"/>
    </xf>
    <xf numFmtId="0" fontId="0" fillId="13" borderId="77" xfId="0" applyFill="1" applyBorder="1"/>
    <xf numFmtId="0" fontId="0" fillId="13" borderId="78" xfId="0" applyFill="1" applyBorder="1"/>
    <xf numFmtId="0" fontId="0" fillId="13" borderId="153" xfId="0" applyFill="1" applyBorder="1" applyAlignment="1">
      <alignment horizontal="left"/>
    </xf>
    <xf numFmtId="0" fontId="0" fillId="13" borderId="84" xfId="0" applyFill="1" applyBorder="1"/>
    <xf numFmtId="0" fontId="0" fillId="13" borderId="85" xfId="0" applyFill="1" applyBorder="1"/>
    <xf numFmtId="0" fontId="0" fillId="13" borderId="131" xfId="0" applyFill="1" applyBorder="1" applyAlignment="1">
      <alignment horizontal="left"/>
    </xf>
    <xf numFmtId="0" fontId="0" fillId="13" borderId="200" xfId="0" applyFill="1" applyBorder="1"/>
    <xf numFmtId="0" fontId="0" fillId="13" borderId="201" xfId="0" applyFill="1" applyBorder="1"/>
    <xf numFmtId="0" fontId="0" fillId="13" borderId="154" xfId="0" applyFill="1" applyBorder="1" applyAlignment="1">
      <alignment horizontal="left"/>
    </xf>
    <xf numFmtId="0" fontId="0" fillId="13" borderId="151" xfId="0" applyFill="1" applyBorder="1"/>
    <xf numFmtId="0" fontId="0" fillId="13" borderId="152" xfId="0" applyFill="1" applyBorder="1"/>
    <xf numFmtId="0" fontId="0" fillId="13" borderId="9" xfId="0" applyFill="1" applyBorder="1" applyAlignment="1">
      <alignment horizontal="left" indent="1"/>
    </xf>
    <xf numFmtId="0" fontId="0" fillId="30" borderId="9" xfId="0" applyFill="1" applyBorder="1" applyAlignment="1">
      <alignment horizontal="center"/>
    </xf>
    <xf numFmtId="0" fontId="0" fillId="13" borderId="16" xfId="0" applyFill="1" applyBorder="1"/>
    <xf numFmtId="0" fontId="0" fillId="13" borderId="90" xfId="0" applyFill="1" applyBorder="1"/>
    <xf numFmtId="0" fontId="0" fillId="13" borderId="40" xfId="0" applyFill="1" applyBorder="1" applyAlignment="1">
      <alignment horizontal="left" indent="1"/>
    </xf>
    <xf numFmtId="0" fontId="0" fillId="30" borderId="40" xfId="0" applyFill="1" applyBorder="1" applyAlignment="1">
      <alignment horizontal="center"/>
    </xf>
    <xf numFmtId="0" fontId="0" fillId="13" borderId="25" xfId="0" applyFill="1" applyBorder="1" applyAlignment="1">
      <alignment horizontal="left"/>
    </xf>
    <xf numFmtId="0" fontId="0" fillId="13" borderId="202" xfId="0" applyFill="1" applyBorder="1"/>
    <xf numFmtId="0" fontId="65" fillId="30" borderId="1" xfId="0" applyFont="1" applyFill="1" applyBorder="1" applyAlignment="1">
      <alignment horizontal="center"/>
    </xf>
    <xf numFmtId="0" fontId="65" fillId="30" borderId="154" xfId="0" applyFont="1" applyFill="1" applyBorder="1" applyAlignment="1">
      <alignment horizontal="center"/>
    </xf>
    <xf numFmtId="0" fontId="32" fillId="11" borderId="38" xfId="0" quotePrefix="1" applyFont="1" applyFill="1" applyBorder="1" applyAlignment="1">
      <alignment horizontal="center" vertical="top"/>
    </xf>
    <xf numFmtId="0" fontId="32" fillId="5" borderId="38" xfId="0" applyFont="1" applyFill="1" applyBorder="1" applyAlignment="1">
      <alignment vertical="center"/>
    </xf>
    <xf numFmtId="0" fontId="0" fillId="5" borderId="38" xfId="0" applyFill="1" applyBorder="1" applyAlignment="1">
      <alignment vertical="center"/>
    </xf>
    <xf numFmtId="0" fontId="0" fillId="5" borderId="67" xfId="0" applyFill="1" applyBorder="1" applyAlignment="1">
      <alignment vertical="center"/>
    </xf>
    <xf numFmtId="0" fontId="3" fillId="5" borderId="59" xfId="0" applyFont="1" applyFill="1" applyBorder="1" applyAlignment="1" applyProtection="1">
      <alignment horizontal="left" vertical="center"/>
      <protection locked="0"/>
    </xf>
    <xf numFmtId="0" fontId="3" fillId="5" borderId="30" xfId="0" quotePrefix="1" applyFont="1" applyFill="1" applyBorder="1" applyAlignment="1">
      <alignment horizontal="center" vertical="center"/>
    </xf>
    <xf numFmtId="0" fontId="0" fillId="5" borderId="30" xfId="0" applyFill="1" applyBorder="1" applyAlignment="1">
      <alignment vertical="center"/>
    </xf>
    <xf numFmtId="0" fontId="20" fillId="27" borderId="203" xfId="0" applyFont="1" applyFill="1" applyBorder="1"/>
    <xf numFmtId="0" fontId="3" fillId="11" borderId="79" xfId="0" applyFont="1" applyFill="1" applyBorder="1" applyAlignment="1">
      <alignment horizontal="left" vertical="top" indent="4"/>
    </xf>
    <xf numFmtId="0" fontId="3" fillId="11" borderId="84" xfId="0" applyFont="1" applyFill="1" applyBorder="1" applyAlignment="1">
      <alignment horizontal="center" vertical="center" wrapText="1"/>
    </xf>
    <xf numFmtId="0" fontId="32" fillId="11" borderId="30" xfId="0" quotePrefix="1" applyFont="1" applyFill="1" applyBorder="1" applyAlignment="1">
      <alignment vertical="center"/>
    </xf>
    <xf numFmtId="0" fontId="36" fillId="11" borderId="75" xfId="0" applyFont="1" applyFill="1" applyBorder="1" applyAlignment="1">
      <alignment horizontal="left" vertical="center"/>
    </xf>
    <xf numFmtId="0" fontId="32" fillId="11" borderId="84" xfId="0" applyFont="1" applyFill="1" applyBorder="1" applyAlignment="1">
      <alignment vertical="center"/>
    </xf>
    <xf numFmtId="0" fontId="32" fillId="11" borderId="70" xfId="0" applyFont="1" applyFill="1" applyBorder="1" applyAlignment="1">
      <alignment vertical="center"/>
    </xf>
    <xf numFmtId="0" fontId="0" fillId="11" borderId="70" xfId="0" applyFill="1" applyBorder="1" applyAlignment="1">
      <alignment vertical="center"/>
    </xf>
    <xf numFmtId="0" fontId="0" fillId="11" borderId="76" xfId="0" applyFill="1" applyBorder="1" applyAlignment="1">
      <alignment vertical="center"/>
    </xf>
    <xf numFmtId="0" fontId="29" fillId="11" borderId="30" xfId="0" quotePrefix="1" applyFont="1" applyFill="1" applyBorder="1" applyAlignment="1">
      <alignment horizontal="center"/>
    </xf>
    <xf numFmtId="0" fontId="36" fillId="11" borderId="83" xfId="0" applyFont="1" applyFill="1" applyBorder="1" applyAlignment="1">
      <alignment horizontal="left" vertical="center"/>
    </xf>
    <xf numFmtId="0" fontId="0" fillId="11" borderId="84" xfId="0" applyFill="1" applyBorder="1" applyAlignment="1">
      <alignment vertical="center"/>
    </xf>
    <xf numFmtId="0" fontId="0" fillId="11" borderId="85" xfId="0" applyFill="1" applyBorder="1" applyAlignment="1">
      <alignment vertical="center"/>
    </xf>
    <xf numFmtId="0" fontId="32" fillId="11" borderId="204" xfId="0" quotePrefix="1" applyFont="1" applyFill="1" applyBorder="1" applyAlignment="1">
      <alignment vertical="top"/>
    </xf>
    <xf numFmtId="0" fontId="32" fillId="11" borderId="205" xfId="0" applyFont="1" applyFill="1" applyBorder="1" applyAlignment="1">
      <alignment vertical="top"/>
    </xf>
    <xf numFmtId="0" fontId="0" fillId="11" borderId="205" xfId="0" applyFill="1" applyBorder="1"/>
    <xf numFmtId="0" fontId="0" fillId="11" borderId="206" xfId="0" applyFill="1" applyBorder="1"/>
    <xf numFmtId="0" fontId="19" fillId="28" borderId="0" xfId="0" applyFont="1" applyFill="1" applyAlignment="1">
      <alignment horizontal="center" vertical="top"/>
    </xf>
    <xf numFmtId="0" fontId="19" fillId="28" borderId="0" xfId="0" applyFont="1" applyFill="1" applyAlignment="1">
      <alignment horizontal="left" vertical="top"/>
    </xf>
    <xf numFmtId="0" fontId="3" fillId="0" borderId="16" xfId="0" applyFont="1" applyBorder="1" applyAlignment="1">
      <alignment horizontal="center" vertical="top"/>
    </xf>
    <xf numFmtId="0" fontId="3" fillId="12" borderId="16" xfId="0" applyFont="1" applyFill="1" applyBorder="1" applyAlignment="1">
      <alignment horizontal="center" vertical="top"/>
    </xf>
    <xf numFmtId="0" fontId="3" fillId="3" borderId="16" xfId="0" applyFont="1" applyFill="1" applyBorder="1" applyAlignment="1">
      <alignment horizontal="center" vertical="top"/>
    </xf>
    <xf numFmtId="1" fontId="6" fillId="0" borderId="15" xfId="0" applyNumberFormat="1" applyFont="1" applyBorder="1" applyAlignment="1">
      <alignment horizontal="center" vertical="top"/>
    </xf>
    <xf numFmtId="1" fontId="6" fillId="0" borderId="16" xfId="0" applyNumberFormat="1" applyFont="1" applyBorder="1" applyAlignment="1">
      <alignment horizontal="center" vertical="top"/>
    </xf>
    <xf numFmtId="1" fontId="6" fillId="85" borderId="15" xfId="0" applyNumberFormat="1" applyFont="1" applyFill="1" applyBorder="1" applyAlignment="1">
      <alignment horizontal="center" vertical="top"/>
    </xf>
    <xf numFmtId="1" fontId="6" fillId="85" borderId="16" xfId="0" applyNumberFormat="1" applyFont="1" applyFill="1" applyBorder="1" applyAlignment="1">
      <alignment horizontal="center" vertical="top"/>
    </xf>
    <xf numFmtId="0" fontId="3" fillId="85" borderId="14" xfId="0" applyFont="1" applyFill="1" applyBorder="1" applyAlignment="1">
      <alignment horizontal="center" vertical="top"/>
    </xf>
    <xf numFmtId="0" fontId="3" fillId="0" borderId="14" xfId="0" applyFont="1" applyBorder="1" applyAlignment="1">
      <alignment horizontal="center" vertical="top"/>
    </xf>
    <xf numFmtId="0" fontId="13" fillId="85" borderId="14" xfId="0" applyFont="1" applyFill="1" applyBorder="1" applyAlignment="1">
      <alignment horizontal="center" vertical="top"/>
    </xf>
    <xf numFmtId="0" fontId="0" fillId="20" borderId="27" xfId="0" applyFill="1" applyBorder="1" applyAlignment="1">
      <alignment horizontal="left" vertical="center" wrapText="1"/>
    </xf>
    <xf numFmtId="0" fontId="0" fillId="20" borderId="55" xfId="0" applyFill="1" applyBorder="1" applyAlignment="1">
      <alignment horizontal="left"/>
    </xf>
    <xf numFmtId="0" fontId="0" fillId="20" borderId="66" xfId="0" applyFill="1" applyBorder="1" applyAlignment="1">
      <alignment horizontal="left"/>
    </xf>
    <xf numFmtId="0" fontId="0" fillId="20" borderId="34" xfId="0" applyFill="1" applyBorder="1" applyAlignment="1">
      <alignment horizontal="left" vertical="center" wrapText="1"/>
    </xf>
    <xf numFmtId="0" fontId="0" fillId="20" borderId="38" xfId="0" applyFill="1" applyBorder="1" applyAlignment="1">
      <alignment horizontal="left" vertical="top"/>
    </xf>
    <xf numFmtId="0" fontId="0" fillId="0" borderId="67" xfId="0" applyBorder="1" applyAlignment="1">
      <alignment horizontal="left"/>
    </xf>
    <xf numFmtId="0" fontId="0" fillId="20" borderId="42" xfId="0" applyFill="1" applyBorder="1" applyAlignment="1">
      <alignment horizontal="left" vertical="center" wrapText="1"/>
    </xf>
    <xf numFmtId="0" fontId="0" fillId="0" borderId="50" xfId="0" applyBorder="1" applyAlignment="1">
      <alignment horizontal="left" vertical="top"/>
    </xf>
    <xf numFmtId="0" fontId="0" fillId="0" borderId="68" xfId="0" applyBorder="1" applyAlignment="1">
      <alignment horizontal="left"/>
    </xf>
    <xf numFmtId="0" fontId="8" fillId="7" borderId="1" xfId="0" applyFont="1" applyFill="1" applyBorder="1" applyAlignment="1">
      <alignment horizontal="left" vertical="center" wrapText="1"/>
    </xf>
    <xf numFmtId="0" fontId="8" fillId="7" borderId="208" xfId="0" applyFont="1" applyFill="1" applyBorder="1" applyAlignment="1">
      <alignment horizontal="center" vertical="center" wrapText="1"/>
    </xf>
    <xf numFmtId="0" fontId="69" fillId="84" borderId="208" xfId="0" applyFont="1" applyFill="1" applyBorder="1" applyAlignment="1">
      <alignment horizontal="center" vertical="center" wrapText="1"/>
    </xf>
    <xf numFmtId="1" fontId="69" fillId="84" borderId="208" xfId="0" applyNumberFormat="1" applyFont="1" applyFill="1" applyBorder="1" applyAlignment="1">
      <alignment horizontal="center" vertical="center" wrapText="1"/>
    </xf>
    <xf numFmtId="0" fontId="8" fillId="8" borderId="1" xfId="0" applyFont="1" applyFill="1" applyBorder="1" applyAlignment="1">
      <alignment horizontal="center" vertical="center" wrapText="1"/>
    </xf>
    <xf numFmtId="0" fontId="8" fillId="9" borderId="208" xfId="0" applyFont="1" applyFill="1" applyBorder="1" applyAlignment="1">
      <alignment vertical="center" wrapText="1"/>
    </xf>
    <xf numFmtId="0" fontId="8" fillId="9" borderId="11" xfId="0" applyFont="1" applyFill="1" applyBorder="1" applyAlignment="1">
      <alignment vertical="center" wrapText="1"/>
    </xf>
    <xf numFmtId="0" fontId="8" fillId="10" borderId="11" xfId="0" applyFont="1" applyFill="1" applyBorder="1" applyAlignment="1">
      <alignment vertical="center" wrapText="1"/>
    </xf>
    <xf numFmtId="0" fontId="8" fillId="11" borderId="1" xfId="0" applyFont="1" applyFill="1" applyBorder="1" applyAlignment="1">
      <alignment vertical="center" wrapText="1"/>
    </xf>
    <xf numFmtId="0" fontId="8" fillId="11" borderId="2" xfId="0" applyFont="1" applyFill="1" applyBorder="1" applyAlignment="1">
      <alignment vertical="center" wrapText="1"/>
    </xf>
    <xf numFmtId="0" fontId="19" fillId="17" borderId="209" xfId="0" applyFont="1" applyFill="1" applyBorder="1" applyAlignment="1">
      <alignment vertical="center" wrapText="1"/>
    </xf>
    <xf numFmtId="0" fontId="19" fillId="17" borderId="210" xfId="0" applyFont="1" applyFill="1" applyBorder="1" applyAlignment="1">
      <alignment vertical="center" wrapText="1"/>
    </xf>
    <xf numFmtId="49" fontId="19" fillId="17" borderId="2" xfId="0" applyNumberFormat="1" applyFont="1" applyFill="1" applyBorder="1" applyAlignment="1">
      <alignment vertical="center" wrapText="1"/>
    </xf>
    <xf numFmtId="49" fontId="19" fillId="17" borderId="211" xfId="0" applyNumberFormat="1" applyFont="1" applyFill="1" applyBorder="1" applyAlignment="1">
      <alignment vertical="center" wrapText="1"/>
    </xf>
    <xf numFmtId="49" fontId="6" fillId="17" borderId="1" xfId="0" applyNumberFormat="1" applyFont="1" applyFill="1" applyBorder="1"/>
    <xf numFmtId="49" fontId="10" fillId="17" borderId="1" xfId="0" applyNumberFormat="1" applyFont="1" applyFill="1" applyBorder="1"/>
    <xf numFmtId="0" fontId="6" fillId="17" borderId="4" xfId="0" applyFont="1" applyFill="1" applyBorder="1" applyAlignment="1">
      <alignment vertical="center"/>
    </xf>
    <xf numFmtId="49" fontId="6" fillId="17" borderId="209" xfId="0" applyNumberFormat="1" applyFont="1" applyFill="1" applyBorder="1"/>
    <xf numFmtId="49" fontId="10" fillId="17" borderId="209" xfId="0" applyNumberFormat="1" applyFont="1" applyFill="1" applyBorder="1"/>
    <xf numFmtId="0" fontId="0" fillId="17" borderId="212" xfId="0" applyFill="1" applyBorder="1"/>
    <xf numFmtId="0" fontId="6" fillId="17" borderId="212" xfId="0" applyFont="1" applyFill="1" applyBorder="1" applyAlignment="1">
      <alignment vertical="center"/>
    </xf>
    <xf numFmtId="49" fontId="6" fillId="17" borderId="207" xfId="0" applyNumberFormat="1" applyFont="1" applyFill="1" applyBorder="1"/>
    <xf numFmtId="49" fontId="10" fillId="17" borderId="207" xfId="0" applyNumberFormat="1" applyFont="1" applyFill="1" applyBorder="1"/>
    <xf numFmtId="0" fontId="6" fillId="17" borderId="41" xfId="0" applyFont="1" applyFill="1" applyBorder="1" applyAlignment="1">
      <alignment vertical="center"/>
    </xf>
    <xf numFmtId="0" fontId="65" fillId="30" borderId="9" xfId="0" applyFont="1" applyFill="1" applyBorder="1" applyAlignment="1">
      <alignment horizontal="center"/>
    </xf>
    <xf numFmtId="0" fontId="0" fillId="13" borderId="9" xfId="0" applyFill="1" applyBorder="1" applyAlignment="1">
      <alignment horizontal="left"/>
    </xf>
    <xf numFmtId="0" fontId="0" fillId="13" borderId="0" xfId="0" applyFill="1"/>
    <xf numFmtId="0" fontId="0" fillId="13" borderId="10" xfId="0" applyFill="1" applyBorder="1"/>
    <xf numFmtId="0" fontId="0" fillId="0" borderId="27" xfId="0" applyBorder="1"/>
    <xf numFmtId="0" fontId="2" fillId="0" borderId="66" xfId="0" applyFont="1" applyBorder="1"/>
    <xf numFmtId="0" fontId="0" fillId="0" borderId="34" xfId="0" applyBorder="1" applyAlignment="1">
      <alignment horizontal="right"/>
    </xf>
    <xf numFmtId="0" fontId="0" fillId="9" borderId="67" xfId="0" quotePrefix="1" applyFill="1" applyBorder="1" applyAlignment="1">
      <alignment horizontal="left"/>
    </xf>
    <xf numFmtId="0" fontId="0" fillId="0" borderId="42" xfId="0" applyBorder="1" applyAlignment="1">
      <alignment horizontal="right"/>
    </xf>
    <xf numFmtId="0" fontId="0" fillId="9" borderId="68" xfId="0" quotePrefix="1" applyFill="1" applyBorder="1" applyAlignment="1">
      <alignment horizontal="left"/>
    </xf>
    <xf numFmtId="0" fontId="0" fillId="0" borderId="20" xfId="0" applyBorder="1"/>
    <xf numFmtId="0" fontId="0" fillId="0" borderId="72" xfId="0" applyBorder="1"/>
    <xf numFmtId="0" fontId="3" fillId="5" borderId="213" xfId="0" applyFont="1" applyFill="1" applyBorder="1" applyAlignment="1" applyProtection="1">
      <alignment horizontal="left" indent="2"/>
      <protection locked="0"/>
    </xf>
    <xf numFmtId="0" fontId="8" fillId="29" borderId="69" xfId="0" applyFont="1" applyFill="1" applyBorder="1" applyAlignment="1" applyProtection="1">
      <alignment horizontal="left"/>
      <protection locked="0"/>
    </xf>
    <xf numFmtId="0" fontId="32" fillId="5" borderId="69" xfId="0" applyFont="1" applyFill="1" applyBorder="1" applyAlignment="1" applyProtection="1">
      <alignment horizontal="left"/>
      <protection locked="0"/>
    </xf>
    <xf numFmtId="0" fontId="30" fillId="5" borderId="69" xfId="0" applyFont="1" applyFill="1" applyBorder="1" applyAlignment="1" applyProtection="1">
      <alignment horizontal="left" vertical="top"/>
      <protection locked="0"/>
    </xf>
    <xf numFmtId="0" fontId="6" fillId="5" borderId="69" xfId="0" applyFont="1" applyFill="1" applyBorder="1" applyAlignment="1" applyProtection="1">
      <alignment horizontal="left"/>
      <protection locked="0"/>
    </xf>
    <xf numFmtId="0" fontId="6" fillId="5" borderId="126" xfId="0" applyFont="1" applyFill="1" applyBorder="1" applyAlignment="1" applyProtection="1">
      <alignment horizontal="left"/>
      <protection locked="0"/>
    </xf>
    <xf numFmtId="0" fontId="6" fillId="5" borderId="65" xfId="0" applyFont="1" applyFill="1" applyBorder="1"/>
    <xf numFmtId="0" fontId="75" fillId="26" borderId="0" xfId="0" applyFont="1" applyFill="1" applyAlignment="1">
      <alignment horizontal="right" vertical="center"/>
    </xf>
    <xf numFmtId="0" fontId="8" fillId="3" borderId="0" xfId="0" applyFont="1" applyFill="1" applyAlignment="1" applyProtection="1">
      <alignment horizontal="left"/>
      <protection locked="0"/>
    </xf>
    <xf numFmtId="0" fontId="32" fillId="3" borderId="0" xfId="0" applyFont="1" applyFill="1" applyAlignment="1" applyProtection="1">
      <alignment horizontal="left"/>
      <protection locked="0"/>
    </xf>
    <xf numFmtId="0" fontId="64" fillId="8" borderId="1" xfId="0" applyFont="1" applyFill="1" applyBorder="1" applyAlignment="1">
      <alignment vertical="top" wrapText="1"/>
    </xf>
    <xf numFmtId="0" fontId="8" fillId="8" borderId="1" xfId="0" applyFont="1" applyFill="1" applyBorder="1" applyAlignment="1">
      <alignment horizontal="center" vertical="top" wrapText="1"/>
    </xf>
    <xf numFmtId="0" fontId="8" fillId="8" borderId="208" xfId="0" applyFont="1" applyFill="1" applyBorder="1" applyAlignment="1">
      <alignment horizontal="center" vertical="top" wrapText="1"/>
    </xf>
    <xf numFmtId="0" fontId="9" fillId="13" borderId="2" xfId="0" applyFont="1" applyFill="1" applyBorder="1" applyAlignment="1">
      <alignment horizontal="right" vertical="top" wrapText="1"/>
    </xf>
    <xf numFmtId="0" fontId="8" fillId="34" borderId="2" xfId="0" applyFont="1" applyFill="1" applyBorder="1" applyAlignment="1">
      <alignment horizontal="right" vertical="top" wrapText="1"/>
    </xf>
    <xf numFmtId="0" fontId="8" fillId="8" borderId="2" xfId="0" applyFont="1" applyFill="1" applyBorder="1" applyAlignment="1">
      <alignment horizontal="right" vertical="top" wrapText="1"/>
    </xf>
    <xf numFmtId="0" fontId="8" fillId="33" borderId="2" xfId="0" applyFont="1" applyFill="1" applyBorder="1" applyAlignment="1">
      <alignment horizontal="right" vertical="top" wrapText="1"/>
    </xf>
    <xf numFmtId="0" fontId="8" fillId="33" borderId="2" xfId="0" applyFont="1" applyFill="1" applyBorder="1" applyAlignment="1">
      <alignment vertical="top" wrapText="1"/>
    </xf>
    <xf numFmtId="0" fontId="8" fillId="33" borderId="1" xfId="0" applyFont="1" applyFill="1" applyBorder="1" applyAlignment="1">
      <alignment vertical="top" wrapText="1"/>
    </xf>
    <xf numFmtId="0" fontId="8" fillId="33" borderId="4" xfId="0" applyFont="1" applyFill="1" applyBorder="1" applyAlignment="1">
      <alignment vertical="top" wrapText="1"/>
    </xf>
    <xf numFmtId="0" fontId="49" fillId="29" borderId="4" xfId="0" applyFont="1" applyFill="1" applyBorder="1" applyAlignment="1">
      <alignment horizontal="center"/>
    </xf>
    <xf numFmtId="0" fontId="49" fillId="29" borderId="212" xfId="0" applyFont="1" applyFill="1" applyBorder="1" applyAlignment="1">
      <alignment horizontal="center"/>
    </xf>
    <xf numFmtId="0" fontId="49" fillId="29" borderId="41" xfId="0" applyFont="1" applyFill="1" applyBorder="1" applyAlignment="1">
      <alignment horizontal="center"/>
    </xf>
    <xf numFmtId="0" fontId="9" fillId="11" borderId="2" xfId="0" applyFont="1" applyFill="1" applyBorder="1" applyAlignment="1">
      <alignment horizontal="right" vertical="top" wrapText="1"/>
    </xf>
    <xf numFmtId="0" fontId="9" fillId="14" borderId="2" xfId="0" applyFont="1" applyFill="1" applyBorder="1" applyAlignment="1">
      <alignment horizontal="right" vertical="top" wrapText="1"/>
    </xf>
    <xf numFmtId="0" fontId="8" fillId="3" borderId="19" xfId="0" applyFont="1" applyFill="1" applyBorder="1" applyAlignment="1">
      <alignment horizontal="centerContinuous" vertical="center" wrapText="1"/>
    </xf>
    <xf numFmtId="0" fontId="8" fillId="3" borderId="21" xfId="0" applyFont="1" applyFill="1" applyBorder="1" applyAlignment="1">
      <alignment horizontal="centerContinuous" vertical="center" wrapText="1"/>
    </xf>
    <xf numFmtId="0" fontId="15" fillId="5" borderId="55" xfId="0" applyFont="1" applyFill="1" applyBorder="1"/>
    <xf numFmtId="0" fontId="15" fillId="5" borderId="38" xfId="0" applyFont="1" applyFill="1" applyBorder="1"/>
    <xf numFmtId="171" fontId="3" fillId="0" borderId="15" xfId="0" applyNumberFormat="1" applyFont="1" applyBorder="1" applyAlignment="1">
      <alignment horizontal="center" vertical="center"/>
    </xf>
    <xf numFmtId="171" fontId="3" fillId="12" borderId="15" xfId="0" applyNumberFormat="1" applyFont="1" applyFill="1" applyBorder="1" applyAlignment="1">
      <alignment horizontal="center" vertical="center"/>
    </xf>
    <xf numFmtId="171" fontId="3" fillId="3" borderId="15" xfId="0" applyNumberFormat="1" applyFont="1" applyFill="1" applyBorder="1" applyAlignment="1">
      <alignment horizontal="center" vertical="center"/>
    </xf>
    <xf numFmtId="0" fontId="17" fillId="9" borderId="27" xfId="0" applyFont="1" applyFill="1" applyBorder="1" applyAlignment="1">
      <alignment vertical="center"/>
    </xf>
    <xf numFmtId="0" fontId="17" fillId="9" borderId="66" xfId="0" applyFont="1" applyFill="1" applyBorder="1" applyAlignment="1">
      <alignment vertical="center"/>
    </xf>
    <xf numFmtId="0" fontId="17" fillId="9" borderId="34" xfId="0" applyFont="1" applyFill="1" applyBorder="1" applyAlignment="1">
      <alignment vertical="center"/>
    </xf>
    <xf numFmtId="0" fontId="17" fillId="9" borderId="67" xfId="0" applyFont="1" applyFill="1" applyBorder="1" applyAlignment="1">
      <alignment vertical="center"/>
    </xf>
    <xf numFmtId="0" fontId="17" fillId="0" borderId="67" xfId="0" applyFont="1" applyBorder="1" applyAlignment="1">
      <alignment vertical="center"/>
    </xf>
    <xf numFmtId="0" fontId="17" fillId="0" borderId="34" xfId="0" applyFont="1" applyBorder="1" applyAlignment="1">
      <alignment vertical="center"/>
    </xf>
    <xf numFmtId="0" fontId="17" fillId="0" borderId="38" xfId="0" applyFont="1" applyBorder="1" applyAlignment="1">
      <alignment vertical="center"/>
    </xf>
    <xf numFmtId="0" fontId="17" fillId="0" borderId="42" xfId="0" applyFont="1" applyBorder="1" applyAlignment="1">
      <alignment vertical="center"/>
    </xf>
    <xf numFmtId="0" fontId="17" fillId="0" borderId="50" xfId="0" applyFont="1" applyBorder="1" applyAlignment="1">
      <alignment vertical="center"/>
    </xf>
    <xf numFmtId="0" fontId="17" fillId="0" borderId="68" xfId="0" applyFont="1" applyBorder="1" applyAlignment="1">
      <alignment vertical="center"/>
    </xf>
    <xf numFmtId="0" fontId="0" fillId="0" borderId="19" xfId="0" applyBorder="1" applyAlignment="1">
      <alignment horizontal="right" vertical="center"/>
    </xf>
    <xf numFmtId="0" fontId="8" fillId="86" borderId="58" xfId="0" applyFont="1" applyFill="1" applyBorder="1" applyAlignment="1">
      <alignment horizontal="center" vertical="center" wrapText="1"/>
    </xf>
    <xf numFmtId="0" fontId="8" fillId="86" borderId="64" xfId="0" applyFont="1" applyFill="1" applyBorder="1" applyAlignment="1">
      <alignment horizontal="center" vertical="center" wrapText="1"/>
    </xf>
    <xf numFmtId="0" fontId="8" fillId="5" borderId="64" xfId="0" applyFont="1" applyFill="1" applyBorder="1" applyAlignment="1">
      <alignment horizontal="center" vertical="center" wrapText="1"/>
    </xf>
    <xf numFmtId="0" fontId="0" fillId="0" borderId="22" xfId="0" applyBorder="1" applyAlignment="1">
      <alignment horizontal="right" vertical="center"/>
    </xf>
    <xf numFmtId="168" fontId="15" fillId="25" borderId="91" xfId="10" applyBorder="1">
      <alignment horizontal="right"/>
      <protection locked="0"/>
    </xf>
    <xf numFmtId="168" fontId="15" fillId="25" borderId="92" xfId="10" applyBorder="1">
      <alignment horizontal="right"/>
      <protection locked="0"/>
    </xf>
    <xf numFmtId="168" fontId="15" fillId="25" borderId="38" xfId="10" applyBorder="1">
      <alignment horizontal="right"/>
      <protection locked="0"/>
    </xf>
    <xf numFmtId="49" fontId="3" fillId="24" borderId="34" xfId="11" applyBorder="1" applyAlignment="1">
      <protection locked="0"/>
    </xf>
    <xf numFmtId="168" fontId="15" fillId="25" borderId="67" xfId="10" applyBorder="1">
      <alignment horizontal="right"/>
      <protection locked="0"/>
    </xf>
    <xf numFmtId="0" fontId="89" fillId="0" borderId="0" xfId="0" applyFont="1" applyAlignment="1">
      <alignment vertical="top"/>
    </xf>
    <xf numFmtId="0" fontId="3" fillId="0" borderId="0" xfId="0" applyFont="1" applyAlignment="1">
      <alignment vertical="center"/>
    </xf>
    <xf numFmtId="0" fontId="97" fillId="0" borderId="0" xfId="0" applyFont="1" applyAlignment="1" applyProtection="1">
      <alignment vertical="center"/>
      <protection locked="0"/>
    </xf>
    <xf numFmtId="0" fontId="97" fillId="0" borderId="0" xfId="0" applyFont="1" applyAlignment="1" applyProtection="1">
      <alignment horizontal="center" vertical="center"/>
      <protection locked="0"/>
    </xf>
    <xf numFmtId="0" fontId="0" fillId="0" borderId="0" xfId="0" applyProtection="1">
      <protection locked="0"/>
    </xf>
    <xf numFmtId="0" fontId="99" fillId="18" borderId="19" xfId="0" applyFont="1" applyFill="1" applyBorder="1" applyAlignment="1">
      <alignment horizontal="right" vertical="center" indent="2"/>
    </xf>
    <xf numFmtId="0" fontId="3" fillId="0" borderId="0" xfId="0" quotePrefix="1" applyFont="1" applyAlignment="1">
      <alignment vertical="center"/>
    </xf>
    <xf numFmtId="0" fontId="3" fillId="4" borderId="162" xfId="0" applyFont="1" applyFill="1" applyBorder="1" applyAlignment="1">
      <alignment vertical="center"/>
    </xf>
    <xf numFmtId="0" fontId="71" fillId="24" borderId="226" xfId="0" applyFont="1" applyFill="1" applyBorder="1" applyAlignment="1">
      <alignment horizontal="left" vertical="center" indent="2"/>
    </xf>
    <xf numFmtId="0" fontId="0" fillId="4" borderId="10" xfId="0" applyFill="1" applyBorder="1"/>
    <xf numFmtId="0" fontId="71" fillId="29" borderId="8" xfId="0" applyFont="1" applyFill="1" applyBorder="1" applyAlignment="1">
      <alignment horizontal="left" vertical="center" indent="2"/>
    </xf>
    <xf numFmtId="0" fontId="71" fillId="15" borderId="227" xfId="0" applyFont="1" applyFill="1" applyBorder="1" applyAlignment="1">
      <alignment horizontal="left" vertical="center" indent="2"/>
    </xf>
    <xf numFmtId="0" fontId="3" fillId="4" borderId="224" xfId="0" applyFont="1" applyFill="1" applyBorder="1" applyAlignment="1">
      <alignment vertical="center"/>
    </xf>
    <xf numFmtId="0" fontId="0" fillId="4" borderId="6" xfId="0" applyFill="1" applyBorder="1"/>
    <xf numFmtId="0" fontId="0" fillId="4" borderId="7" xfId="0" applyFill="1" applyBorder="1"/>
    <xf numFmtId="168" fontId="15" fillId="25" borderId="30" xfId="10" applyBorder="1">
      <alignment horizontal="right"/>
      <protection locked="0"/>
    </xf>
    <xf numFmtId="168" fontId="15" fillId="25" borderId="229" xfId="10" applyBorder="1">
      <alignment horizontal="right"/>
      <protection locked="0"/>
    </xf>
    <xf numFmtId="168" fontId="15" fillId="25" borderId="112" xfId="10" applyBorder="1">
      <alignment horizontal="right"/>
      <protection locked="0"/>
    </xf>
    <xf numFmtId="168" fontId="15" fillId="25" borderId="130" xfId="10" applyBorder="1">
      <alignment horizontal="right"/>
      <protection locked="0"/>
    </xf>
    <xf numFmtId="49" fontId="3" fillId="24" borderId="27" xfId="11" applyBorder="1" applyAlignment="1">
      <protection locked="0"/>
    </xf>
    <xf numFmtId="168" fontId="15" fillId="25" borderId="55" xfId="10" applyBorder="1">
      <alignment horizontal="right"/>
      <protection locked="0"/>
    </xf>
    <xf numFmtId="168" fontId="15" fillId="25" borderId="66" xfId="10" applyBorder="1">
      <alignment horizontal="right"/>
      <protection locked="0"/>
    </xf>
    <xf numFmtId="49" fontId="3" fillId="24" borderId="42" xfId="11" applyBorder="1" applyAlignment="1">
      <protection locked="0"/>
    </xf>
    <xf numFmtId="168" fontId="15" fillId="25" borderId="50" xfId="10" applyBorder="1">
      <alignment horizontal="right"/>
      <protection locked="0"/>
    </xf>
    <xf numFmtId="168" fontId="15" fillId="25" borderId="68" xfId="10" applyBorder="1">
      <alignment horizontal="right"/>
      <protection locked="0"/>
    </xf>
    <xf numFmtId="0" fontId="9" fillId="70" borderId="221" xfId="53" applyBorder="1">
      <alignment horizontal="right" vertical="center" wrapText="1" indent="1"/>
    </xf>
    <xf numFmtId="0" fontId="9" fillId="70" borderId="222" xfId="53" applyBorder="1">
      <alignment horizontal="right" vertical="center" wrapText="1" indent="1"/>
    </xf>
    <xf numFmtId="0" fontId="116" fillId="71" borderId="221" xfId="54" applyBorder="1">
      <alignment horizontal="right" vertical="center" wrapText="1" indent="1"/>
    </xf>
    <xf numFmtId="0" fontId="116" fillId="71" borderId="220" xfId="54" applyBorder="1">
      <alignment horizontal="right" vertical="center" wrapText="1" indent="1"/>
    </xf>
    <xf numFmtId="0" fontId="8" fillId="27" borderId="1" xfId="7" applyBorder="1">
      <alignment vertical="center"/>
    </xf>
    <xf numFmtId="169" fontId="68" fillId="103" borderId="5" xfId="2" applyBorder="1">
      <alignment horizontal="right" vertical="center"/>
      <protection locked="0"/>
    </xf>
    <xf numFmtId="169" fontId="68" fillId="103" borderId="6" xfId="2" applyBorder="1">
      <alignment horizontal="right" vertical="center"/>
      <protection locked="0"/>
    </xf>
    <xf numFmtId="169" fontId="68" fillId="103" borderId="7" xfId="2" applyBorder="1">
      <alignment horizontal="right" vertical="center"/>
      <protection locked="0"/>
    </xf>
    <xf numFmtId="0" fontId="3" fillId="0" borderId="230" xfId="59" applyBorder="1">
      <alignment horizontal="left" vertical="center" wrapText="1" indent="1"/>
    </xf>
    <xf numFmtId="0" fontId="51" fillId="102" borderId="20" xfId="6" applyBorder="1">
      <alignment vertical="center"/>
    </xf>
    <xf numFmtId="0" fontId="104" fillId="0" borderId="0" xfId="0" applyFont="1"/>
    <xf numFmtId="0" fontId="106" fillId="0" borderId="1" xfId="0" applyFont="1" applyBorder="1"/>
    <xf numFmtId="0" fontId="106" fillId="0" borderId="2" xfId="0" applyFont="1" applyBorder="1"/>
    <xf numFmtId="0" fontId="106" fillId="0" borderId="3" xfId="0" applyFont="1" applyBorder="1"/>
    <xf numFmtId="0" fontId="106" fillId="0" borderId="0" xfId="0" applyFont="1"/>
    <xf numFmtId="0" fontId="104" fillId="0" borderId="0" xfId="0" applyFont="1" applyAlignment="1">
      <alignment vertical="center"/>
    </xf>
    <xf numFmtId="0" fontId="107" fillId="0" borderId="9" xfId="0" applyFont="1" applyBorder="1" applyAlignment="1">
      <alignment vertical="center"/>
    </xf>
    <xf numFmtId="0" fontId="106" fillId="0" borderId="10" xfId="0" applyFont="1" applyBorder="1" applyAlignment="1">
      <alignment vertical="center"/>
    </xf>
    <xf numFmtId="0" fontId="109" fillId="0" borderId="9" xfId="63" quotePrefix="1" applyFont="1" applyBorder="1" applyAlignment="1">
      <alignment vertical="center"/>
    </xf>
    <xf numFmtId="0" fontId="106" fillId="0" borderId="0" xfId="0" applyFont="1" applyAlignment="1">
      <alignment vertical="center"/>
    </xf>
    <xf numFmtId="0" fontId="106" fillId="0" borderId="9" xfId="0" applyFont="1" applyBorder="1" applyAlignment="1">
      <alignment vertical="center"/>
    </xf>
    <xf numFmtId="0" fontId="110" fillId="5" borderId="0" xfId="63" quotePrefix="1" applyFont="1" applyFill="1" applyBorder="1" applyAlignment="1">
      <alignment vertical="center"/>
    </xf>
    <xf numFmtId="0" fontId="112" fillId="87" borderId="0" xfId="63" quotePrefix="1" applyFont="1" applyFill="1" applyBorder="1" applyAlignment="1">
      <alignment vertical="center"/>
    </xf>
    <xf numFmtId="0" fontId="109" fillId="0" borderId="0" xfId="63" quotePrefix="1" applyFont="1" applyBorder="1" applyAlignment="1">
      <alignment vertical="center"/>
    </xf>
    <xf numFmtId="0" fontId="110" fillId="88" borderId="0" xfId="63" quotePrefix="1" applyFont="1" applyFill="1" applyBorder="1" applyAlignment="1">
      <alignment vertical="center"/>
    </xf>
    <xf numFmtId="0" fontId="110" fillId="89" borderId="0" xfId="63" quotePrefix="1" applyFont="1" applyFill="1" applyBorder="1" applyAlignment="1">
      <alignment vertical="center"/>
    </xf>
    <xf numFmtId="0" fontId="106" fillId="0" borderId="5" xfId="0" applyFont="1" applyBorder="1" applyAlignment="1">
      <alignment vertical="center"/>
    </xf>
    <xf numFmtId="0" fontId="106" fillId="0" borderId="6" xfId="0" applyFont="1" applyBorder="1" applyAlignment="1">
      <alignment vertical="center"/>
    </xf>
    <xf numFmtId="0" fontId="106" fillId="0" borderId="7" xfId="0" applyFont="1" applyBorder="1" applyAlignment="1">
      <alignment vertical="center"/>
    </xf>
    <xf numFmtId="49" fontId="3" fillId="24" borderId="121" xfId="11" applyBorder="1" applyAlignment="1">
      <protection locked="0"/>
    </xf>
    <xf numFmtId="168" fontId="15" fillId="25" borderId="232" xfId="10" applyBorder="1">
      <alignment horizontal="right"/>
      <protection locked="0"/>
    </xf>
    <xf numFmtId="168" fontId="15" fillId="25" borderId="238" xfId="10" applyBorder="1">
      <alignment horizontal="right"/>
      <protection locked="0"/>
    </xf>
    <xf numFmtId="168" fontId="15" fillId="25" borderId="231" xfId="10" applyBorder="1">
      <alignment horizontal="right"/>
      <protection locked="0"/>
    </xf>
    <xf numFmtId="168" fontId="15" fillId="25" borderId="214" xfId="10" applyBorder="1">
      <alignment horizontal="right"/>
      <protection locked="0"/>
    </xf>
    <xf numFmtId="168" fontId="15" fillId="25" borderId="215" xfId="10" applyBorder="1">
      <alignment horizontal="right"/>
      <protection locked="0"/>
    </xf>
    <xf numFmtId="168" fontId="15" fillId="25" borderId="216" xfId="10" applyBorder="1">
      <alignment horizontal="right"/>
      <protection locked="0"/>
    </xf>
    <xf numFmtId="49" fontId="3" fillId="24" borderId="122" xfId="11" applyBorder="1" applyAlignment="1">
      <protection locked="0"/>
    </xf>
    <xf numFmtId="168" fontId="15" fillId="25" borderId="27" xfId="10" applyBorder="1">
      <alignment horizontal="right"/>
      <protection locked="0"/>
    </xf>
    <xf numFmtId="168" fontId="15" fillId="25" borderId="217" xfId="10" applyBorder="1">
      <alignment horizontal="right"/>
      <protection locked="0"/>
    </xf>
    <xf numFmtId="0" fontId="3" fillId="0" borderId="240" xfId="59" applyBorder="1">
      <alignment horizontal="left" vertical="center" wrapText="1" indent="1"/>
    </xf>
    <xf numFmtId="168" fontId="15" fillId="25" borderId="234" xfId="10" applyBorder="1">
      <alignment horizontal="right"/>
      <protection locked="0"/>
    </xf>
    <xf numFmtId="168" fontId="15" fillId="25" borderId="233" xfId="10" applyBorder="1">
      <alignment horizontal="right"/>
      <protection locked="0"/>
    </xf>
    <xf numFmtId="0" fontId="9" fillId="5" borderId="241" xfId="56" applyBorder="1">
      <alignment horizontal="right" vertical="center" wrapText="1" indent="1"/>
    </xf>
    <xf numFmtId="0" fontId="9" fillId="30" borderId="242" xfId="55" applyBorder="1">
      <alignment horizontal="right" vertical="center" wrapText="1" indent="1"/>
    </xf>
    <xf numFmtId="0" fontId="0" fillId="35" borderId="0" xfId="65" applyFont="1" applyAlignment="1"/>
    <xf numFmtId="0" fontId="117" fillId="91" borderId="2" xfId="0" applyFont="1" applyFill="1" applyBorder="1" applyAlignment="1">
      <alignment vertical="center"/>
    </xf>
    <xf numFmtId="0" fontId="6" fillId="18" borderId="0" xfId="0" applyFont="1" applyFill="1"/>
    <xf numFmtId="0" fontId="117" fillId="91" borderId="0" xfId="0" applyFont="1" applyFill="1" applyAlignment="1">
      <alignment horizontal="left" vertical="center"/>
    </xf>
    <xf numFmtId="0" fontId="117" fillId="91" borderId="0" xfId="0" applyFont="1" applyFill="1" applyAlignment="1">
      <alignment vertical="center"/>
    </xf>
    <xf numFmtId="0" fontId="27" fillId="23" borderId="0" xfId="0" applyFont="1" applyFill="1" applyAlignment="1">
      <alignment vertical="center"/>
    </xf>
    <xf numFmtId="0" fontId="27" fillId="23" borderId="0" xfId="0" applyFont="1" applyFill="1"/>
    <xf numFmtId="0" fontId="119" fillId="0" borderId="0" xfId="0" applyFont="1"/>
    <xf numFmtId="0" fontId="114" fillId="0" borderId="0" xfId="0" applyFont="1"/>
    <xf numFmtId="0" fontId="0" fillId="0" borderId="7" xfId="0" applyBorder="1"/>
    <xf numFmtId="168" fontId="15" fillId="25" borderId="222" xfId="10" applyBorder="1">
      <alignment horizontal="right"/>
      <protection locked="0"/>
    </xf>
    <xf numFmtId="168" fontId="15" fillId="25" borderId="221" xfId="10" applyBorder="1">
      <alignment horizontal="right"/>
      <protection locked="0"/>
    </xf>
    <xf numFmtId="168" fontId="15" fillId="25" borderId="220" xfId="10" applyBorder="1">
      <alignment horizontal="right"/>
      <protection locked="0"/>
    </xf>
    <xf numFmtId="0" fontId="24" fillId="4" borderId="9" xfId="0" applyFont="1" applyFill="1" applyBorder="1" applyAlignment="1">
      <alignment horizontal="left" vertical="center" wrapText="1" indent="1"/>
    </xf>
    <xf numFmtId="168" fontId="15" fillId="25" borderId="251" xfId="10" applyBorder="1">
      <alignment horizontal="right"/>
      <protection locked="0"/>
    </xf>
    <xf numFmtId="168" fontId="15" fillId="25" borderId="252" xfId="10" applyBorder="1">
      <alignment horizontal="right"/>
      <protection locked="0"/>
    </xf>
    <xf numFmtId="168" fontId="15" fillId="25" borderId="253" xfId="10" applyBorder="1">
      <alignment horizontal="right"/>
      <protection locked="0"/>
    </xf>
    <xf numFmtId="0" fontId="121" fillId="0" borderId="0" xfId="0" applyFont="1"/>
    <xf numFmtId="0" fontId="19" fillId="30" borderId="254" xfId="0" applyFont="1" applyFill="1" applyBorder="1" applyAlignment="1">
      <alignment horizontal="right" vertical="center" wrapText="1" indent="1"/>
    </xf>
    <xf numFmtId="0" fontId="19" fillId="30" borderId="249" xfId="0" applyFont="1" applyFill="1" applyBorder="1" applyAlignment="1">
      <alignment horizontal="right" vertical="center" wrapText="1" indent="1"/>
    </xf>
    <xf numFmtId="0" fontId="19" fillId="30" borderId="239" xfId="0" applyFont="1" applyFill="1" applyBorder="1" applyAlignment="1">
      <alignment horizontal="right" vertical="center" wrapText="1" indent="1"/>
    </xf>
    <xf numFmtId="0" fontId="19" fillId="5" borderId="254" xfId="0" applyFont="1" applyFill="1" applyBorder="1" applyAlignment="1">
      <alignment horizontal="right" vertical="center" wrapText="1" indent="1"/>
    </xf>
    <xf numFmtId="0" fontId="19" fillId="5" borderId="248" xfId="0" applyFont="1" applyFill="1" applyBorder="1" applyAlignment="1">
      <alignment horizontal="right" vertical="center" wrapText="1" indent="1"/>
    </xf>
    <xf numFmtId="0" fontId="121" fillId="4" borderId="0" xfId="0" applyFont="1" applyFill="1"/>
    <xf numFmtId="0" fontId="3" fillId="4" borderId="0" xfId="0" applyFont="1" applyFill="1"/>
    <xf numFmtId="0" fontId="8" fillId="90" borderId="231" xfId="0" applyFont="1" applyFill="1" applyBorder="1" applyAlignment="1">
      <alignment vertical="center" wrapText="1"/>
    </xf>
    <xf numFmtId="0" fontId="8" fillId="90" borderId="232" xfId="0" applyFont="1" applyFill="1" applyBorder="1" applyAlignment="1">
      <alignment vertical="center" wrapText="1"/>
    </xf>
    <xf numFmtId="0" fontId="8" fillId="90" borderId="238" xfId="0" applyFont="1" applyFill="1" applyBorder="1" applyAlignment="1">
      <alignment vertical="center" wrapText="1"/>
    </xf>
    <xf numFmtId="0" fontId="8" fillId="90" borderId="216" xfId="0" applyFont="1" applyFill="1" applyBorder="1" applyAlignment="1">
      <alignment vertical="center" wrapText="1"/>
    </xf>
    <xf numFmtId="0" fontId="8" fillId="90" borderId="215" xfId="0" applyFont="1" applyFill="1" applyBorder="1" applyAlignment="1">
      <alignment vertical="center" wrapText="1"/>
    </xf>
    <xf numFmtId="0" fontId="8" fillId="90" borderId="214" xfId="0" applyFont="1" applyFill="1" applyBorder="1" applyAlignment="1">
      <alignment vertical="center" wrapText="1"/>
    </xf>
    <xf numFmtId="168" fontId="15" fillId="25" borderId="255" xfId="10" applyBorder="1">
      <alignment horizontal="right"/>
      <protection locked="0"/>
    </xf>
    <xf numFmtId="168" fontId="15" fillId="25" borderId="256" xfId="10" applyBorder="1">
      <alignment horizontal="right"/>
      <protection locked="0"/>
    </xf>
    <xf numFmtId="168" fontId="15" fillId="25" borderId="257" xfId="10" applyBorder="1">
      <alignment horizontal="right"/>
      <protection locked="0"/>
    </xf>
    <xf numFmtId="168" fontId="15" fillId="25" borderId="250" xfId="10" applyBorder="1">
      <alignment horizontal="right"/>
      <protection locked="0"/>
    </xf>
    <xf numFmtId="0" fontId="13" fillId="0" borderId="0" xfId="0" applyFont="1"/>
    <xf numFmtId="0" fontId="105" fillId="0" borderId="0" xfId="63" quotePrefix="1"/>
    <xf numFmtId="0" fontId="8" fillId="27" borderId="19" xfId="7" applyBorder="1">
      <alignment vertical="center"/>
    </xf>
    <xf numFmtId="0" fontId="10" fillId="0" borderId="0" xfId="0" applyFont="1"/>
    <xf numFmtId="0" fontId="3" fillId="0" borderId="259" xfId="59" applyBorder="1" applyAlignment="1">
      <alignment horizontal="left" vertical="center" indent="1"/>
    </xf>
    <xf numFmtId="0" fontId="8" fillId="27" borderId="20" xfId="7" applyBorder="1" applyAlignment="1">
      <alignment horizontal="center" vertical="center"/>
    </xf>
    <xf numFmtId="0" fontId="28" fillId="18" borderId="19" xfId="5" applyAlignment="1">
      <alignment horizontal="center" vertical="center"/>
    </xf>
    <xf numFmtId="0" fontId="0" fillId="35" borderId="0" xfId="65" applyFont="1" applyAlignment="1">
      <alignment horizontal="center"/>
    </xf>
    <xf numFmtId="0" fontId="0" fillId="18" borderId="0" xfId="60" applyFont="1" applyAlignment="1">
      <alignment horizontal="center"/>
    </xf>
    <xf numFmtId="0" fontId="117" fillId="4" borderId="0" xfId="0" applyFont="1" applyFill="1" applyAlignment="1">
      <alignment horizontal="center"/>
    </xf>
    <xf numFmtId="0" fontId="69" fillId="4" borderId="0" xfId="0" applyFont="1" applyFill="1" applyAlignment="1" applyProtection="1">
      <alignment horizontal="center" vertical="center" wrapText="1"/>
      <protection locked="0"/>
    </xf>
    <xf numFmtId="0" fontId="69" fillId="4" borderId="0" xfId="0" applyFont="1" applyFill="1" applyAlignment="1" applyProtection="1">
      <alignment horizontal="left" vertical="center" wrapText="1"/>
      <protection locked="0"/>
    </xf>
    <xf numFmtId="168" fontId="15" fillId="25" borderId="150" xfId="10" applyBorder="1" applyAlignment="1">
      <alignment horizontal="center"/>
      <protection locked="0"/>
    </xf>
    <xf numFmtId="0" fontId="3" fillId="0" borderId="60" xfId="59" applyBorder="1">
      <alignment horizontal="left" vertical="center" wrapText="1" indent="1"/>
    </xf>
    <xf numFmtId="168" fontId="15" fillId="25" borderId="27" xfId="10" applyBorder="1" applyAlignment="1">
      <alignment horizontal="center"/>
      <protection locked="0"/>
    </xf>
    <xf numFmtId="0" fontId="8" fillId="27" borderId="6" xfId="7" applyBorder="1" applyAlignment="1">
      <alignment horizontal="center" vertical="center"/>
    </xf>
    <xf numFmtId="0" fontId="13" fillId="0" borderId="0" xfId="0" applyFont="1" applyAlignment="1">
      <alignment horizontal="right"/>
    </xf>
    <xf numFmtId="168" fontId="15" fillId="25" borderId="38" xfId="10" applyBorder="1" applyAlignment="1">
      <alignment horizontal="center"/>
      <protection locked="0"/>
    </xf>
    <xf numFmtId="49" fontId="3" fillId="24" borderId="34" xfId="11" applyBorder="1" applyAlignment="1">
      <alignment horizontal="left" vertical="center" wrapText="1" indent="1"/>
      <protection locked="0"/>
    </xf>
    <xf numFmtId="168" fontId="15" fillId="25" borderId="260" xfId="10" applyBorder="1">
      <alignment horizontal="right"/>
      <protection locked="0"/>
    </xf>
    <xf numFmtId="168" fontId="15" fillId="25" borderId="261" xfId="10" applyBorder="1">
      <alignment horizontal="right"/>
      <protection locked="0"/>
    </xf>
    <xf numFmtId="168" fontId="15" fillId="25" borderId="262" xfId="10" applyBorder="1">
      <alignment horizontal="right"/>
      <protection locked="0"/>
    </xf>
    <xf numFmtId="168" fontId="15" fillId="25" borderId="263" xfId="10" applyBorder="1">
      <alignment horizontal="right"/>
      <protection locked="0"/>
    </xf>
    <xf numFmtId="168" fontId="15" fillId="25" borderId="264" xfId="10" applyBorder="1">
      <alignment horizontal="right"/>
      <protection locked="0"/>
    </xf>
    <xf numFmtId="49" fontId="3" fillId="24" borderId="42" xfId="11" applyBorder="1" applyAlignment="1">
      <alignment horizontal="left" vertical="center" wrapText="1" indent="1"/>
      <protection locked="0"/>
    </xf>
    <xf numFmtId="49" fontId="3" fillId="24" borderId="27" xfId="11" applyBorder="1" applyAlignment="1">
      <alignment horizontal="left" vertical="center" wrapText="1" indent="1"/>
      <protection locked="0"/>
    </xf>
    <xf numFmtId="168" fontId="15" fillId="25" borderId="247" xfId="10" applyBorder="1">
      <alignment horizontal="right"/>
      <protection locked="0"/>
    </xf>
    <xf numFmtId="168" fontId="15" fillId="25" borderId="145" xfId="10" applyBorder="1">
      <alignment horizontal="right"/>
      <protection locked="0"/>
    </xf>
    <xf numFmtId="168" fontId="15" fillId="25" borderId="146" xfId="10" applyBorder="1">
      <alignment horizontal="right"/>
      <protection locked="0"/>
    </xf>
    <xf numFmtId="0" fontId="51" fillId="102" borderId="19" xfId="6" applyBorder="1">
      <alignment vertical="center"/>
    </xf>
    <xf numFmtId="0" fontId="51" fillId="102" borderId="21" xfId="6" applyBorder="1">
      <alignment vertical="center"/>
    </xf>
    <xf numFmtId="168" fontId="15" fillId="25" borderId="148" xfId="10" applyBorder="1">
      <alignment horizontal="right"/>
      <protection locked="0"/>
    </xf>
    <xf numFmtId="0" fontId="3" fillId="0" borderId="132" xfId="59" applyBorder="1">
      <alignment horizontal="left" vertical="center" wrapText="1" indent="1"/>
    </xf>
    <xf numFmtId="0" fontId="3" fillId="0" borderId="265" xfId="59" applyBorder="1">
      <alignment horizontal="left" vertical="center" wrapText="1" indent="1"/>
    </xf>
    <xf numFmtId="0" fontId="3" fillId="0" borderId="266" xfId="59" applyBorder="1">
      <alignment horizontal="left" vertical="center" wrapText="1" indent="1"/>
    </xf>
    <xf numFmtId="0" fontId="16" fillId="0" borderId="0" xfId="0" applyFont="1"/>
    <xf numFmtId="0" fontId="3" fillId="0" borderId="279" xfId="59" applyBorder="1">
      <alignment horizontal="left" vertical="center" wrapText="1" indent="1"/>
    </xf>
    <xf numFmtId="0" fontId="51" fillId="94" borderId="19" xfId="6" applyFill="1" applyBorder="1">
      <alignment vertical="center"/>
    </xf>
    <xf numFmtId="0" fontId="51" fillId="94" borderId="20" xfId="6" applyFill="1" applyBorder="1">
      <alignment vertical="center"/>
    </xf>
    <xf numFmtId="0" fontId="51" fillId="94" borderId="21" xfId="6" applyFill="1" applyBorder="1">
      <alignment vertical="center"/>
    </xf>
    <xf numFmtId="0" fontId="3" fillId="0" borderId="280" xfId="59" applyBorder="1">
      <alignment horizontal="left" vertical="center" wrapText="1" indent="1"/>
    </xf>
    <xf numFmtId="0" fontId="8" fillId="27" borderId="20" xfId="7" applyBorder="1">
      <alignment vertical="center"/>
    </xf>
    <xf numFmtId="0" fontId="8" fillId="27" borderId="21" xfId="7" applyBorder="1">
      <alignment vertical="center"/>
    </xf>
    <xf numFmtId="168" fontId="15" fillId="25" borderId="75" xfId="10" applyBorder="1" applyAlignment="1">
      <alignment horizontal="center"/>
      <protection locked="0"/>
    </xf>
    <xf numFmtId="0" fontId="9" fillId="30" borderId="88" xfId="55" applyBorder="1" applyAlignment="1">
      <alignment horizontal="center" vertical="center" wrapText="1"/>
    </xf>
    <xf numFmtId="0" fontId="9" fillId="30" borderId="91" xfId="55" applyBorder="1" applyAlignment="1">
      <alignment horizontal="center" vertical="center" wrapText="1"/>
    </xf>
    <xf numFmtId="0" fontId="9" fillId="30" borderId="92" xfId="55" applyBorder="1" applyAlignment="1">
      <alignment horizontal="center" vertical="center" wrapText="1"/>
    </xf>
    <xf numFmtId="0" fontId="9" fillId="30" borderId="94" xfId="55" applyBorder="1" applyAlignment="1">
      <alignment horizontal="center" vertical="center" wrapText="1"/>
    </xf>
    <xf numFmtId="168" fontId="15" fillId="25" borderId="55" xfId="10" applyBorder="1" applyAlignment="1">
      <alignment horizontal="center"/>
      <protection locked="0"/>
    </xf>
    <xf numFmtId="168" fontId="15" fillId="25" borderId="66" xfId="10" applyBorder="1" applyAlignment="1">
      <alignment horizontal="center"/>
      <protection locked="0"/>
    </xf>
    <xf numFmtId="168" fontId="15" fillId="25" borderId="34" xfId="10" applyBorder="1" applyAlignment="1">
      <alignment horizontal="center"/>
      <protection locked="0"/>
    </xf>
    <xf numFmtId="168" fontId="15" fillId="25" borderId="67" xfId="10" applyBorder="1" applyAlignment="1">
      <alignment horizontal="center"/>
      <protection locked="0"/>
    </xf>
    <xf numFmtId="168" fontId="15" fillId="25" borderId="42" xfId="10" applyBorder="1" applyAlignment="1">
      <alignment horizontal="center"/>
      <protection locked="0"/>
    </xf>
    <xf numFmtId="168" fontId="15" fillId="25" borderId="50" xfId="10" applyBorder="1" applyAlignment="1">
      <alignment horizontal="center"/>
      <protection locked="0"/>
    </xf>
    <xf numFmtId="168" fontId="15" fillId="25" borderId="68" xfId="10" applyBorder="1" applyAlignment="1">
      <alignment horizontal="center"/>
      <protection locked="0"/>
    </xf>
    <xf numFmtId="0" fontId="8" fillId="27" borderId="21" xfId="7" applyBorder="1" applyAlignment="1">
      <alignment horizontal="center" vertical="center"/>
    </xf>
    <xf numFmtId="0" fontId="9" fillId="70" borderId="241" xfId="53" applyBorder="1" applyAlignment="1">
      <alignment horizontal="center" vertical="center" wrapText="1"/>
    </xf>
    <xf numFmtId="0" fontId="9" fillId="70" borderId="143" xfId="53" applyBorder="1" applyAlignment="1">
      <alignment horizontal="center" vertical="center" wrapText="1"/>
    </xf>
    <xf numFmtId="0" fontId="9" fillId="30" borderId="82" xfId="55" applyBorder="1" applyAlignment="1">
      <alignment horizontal="center" vertical="center" wrapText="1"/>
    </xf>
    <xf numFmtId="0" fontId="9" fillId="30" borderId="282" xfId="55" applyBorder="1" applyAlignment="1">
      <alignment horizontal="center" vertical="center" wrapText="1"/>
    </xf>
    <xf numFmtId="0" fontId="3" fillId="0" borderId="258" xfId="59" applyBorder="1">
      <alignment horizontal="left" vertical="center" wrapText="1" indent="1"/>
    </xf>
    <xf numFmtId="0" fontId="118" fillId="0" borderId="7" xfId="0" applyFont="1" applyBorder="1" applyAlignment="1">
      <alignment horizontal="center"/>
    </xf>
    <xf numFmtId="0" fontId="3" fillId="0" borderId="40" xfId="59" applyBorder="1" applyAlignment="1">
      <alignment horizontal="left" vertical="center" indent="1"/>
    </xf>
    <xf numFmtId="49" fontId="3" fillId="24" borderId="26" xfId="11" applyBorder="1" applyAlignment="1">
      <alignment horizontal="left" vertical="center" indent="1"/>
      <protection locked="0"/>
    </xf>
    <xf numFmtId="49" fontId="3" fillId="24" borderId="33" xfId="11" applyBorder="1" applyAlignment="1">
      <alignment horizontal="left" vertical="center" indent="1"/>
      <protection locked="0"/>
    </xf>
    <xf numFmtId="0" fontId="28" fillId="18" borderId="1" xfId="5" applyBorder="1">
      <alignment vertical="center"/>
    </xf>
    <xf numFmtId="0" fontId="28" fillId="18" borderId="1" xfId="5" applyBorder="1" applyAlignment="1">
      <alignment horizontal="center" vertical="center"/>
    </xf>
    <xf numFmtId="0" fontId="8" fillId="27" borderId="7" xfId="7" applyBorder="1" applyAlignment="1">
      <alignment horizontal="center" vertical="center"/>
    </xf>
    <xf numFmtId="0" fontId="0" fillId="18" borderId="0" xfId="60" applyFont="1" applyBorder="1" applyAlignment="1">
      <alignment horizontal="center"/>
    </xf>
    <xf numFmtId="0" fontId="0" fillId="35" borderId="0" xfId="65" applyFont="1" applyBorder="1" applyAlignment="1">
      <alignment horizontal="center"/>
    </xf>
    <xf numFmtId="168" fontId="15" fillId="25" borderId="73" xfId="10" applyBorder="1" applyAlignment="1">
      <alignment horizontal="center"/>
      <protection locked="0"/>
    </xf>
    <xf numFmtId="168" fontId="15" fillId="25" borderId="193" xfId="10" applyBorder="1" applyAlignment="1">
      <alignment horizontal="center"/>
      <protection locked="0"/>
    </xf>
    <xf numFmtId="0" fontId="19" fillId="5" borderId="91" xfId="0" applyFont="1" applyFill="1" applyBorder="1" applyAlignment="1">
      <alignment horizontal="center" vertical="center" wrapText="1"/>
    </xf>
    <xf numFmtId="0" fontId="19" fillId="5" borderId="92" xfId="0" applyFont="1" applyFill="1" applyBorder="1" applyAlignment="1">
      <alignment horizontal="center" vertical="center" wrapText="1"/>
    </xf>
    <xf numFmtId="0" fontId="19" fillId="30" borderId="92" xfId="0" applyFont="1" applyFill="1" applyBorder="1" applyAlignment="1">
      <alignment horizontal="center" vertical="center" wrapText="1"/>
    </xf>
    <xf numFmtId="0" fontId="19" fillId="30" borderId="94" xfId="0" applyFont="1" applyFill="1" applyBorder="1" applyAlignment="1">
      <alignment horizontal="center" vertical="center" wrapText="1"/>
    </xf>
    <xf numFmtId="164" fontId="3" fillId="15" borderId="38" xfId="0" applyNumberFormat="1" applyFont="1" applyFill="1" applyBorder="1"/>
    <xf numFmtId="164" fontId="3" fillId="15" borderId="145" xfId="0" applyNumberFormat="1" applyFont="1" applyFill="1" applyBorder="1"/>
    <xf numFmtId="164" fontId="3" fillId="15" borderId="67" xfId="0" applyNumberFormat="1" applyFont="1" applyFill="1" applyBorder="1"/>
    <xf numFmtId="164" fontId="3" fillId="15" borderId="244" xfId="0" applyNumberFormat="1" applyFont="1" applyFill="1" applyBorder="1"/>
    <xf numFmtId="164" fontId="3" fillId="15" borderId="50" xfId="0" applyNumberFormat="1" applyFont="1" applyFill="1" applyBorder="1"/>
    <xf numFmtId="0" fontId="115" fillId="0" borderId="0" xfId="0" applyFont="1"/>
    <xf numFmtId="0" fontId="130" fillId="96" borderId="21" xfId="0" applyFont="1" applyFill="1" applyBorder="1" applyAlignment="1" applyProtection="1">
      <alignment horizontal="center" vertical="center"/>
      <protection locked="0"/>
    </xf>
    <xf numFmtId="168" fontId="15" fillId="25" borderId="94" xfId="10" applyBorder="1">
      <alignment horizontal="right"/>
      <protection locked="0"/>
    </xf>
    <xf numFmtId="168" fontId="15" fillId="25" borderId="284" xfId="10" applyBorder="1">
      <alignment horizontal="right"/>
      <protection locked="0"/>
    </xf>
    <xf numFmtId="168" fontId="15" fillId="25" borderId="285" xfId="10" applyBorder="1">
      <alignment horizontal="right"/>
      <protection locked="0"/>
    </xf>
    <xf numFmtId="168" fontId="15" fillId="25" borderId="283" xfId="10" applyBorder="1">
      <alignment horizontal="right"/>
      <protection locked="0"/>
    </xf>
    <xf numFmtId="168" fontId="15" fillId="25" borderId="246" xfId="10" applyBorder="1">
      <alignment horizontal="right"/>
      <protection locked="0"/>
    </xf>
    <xf numFmtId="0" fontId="3" fillId="0" borderId="0" xfId="0" applyFont="1" applyAlignment="1">
      <alignment wrapText="1"/>
    </xf>
    <xf numFmtId="0" fontId="8" fillId="27" borderId="64" xfId="7" applyBorder="1">
      <alignment vertical="center"/>
    </xf>
    <xf numFmtId="0" fontId="8" fillId="27" borderId="189" xfId="7" applyBorder="1">
      <alignment vertical="center"/>
    </xf>
    <xf numFmtId="0" fontId="8" fillId="27" borderId="107" xfId="7" applyBorder="1">
      <alignment vertical="center"/>
    </xf>
    <xf numFmtId="0" fontId="8" fillId="27" borderId="165" xfId="7" applyBorder="1">
      <alignment vertical="center"/>
    </xf>
    <xf numFmtId="0" fontId="8" fillId="27" borderId="286" xfId="7" applyBorder="1">
      <alignment vertical="center"/>
    </xf>
    <xf numFmtId="0" fontId="8" fillId="27" borderId="11" xfId="7" applyBorder="1">
      <alignment vertical="center"/>
    </xf>
    <xf numFmtId="0" fontId="8" fillId="0" borderId="6" xfId="0" applyFont="1" applyBorder="1" applyAlignment="1">
      <alignment horizontal="center" wrapText="1"/>
    </xf>
    <xf numFmtId="0" fontId="6" fillId="0" borderId="0" xfId="0" applyFont="1"/>
    <xf numFmtId="168" fontId="6" fillId="0" borderId="0" xfId="0" applyNumberFormat="1" applyFont="1"/>
    <xf numFmtId="49" fontId="6" fillId="0" borderId="0" xfId="0" applyNumberFormat="1" applyFont="1"/>
    <xf numFmtId="171" fontId="6" fillId="0" borderId="0" xfId="0" applyNumberFormat="1" applyFont="1"/>
    <xf numFmtId="0" fontId="3" fillId="0" borderId="287" xfId="59" applyBorder="1">
      <alignment horizontal="left" vertical="center" wrapText="1" indent="1"/>
    </xf>
    <xf numFmtId="0" fontId="6" fillId="0" borderId="2" xfId="0" applyFont="1" applyBorder="1"/>
    <xf numFmtId="168" fontId="0" fillId="0" borderId="0" xfId="0" applyNumberFormat="1"/>
    <xf numFmtId="49" fontId="0" fillId="0" borderId="0" xfId="0" applyNumberFormat="1"/>
    <xf numFmtId="171" fontId="0" fillId="0" borderId="0" xfId="0" applyNumberFormat="1"/>
    <xf numFmtId="0" fontId="0" fillId="4" borderId="0" xfId="0" applyFill="1" applyAlignment="1">
      <alignment wrapText="1"/>
    </xf>
    <xf numFmtId="0" fontId="3" fillId="0" borderId="288" xfId="59" applyBorder="1">
      <alignment horizontal="left" vertical="center" wrapText="1" indent="1"/>
    </xf>
    <xf numFmtId="0" fontId="131" fillId="0" borderId="0" xfId="0" applyFont="1"/>
    <xf numFmtId="0" fontId="21" fillId="16" borderId="0" xfId="0" applyFont="1" applyFill="1"/>
    <xf numFmtId="168" fontId="15" fillId="25" borderId="97" xfId="10" applyBorder="1">
      <alignment horizontal="right"/>
      <protection locked="0"/>
    </xf>
    <xf numFmtId="168" fontId="15" fillId="25" borderId="36" xfId="10" applyBorder="1">
      <alignment horizontal="right"/>
      <protection locked="0"/>
    </xf>
    <xf numFmtId="168" fontId="15" fillId="25" borderId="276" xfId="10" applyBorder="1">
      <alignment horizontal="right"/>
      <protection locked="0"/>
    </xf>
    <xf numFmtId="168" fontId="15" fillId="25" borderId="289" xfId="10" applyBorder="1">
      <alignment horizontal="right"/>
      <protection locked="0"/>
    </xf>
    <xf numFmtId="168" fontId="15" fillId="25" borderId="290" xfId="10" applyBorder="1">
      <alignment horizontal="right"/>
      <protection locked="0"/>
    </xf>
    <xf numFmtId="0" fontId="124" fillId="0" borderId="0" xfId="0" applyFont="1"/>
    <xf numFmtId="0" fontId="122" fillId="0" borderId="7" xfId="0" applyFont="1" applyBorder="1" applyAlignment="1">
      <alignment horizontal="centerContinuous" wrapText="1"/>
    </xf>
    <xf numFmtId="0" fontId="122" fillId="0" borderId="6" xfId="0" applyFont="1" applyBorder="1" applyAlignment="1">
      <alignment horizontal="centerContinuous" wrapText="1"/>
    </xf>
    <xf numFmtId="0" fontId="131" fillId="0" borderId="0" xfId="0" applyFont="1" applyAlignment="1">
      <alignment horizontal="center"/>
    </xf>
    <xf numFmtId="0" fontId="132" fillId="4" borderId="0" xfId="0" applyFont="1" applyFill="1" applyAlignment="1">
      <alignment vertical="center"/>
    </xf>
    <xf numFmtId="0" fontId="132" fillId="4" borderId="0" xfId="0" applyFont="1" applyFill="1" applyAlignment="1">
      <alignment horizontal="right" vertical="center" indent="1"/>
    </xf>
    <xf numFmtId="0" fontId="8" fillId="0" borderId="7" xfId="0" applyFont="1" applyBorder="1" applyAlignment="1">
      <alignment horizontal="center" wrapText="1"/>
    </xf>
    <xf numFmtId="0" fontId="76" fillId="0" borderId="0" xfId="0" applyFont="1"/>
    <xf numFmtId="0" fontId="76" fillId="4" borderId="0" xfId="0" applyFont="1" applyFill="1" applyAlignment="1">
      <alignment horizontal="right" indent="1"/>
    </xf>
    <xf numFmtId="0" fontId="8" fillId="27" borderId="7" xfId="7" applyBorder="1">
      <alignment vertical="center"/>
    </xf>
    <xf numFmtId="0" fontId="8" fillId="27" borderId="6" xfId="7" applyBorder="1">
      <alignment vertical="center"/>
    </xf>
    <xf numFmtId="0" fontId="8" fillId="27" borderId="5" xfId="7" applyBorder="1">
      <alignment vertical="center"/>
    </xf>
    <xf numFmtId="168" fontId="15" fillId="25" borderId="292" xfId="10" applyBorder="1">
      <alignment horizontal="right"/>
      <protection locked="0"/>
    </xf>
    <xf numFmtId="0" fontId="27" fillId="18" borderId="0" xfId="62" applyNumberFormat="1">
      <alignment vertical="center"/>
    </xf>
    <xf numFmtId="168" fontId="15" fillId="25" borderId="272" xfId="10" applyBorder="1">
      <alignment horizontal="right"/>
      <protection locked="0"/>
    </xf>
    <xf numFmtId="168" fontId="15" fillId="25" borderId="273" xfId="10" applyBorder="1">
      <alignment horizontal="right"/>
      <protection locked="0"/>
    </xf>
    <xf numFmtId="168" fontId="15" fillId="25" borderId="274" xfId="10" applyBorder="1">
      <alignment horizontal="right"/>
      <protection locked="0"/>
    </xf>
    <xf numFmtId="168" fontId="15" fillId="25" borderId="278" xfId="10" applyBorder="1">
      <alignment horizontal="right"/>
      <protection locked="0"/>
    </xf>
    <xf numFmtId="168" fontId="15" fillId="25" borderId="293" xfId="10" applyBorder="1">
      <alignment horizontal="right"/>
      <protection locked="0"/>
    </xf>
    <xf numFmtId="168" fontId="15" fillId="25" borderId="49" xfId="10" applyBorder="1">
      <alignment horizontal="right"/>
      <protection locked="0"/>
    </xf>
    <xf numFmtId="168" fontId="15" fillId="25" borderId="98" xfId="10" applyBorder="1">
      <alignment horizontal="right"/>
      <protection locked="0"/>
    </xf>
    <xf numFmtId="49" fontId="3" fillId="24" borderId="27" xfId="11" applyBorder="1" applyAlignment="1">
      <alignment vertical="top"/>
      <protection locked="0"/>
    </xf>
    <xf numFmtId="49" fontId="3" fillId="24" borderId="34" xfId="11" applyBorder="1" applyAlignment="1">
      <alignment vertical="top"/>
      <protection locked="0"/>
    </xf>
    <xf numFmtId="49" fontId="3" fillId="24" borderId="42" xfId="11" applyBorder="1" applyAlignment="1">
      <alignment vertical="top"/>
      <protection locked="0"/>
    </xf>
    <xf numFmtId="49" fontId="3" fillId="24" borderId="75" xfId="11" applyBorder="1" applyAlignment="1">
      <alignment vertical="top" wrapText="1"/>
      <protection locked="0"/>
    </xf>
    <xf numFmtId="168" fontId="15" fillId="25" borderId="271" xfId="10" applyBorder="1">
      <alignment horizontal="right"/>
      <protection locked="0"/>
    </xf>
    <xf numFmtId="168" fontId="15" fillId="25" borderId="275" xfId="10" applyBorder="1">
      <alignment horizontal="right"/>
      <protection locked="0"/>
    </xf>
    <xf numFmtId="168" fontId="15" fillId="25" borderId="277" xfId="10" applyBorder="1">
      <alignment horizontal="right"/>
      <protection locked="0"/>
    </xf>
    <xf numFmtId="49" fontId="3" fillId="24" borderId="17" xfId="11" applyBorder="1" applyAlignment="1">
      <protection locked="0"/>
    </xf>
    <xf numFmtId="168" fontId="15" fillId="25" borderId="59" xfId="10" applyBorder="1">
      <alignment horizontal="right"/>
      <protection locked="0"/>
    </xf>
    <xf numFmtId="0" fontId="116" fillId="71" borderId="294" xfId="54" applyBorder="1">
      <alignment horizontal="right" vertical="center" wrapText="1" indent="1"/>
    </xf>
    <xf numFmtId="0" fontId="116" fillId="71" borderId="295" xfId="54" applyBorder="1">
      <alignment horizontal="right" vertical="center" wrapText="1" indent="1"/>
    </xf>
    <xf numFmtId="0" fontId="9" fillId="70" borderId="295" xfId="53" applyBorder="1">
      <alignment horizontal="right" vertical="center" wrapText="1" indent="1"/>
    </xf>
    <xf numFmtId="0" fontId="9" fillId="70" borderId="296" xfId="53" applyBorder="1">
      <alignment horizontal="right" vertical="center" wrapText="1" indent="1"/>
    </xf>
    <xf numFmtId="0" fontId="123" fillId="92" borderId="1" xfId="5" applyFont="1" applyFill="1" applyBorder="1">
      <alignment vertical="center"/>
    </xf>
    <xf numFmtId="0" fontId="116" fillId="71" borderId="248" xfId="54" applyBorder="1">
      <alignment horizontal="right" vertical="center" wrapText="1" indent="1"/>
    </xf>
    <xf numFmtId="0" fontId="116" fillId="71" borderId="249" xfId="54" applyBorder="1">
      <alignment horizontal="right" vertical="center" wrapText="1" indent="1"/>
    </xf>
    <xf numFmtId="0" fontId="9" fillId="70" borderId="249" xfId="53" applyBorder="1">
      <alignment horizontal="right" vertical="center" wrapText="1" indent="1"/>
    </xf>
    <xf numFmtId="0" fontId="9" fillId="70" borderId="254" xfId="53" applyBorder="1">
      <alignment horizontal="right" vertical="center" wrapText="1" indent="1"/>
    </xf>
    <xf numFmtId="168" fontId="15" fillId="22" borderId="215" xfId="10" applyFill="1" applyBorder="1" applyProtection="1">
      <alignment horizontal="right"/>
    </xf>
    <xf numFmtId="168" fontId="15" fillId="22" borderId="263" xfId="10" applyFill="1" applyBorder="1" applyProtection="1">
      <alignment horizontal="right"/>
    </xf>
    <xf numFmtId="168" fontId="15" fillId="22" borderId="234" xfId="10" applyFill="1" applyBorder="1" applyProtection="1">
      <alignment horizontal="right"/>
    </xf>
    <xf numFmtId="168" fontId="15" fillId="22" borderId="256" xfId="10" applyFill="1" applyBorder="1" applyProtection="1">
      <alignment horizontal="right"/>
    </xf>
    <xf numFmtId="168" fontId="15" fillId="22" borderId="262" xfId="10" applyFill="1" applyBorder="1" applyProtection="1">
      <alignment horizontal="right"/>
    </xf>
    <xf numFmtId="168" fontId="15" fillId="22" borderId="257" xfId="10" applyFill="1" applyBorder="1" applyProtection="1">
      <alignment horizontal="right"/>
    </xf>
    <xf numFmtId="169" fontId="125" fillId="36" borderId="6" xfId="2" applyFont="1" applyFill="1" applyBorder="1">
      <alignment horizontal="right" vertical="center"/>
      <protection locked="0"/>
    </xf>
    <xf numFmtId="169" fontId="125" fillId="36" borderId="7" xfId="2" applyFont="1" applyFill="1" applyBorder="1">
      <alignment horizontal="right" vertical="center"/>
      <protection locked="0"/>
    </xf>
    <xf numFmtId="168" fontId="15" fillId="22" borderId="216" xfId="10" applyFill="1" applyBorder="1" applyProtection="1">
      <alignment horizontal="right"/>
    </xf>
    <xf numFmtId="168" fontId="15" fillId="22" borderId="255" xfId="10" applyFill="1" applyBorder="1" applyProtection="1">
      <alignment horizontal="right"/>
    </xf>
    <xf numFmtId="168" fontId="15" fillId="22" borderId="299" xfId="10" applyFill="1" applyBorder="1" applyProtection="1">
      <alignment horizontal="right"/>
    </xf>
    <xf numFmtId="168" fontId="15" fillId="22" borderId="239" xfId="10" applyFill="1" applyBorder="1" applyProtection="1">
      <alignment horizontal="right"/>
    </xf>
    <xf numFmtId="168" fontId="15" fillId="22" borderId="249" xfId="10" applyFill="1" applyBorder="1" applyProtection="1">
      <alignment horizontal="right"/>
    </xf>
    <xf numFmtId="168" fontId="15" fillId="22" borderId="254" xfId="10" applyFill="1" applyBorder="1" applyProtection="1">
      <alignment horizontal="right"/>
    </xf>
    <xf numFmtId="169" fontId="125" fillId="36" borderId="5" xfId="2" applyFont="1" applyFill="1" applyBorder="1">
      <alignment horizontal="right" vertical="center"/>
      <protection locked="0"/>
    </xf>
    <xf numFmtId="168" fontId="15" fillId="25" borderId="239" xfId="10" applyBorder="1">
      <alignment horizontal="right"/>
      <protection locked="0"/>
    </xf>
    <xf numFmtId="168" fontId="15" fillId="25" borderId="249" xfId="10" applyBorder="1">
      <alignment horizontal="right"/>
      <protection locked="0"/>
    </xf>
    <xf numFmtId="168" fontId="15" fillId="25" borderId="254" xfId="10" applyBorder="1">
      <alignment horizontal="right"/>
      <protection locked="0"/>
    </xf>
    <xf numFmtId="0" fontId="8" fillId="17" borderId="237" xfId="0" applyFont="1" applyFill="1" applyBorder="1" applyAlignment="1">
      <alignment horizontal="center" vertical="center" wrapText="1"/>
    </xf>
    <xf numFmtId="0" fontId="8" fillId="17" borderId="235" xfId="0" applyFont="1" applyFill="1" applyBorder="1" applyAlignment="1">
      <alignment horizontal="center" vertical="center" wrapText="1"/>
    </xf>
    <xf numFmtId="0" fontId="8" fillId="5" borderId="235" xfId="0" applyFont="1" applyFill="1" applyBorder="1" applyAlignment="1">
      <alignment horizontal="center" vertical="center" wrapText="1"/>
    </xf>
    <xf numFmtId="0" fontId="8" fillId="5" borderId="236" xfId="0" applyFont="1" applyFill="1" applyBorder="1" applyAlignment="1">
      <alignment horizontal="center" vertical="center" wrapText="1"/>
    </xf>
    <xf numFmtId="168" fontId="15" fillId="25" borderId="300" xfId="10" applyBorder="1">
      <alignment horizontal="right"/>
      <protection locked="0"/>
    </xf>
    <xf numFmtId="168" fontId="15" fillId="25" borderId="301" xfId="10" applyBorder="1">
      <alignment horizontal="right"/>
      <protection locked="0"/>
    </xf>
    <xf numFmtId="168" fontId="15" fillId="25" borderId="302" xfId="10" applyBorder="1">
      <alignment horizontal="right"/>
      <protection locked="0"/>
    </xf>
    <xf numFmtId="168" fontId="15" fillId="25" borderId="303" xfId="10" applyBorder="1">
      <alignment horizontal="right"/>
      <protection locked="0"/>
    </xf>
    <xf numFmtId="0" fontId="3" fillId="0" borderId="304" xfId="59" applyBorder="1">
      <alignment horizontal="left" vertical="center" wrapText="1" indent="1"/>
    </xf>
    <xf numFmtId="0" fontId="24" fillId="4" borderId="223" xfId="0" applyFont="1" applyFill="1" applyBorder="1" applyAlignment="1">
      <alignment horizontal="left" vertical="center" wrapText="1" indent="1"/>
    </xf>
    <xf numFmtId="169" fontId="68" fillId="103" borderId="228" xfId="2" applyBorder="1">
      <alignment horizontal="right" vertical="center"/>
      <protection locked="0"/>
    </xf>
    <xf numFmtId="169" fontId="68" fillId="103" borderId="144" xfId="2" applyBorder="1">
      <alignment horizontal="right" vertical="center"/>
      <protection locked="0"/>
    </xf>
    <xf numFmtId="168" fontId="15" fillId="25" borderId="149" xfId="10" applyBorder="1" applyAlignment="1">
      <alignment horizontal="center"/>
      <protection locked="0"/>
    </xf>
    <xf numFmtId="168" fontId="15" fillId="25" borderId="70" xfId="10" applyBorder="1" applyAlignment="1">
      <alignment horizontal="center"/>
      <protection locked="0"/>
    </xf>
    <xf numFmtId="168" fontId="15" fillId="25" borderId="246" xfId="10" applyBorder="1" applyAlignment="1">
      <alignment horizontal="center"/>
      <protection locked="0"/>
    </xf>
    <xf numFmtId="168" fontId="15" fillId="25" borderId="244" xfId="10" applyBorder="1" applyAlignment="1">
      <alignment horizontal="center"/>
      <protection locked="0"/>
    </xf>
    <xf numFmtId="0" fontId="24" fillId="4" borderId="305" xfId="0" applyFont="1" applyFill="1" applyBorder="1" applyAlignment="1">
      <alignment horizontal="left" vertical="center" wrapText="1" indent="1"/>
    </xf>
    <xf numFmtId="168" fontId="0" fillId="97" borderId="56" xfId="10" applyFont="1" applyFill="1" applyBorder="1">
      <alignment horizontal="right"/>
      <protection locked="0"/>
    </xf>
    <xf numFmtId="168" fontId="15" fillId="25" borderId="245" xfId="10" applyBorder="1" applyAlignment="1">
      <alignment horizontal="center"/>
      <protection locked="0"/>
    </xf>
    <xf numFmtId="168" fontId="15" fillId="25" borderId="260" xfId="10" applyBorder="1" applyAlignment="1">
      <alignment horizontal="center"/>
      <protection locked="0"/>
    </xf>
    <xf numFmtId="168" fontId="15" fillId="25" borderId="86" xfId="10" applyBorder="1" applyAlignment="1">
      <alignment horizontal="center"/>
      <protection locked="0"/>
    </xf>
    <xf numFmtId="0" fontId="52" fillId="0" borderId="6" xfId="0" applyFont="1" applyBorder="1" applyAlignment="1">
      <alignment horizontal="center"/>
    </xf>
    <xf numFmtId="0" fontId="12" fillId="4" borderId="160" xfId="0" applyFont="1" applyFill="1" applyBorder="1" applyAlignment="1">
      <alignment vertical="top"/>
    </xf>
    <xf numFmtId="0" fontId="6" fillId="3" borderId="160" xfId="0" applyFont="1" applyFill="1" applyBorder="1" applyAlignment="1">
      <alignment vertical="top"/>
    </xf>
    <xf numFmtId="0" fontId="134" fillId="0" borderId="0" xfId="0" applyFont="1"/>
    <xf numFmtId="1" fontId="3" fillId="4" borderId="0" xfId="67" applyNumberFormat="1" applyFont="1" applyFill="1" applyBorder="1" applyAlignment="1" applyProtection="1">
      <alignment horizontal="center"/>
      <protection locked="0"/>
    </xf>
    <xf numFmtId="168" fontId="15" fillId="25" borderId="18" xfId="10" applyBorder="1">
      <alignment horizontal="right"/>
      <protection locked="0"/>
    </xf>
    <xf numFmtId="168" fontId="15" fillId="25" borderId="73" xfId="10" applyBorder="1">
      <alignment horizontal="right"/>
      <protection locked="0"/>
    </xf>
    <xf numFmtId="0" fontId="19" fillId="5" borderId="82" xfId="0" applyFont="1" applyFill="1" applyBorder="1" applyAlignment="1">
      <alignment horizontal="center" vertical="center" wrapText="1"/>
    </xf>
    <xf numFmtId="0" fontId="19" fillId="5" borderId="88" xfId="0" applyFont="1" applyFill="1" applyBorder="1" applyAlignment="1">
      <alignment horizontal="center" vertical="center" wrapText="1"/>
    </xf>
    <xf numFmtId="0" fontId="3" fillId="3" borderId="145" xfId="59" applyFill="1" applyBorder="1">
      <alignment horizontal="left" vertical="center" wrapText="1" indent="1"/>
    </xf>
    <xf numFmtId="0" fontId="3" fillId="3" borderId="38" xfId="59" applyFill="1" applyBorder="1">
      <alignment horizontal="left" vertical="center" wrapText="1" indent="1"/>
    </xf>
    <xf numFmtId="0" fontId="3" fillId="3" borderId="75" xfId="59" applyFill="1" applyBorder="1">
      <alignment horizontal="left" vertical="center" wrapText="1" indent="1"/>
    </xf>
    <xf numFmtId="0" fontId="3" fillId="3" borderId="247" xfId="59" applyFill="1" applyBorder="1">
      <alignment horizontal="left" vertical="center" wrapText="1" indent="1"/>
    </xf>
    <xf numFmtId="0" fontId="3" fillId="3" borderId="55" xfId="59" applyFill="1" applyBorder="1">
      <alignment horizontal="left" vertical="center" wrapText="1" indent="1"/>
    </xf>
    <xf numFmtId="0" fontId="3" fillId="3" borderId="73" xfId="59" applyFill="1" applyBorder="1">
      <alignment horizontal="left" vertical="center" wrapText="1" indent="1"/>
    </xf>
    <xf numFmtId="0" fontId="3" fillId="3" borderId="146" xfId="59" applyFill="1" applyBorder="1">
      <alignment horizontal="left" vertical="center" wrapText="1" indent="1"/>
    </xf>
    <xf numFmtId="0" fontId="3" fillId="3" borderId="50" xfId="59" applyFill="1" applyBorder="1">
      <alignment horizontal="left" vertical="center" wrapText="1" indent="1"/>
    </xf>
    <xf numFmtId="0" fontId="3" fillId="3" borderId="18" xfId="59" applyFill="1" applyBorder="1">
      <alignment horizontal="left" vertical="center" wrapText="1" indent="1"/>
    </xf>
    <xf numFmtId="168" fontId="15" fillId="25" borderId="77" xfId="10" applyBorder="1" applyAlignment="1">
      <alignment horizontal="center"/>
      <protection locked="0"/>
    </xf>
    <xf numFmtId="168" fontId="15" fillId="25" borderId="243" xfId="10" applyBorder="1" applyAlignment="1">
      <alignment horizontal="center"/>
      <protection locked="0"/>
    </xf>
    <xf numFmtId="168" fontId="15" fillId="25" borderId="18" xfId="10" applyBorder="1" applyAlignment="1">
      <alignment horizontal="center"/>
      <protection locked="0"/>
    </xf>
    <xf numFmtId="168" fontId="15" fillId="25" borderId="261" xfId="10" applyBorder="1" applyAlignment="1">
      <alignment horizontal="center"/>
      <protection locked="0"/>
    </xf>
    <xf numFmtId="164" fontId="3" fillId="24" borderId="30" xfId="0" applyNumberFormat="1" applyFont="1" applyFill="1" applyBorder="1" applyProtection="1">
      <protection locked="0"/>
    </xf>
    <xf numFmtId="164" fontId="3" fillId="24" borderId="283" xfId="0" applyNumberFormat="1" applyFont="1" applyFill="1" applyBorder="1" applyProtection="1">
      <protection locked="0"/>
    </xf>
    <xf numFmtId="164" fontId="3" fillId="24" borderId="148" xfId="0" applyNumberFormat="1" applyFont="1" applyFill="1" applyBorder="1" applyProtection="1">
      <protection locked="0"/>
    </xf>
    <xf numFmtId="164" fontId="3" fillId="24" borderId="112" xfId="0" applyNumberFormat="1" applyFont="1" applyFill="1" applyBorder="1" applyProtection="1">
      <protection locked="0"/>
    </xf>
    <xf numFmtId="164" fontId="3" fillId="24" borderId="244" xfId="0" applyNumberFormat="1" applyFont="1" applyFill="1" applyBorder="1" applyProtection="1">
      <protection locked="0"/>
    </xf>
    <xf numFmtId="164" fontId="3" fillId="24" borderId="145" xfId="0" applyNumberFormat="1" applyFont="1" applyFill="1" applyBorder="1" applyProtection="1">
      <protection locked="0"/>
    </xf>
    <xf numFmtId="164" fontId="3" fillId="24" borderId="38" xfId="0" applyNumberFormat="1" applyFont="1" applyFill="1" applyBorder="1" applyProtection="1">
      <protection locked="0"/>
    </xf>
    <xf numFmtId="164" fontId="3" fillId="24" borderId="67" xfId="0" applyNumberFormat="1" applyFont="1" applyFill="1" applyBorder="1" applyProtection="1">
      <protection locked="0"/>
    </xf>
    <xf numFmtId="0" fontId="27" fillId="18" borderId="0" xfId="62" quotePrefix="1" applyNumberFormat="1">
      <alignment vertical="center"/>
    </xf>
    <xf numFmtId="0" fontId="27" fillId="18" borderId="0" xfId="62" applyNumberFormat="1" applyAlignment="1">
      <alignment horizontal="left" vertical="center"/>
    </xf>
    <xf numFmtId="10" fontId="15" fillId="25" borderId="27" xfId="61" applyBorder="1">
      <alignment horizontal="right"/>
      <protection locked="0"/>
    </xf>
    <xf numFmtId="10" fontId="15" fillId="25" borderId="246" xfId="61" applyBorder="1">
      <alignment horizontal="right"/>
      <protection locked="0"/>
    </xf>
    <xf numFmtId="10" fontId="15" fillId="25" borderId="247" xfId="61" applyBorder="1">
      <alignment horizontal="right"/>
      <protection locked="0"/>
    </xf>
    <xf numFmtId="10" fontId="15" fillId="25" borderId="55" xfId="61" applyBorder="1">
      <alignment horizontal="right"/>
      <protection locked="0"/>
    </xf>
    <xf numFmtId="10" fontId="15" fillId="25" borderId="66" xfId="61" applyBorder="1">
      <alignment horizontal="right"/>
      <protection locked="0"/>
    </xf>
    <xf numFmtId="10" fontId="15" fillId="25" borderId="59" xfId="61" applyBorder="1">
      <alignment horizontal="right"/>
      <protection locked="0"/>
    </xf>
    <xf numFmtId="10" fontId="15" fillId="25" borderId="283" xfId="61" applyBorder="1">
      <alignment horizontal="right"/>
      <protection locked="0"/>
    </xf>
    <xf numFmtId="10" fontId="15" fillId="25" borderId="148" xfId="61" applyBorder="1">
      <alignment horizontal="right"/>
      <protection locked="0"/>
    </xf>
    <xf numFmtId="10" fontId="15" fillId="25" borderId="30" xfId="61" applyBorder="1">
      <alignment horizontal="right"/>
      <protection locked="0"/>
    </xf>
    <xf numFmtId="10" fontId="15" fillId="25" borderId="112" xfId="61" applyBorder="1">
      <alignment horizontal="right"/>
      <protection locked="0"/>
    </xf>
    <xf numFmtId="10" fontId="15" fillId="25" borderId="42" xfId="61" applyBorder="1">
      <alignment horizontal="right"/>
      <protection locked="0"/>
    </xf>
    <xf numFmtId="10" fontId="15" fillId="25" borderId="243" xfId="61" applyBorder="1">
      <alignment horizontal="right"/>
      <protection locked="0"/>
    </xf>
    <xf numFmtId="10" fontId="15" fillId="25" borderId="146" xfId="61" applyBorder="1">
      <alignment horizontal="right"/>
      <protection locked="0"/>
    </xf>
    <xf numFmtId="10" fontId="15" fillId="25" borderId="50" xfId="61" applyBorder="1">
      <alignment horizontal="right"/>
      <protection locked="0"/>
    </xf>
    <xf numFmtId="10" fontId="15" fillId="25" borderId="68" xfId="61" applyBorder="1">
      <alignment horizontal="right"/>
      <protection locked="0"/>
    </xf>
    <xf numFmtId="0" fontId="19" fillId="5" borderId="220" xfId="0" applyFont="1" applyFill="1" applyBorder="1" applyAlignment="1">
      <alignment horizontal="right" vertical="center" wrapText="1" indent="1"/>
    </xf>
    <xf numFmtId="0" fontId="19" fillId="5" borderId="222" xfId="0" applyFont="1" applyFill="1" applyBorder="1" applyAlignment="1">
      <alignment horizontal="right" vertical="center" wrapText="1" indent="1"/>
    </xf>
    <xf numFmtId="0" fontId="19" fillId="30" borderId="306" xfId="0" applyFont="1" applyFill="1" applyBorder="1" applyAlignment="1">
      <alignment horizontal="right" vertical="center" wrapText="1" indent="1"/>
    </xf>
    <xf numFmtId="0" fontId="19" fillId="30" borderId="221" xfId="0" applyFont="1" applyFill="1" applyBorder="1" applyAlignment="1">
      <alignment horizontal="right" vertical="center" wrapText="1" indent="1"/>
    </xf>
    <xf numFmtId="0" fontId="19" fillId="30" borderId="222" xfId="0" applyFont="1" applyFill="1" applyBorder="1" applyAlignment="1">
      <alignment horizontal="right" vertical="center" wrapText="1" indent="1"/>
    </xf>
    <xf numFmtId="0" fontId="3" fillId="15" borderId="148" xfId="0" applyFont="1" applyFill="1" applyBorder="1" applyAlignment="1">
      <alignment horizontal="right" vertical="center" wrapText="1"/>
    </xf>
    <xf numFmtId="0" fontId="3" fillId="15" borderId="145" xfId="0" applyFont="1" applyFill="1" applyBorder="1" applyAlignment="1">
      <alignment horizontal="right" vertical="center" wrapText="1"/>
    </xf>
    <xf numFmtId="0" fontId="3" fillId="15" borderId="146" xfId="0" applyFont="1" applyFill="1" applyBorder="1" applyAlignment="1">
      <alignment horizontal="right" vertical="center" wrapText="1"/>
    </xf>
    <xf numFmtId="0" fontId="3" fillId="4" borderId="307" xfId="0" applyFont="1" applyFill="1" applyBorder="1" applyAlignment="1">
      <alignment horizontal="right" vertical="center" wrapText="1"/>
    </xf>
    <xf numFmtId="0" fontId="3" fillId="4" borderId="308" xfId="0" applyFont="1" applyFill="1" applyBorder="1" applyAlignment="1">
      <alignment horizontal="right" vertical="center" wrapText="1"/>
    </xf>
    <xf numFmtId="0" fontId="3" fillId="4" borderId="309" xfId="0" applyFont="1" applyFill="1" applyBorder="1" applyAlignment="1">
      <alignment horizontal="right" vertical="center" wrapText="1"/>
    </xf>
    <xf numFmtId="0" fontId="3" fillId="4" borderId="310" xfId="0" applyFont="1" applyFill="1" applyBorder="1" applyAlignment="1">
      <alignment horizontal="right" vertical="center" wrapText="1"/>
    </xf>
    <xf numFmtId="0" fontId="9" fillId="70" borderId="82" xfId="53" applyBorder="1">
      <alignment horizontal="right" vertical="center" wrapText="1" indent="1"/>
    </xf>
    <xf numFmtId="0" fontId="9" fillId="70" borderId="311" xfId="53" applyBorder="1">
      <alignment horizontal="right" vertical="center" wrapText="1" indent="1"/>
    </xf>
    <xf numFmtId="0" fontId="9" fillId="70" borderId="88" xfId="53" applyBorder="1">
      <alignment horizontal="right" vertical="center" wrapText="1" indent="1"/>
    </xf>
    <xf numFmtId="0" fontId="116" fillId="71" borderId="88" xfId="54" applyBorder="1">
      <alignment horizontal="right" vertical="center" wrapText="1" indent="1"/>
    </xf>
    <xf numFmtId="0" fontId="116" fillId="71" borderId="282" xfId="54" applyBorder="1">
      <alignment horizontal="right" vertical="center" wrapText="1" indent="1"/>
    </xf>
    <xf numFmtId="169" fontId="68" fillId="103" borderId="19" xfId="2" applyBorder="1">
      <alignment horizontal="right" vertical="center"/>
      <protection locked="0"/>
    </xf>
    <xf numFmtId="169" fontId="68" fillId="103" borderId="20" xfId="2" applyBorder="1">
      <alignment horizontal="right" vertical="center"/>
      <protection locked="0"/>
    </xf>
    <xf numFmtId="169" fontId="68" fillId="103" borderId="21" xfId="2" applyBorder="1">
      <alignment horizontal="right" vertical="center"/>
      <protection locked="0"/>
    </xf>
    <xf numFmtId="0" fontId="0" fillId="0" borderId="163" xfId="0" applyBorder="1"/>
    <xf numFmtId="0" fontId="0" fillId="0" borderId="223" xfId="0" applyBorder="1"/>
    <xf numFmtId="49" fontId="120" fillId="15" borderId="19" xfId="0" applyNumberFormat="1" applyFont="1" applyFill="1" applyBorder="1" applyAlignment="1">
      <alignment horizontal="right" vertical="center"/>
    </xf>
    <xf numFmtId="0" fontId="3" fillId="0" borderId="312" xfId="59" applyBorder="1">
      <alignment horizontal="left" vertical="center" wrapText="1" indent="1"/>
    </xf>
    <xf numFmtId="168" fontId="15" fillId="25" borderId="82" xfId="10" applyBorder="1">
      <alignment horizontal="right"/>
      <protection locked="0"/>
    </xf>
    <xf numFmtId="168" fontId="15" fillId="25" borderId="313" xfId="10" applyBorder="1">
      <alignment horizontal="right"/>
      <protection locked="0"/>
    </xf>
    <xf numFmtId="168" fontId="15" fillId="25" borderId="311" xfId="10" applyBorder="1">
      <alignment horizontal="right"/>
      <protection locked="0"/>
    </xf>
    <xf numFmtId="168" fontId="15" fillId="25" borderId="88" xfId="10" applyBorder="1">
      <alignment horizontal="right"/>
      <protection locked="0"/>
    </xf>
    <xf numFmtId="168" fontId="15" fillId="25" borderId="282" xfId="10" applyBorder="1">
      <alignment horizontal="right"/>
      <protection locked="0"/>
    </xf>
    <xf numFmtId="0" fontId="28" fillId="18" borderId="22" xfId="5" applyBorder="1">
      <alignment vertical="center"/>
    </xf>
    <xf numFmtId="0" fontId="0" fillId="0" borderId="0" xfId="0" applyAlignment="1">
      <alignment horizontal="center" vertical="center"/>
    </xf>
    <xf numFmtId="172" fontId="8" fillId="0" borderId="2" xfId="0" applyNumberFormat="1" applyFont="1" applyBorder="1" applyAlignment="1">
      <alignment horizontal="center" vertical="center" wrapText="1"/>
    </xf>
    <xf numFmtId="172" fontId="122" fillId="0" borderId="6" xfId="0" applyNumberFormat="1" applyFont="1" applyBorder="1" applyAlignment="1">
      <alignment horizontal="center" wrapText="1"/>
    </xf>
    <xf numFmtId="168" fontId="15" fillId="25" borderId="314" xfId="10" applyBorder="1">
      <alignment horizontal="right"/>
      <protection locked="0"/>
    </xf>
    <xf numFmtId="0" fontId="15" fillId="15" borderId="0" xfId="63" quotePrefix="1" applyFont="1" applyFill="1" applyBorder="1" applyAlignment="1">
      <alignment vertical="center"/>
    </xf>
    <xf numFmtId="168" fontId="15" fillId="25" borderId="82" xfId="10" applyBorder="1" applyAlignment="1">
      <alignment horizontal="center"/>
      <protection locked="0"/>
    </xf>
    <xf numFmtId="168" fontId="15" fillId="25" borderId="88" xfId="10" applyBorder="1" applyAlignment="1">
      <alignment horizontal="center"/>
      <protection locked="0"/>
    </xf>
    <xf numFmtId="168" fontId="15" fillId="25" borderId="282" xfId="10" applyBorder="1" applyAlignment="1">
      <alignment horizontal="center"/>
      <protection locked="0"/>
    </xf>
    <xf numFmtId="0" fontId="3" fillId="0" borderId="60" xfId="59" applyAlignment="1">
      <alignment horizontal="right" vertical="center" wrapText="1" indent="1"/>
    </xf>
    <xf numFmtId="0" fontId="3" fillId="3" borderId="261" xfId="59" applyFill="1" applyBorder="1">
      <alignment horizontal="left" vertical="center" wrapText="1" indent="1"/>
    </xf>
    <xf numFmtId="0" fontId="3" fillId="3" borderId="245" xfId="59" applyFill="1" applyBorder="1">
      <alignment horizontal="left" vertical="center" wrapText="1" indent="1"/>
    </xf>
    <xf numFmtId="168" fontId="0" fillId="97" borderId="92" xfId="10" applyFont="1" applyFill="1" applyBorder="1">
      <alignment horizontal="right"/>
      <protection locked="0"/>
    </xf>
    <xf numFmtId="168" fontId="0" fillId="97" borderId="232" xfId="10" applyFont="1" applyFill="1" applyBorder="1">
      <alignment horizontal="right"/>
      <protection locked="0"/>
    </xf>
    <xf numFmtId="168" fontId="0" fillId="97" borderId="289" xfId="10" applyFont="1" applyFill="1" applyBorder="1">
      <alignment horizontal="right"/>
      <protection locked="0"/>
    </xf>
    <xf numFmtId="0" fontId="3" fillId="0" borderId="315" xfId="59" applyBorder="1">
      <alignment horizontal="left" vertical="center" wrapText="1" indent="1"/>
    </xf>
    <xf numFmtId="168" fontId="0" fillId="97" borderId="314" xfId="10" applyFont="1" applyFill="1" applyBorder="1">
      <alignment horizontal="right"/>
      <protection locked="0"/>
    </xf>
    <xf numFmtId="0" fontId="3" fillId="0" borderId="259" xfId="59" applyBorder="1">
      <alignment horizontal="left" vertical="center" wrapText="1" indent="1"/>
    </xf>
    <xf numFmtId="168" fontId="15" fillId="25" borderId="245" xfId="10" applyBorder="1">
      <alignment horizontal="right"/>
      <protection locked="0"/>
    </xf>
    <xf numFmtId="168" fontId="15" fillId="25" borderId="316" xfId="10" applyBorder="1">
      <alignment horizontal="right"/>
      <protection locked="0"/>
    </xf>
    <xf numFmtId="168" fontId="15" fillId="97" borderId="232" xfId="10" applyFill="1" applyBorder="1">
      <alignment horizontal="right"/>
      <protection locked="0"/>
    </xf>
    <xf numFmtId="168" fontId="85" fillId="97" borderId="232" xfId="10" applyFont="1" applyFill="1" applyBorder="1">
      <alignment horizontal="right"/>
      <protection locked="0"/>
    </xf>
    <xf numFmtId="168" fontId="15" fillId="97" borderId="300" xfId="10" applyFill="1" applyBorder="1">
      <alignment horizontal="right"/>
      <protection locked="0"/>
    </xf>
    <xf numFmtId="168" fontId="137" fillId="97" borderId="232" xfId="10" applyFont="1" applyFill="1" applyBorder="1">
      <alignment horizontal="right"/>
      <protection locked="0"/>
    </xf>
    <xf numFmtId="168" fontId="15" fillId="97" borderId="38" xfId="10" applyFill="1" applyBorder="1">
      <alignment horizontal="right"/>
      <protection locked="0"/>
    </xf>
    <xf numFmtId="0" fontId="107" fillId="5" borderId="0" xfId="0" applyFont="1" applyFill="1" applyAlignment="1">
      <alignment horizontal="right" vertical="center" indent="2"/>
    </xf>
    <xf numFmtId="0" fontId="106" fillId="0" borderId="0" xfId="0" applyFont="1" applyAlignment="1">
      <alignment horizontal="right" vertical="center" indent="2"/>
    </xf>
    <xf numFmtId="0" fontId="111" fillId="87" borderId="0" xfId="0" applyFont="1" applyFill="1" applyAlignment="1">
      <alignment horizontal="right" vertical="center" indent="2"/>
    </xf>
    <xf numFmtId="0" fontId="113" fillId="88" borderId="0" xfId="0" applyFont="1" applyFill="1" applyAlignment="1">
      <alignment horizontal="right" vertical="center" indent="2"/>
    </xf>
    <xf numFmtId="0" fontId="113" fillId="89" borderId="0" xfId="0" applyFont="1" applyFill="1" applyAlignment="1">
      <alignment horizontal="right" vertical="center" indent="2"/>
    </xf>
    <xf numFmtId="0" fontId="113" fillId="5" borderId="0" xfId="0" applyFont="1" applyFill="1" applyAlignment="1">
      <alignment horizontal="right" vertical="center" indent="2"/>
    </xf>
    <xf numFmtId="0" fontId="0" fillId="0" borderId="0" xfId="0" applyAlignment="1">
      <alignment horizontal="right" indent="2"/>
    </xf>
    <xf numFmtId="0" fontId="113" fillId="15" borderId="0" xfId="0" applyFont="1" applyFill="1" applyAlignment="1">
      <alignment horizontal="right" vertical="center" indent="2"/>
    </xf>
    <xf numFmtId="0" fontId="107" fillId="6" borderId="0" xfId="0" applyFont="1" applyFill="1" applyAlignment="1">
      <alignment horizontal="right" vertical="center" indent="2"/>
    </xf>
    <xf numFmtId="49" fontId="3" fillId="24" borderId="153" xfId="11" applyBorder="1" applyAlignment="1">
      <protection locked="0"/>
    </xf>
    <xf numFmtId="0" fontId="2" fillId="0" borderId="7" xfId="0" applyFont="1" applyBorder="1" applyAlignment="1">
      <alignment horizontal="center"/>
    </xf>
    <xf numFmtId="0" fontId="3" fillId="0" borderId="317" xfId="59" applyBorder="1">
      <alignment horizontal="left" vertical="center" wrapText="1" indent="1"/>
    </xf>
    <xf numFmtId="0" fontId="3" fillId="0" borderId="318" xfId="59" applyBorder="1">
      <alignment horizontal="left" vertical="center" wrapText="1" indent="1"/>
    </xf>
    <xf numFmtId="0" fontId="9" fillId="70" borderId="242" xfId="53" applyBorder="1" applyAlignment="1">
      <alignment horizontal="center" vertical="center" wrapText="1"/>
    </xf>
    <xf numFmtId="0" fontId="8" fillId="0" borderId="10" xfId="0" applyFont="1" applyBorder="1" applyAlignment="1">
      <alignment horizontal="center" wrapText="1"/>
    </xf>
    <xf numFmtId="0" fontId="3" fillId="0" borderId="26" xfId="59" applyBorder="1">
      <alignment horizontal="left" vertical="center" wrapText="1" indent="1"/>
    </xf>
    <xf numFmtId="0" fontId="3" fillId="0" borderId="33" xfId="59" applyBorder="1">
      <alignment horizontal="left" vertical="center" wrapText="1" indent="1"/>
    </xf>
    <xf numFmtId="0" fontId="3" fillId="0" borderId="41" xfId="59" applyBorder="1">
      <alignment horizontal="left" vertical="center" wrapText="1" indent="1"/>
    </xf>
    <xf numFmtId="0" fontId="3" fillId="0" borderId="321" xfId="59" applyBorder="1">
      <alignment horizontal="left" vertical="center" wrapText="1" indent="1"/>
    </xf>
    <xf numFmtId="0" fontId="3" fillId="0" borderId="305" xfId="59" applyBorder="1">
      <alignment horizontal="left" vertical="center" wrapText="1" indent="1"/>
    </xf>
    <xf numFmtId="49" fontId="3" fillId="24" borderId="38" xfId="11" applyAlignment="1">
      <alignment horizontal="left" vertical="center" wrapText="1" indent="1"/>
      <protection locked="0"/>
    </xf>
    <xf numFmtId="49" fontId="3" fillId="24" borderId="38" xfId="11" applyAlignment="1">
      <alignment horizontal="left" vertical="center" indent="1"/>
      <protection locked="0"/>
    </xf>
    <xf numFmtId="164" fontId="3" fillId="15" borderId="30" xfId="0" applyNumberFormat="1" applyFont="1" applyFill="1" applyBorder="1" applyProtection="1">
      <protection locked="0"/>
    </xf>
    <xf numFmtId="0" fontId="106" fillId="0" borderId="0" xfId="0" quotePrefix="1" applyFont="1" applyAlignment="1">
      <alignment vertical="center"/>
    </xf>
    <xf numFmtId="164" fontId="3" fillId="15" borderId="50" xfId="0" applyNumberFormat="1" applyFont="1" applyFill="1" applyBorder="1" applyProtection="1">
      <protection locked="0"/>
    </xf>
    <xf numFmtId="0" fontId="0" fillId="0" borderId="27" xfId="0" applyBorder="1" applyProtection="1">
      <protection locked="0"/>
    </xf>
    <xf numFmtId="0" fontId="0" fillId="0" borderId="55" xfId="0" applyBorder="1" applyProtection="1">
      <protection locked="0"/>
    </xf>
    <xf numFmtId="0" fontId="0" fillId="0" borderId="66" xfId="0" applyBorder="1" applyProtection="1">
      <protection locked="0"/>
    </xf>
    <xf numFmtId="0" fontId="0" fillId="0" borderId="34" xfId="0" applyBorder="1" applyProtection="1">
      <protection locked="0"/>
    </xf>
    <xf numFmtId="0" fontId="0" fillId="0" borderId="38" xfId="0" applyBorder="1" applyProtection="1">
      <protection locked="0"/>
    </xf>
    <xf numFmtId="0" fontId="0" fillId="0" borderId="67" xfId="0" applyBorder="1" applyProtection="1">
      <protection locked="0"/>
    </xf>
    <xf numFmtId="0" fontId="0" fillId="0" borderId="42" xfId="0" applyBorder="1" applyProtection="1">
      <protection locked="0"/>
    </xf>
    <xf numFmtId="0" fontId="0" fillId="0" borderId="50" xfId="0" applyBorder="1" applyProtection="1">
      <protection locked="0"/>
    </xf>
    <xf numFmtId="0" fontId="0" fillId="0" borderId="68" xfId="0" applyBorder="1" applyProtection="1">
      <protection locked="0"/>
    </xf>
    <xf numFmtId="168" fontId="15" fillId="22" borderId="256" xfId="10" applyFill="1" applyBorder="1">
      <alignment horizontal="right"/>
      <protection locked="0"/>
    </xf>
    <xf numFmtId="168" fontId="15" fillId="25" borderId="281" xfId="10" applyBorder="1">
      <alignment horizontal="right"/>
      <protection locked="0"/>
    </xf>
    <xf numFmtId="168" fontId="15" fillId="25" borderId="86" xfId="10" applyBorder="1">
      <alignment horizontal="right"/>
      <protection locked="0"/>
    </xf>
    <xf numFmtId="168" fontId="15" fillId="25" borderId="193" xfId="10" applyBorder="1">
      <alignment horizontal="right"/>
      <protection locked="0"/>
    </xf>
    <xf numFmtId="168" fontId="15" fillId="25" borderId="34" xfId="10" applyBorder="1">
      <alignment horizontal="right"/>
      <protection locked="0"/>
    </xf>
    <xf numFmtId="168" fontId="15" fillId="25" borderId="42" xfId="10" applyBorder="1">
      <alignment horizontal="right"/>
      <protection locked="0"/>
    </xf>
    <xf numFmtId="168" fontId="15" fillId="25" borderId="319" xfId="10" applyBorder="1">
      <alignment horizontal="right"/>
      <protection locked="0"/>
    </xf>
    <xf numFmtId="168" fontId="15" fillId="25" borderId="320" xfId="10" applyBorder="1">
      <alignment horizontal="right"/>
      <protection locked="0"/>
    </xf>
    <xf numFmtId="168" fontId="15" fillId="25" borderId="150" xfId="10" applyBorder="1">
      <alignment horizontal="right"/>
      <protection locked="0"/>
    </xf>
    <xf numFmtId="49" fontId="15" fillId="6" borderId="0" xfId="63" quotePrefix="1" applyNumberFormat="1" applyFont="1" applyFill="1" applyBorder="1" applyAlignment="1">
      <alignment vertical="center"/>
    </xf>
    <xf numFmtId="0" fontId="8" fillId="20" borderId="11" xfId="0" applyFont="1" applyFill="1" applyBorder="1" applyAlignment="1">
      <alignment vertical="center" wrapText="1"/>
    </xf>
    <xf numFmtId="0" fontId="8" fillId="98" borderId="322" xfId="0" applyFont="1" applyFill="1" applyBorder="1" applyAlignment="1">
      <alignment vertical="center" wrapText="1"/>
    </xf>
    <xf numFmtId="0" fontId="3" fillId="12" borderId="15" xfId="0" applyFont="1" applyFill="1" applyBorder="1" applyAlignment="1">
      <alignment horizontal="center"/>
    </xf>
    <xf numFmtId="0" fontId="12" fillId="4" borderId="323" xfId="0" applyFont="1" applyFill="1" applyBorder="1" applyAlignment="1">
      <alignment vertical="top"/>
    </xf>
    <xf numFmtId="0" fontId="3" fillId="0" borderId="15" xfId="0" applyFont="1" applyBorder="1" applyAlignment="1">
      <alignment horizontal="center"/>
    </xf>
    <xf numFmtId="0" fontId="6" fillId="4" borderId="323" xfId="0" applyFont="1" applyFill="1" applyBorder="1" applyAlignment="1">
      <alignment vertical="top"/>
    </xf>
    <xf numFmtId="0" fontId="3" fillId="12" borderId="17" xfId="0" applyFont="1" applyFill="1" applyBorder="1" applyAlignment="1">
      <alignment horizontal="left" vertical="top"/>
    </xf>
    <xf numFmtId="0" fontId="3" fillId="12" borderId="18" xfId="0" applyFont="1" applyFill="1" applyBorder="1" applyAlignment="1">
      <alignment vertical="top"/>
    </xf>
    <xf numFmtId="0" fontId="10" fillId="12" borderId="18" xfId="0" applyFont="1" applyFill="1" applyBorder="1" applyAlignment="1">
      <alignment vertical="top"/>
    </xf>
    <xf numFmtId="0" fontId="10" fillId="4" borderId="18" xfId="0" applyFont="1" applyFill="1" applyBorder="1" applyAlignment="1">
      <alignment horizontal="center" vertical="top"/>
    </xf>
    <xf numFmtId="0" fontId="10" fillId="4" borderId="18" xfId="0" applyFont="1" applyFill="1" applyBorder="1" applyAlignment="1">
      <alignment vertical="top"/>
    </xf>
    <xf numFmtId="0" fontId="3" fillId="12" borderId="17" xfId="0" applyFont="1" applyFill="1" applyBorder="1" applyAlignment="1">
      <alignment horizontal="center" vertical="top"/>
    </xf>
    <xf numFmtId="1" fontId="6" fillId="12" borderId="18" xfId="0" applyNumberFormat="1" applyFont="1" applyFill="1" applyBorder="1" applyAlignment="1">
      <alignment horizontal="center" vertical="top"/>
    </xf>
    <xf numFmtId="1" fontId="6" fillId="12" borderId="77" xfId="0" applyNumberFormat="1" applyFont="1" applyFill="1" applyBorder="1" applyAlignment="1">
      <alignment horizontal="center" vertical="top"/>
    </xf>
    <xf numFmtId="0" fontId="3" fillId="12" borderId="77" xfId="0" applyFont="1" applyFill="1" applyBorder="1" applyAlignment="1">
      <alignment horizontal="center" vertical="top"/>
    </xf>
    <xf numFmtId="0" fontId="3" fillId="12" borderId="17" xfId="0" applyFont="1" applyFill="1" applyBorder="1" applyAlignment="1">
      <alignment vertical="center"/>
    </xf>
    <xf numFmtId="0" fontId="3" fillId="12" borderId="18" xfId="0" applyFont="1" applyFill="1" applyBorder="1" applyAlignment="1">
      <alignment vertical="center"/>
    </xf>
    <xf numFmtId="171" fontId="3" fillId="12" borderId="18" xfId="0" applyNumberFormat="1" applyFont="1" applyFill="1" applyBorder="1" applyAlignment="1">
      <alignment horizontal="center" vertical="center"/>
    </xf>
    <xf numFmtId="0" fontId="11" fillId="12" borderId="17" xfId="0" applyFont="1" applyFill="1" applyBorder="1"/>
    <xf numFmtId="0" fontId="11" fillId="12" borderId="18" xfId="0" applyFont="1" applyFill="1" applyBorder="1"/>
    <xf numFmtId="0" fontId="3" fillId="12" borderId="18" xfId="0" applyFont="1" applyFill="1" applyBorder="1"/>
    <xf numFmtId="0" fontId="3" fillId="12" borderId="18" xfId="0" applyFont="1" applyFill="1" applyBorder="1" applyAlignment="1">
      <alignment horizontal="center"/>
    </xf>
    <xf numFmtId="0" fontId="6" fillId="4" borderId="217" xfId="0" applyFont="1" applyFill="1" applyBorder="1" applyAlignment="1">
      <alignment vertical="top"/>
    </xf>
    <xf numFmtId="165" fontId="3" fillId="4" borderId="0" xfId="0" applyNumberFormat="1" applyFont="1" applyFill="1" applyAlignment="1">
      <alignment horizontal="right" vertical="top" indent="1"/>
    </xf>
    <xf numFmtId="165" fontId="3" fillId="3" borderId="0" xfId="0" applyNumberFormat="1" applyFont="1" applyFill="1" applyAlignment="1">
      <alignment horizontal="right" vertical="top" indent="1"/>
    </xf>
    <xf numFmtId="165" fontId="3" fillId="4" borderId="6" xfId="0" applyNumberFormat="1" applyFont="1" applyFill="1" applyBorder="1" applyAlignment="1">
      <alignment horizontal="right" vertical="top" indent="1"/>
    </xf>
    <xf numFmtId="0" fontId="8" fillId="7" borderId="0" xfId="0" applyFont="1" applyFill="1" applyAlignment="1">
      <alignment horizontal="left" vertical="center" wrapText="1"/>
    </xf>
    <xf numFmtId="0" fontId="8" fillId="7" borderId="9" xfId="0" applyFont="1" applyFill="1" applyBorder="1" applyAlignment="1">
      <alignment horizontal="left" vertical="center" wrapText="1"/>
    </xf>
    <xf numFmtId="0" fontId="8" fillId="20" borderId="9" xfId="0" applyFont="1" applyFill="1" applyBorder="1" applyAlignment="1">
      <alignment horizontal="center" vertical="center" wrapText="1"/>
    </xf>
    <xf numFmtId="0" fontId="11" fillId="12" borderId="1" xfId="0" applyFont="1" applyFill="1" applyBorder="1" applyAlignment="1">
      <alignment horizontal="center" vertical="center"/>
    </xf>
    <xf numFmtId="0" fontId="11" fillId="12" borderId="14" xfId="0" applyFont="1" applyFill="1" applyBorder="1" applyAlignment="1">
      <alignment horizontal="center" vertical="center"/>
    </xf>
    <xf numFmtId="49" fontId="19" fillId="6" borderId="324" xfId="0" applyNumberFormat="1" applyFont="1" applyFill="1" applyBorder="1" applyAlignment="1">
      <alignment vertical="center" wrapText="1"/>
    </xf>
    <xf numFmtId="0" fontId="6" fillId="24" borderId="0" xfId="0" applyFont="1" applyFill="1" applyAlignment="1" applyProtection="1">
      <alignment horizontal="left"/>
      <protection locked="0"/>
    </xf>
    <xf numFmtId="0" fontId="100" fillId="0" borderId="3" xfId="0" applyFont="1" applyBorder="1" applyAlignment="1">
      <alignment vertical="top" wrapText="1"/>
    </xf>
    <xf numFmtId="0" fontId="71" fillId="4" borderId="10" xfId="0" quotePrefix="1" applyFont="1" applyFill="1" applyBorder="1" applyAlignment="1">
      <alignment horizontal="left" vertical="top" wrapText="1" indent="1"/>
    </xf>
    <xf numFmtId="2" fontId="138" fillId="104" borderId="159" xfId="0" applyNumberFormat="1" applyFont="1" applyFill="1" applyBorder="1" applyAlignment="1">
      <alignment horizontal="left" vertical="center" wrapText="1" indent="1"/>
    </xf>
    <xf numFmtId="0" fontId="139" fillId="105" borderId="325" xfId="0" applyFont="1" applyFill="1" applyBorder="1" applyAlignment="1">
      <alignment vertical="center"/>
    </xf>
    <xf numFmtId="0" fontId="140" fillId="105" borderId="325" xfId="0" applyFont="1" applyFill="1" applyBorder="1" applyAlignment="1">
      <alignment vertical="center"/>
    </xf>
    <xf numFmtId="0" fontId="139" fillId="74" borderId="325" xfId="0" applyFont="1" applyFill="1" applyBorder="1" applyAlignment="1">
      <alignment vertical="center"/>
    </xf>
    <xf numFmtId="0" fontId="122" fillId="74" borderId="325" xfId="0" applyFont="1" applyFill="1" applyBorder="1" applyAlignment="1">
      <alignment vertical="center"/>
    </xf>
    <xf numFmtId="0" fontId="139" fillId="75" borderId="325" xfId="0" applyFont="1" applyFill="1" applyBorder="1" applyAlignment="1">
      <alignment vertical="center"/>
    </xf>
    <xf numFmtId="0" fontId="122" fillId="106" borderId="325" xfId="0" applyFont="1" applyFill="1" applyBorder="1" applyAlignment="1">
      <alignment vertical="center"/>
    </xf>
    <xf numFmtId="0" fontId="139" fillId="107" borderId="326" xfId="0" applyFont="1" applyFill="1" applyBorder="1" applyAlignment="1">
      <alignment vertical="center"/>
    </xf>
    <xf numFmtId="0" fontId="122" fillId="108" borderId="327" xfId="0" applyFont="1" applyFill="1" applyBorder="1" applyAlignment="1">
      <alignment vertical="center"/>
    </xf>
    <xf numFmtId="0" fontId="3" fillId="24" borderId="26" xfId="11" applyNumberFormat="1" applyBorder="1" applyAlignment="1">
      <alignment horizontal="left" vertical="center" indent="1"/>
      <protection locked="0"/>
    </xf>
    <xf numFmtId="0" fontId="2" fillId="5" borderId="214" xfId="0" applyFont="1" applyFill="1" applyBorder="1" applyAlignment="1">
      <alignment horizontal="center" vertical="center" wrapText="1"/>
    </xf>
    <xf numFmtId="0" fontId="2" fillId="5" borderId="215" xfId="0" applyFont="1" applyFill="1" applyBorder="1" applyAlignment="1">
      <alignment horizontal="center" vertical="center" wrapText="1"/>
    </xf>
    <xf numFmtId="0" fontId="2" fillId="5" borderId="216" xfId="0" applyFont="1" applyFill="1" applyBorder="1" applyAlignment="1">
      <alignment horizontal="center" vertical="center" wrapText="1"/>
    </xf>
    <xf numFmtId="0" fontId="2" fillId="5" borderId="217" xfId="0" applyFont="1" applyFill="1" applyBorder="1" applyAlignment="1">
      <alignment horizontal="center" vertical="center" wrapText="1"/>
    </xf>
    <xf numFmtId="0" fontId="2" fillId="5" borderId="218" xfId="0" applyFont="1" applyFill="1" applyBorder="1" applyAlignment="1">
      <alignment horizontal="center" vertical="center" wrapText="1"/>
    </xf>
    <xf numFmtId="0" fontId="2" fillId="5" borderId="219" xfId="0" applyFont="1" applyFill="1" applyBorder="1" applyAlignment="1">
      <alignment horizontal="center" vertical="center" wrapText="1"/>
    </xf>
    <xf numFmtId="0" fontId="99" fillId="18" borderId="163" xfId="0" applyFont="1" applyFill="1" applyBorder="1" applyAlignment="1">
      <alignment horizontal="right" vertical="center" indent="2"/>
    </xf>
    <xf numFmtId="0" fontId="99" fillId="18" borderId="225" xfId="0" applyFont="1" applyFill="1" applyBorder="1" applyAlignment="1">
      <alignment horizontal="right" vertical="center" indent="2"/>
    </xf>
    <xf numFmtId="0" fontId="99" fillId="18" borderId="223" xfId="0" applyFont="1" applyFill="1" applyBorder="1" applyAlignment="1">
      <alignment horizontal="right" vertical="center" indent="2"/>
    </xf>
    <xf numFmtId="0" fontId="70" fillId="4" borderId="208" xfId="0" quotePrefix="1" applyFont="1" applyFill="1" applyBorder="1" applyAlignment="1">
      <alignment horizontal="left" vertical="top" wrapText="1"/>
    </xf>
    <xf numFmtId="0" fontId="51" fillId="4" borderId="2" xfId="0" quotePrefix="1" applyFont="1" applyFill="1" applyBorder="1" applyAlignment="1">
      <alignment horizontal="left" vertical="top" wrapText="1"/>
    </xf>
    <xf numFmtId="0" fontId="51" fillId="4" borderId="3" xfId="0" quotePrefix="1" applyFont="1" applyFill="1" applyBorder="1" applyAlignment="1">
      <alignment horizontal="left" vertical="top" wrapText="1"/>
    </xf>
    <xf numFmtId="0" fontId="100" fillId="4" borderId="62" xfId="0" applyFont="1" applyFill="1" applyBorder="1" applyAlignment="1">
      <alignment horizontal="left" vertical="top" wrapText="1" indent="1"/>
    </xf>
    <xf numFmtId="0" fontId="100" fillId="4" borderId="20" xfId="0" applyFont="1" applyFill="1" applyBorder="1" applyAlignment="1">
      <alignment horizontal="left" vertical="top" wrapText="1" indent="1"/>
    </xf>
    <xf numFmtId="0" fontId="100" fillId="4" borderId="21" xfId="0" applyFont="1" applyFill="1" applyBorder="1" applyAlignment="1">
      <alignment horizontal="left" vertical="top" wrapText="1" indent="1"/>
    </xf>
    <xf numFmtId="0" fontId="51" fillId="4" borderId="208" xfId="0" quotePrefix="1" applyFont="1" applyFill="1" applyBorder="1" applyAlignment="1">
      <alignment horizontal="left" vertical="top" wrapText="1" indent="1"/>
    </xf>
    <xf numFmtId="0" fontId="51" fillId="4" borderId="2" xfId="0" quotePrefix="1" applyFont="1" applyFill="1" applyBorder="1" applyAlignment="1">
      <alignment horizontal="left" vertical="top" wrapText="1" indent="1"/>
    </xf>
    <xf numFmtId="0" fontId="51" fillId="4" borderId="3" xfId="0" quotePrefix="1" applyFont="1" applyFill="1" applyBorder="1" applyAlignment="1">
      <alignment horizontal="left" vertical="top" wrapText="1" indent="1"/>
    </xf>
    <xf numFmtId="0" fontId="71" fillId="4" borderId="162" xfId="0" quotePrefix="1" applyFont="1" applyFill="1" applyBorder="1" applyAlignment="1">
      <alignment horizontal="left" vertical="center" wrapText="1" indent="1"/>
    </xf>
    <xf numFmtId="0" fontId="71" fillId="4" borderId="0" xfId="0" quotePrefix="1" applyFont="1" applyFill="1" applyAlignment="1">
      <alignment horizontal="left" vertical="center" wrapText="1" indent="1"/>
    </xf>
    <xf numFmtId="0" fontId="100" fillId="4" borderId="224" xfId="0" quotePrefix="1" applyFont="1" applyFill="1" applyBorder="1" applyAlignment="1">
      <alignment horizontal="left" vertical="center" wrapText="1" indent="1"/>
    </xf>
    <xf numFmtId="0" fontId="100" fillId="4" borderId="6" xfId="0" quotePrefix="1" applyFont="1" applyFill="1" applyBorder="1" applyAlignment="1">
      <alignment horizontal="left" vertical="center" wrapText="1" indent="1"/>
    </xf>
    <xf numFmtId="0" fontId="100" fillId="4" borderId="7" xfId="0" quotePrefix="1" applyFont="1" applyFill="1" applyBorder="1" applyAlignment="1">
      <alignment horizontal="left" vertical="center" wrapText="1" indent="1"/>
    </xf>
    <xf numFmtId="0" fontId="70" fillId="0" borderId="62" xfId="0" quotePrefix="1" applyFont="1" applyBorder="1" applyAlignment="1">
      <alignment horizontal="left" vertical="top" wrapText="1" indent="1"/>
    </xf>
    <xf numFmtId="0" fontId="70" fillId="0" borderId="20" xfId="0" quotePrefix="1" applyFont="1" applyBorder="1" applyAlignment="1">
      <alignment horizontal="left" vertical="top" wrapText="1" indent="1"/>
    </xf>
    <xf numFmtId="0" fontId="70" fillId="0" borderId="21" xfId="0" quotePrefix="1" applyFont="1" applyBorder="1" applyAlignment="1">
      <alignment horizontal="left" vertical="top" wrapText="1" indent="1"/>
    </xf>
    <xf numFmtId="0" fontId="103" fillId="0" borderId="208" xfId="0" applyFont="1" applyBorder="1" applyAlignment="1">
      <alignment horizontal="left" vertical="top" wrapText="1" indent="1"/>
    </xf>
    <xf numFmtId="0" fontId="103" fillId="0" borderId="2" xfId="0" applyFont="1" applyBorder="1" applyAlignment="1">
      <alignment horizontal="left" vertical="top" wrapText="1" indent="1"/>
    </xf>
    <xf numFmtId="0" fontId="71" fillId="0" borderId="224" xfId="0" quotePrefix="1" applyFont="1" applyBorder="1" applyAlignment="1">
      <alignment horizontal="left" vertical="center" wrapText="1" indent="1"/>
    </xf>
    <xf numFmtId="0" fontId="71" fillId="0" borderId="6" xfId="0" quotePrefix="1" applyFont="1" applyBorder="1" applyAlignment="1">
      <alignment horizontal="left" vertical="center" wrapText="1" indent="1"/>
    </xf>
    <xf numFmtId="0" fontId="71" fillId="0" borderId="7" xfId="0" quotePrefix="1" applyFont="1" applyBorder="1" applyAlignment="1">
      <alignment horizontal="left" vertical="center" wrapText="1" indent="1"/>
    </xf>
    <xf numFmtId="0" fontId="97" fillId="0" borderId="1" xfId="0" quotePrefix="1" applyFont="1" applyBorder="1" applyAlignment="1">
      <alignment horizontal="center" vertical="center"/>
    </xf>
    <xf numFmtId="0" fontId="97" fillId="0" borderId="2" xfId="0" applyFont="1" applyBorder="1" applyAlignment="1">
      <alignment horizontal="center" vertical="center"/>
    </xf>
    <xf numFmtId="0" fontId="97" fillId="0" borderId="3" xfId="0" applyFont="1" applyBorder="1" applyAlignment="1">
      <alignment horizontal="center" vertical="center"/>
    </xf>
    <xf numFmtId="0" fontId="97" fillId="0" borderId="9" xfId="0" applyFont="1" applyBorder="1" applyAlignment="1">
      <alignment horizontal="center" vertical="center"/>
    </xf>
    <xf numFmtId="0" fontId="97" fillId="0" borderId="0" xfId="0" applyFont="1" applyAlignment="1">
      <alignment horizontal="center" vertical="center"/>
    </xf>
    <xf numFmtId="0" fontId="97" fillId="0" borderId="10" xfId="0" applyFont="1" applyBorder="1" applyAlignment="1">
      <alignment horizontal="center" vertical="center"/>
    </xf>
    <xf numFmtId="0" fontId="70" fillId="0" borderId="5" xfId="0" applyFont="1" applyBorder="1" applyAlignment="1">
      <alignment horizontal="center" vertical="center" wrapText="1"/>
    </xf>
    <xf numFmtId="0" fontId="70" fillId="0" borderId="6" xfId="0" applyFont="1" applyBorder="1" applyAlignment="1">
      <alignment horizontal="center" vertical="center" wrapText="1"/>
    </xf>
    <xf numFmtId="0" fontId="70" fillId="0" borderId="7" xfId="0" applyFont="1" applyBorder="1" applyAlignment="1">
      <alignment horizontal="center" vertical="center" wrapText="1"/>
    </xf>
    <xf numFmtId="0" fontId="98" fillId="18" borderId="19" xfId="0" applyFont="1" applyFill="1" applyBorder="1" applyAlignment="1" applyProtection="1">
      <alignment horizontal="center" vertical="center"/>
      <protection locked="0"/>
    </xf>
    <xf numFmtId="0" fontId="98" fillId="18" borderId="20" xfId="0" applyFont="1" applyFill="1" applyBorder="1" applyAlignment="1" applyProtection="1">
      <alignment horizontal="center" vertical="center"/>
      <protection locked="0"/>
    </xf>
    <xf numFmtId="0" fontId="98" fillId="18" borderId="21" xfId="0" applyFont="1" applyFill="1" applyBorder="1" applyAlignment="1" applyProtection="1">
      <alignment horizontal="center" vertical="center"/>
      <protection locked="0"/>
    </xf>
    <xf numFmtId="0" fontId="100" fillId="0" borderId="62" xfId="0" applyFont="1" applyBorder="1" applyAlignment="1">
      <alignment horizontal="left" vertical="center" wrapText="1" indent="1"/>
    </xf>
    <xf numFmtId="0" fontId="100" fillId="0" borderId="20" xfId="0" applyFont="1" applyBorder="1" applyAlignment="1">
      <alignment horizontal="left" vertical="center" wrapText="1" indent="1"/>
    </xf>
    <xf numFmtId="0" fontId="100" fillId="0" borderId="21" xfId="0" applyFont="1" applyBorder="1" applyAlignment="1">
      <alignment horizontal="left" vertical="center" wrapText="1" indent="1"/>
    </xf>
    <xf numFmtId="0" fontId="108" fillId="6" borderId="0" xfId="0" applyFont="1" applyFill="1" applyAlignment="1">
      <alignment horizontal="center" vertical="center"/>
    </xf>
    <xf numFmtId="49" fontId="27" fillId="18" borderId="0" xfId="62" applyAlignment="1">
      <alignment horizontal="center" vertical="center"/>
    </xf>
    <xf numFmtId="0" fontId="71" fillId="15" borderId="0" xfId="4" applyFont="1" applyFill="1" applyAlignment="1">
      <alignment horizontal="justify" vertical="center" wrapText="1"/>
    </xf>
    <xf numFmtId="0" fontId="73" fillId="26" borderId="0" xfId="0" applyFont="1" applyFill="1" applyAlignment="1">
      <alignment horizontal="right"/>
    </xf>
    <xf numFmtId="0" fontId="51" fillId="73" borderId="0" xfId="0" quotePrefix="1" applyFont="1" applyFill="1" applyAlignment="1">
      <alignment horizontal="center" vertical="center"/>
    </xf>
    <xf numFmtId="0" fontId="27" fillId="35" borderId="0" xfId="4">
      <alignment vertical="center"/>
    </xf>
    <xf numFmtId="49" fontId="78" fillId="18" borderId="0" xfId="62" applyFont="1" applyAlignment="1">
      <alignment horizontal="center" vertical="center"/>
    </xf>
    <xf numFmtId="0" fontId="6" fillId="24" borderId="148" xfId="0" applyFont="1" applyFill="1" applyBorder="1" applyAlignment="1" applyProtection="1">
      <alignment horizontal="left"/>
      <protection locked="0"/>
    </xf>
    <xf numFmtId="0" fontId="6" fillId="24" borderId="30" xfId="0" applyFont="1" applyFill="1" applyBorder="1" applyAlignment="1" applyProtection="1">
      <alignment horizontal="left"/>
      <protection locked="0"/>
    </xf>
    <xf numFmtId="0" fontId="6" fillId="24" borderId="83" xfId="0" applyFont="1" applyFill="1" applyBorder="1" applyAlignment="1" applyProtection="1">
      <alignment horizontal="left"/>
      <protection locked="0"/>
    </xf>
    <xf numFmtId="0" fontId="6" fillId="24" borderId="0" xfId="0" applyFont="1" applyFill="1" applyAlignment="1" applyProtection="1">
      <alignment horizontal="left"/>
      <protection locked="0"/>
    </xf>
    <xf numFmtId="0" fontId="75" fillId="26" borderId="0" xfId="0" quotePrefix="1" applyFont="1" applyFill="1" applyAlignment="1">
      <alignment horizontal="right" vertical="center"/>
    </xf>
    <xf numFmtId="0" fontId="75" fillId="26" borderId="0" xfId="0" applyFont="1" applyFill="1" applyAlignment="1">
      <alignment horizontal="right" vertical="center"/>
    </xf>
    <xf numFmtId="165" fontId="50" fillId="3" borderId="0" xfId="0" applyNumberFormat="1" applyFont="1" applyFill="1" applyAlignment="1" applyProtection="1">
      <alignment horizontal="left" vertical="center" wrapText="1"/>
      <protection locked="0"/>
    </xf>
    <xf numFmtId="0" fontId="73" fillId="26" borderId="0" xfId="0" applyFont="1" applyFill="1" applyAlignment="1">
      <alignment horizontal="right" vertical="center"/>
    </xf>
    <xf numFmtId="0" fontId="50" fillId="24" borderId="0" xfId="0" applyFont="1" applyFill="1" applyAlignment="1" applyProtection="1">
      <alignment vertical="center"/>
      <protection locked="0"/>
    </xf>
    <xf numFmtId="0" fontId="51" fillId="3" borderId="0" xfId="0" applyFont="1" applyFill="1" applyAlignment="1">
      <alignment horizontal="center" vertical="top"/>
    </xf>
    <xf numFmtId="0" fontId="6" fillId="23" borderId="0" xfId="0" quotePrefix="1" applyFont="1" applyFill="1" applyProtection="1">
      <protection locked="0"/>
    </xf>
    <xf numFmtId="170" fontId="6" fillId="23" borderId="0" xfId="0" quotePrefix="1" applyNumberFormat="1" applyFont="1" applyFill="1" applyAlignment="1" applyProtection="1">
      <alignment horizontal="left"/>
      <protection locked="0"/>
    </xf>
    <xf numFmtId="0" fontId="28" fillId="26" borderId="0" xfId="0" applyFont="1" applyFill="1" applyAlignment="1">
      <alignment horizontal="right" vertical="top"/>
    </xf>
    <xf numFmtId="14" fontId="4" fillId="24" borderId="0" xfId="0" quotePrefix="1" applyNumberFormat="1" applyFont="1" applyFill="1" applyAlignment="1" applyProtection="1">
      <alignment horizontal="left" vertical="top" indent="1"/>
      <protection locked="0"/>
    </xf>
    <xf numFmtId="14" fontId="4" fillId="24" borderId="0" xfId="0" applyNumberFormat="1" applyFont="1" applyFill="1" applyAlignment="1" applyProtection="1">
      <alignment horizontal="left" vertical="top" indent="1"/>
      <protection locked="0"/>
    </xf>
    <xf numFmtId="0" fontId="51" fillId="24" borderId="0" xfId="0" applyFont="1" applyFill="1" applyAlignment="1" applyProtection="1">
      <alignment horizontal="center" vertical="top"/>
      <protection locked="0"/>
    </xf>
    <xf numFmtId="0" fontId="4" fillId="3" borderId="0" xfId="0" applyFont="1" applyFill="1" applyAlignment="1">
      <alignment horizontal="left" vertical="top" indent="1"/>
    </xf>
    <xf numFmtId="0" fontId="6" fillId="24" borderId="0" xfId="0" applyFont="1" applyFill="1" applyAlignment="1" applyProtection="1">
      <alignment horizontal="left" vertical="top" indent="1"/>
      <protection locked="0"/>
    </xf>
    <xf numFmtId="0" fontId="28" fillId="26" borderId="0" xfId="0" applyFont="1" applyFill="1" applyAlignment="1">
      <alignment horizontal="right" vertical="top" wrapText="1"/>
    </xf>
    <xf numFmtId="0" fontId="4" fillId="24" borderId="0" xfId="0" applyFont="1" applyFill="1" applyAlignment="1" applyProtection="1">
      <alignment horizontal="left" vertical="top" indent="1"/>
      <protection locked="0"/>
    </xf>
    <xf numFmtId="49" fontId="3" fillId="24" borderId="58" xfId="11" applyBorder="1" applyAlignment="1">
      <alignment horizontal="center" vertical="center"/>
      <protection locked="0"/>
    </xf>
    <xf numFmtId="49" fontId="3" fillId="24" borderId="64" xfId="11" applyBorder="1" applyAlignment="1">
      <alignment horizontal="center" vertical="center"/>
      <protection locked="0"/>
    </xf>
    <xf numFmtId="49" fontId="3" fillId="24" borderId="65" xfId="11" applyBorder="1" applyAlignment="1">
      <alignment horizontal="center" vertical="center"/>
      <protection locked="0"/>
    </xf>
    <xf numFmtId="0" fontId="19" fillId="30" borderId="27" xfId="0" applyFont="1" applyFill="1" applyBorder="1" applyAlignment="1">
      <alignment horizontal="center" vertical="center" wrapText="1"/>
    </xf>
    <xf numFmtId="0" fontId="19" fillId="30" borderId="55" xfId="0" applyFont="1" applyFill="1" applyBorder="1" applyAlignment="1">
      <alignment horizontal="center" vertical="center" wrapText="1"/>
    </xf>
    <xf numFmtId="0" fontId="19" fillId="30" borderId="66" xfId="0" applyFont="1" applyFill="1" applyBorder="1" applyAlignment="1">
      <alignment horizontal="center" vertical="center" wrapText="1"/>
    </xf>
    <xf numFmtId="0" fontId="19" fillId="30" borderId="42" xfId="0" applyFont="1" applyFill="1" applyBorder="1" applyAlignment="1">
      <alignment horizontal="center" vertical="center" wrapText="1"/>
    </xf>
    <xf numFmtId="0" fontId="19" fillId="30" borderId="50" xfId="0" applyFont="1" applyFill="1" applyBorder="1" applyAlignment="1">
      <alignment horizontal="center" vertical="center" wrapText="1"/>
    </xf>
    <xf numFmtId="0" fontId="19" fillId="30" borderId="68" xfId="0" applyFont="1" applyFill="1" applyBorder="1" applyAlignment="1">
      <alignment horizontal="center" vertical="center" wrapText="1"/>
    </xf>
    <xf numFmtId="0" fontId="19" fillId="10" borderId="154" xfId="0" applyFont="1" applyFill="1" applyBorder="1" applyAlignment="1">
      <alignment horizontal="center" vertical="center" wrapText="1"/>
    </xf>
    <xf numFmtId="0" fontId="19" fillId="10" borderId="151" xfId="0" applyFont="1" applyFill="1" applyBorder="1" applyAlignment="1">
      <alignment horizontal="center" vertical="center" wrapText="1"/>
    </xf>
    <xf numFmtId="0" fontId="19" fillId="10" borderId="152" xfId="0" applyFont="1" applyFill="1" applyBorder="1" applyAlignment="1">
      <alignment horizontal="center" vertical="center" wrapText="1"/>
    </xf>
    <xf numFmtId="49" fontId="116" fillId="30" borderId="131" xfId="64" applyBorder="1">
      <alignment horizontal="center" vertical="center" wrapText="1"/>
    </xf>
    <xf numFmtId="49" fontId="116" fillId="30" borderId="200" xfId="64" applyBorder="1">
      <alignment horizontal="center" vertical="center" wrapText="1"/>
    </xf>
    <xf numFmtId="49" fontId="116" fillId="30" borderId="201" xfId="64" applyBorder="1">
      <alignment horizontal="center" vertical="center" wrapText="1"/>
    </xf>
    <xf numFmtId="0" fontId="19" fillId="10" borderId="121" xfId="0" applyFont="1" applyFill="1" applyBorder="1" applyAlignment="1">
      <alignment horizontal="center" vertical="center" wrapText="1"/>
    </xf>
    <xf numFmtId="0" fontId="19" fillId="10" borderId="149" xfId="0" applyFont="1" applyFill="1" applyBorder="1" applyAlignment="1">
      <alignment horizontal="center" vertical="center" wrapText="1"/>
    </xf>
    <xf numFmtId="0" fontId="19" fillId="10" borderId="74" xfId="0" applyFont="1" applyFill="1" applyBorder="1" applyAlignment="1">
      <alignment horizontal="center" vertical="center" wrapText="1"/>
    </xf>
    <xf numFmtId="0" fontId="3" fillId="24" borderId="153" xfId="11" applyNumberFormat="1" applyBorder="1" applyAlignment="1">
      <alignment horizontal="left" vertical="center" indent="1"/>
      <protection locked="0"/>
    </xf>
    <xf numFmtId="0" fontId="3" fillId="24" borderId="85" xfId="11" applyNumberFormat="1" applyBorder="1" applyAlignment="1">
      <alignment horizontal="left" vertical="center" indent="1"/>
      <protection locked="0"/>
    </xf>
    <xf numFmtId="169" fontId="68" fillId="103" borderId="19" xfId="2" applyBorder="1" applyAlignment="1">
      <alignment horizontal="right" vertical="center" indent="2"/>
      <protection locked="0"/>
    </xf>
    <xf numFmtId="169" fontId="68" fillId="103" borderId="20" xfId="2" applyBorder="1" applyAlignment="1">
      <alignment horizontal="right" vertical="center" indent="2"/>
      <protection locked="0"/>
    </xf>
    <xf numFmtId="0" fontId="118" fillId="0" borderId="6" xfId="0" applyFont="1" applyBorder="1" applyAlignment="1">
      <alignment horizontal="center"/>
    </xf>
    <xf numFmtId="0" fontId="118" fillId="0" borderId="7" xfId="0" applyFont="1" applyBorder="1" applyAlignment="1">
      <alignment horizontal="center"/>
    </xf>
    <xf numFmtId="49" fontId="3" fillId="24" borderId="122" xfId="11" applyBorder="1" applyAlignment="1">
      <alignment horizontal="left" vertical="center" indent="1"/>
      <protection locked="0"/>
    </xf>
    <xf numFmtId="49" fontId="3" fillId="24" borderId="76" xfId="11" applyBorder="1" applyAlignment="1">
      <alignment horizontal="left" vertical="center" indent="1"/>
      <protection locked="0"/>
    </xf>
    <xf numFmtId="0" fontId="3" fillId="0" borderId="5" xfId="59" applyBorder="1" applyAlignment="1">
      <alignment horizontal="left" vertical="center" indent="1"/>
    </xf>
    <xf numFmtId="0" fontId="3" fillId="0" borderId="7" xfId="59" applyBorder="1" applyAlignment="1">
      <alignment horizontal="left" vertical="center" indent="1"/>
    </xf>
    <xf numFmtId="0" fontId="3" fillId="0" borderId="34" xfId="59" applyBorder="1">
      <alignment horizontal="left" vertical="center" wrapText="1" indent="1"/>
    </xf>
    <xf numFmtId="0" fontId="3" fillId="0" borderId="67" xfId="59" applyBorder="1">
      <alignment horizontal="left" vertical="center" wrapText="1" indent="1"/>
    </xf>
    <xf numFmtId="0" fontId="3" fillId="0" borderId="27" xfId="59" applyBorder="1">
      <alignment horizontal="left" vertical="center" wrapText="1" indent="1"/>
    </xf>
    <xf numFmtId="0" fontId="3" fillId="0" borderId="66" xfId="59" applyBorder="1">
      <alignment horizontal="left" vertical="center" wrapText="1" indent="1"/>
    </xf>
    <xf numFmtId="0" fontId="3" fillId="0" borderId="150" xfId="59" applyBorder="1">
      <alignment horizontal="left" vertical="center" wrapText="1" indent="1"/>
    </xf>
    <xf numFmtId="0" fontId="3" fillId="0" borderId="193" xfId="59" applyBorder="1">
      <alignment horizontal="left" vertical="center" wrapText="1" indent="1"/>
    </xf>
    <xf numFmtId="0" fontId="24" fillId="4" borderId="91" xfId="0" applyFont="1" applyFill="1" applyBorder="1" applyAlignment="1">
      <alignment horizontal="left" vertical="center" wrapText="1" indent="1"/>
    </xf>
    <xf numFmtId="0" fontId="24" fillId="4" borderId="94" xfId="0" applyFont="1" applyFill="1" applyBorder="1" applyAlignment="1">
      <alignment horizontal="left" vertical="center" wrapText="1" indent="1"/>
    </xf>
    <xf numFmtId="49" fontId="120" fillId="15" borderId="19" xfId="0" applyNumberFormat="1" applyFont="1" applyFill="1" applyBorder="1" applyAlignment="1">
      <alignment horizontal="right" vertical="center" indent="2"/>
    </xf>
    <xf numFmtId="49" fontId="120" fillId="15" borderId="20" xfId="0" applyNumberFormat="1" applyFont="1" applyFill="1" applyBorder="1" applyAlignment="1">
      <alignment horizontal="right" vertical="center" indent="2"/>
    </xf>
    <xf numFmtId="0" fontId="3" fillId="0" borderId="60" xfId="59">
      <alignment horizontal="left" vertical="center" wrapText="1" indent="1"/>
    </xf>
    <xf numFmtId="0" fontId="3" fillId="0" borderId="318" xfId="59" applyBorder="1">
      <alignment horizontal="left" vertical="center" wrapText="1" indent="1"/>
    </xf>
    <xf numFmtId="0" fontId="3" fillId="0" borderId="230" xfId="59" applyBorder="1">
      <alignment horizontal="left" vertical="center" wrapText="1" indent="1"/>
    </xf>
    <xf numFmtId="0" fontId="3" fillId="0" borderId="317" xfId="59" applyBorder="1">
      <alignment horizontal="left" vertical="center" wrapText="1" indent="1"/>
    </xf>
    <xf numFmtId="0" fontId="24" fillId="4" borderId="228" xfId="0" applyFont="1" applyFill="1" applyBorder="1" applyAlignment="1">
      <alignment horizontal="left" vertical="center" wrapText="1" indent="1"/>
    </xf>
    <xf numFmtId="0" fontId="24" fillId="4" borderId="144" xfId="0" applyFont="1" applyFill="1" applyBorder="1" applyAlignment="1">
      <alignment horizontal="left" vertical="center" wrapText="1" indent="1"/>
    </xf>
    <xf numFmtId="49" fontId="3" fillId="24" borderId="122" xfId="11" quotePrefix="1" applyBorder="1" applyAlignment="1">
      <alignment horizontal="left" vertical="center" indent="1"/>
      <protection locked="0"/>
    </xf>
    <xf numFmtId="49" fontId="3" fillId="24" borderId="70" xfId="11" quotePrefix="1" applyBorder="1" applyAlignment="1">
      <alignment horizontal="left" vertical="center" indent="1"/>
      <protection locked="0"/>
    </xf>
    <xf numFmtId="49" fontId="3" fillId="24" borderId="153" xfId="11" quotePrefix="1" applyBorder="1" applyAlignment="1">
      <alignment horizontal="left" vertical="center" indent="1"/>
      <protection locked="0"/>
    </xf>
    <xf numFmtId="49" fontId="3" fillId="24" borderId="84" xfId="11" quotePrefix="1" applyBorder="1" applyAlignment="1">
      <alignment horizontal="left" vertical="center" indent="1"/>
      <protection locked="0"/>
    </xf>
    <xf numFmtId="0" fontId="19" fillId="10" borderId="247" xfId="0" applyFont="1" applyFill="1" applyBorder="1" applyAlignment="1">
      <alignment horizontal="center" vertical="center" wrapText="1"/>
    </xf>
    <xf numFmtId="169" fontId="68" fillId="103" borderId="19" xfId="2" applyBorder="1">
      <alignment horizontal="right" vertical="center"/>
      <protection locked="0"/>
    </xf>
    <xf numFmtId="169" fontId="68" fillId="103" borderId="20" xfId="2" applyBorder="1">
      <alignment horizontal="right" vertical="center"/>
      <protection locked="0"/>
    </xf>
    <xf numFmtId="0" fontId="3" fillId="0" borderId="6" xfId="59" applyBorder="1" applyAlignment="1">
      <alignment horizontal="left" vertical="center" indent="1"/>
    </xf>
    <xf numFmtId="49" fontId="116" fillId="30" borderId="40" xfId="64" applyBorder="1">
      <alignment horizontal="center" vertical="center" wrapText="1"/>
    </xf>
    <xf numFmtId="49" fontId="116" fillId="30" borderId="71" xfId="64" applyBorder="1">
      <alignment horizontal="center" vertical="center" wrapText="1"/>
    </xf>
    <xf numFmtId="49" fontId="116" fillId="30" borderId="72" xfId="64" applyBorder="1">
      <alignment horizontal="center" vertical="center" wrapText="1"/>
    </xf>
    <xf numFmtId="0" fontId="9" fillId="30" borderId="121" xfId="3" applyBorder="1" applyAlignment="1">
      <alignment horizontal="center" vertical="center" wrapText="1"/>
    </xf>
    <xf numFmtId="0" fontId="9" fillId="30" borderId="149" xfId="3" applyBorder="1" applyAlignment="1">
      <alignment horizontal="center" vertical="center" wrapText="1"/>
    </xf>
    <xf numFmtId="0" fontId="9" fillId="30" borderId="247" xfId="3" applyBorder="1" applyAlignment="1">
      <alignment horizontal="center" vertical="center" wrapText="1"/>
    </xf>
    <xf numFmtId="0" fontId="9" fillId="30" borderId="27" xfId="3" applyBorder="1" applyAlignment="1">
      <alignment horizontal="center" vertical="center" wrapText="1"/>
    </xf>
    <xf numFmtId="0" fontId="9" fillId="30" borderId="26" xfId="3" applyBorder="1" applyAlignment="1">
      <alignment horizontal="center" vertical="center" wrapText="1"/>
    </xf>
    <xf numFmtId="0" fontId="19" fillId="30" borderId="291" xfId="0" applyFont="1" applyFill="1" applyBorder="1" applyAlignment="1">
      <alignment horizontal="center" vertical="center" wrapText="1"/>
    </xf>
    <xf numFmtId="0" fontId="19" fillId="30" borderId="229" xfId="0" applyFont="1" applyFill="1" applyBorder="1" applyAlignment="1">
      <alignment horizontal="center" vertical="center" wrapText="1"/>
    </xf>
    <xf numFmtId="0" fontId="19" fillId="30" borderId="130" xfId="0" applyFont="1" applyFill="1" applyBorder="1" applyAlignment="1">
      <alignment horizontal="center" vertical="center" wrapText="1"/>
    </xf>
    <xf numFmtId="49" fontId="3" fillId="24" borderId="121" xfId="11" applyBorder="1" applyAlignment="1">
      <alignment vertical="top"/>
      <protection locked="0"/>
    </xf>
    <xf numFmtId="49" fontId="3" fillId="24" borderId="149" xfId="11" applyBorder="1" applyAlignment="1">
      <alignment vertical="top"/>
      <protection locked="0"/>
    </xf>
    <xf numFmtId="49" fontId="3" fillId="24" borderId="122" xfId="11" applyBorder="1" applyAlignment="1">
      <alignment vertical="top"/>
      <protection locked="0"/>
    </xf>
    <xf numFmtId="49" fontId="3" fillId="24" borderId="70" xfId="11" applyBorder="1" applyAlignment="1">
      <alignment vertical="top"/>
      <protection locked="0"/>
    </xf>
    <xf numFmtId="49" fontId="3" fillId="24" borderId="17" xfId="11" applyBorder="1" applyAlignment="1">
      <alignment vertical="top"/>
      <protection locked="0"/>
    </xf>
    <xf numFmtId="49" fontId="3" fillId="24" borderId="77" xfId="11" applyBorder="1" applyAlignment="1">
      <alignment vertical="top"/>
      <protection locked="0"/>
    </xf>
    <xf numFmtId="0" fontId="19" fillId="30" borderId="59" xfId="0" applyFont="1" applyFill="1" applyBorder="1" applyAlignment="1">
      <alignment horizontal="center" vertical="center" wrapText="1"/>
    </xf>
    <xf numFmtId="0" fontId="19" fillId="30" borderId="30" xfId="0" applyFont="1" applyFill="1" applyBorder="1" applyAlignment="1">
      <alignment horizontal="center" vertical="center" wrapText="1"/>
    </xf>
    <xf numFmtId="0" fontId="19" fillId="30" borderId="112" xfId="0" applyFont="1" applyFill="1" applyBorder="1" applyAlignment="1">
      <alignment horizontal="center" vertical="center" wrapText="1"/>
    </xf>
    <xf numFmtId="0" fontId="19" fillId="30" borderId="150" xfId="0" applyFont="1" applyFill="1" applyBorder="1" applyAlignment="1">
      <alignment horizontal="center" vertical="center" wrapText="1"/>
    </xf>
    <xf numFmtId="0" fontId="19" fillId="30" borderId="86" xfId="0" applyFont="1" applyFill="1" applyBorder="1" applyAlignment="1">
      <alignment horizontal="center" vertical="center" wrapText="1"/>
    </xf>
    <xf numFmtId="0" fontId="19" fillId="30" borderId="193" xfId="0" applyFont="1" applyFill="1" applyBorder="1" applyAlignment="1">
      <alignment horizontal="center" vertical="center" wrapText="1"/>
    </xf>
    <xf numFmtId="49" fontId="116" fillId="30" borderId="19" xfId="64" applyBorder="1">
      <alignment horizontal="center" vertical="center" wrapText="1"/>
    </xf>
    <xf numFmtId="49" fontId="116" fillId="30" borderId="20" xfId="64" applyBorder="1">
      <alignment horizontal="center" vertical="center" wrapText="1"/>
    </xf>
    <xf numFmtId="49" fontId="116" fillId="30" borderId="21" xfId="64" applyBorder="1">
      <alignment horizontal="center" vertical="center" wrapText="1"/>
    </xf>
    <xf numFmtId="0" fontId="126" fillId="95" borderId="131" xfId="0" applyFont="1" applyFill="1" applyBorder="1" applyAlignment="1">
      <alignment horizontal="center" vertical="center" wrapText="1"/>
    </xf>
    <xf numFmtId="0" fontId="126" fillId="95" borderId="200" xfId="0" applyFont="1" applyFill="1" applyBorder="1" applyAlignment="1">
      <alignment horizontal="center" vertical="center"/>
    </xf>
    <xf numFmtId="0" fontId="126" fillId="95" borderId="201" xfId="0" applyFont="1" applyFill="1" applyBorder="1" applyAlignment="1">
      <alignment horizontal="center" vertical="center"/>
    </xf>
    <xf numFmtId="0" fontId="127" fillId="95" borderId="9" xfId="0" applyFont="1" applyFill="1" applyBorder="1" applyAlignment="1">
      <alignment horizontal="center" vertical="center" wrapText="1"/>
    </xf>
    <xf numFmtId="0" fontId="127" fillId="95" borderId="0" xfId="0" applyFont="1" applyFill="1" applyAlignment="1">
      <alignment horizontal="center" vertical="center" wrapText="1"/>
    </xf>
    <xf numFmtId="0" fontId="128" fillId="96" borderId="10" xfId="0" applyFont="1" applyFill="1" applyBorder="1" applyAlignment="1" applyProtection="1">
      <alignment horizontal="center" vertical="center"/>
      <protection locked="0"/>
    </xf>
    <xf numFmtId="0" fontId="128" fillId="96" borderId="7" xfId="0" applyFont="1" applyFill="1" applyBorder="1" applyAlignment="1" applyProtection="1">
      <alignment horizontal="center" vertical="center"/>
      <protection locked="0"/>
    </xf>
    <xf numFmtId="0" fontId="129" fillId="95" borderId="40" xfId="0" applyFont="1" applyFill="1" applyBorder="1" applyAlignment="1">
      <alignment horizontal="center" vertical="center" wrapText="1"/>
    </xf>
    <xf numFmtId="0" fontId="129" fillId="95" borderId="71" xfId="0" applyFont="1" applyFill="1" applyBorder="1" applyAlignment="1">
      <alignment horizontal="center" vertical="center" wrapText="1"/>
    </xf>
    <xf numFmtId="0" fontId="127" fillId="95" borderId="5" xfId="0" applyFont="1" applyFill="1" applyBorder="1" applyAlignment="1">
      <alignment horizontal="center" vertical="center" wrapText="1"/>
    </xf>
    <xf numFmtId="0" fontId="127" fillId="95" borderId="6" xfId="0" applyFont="1" applyFill="1" applyBorder="1" applyAlignment="1">
      <alignment horizontal="center" vertical="center" wrapText="1"/>
    </xf>
    <xf numFmtId="49" fontId="19" fillId="10" borderId="150" xfId="1" applyBorder="1" applyAlignment="1">
      <alignment horizontal="center" vertical="center" wrapText="1"/>
    </xf>
    <xf numFmtId="49" fontId="19" fillId="10" borderId="281" xfId="1" applyBorder="1" applyAlignment="1">
      <alignment horizontal="center" vertical="center" wrapText="1"/>
    </xf>
    <xf numFmtId="49" fontId="19" fillId="10" borderId="86" xfId="1" applyBorder="1" applyAlignment="1">
      <alignment horizontal="center" vertical="center" wrapText="1"/>
    </xf>
    <xf numFmtId="49" fontId="19" fillId="10" borderId="59" xfId="1" applyBorder="1" applyAlignment="1">
      <alignment horizontal="center" vertical="center" wrapText="1"/>
    </xf>
    <xf numFmtId="49" fontId="19" fillId="10" borderId="148" xfId="1" applyBorder="1" applyAlignment="1">
      <alignment horizontal="center" vertical="center" wrapText="1"/>
    </xf>
    <xf numFmtId="49" fontId="19" fillId="10" borderId="30" xfId="1" applyBorder="1" applyAlignment="1">
      <alignment horizontal="center" vertical="center" wrapText="1"/>
    </xf>
    <xf numFmtId="49" fontId="19" fillId="10" borderId="27" xfId="1" applyBorder="1" applyAlignment="1">
      <alignment horizontal="center" vertical="center" wrapText="1"/>
    </xf>
    <xf numFmtId="49" fontId="19" fillId="10" borderId="247" xfId="1" applyBorder="1" applyAlignment="1">
      <alignment horizontal="center" vertical="center" wrapText="1"/>
    </xf>
    <xf numFmtId="49" fontId="19" fillId="10" borderId="55" xfId="1" applyBorder="1" applyAlignment="1">
      <alignment horizontal="center" vertical="center" wrapText="1"/>
    </xf>
    <xf numFmtId="49" fontId="19" fillId="10" borderId="66" xfId="1" applyBorder="1" applyAlignment="1">
      <alignment horizontal="center" vertical="center" wrapText="1"/>
    </xf>
    <xf numFmtId="49" fontId="19" fillId="10" borderId="193" xfId="1" applyBorder="1" applyAlignment="1">
      <alignment horizontal="center" vertical="center" wrapText="1"/>
    </xf>
    <xf numFmtId="49" fontId="19" fillId="93" borderId="267" xfId="1" applyFill="1" applyBorder="1" applyAlignment="1">
      <alignment horizontal="center" vertical="center" wrapText="1"/>
    </xf>
    <xf numFmtId="49" fontId="19" fillId="93" borderId="268" xfId="1" applyFill="1" applyBorder="1" applyAlignment="1">
      <alignment horizontal="center" vertical="center" wrapText="1"/>
    </xf>
    <xf numFmtId="49" fontId="19" fillId="93" borderId="297" xfId="1" applyFill="1" applyBorder="1" applyAlignment="1">
      <alignment horizontal="center" vertical="center" wrapText="1"/>
    </xf>
    <xf numFmtId="49" fontId="19" fillId="93" borderId="269" xfId="1" applyFill="1" applyBorder="1" applyAlignment="1">
      <alignment horizontal="center" vertical="center" wrapText="1"/>
    </xf>
    <xf numFmtId="49" fontId="19" fillId="93" borderId="270" xfId="1" applyFill="1" applyBorder="1" applyAlignment="1">
      <alignment horizontal="center" vertical="center" wrapText="1"/>
    </xf>
    <xf numFmtId="49" fontId="19" fillId="93" borderId="298" xfId="1" applyFill="1" applyBorder="1" applyAlignment="1">
      <alignment horizontal="center" vertical="center" wrapText="1"/>
    </xf>
    <xf numFmtId="49" fontId="19" fillId="10" borderId="214" xfId="1" applyBorder="1" applyAlignment="1">
      <alignment horizontal="center" vertical="center" wrapText="1"/>
    </xf>
    <xf numFmtId="49" fontId="19" fillId="10" borderId="215" xfId="1" applyBorder="1" applyAlignment="1">
      <alignment horizontal="center" vertical="center" wrapText="1"/>
    </xf>
    <xf numFmtId="49" fontId="19" fillId="10" borderId="216" xfId="1" applyBorder="1" applyAlignment="1">
      <alignment horizontal="center" vertical="center" wrapText="1"/>
    </xf>
    <xf numFmtId="49" fontId="19" fillId="10" borderId="217" xfId="1" applyBorder="1" applyAlignment="1">
      <alignment horizontal="center" vertical="center" wrapText="1"/>
    </xf>
    <xf numFmtId="49" fontId="19" fillId="10" borderId="218" xfId="1" applyBorder="1" applyAlignment="1">
      <alignment horizontal="center" vertical="center" wrapText="1"/>
    </xf>
    <xf numFmtId="49" fontId="19" fillId="10" borderId="219" xfId="1" applyBorder="1" applyAlignment="1">
      <alignment horizontal="center" vertical="center" wrapText="1"/>
    </xf>
    <xf numFmtId="0" fontId="9" fillId="30" borderId="154" xfId="3" applyBorder="1" applyAlignment="1">
      <alignment horizontal="center" vertical="center" wrapText="1"/>
    </xf>
    <xf numFmtId="0" fontId="9" fillId="30" borderId="281" xfId="3" applyBorder="1" applyAlignment="1">
      <alignment horizontal="center" vertical="center" wrapText="1"/>
    </xf>
    <xf numFmtId="0" fontId="2" fillId="2" borderId="9" xfId="0" applyFont="1" applyFill="1" applyBorder="1" applyAlignment="1">
      <alignment horizontal="center" vertical="top"/>
    </xf>
    <xf numFmtId="0" fontId="2" fillId="2" borderId="0" xfId="0" applyFont="1" applyFill="1" applyAlignment="1">
      <alignment horizontal="center" vertical="top"/>
    </xf>
    <xf numFmtId="0" fontId="0" fillId="0" borderId="0" xfId="0"/>
    <xf numFmtId="0" fontId="94" fillId="79" borderId="0" xfId="0" applyFont="1" applyFill="1" applyAlignment="1">
      <alignment horizontal="right" vertical="center" wrapText="1"/>
    </xf>
    <xf numFmtId="0" fontId="94" fillId="80" borderId="0" xfId="0" applyFont="1" applyFill="1" applyAlignment="1">
      <alignment horizontal="right" vertical="center"/>
    </xf>
    <xf numFmtId="0" fontId="94" fillId="80" borderId="10" xfId="0" applyFont="1" applyFill="1" applyBorder="1" applyAlignment="1">
      <alignment horizontal="right" vertical="center"/>
    </xf>
    <xf numFmtId="0" fontId="95" fillId="76" borderId="10" xfId="0" applyFont="1" applyFill="1" applyBorder="1" applyAlignment="1">
      <alignment horizontal="right" vertical="center" wrapText="1"/>
    </xf>
    <xf numFmtId="0" fontId="95" fillId="76" borderId="0" xfId="0" applyFont="1" applyFill="1" applyAlignment="1">
      <alignment horizontal="right" vertical="center" wrapText="1"/>
    </xf>
    <xf numFmtId="0" fontId="94" fillId="72" borderId="177" xfId="0" applyFont="1" applyFill="1" applyBorder="1" applyAlignment="1">
      <alignment horizontal="right" vertical="center" wrapText="1"/>
    </xf>
    <xf numFmtId="0" fontId="94" fillId="72" borderId="179" xfId="0" applyFont="1" applyFill="1" applyBorder="1" applyAlignment="1">
      <alignment horizontal="right" vertical="center" wrapText="1"/>
    </xf>
    <xf numFmtId="0" fontId="94" fillId="72" borderId="180" xfId="0" applyFont="1" applyFill="1" applyBorder="1" applyAlignment="1">
      <alignment horizontal="right" vertical="center" wrapText="1"/>
    </xf>
    <xf numFmtId="0" fontId="94" fillId="72" borderId="10" xfId="0" applyFont="1" applyFill="1" applyBorder="1" applyAlignment="1">
      <alignment horizontal="right" vertical="center" wrapText="1"/>
    </xf>
    <xf numFmtId="0" fontId="94" fillId="72" borderId="169" xfId="0" applyFont="1" applyFill="1" applyBorder="1" applyAlignment="1">
      <alignment horizontal="right" vertical="center" wrapText="1"/>
    </xf>
    <xf numFmtId="0" fontId="94" fillId="72" borderId="173" xfId="0" applyFont="1" applyFill="1" applyBorder="1" applyAlignment="1">
      <alignment horizontal="right" vertical="center" wrapText="1"/>
    </xf>
    <xf numFmtId="0" fontId="8" fillId="76" borderId="0" xfId="0" applyFont="1" applyFill="1" applyAlignment="1">
      <alignment horizontal="right" vertical="center" wrapText="1"/>
    </xf>
    <xf numFmtId="0" fontId="94" fillId="77" borderId="10" xfId="0" applyFont="1" applyFill="1" applyBorder="1" applyAlignment="1">
      <alignment horizontal="right" vertical="center" wrapText="1"/>
    </xf>
    <xf numFmtId="0" fontId="94" fillId="77" borderId="0" xfId="0" applyFont="1" applyFill="1" applyAlignment="1">
      <alignment horizontal="right" vertical="center" wrapText="1"/>
    </xf>
    <xf numFmtId="0" fontId="0" fillId="4" borderId="45" xfId="0" applyFill="1" applyBorder="1" applyAlignment="1">
      <alignment vertical="center"/>
    </xf>
    <xf numFmtId="0" fontId="0" fillId="4" borderId="8" xfId="0" applyFill="1" applyBorder="1" applyAlignment="1">
      <alignment vertical="center"/>
    </xf>
    <xf numFmtId="0" fontId="0" fillId="4" borderId="43" xfId="0" applyFill="1" applyBorder="1" applyAlignment="1">
      <alignment vertical="center"/>
    </xf>
    <xf numFmtId="0" fontId="0" fillId="4" borderId="4" xfId="0" applyFill="1" applyBorder="1" applyAlignment="1">
      <alignment vertical="center"/>
    </xf>
    <xf numFmtId="0" fontId="6" fillId="17" borderId="19" xfId="0" applyFont="1" applyFill="1" applyBorder="1" applyAlignment="1">
      <alignment horizontal="left" vertical="top" wrapText="1"/>
    </xf>
    <xf numFmtId="0" fontId="6" fillId="17" borderId="20" xfId="0" applyFont="1" applyFill="1" applyBorder="1" applyAlignment="1">
      <alignment horizontal="left" vertical="top" wrapText="1"/>
    </xf>
    <xf numFmtId="0" fontId="4" fillId="5" borderId="0" xfId="0" applyFont="1" applyFill="1" applyAlignment="1" applyProtection="1">
      <alignment horizontal="left" wrapText="1"/>
      <protection locked="0"/>
    </xf>
    <xf numFmtId="0" fontId="4" fillId="5" borderId="10" xfId="0" applyFont="1" applyFill="1" applyBorder="1" applyAlignment="1" applyProtection="1">
      <alignment horizontal="left" wrapText="1"/>
      <protection locked="0"/>
    </xf>
    <xf numFmtId="0" fontId="3" fillId="11" borderId="82" xfId="0" applyFont="1" applyFill="1" applyBorder="1" applyAlignment="1">
      <alignment horizontal="left" vertical="center" indent="4"/>
    </xf>
    <xf numFmtId="0" fontId="3" fillId="11" borderId="59" xfId="0" applyFont="1" applyFill="1" applyBorder="1" applyAlignment="1">
      <alignment horizontal="left" vertical="center" indent="4"/>
    </xf>
    <xf numFmtId="0" fontId="0" fillId="0" borderId="195" xfId="0" applyBorder="1" applyAlignment="1">
      <alignment horizontal="right" vertical="center"/>
    </xf>
    <xf numFmtId="0" fontId="0" fillId="0" borderId="162" xfId="0" applyBorder="1" applyAlignment="1">
      <alignment horizontal="right" vertical="center"/>
    </xf>
    <xf numFmtId="0" fontId="0" fillId="0" borderId="196" xfId="0" applyBorder="1" applyAlignment="1">
      <alignment horizontal="right" vertical="center"/>
    </xf>
    <xf numFmtId="0" fontId="0" fillId="0" borderId="157" xfId="0" applyBorder="1" applyAlignment="1">
      <alignment horizontal="right" vertical="center"/>
    </xf>
    <xf numFmtId="0" fontId="0" fillId="0" borderId="158" xfId="0" applyBorder="1" applyAlignment="1">
      <alignment horizontal="right" vertical="center"/>
    </xf>
    <xf numFmtId="0" fontId="0" fillId="0" borderId="159" xfId="0" applyBorder="1" applyAlignment="1">
      <alignment horizontal="right" vertical="center"/>
    </xf>
    <xf numFmtId="0" fontId="0" fillId="0" borderId="157" xfId="0" applyBorder="1" applyAlignment="1">
      <alignment horizontal="right" vertical="center" wrapText="1"/>
    </xf>
    <xf numFmtId="0" fontId="0" fillId="0" borderId="162" xfId="0" applyBorder="1" applyAlignment="1">
      <alignment horizontal="right" vertical="center" wrapText="1"/>
    </xf>
    <xf numFmtId="0" fontId="0" fillId="0" borderId="196" xfId="0" applyBorder="1" applyAlignment="1">
      <alignment horizontal="right" vertical="center" wrapText="1"/>
    </xf>
    <xf numFmtId="0" fontId="0" fillId="0" borderId="161" xfId="0" applyBorder="1" applyAlignment="1">
      <alignment horizontal="right" vertical="center" wrapText="1"/>
    </xf>
    <xf numFmtId="0" fontId="0" fillId="0" borderId="10" xfId="0" applyBorder="1" applyAlignment="1">
      <alignment horizontal="right" vertical="center" wrapText="1"/>
    </xf>
    <xf numFmtId="0" fontId="3" fillId="24" borderId="0" xfId="0" applyFont="1" applyFill="1" applyAlignment="1" applyProtection="1">
      <alignment horizontal="left" vertical="top" wrapText="1"/>
      <protection locked="0"/>
    </xf>
  </cellXfs>
  <cellStyles count="74">
    <cellStyle name="_Amended" xfId="68" xr:uid="{7B6FDAED-6EC6-428B-8316-63C86AAFCA00}"/>
    <cellStyle name="_AmendedConfidential" xfId="69" xr:uid="{97151703-CF7E-4DD0-AF67-29650CAA0233}"/>
    <cellStyle name="_Confidential" xfId="70" xr:uid="{6AFDCFEC-D367-4DEF-A1F5-18020825F72D}"/>
    <cellStyle name="_ProtectedSOCI" xfId="71" xr:uid="{58B33C1F-69FF-4CAB-9DFC-F0C02D45A5C6}"/>
    <cellStyle name="_YellowNUM" xfId="72" xr:uid="{3282FD7A-1904-4BA4-8B93-4E51CB023649}"/>
    <cellStyle name="20% - Accent1" xfId="30" builtinId="30" hidden="1"/>
    <cellStyle name="20% - Accent2" xfId="34" builtinId="34" hidden="1"/>
    <cellStyle name="20% - Accent3" xfId="38" builtinId="38" hidden="1"/>
    <cellStyle name="20% - Accent4" xfId="42" builtinId="42" hidden="1"/>
    <cellStyle name="20% - Accent5" xfId="46" builtinId="46" hidden="1"/>
    <cellStyle name="20% - Accent6" xfId="50" builtinId="50" hidden="1"/>
    <cellStyle name="40% - Accent1" xfId="31" builtinId="31" hidden="1"/>
    <cellStyle name="40% - Accent2" xfId="35" builtinId="35" hidden="1"/>
    <cellStyle name="40% - Accent3" xfId="39" builtinId="39" hidden="1"/>
    <cellStyle name="40% - Accent4" xfId="43" builtinId="43" hidden="1"/>
    <cellStyle name="40% - Accent5" xfId="47" builtinId="47" hidden="1"/>
    <cellStyle name="40% - Accent6" xfId="51" builtinId="51" hidden="1"/>
    <cellStyle name="60% - Accent1" xfId="32" builtinId="32" hidden="1"/>
    <cellStyle name="60% - Accent2" xfId="36" builtinId="36" hidden="1"/>
    <cellStyle name="60% - Accent3" xfId="40" builtinId="40" hidden="1"/>
    <cellStyle name="60% - Accent4" xfId="44" builtinId="44" hidden="1"/>
    <cellStyle name="60% - Accent5" xfId="48" builtinId="48" hidden="1"/>
    <cellStyle name="60% - Accent6" xfId="52" builtinId="52" hidden="1"/>
    <cellStyle name="Accent1" xfId="29" builtinId="29" hidden="1"/>
    <cellStyle name="Accent2" xfId="33" builtinId="33" hidden="1"/>
    <cellStyle name="Accent3" xfId="37" builtinId="37" hidden="1"/>
    <cellStyle name="Accent4" xfId="41" builtinId="41" hidden="1"/>
    <cellStyle name="Accent5" xfId="45" builtinId="45" hidden="1"/>
    <cellStyle name="Accent6" xfId="49" builtinId="49" hidden="1"/>
    <cellStyle name="Bad" xfId="18" builtinId="27" hidden="1"/>
    <cellStyle name="Calculation" xfId="22" builtinId="22" hidden="1"/>
    <cellStyle name="Check Cell" xfId="24" builtinId="23" hidden="1"/>
    <cellStyle name="dms_1" xfId="5" xr:uid="{00000000-0005-0000-0000-00001B000000}"/>
    <cellStyle name="dms_2" xfId="6" xr:uid="{00000000-0005-0000-0000-00001C000000}"/>
    <cellStyle name="dms_3" xfId="7" xr:uid="{00000000-0005-0000-0000-00001D000000}"/>
    <cellStyle name="dms_4" xfId="8" xr:uid="{00000000-0005-0000-0000-00001E000000}"/>
    <cellStyle name="dms_5" xfId="9" xr:uid="{00000000-0005-0000-0000-00001F000000}"/>
    <cellStyle name="dms_BFill" xfId="60" xr:uid="{00000000-0005-0000-0000-000020000000}"/>
    <cellStyle name="dms_BH" xfId="3" xr:uid="{00000000-0005-0000-0000-000021000000}"/>
    <cellStyle name="dms_Blue_HDR" xfId="64" xr:uid="{00000000-0005-0000-0000-000022000000}"/>
    <cellStyle name="dms_BY1" xfId="55" xr:uid="{00000000-0005-0000-0000-000023000000}"/>
    <cellStyle name="dms_BY2" xfId="56" xr:uid="{00000000-0005-0000-0000-000024000000}"/>
    <cellStyle name="dms_GH" xfId="1" xr:uid="{00000000-0005-0000-0000-000025000000}"/>
    <cellStyle name="dms_GreyFill" xfId="65" xr:uid="{00000000-0005-0000-0000-000026000000}"/>
    <cellStyle name="dms_GY1" xfId="53" xr:uid="{00000000-0005-0000-0000-000027000000}"/>
    <cellStyle name="dms_GY2" xfId="54" xr:uid="{00000000-0005-0000-0000-000028000000}"/>
    <cellStyle name="dms_H" xfId="4" xr:uid="{00000000-0005-0000-0000-000029000000}"/>
    <cellStyle name="dms_NUM" xfId="10" xr:uid="{00000000-0005-0000-0000-00002A000000}"/>
    <cellStyle name="dms_Num%" xfId="61" xr:uid="{00000000-0005-0000-0000-00002B000000}"/>
    <cellStyle name="dms_Row_Locked" xfId="59" xr:uid="{00000000-0005-0000-0000-00002C000000}"/>
    <cellStyle name="dms_Row1" xfId="11" xr:uid="{00000000-0005-0000-0000-00002D000000}"/>
    <cellStyle name="dms_Row2" xfId="58" xr:uid="{00000000-0005-0000-0000-00002E000000}"/>
    <cellStyle name="dms_T1" xfId="2" xr:uid="{00000000-0005-0000-0000-00002F000000}"/>
    <cellStyle name="dms_T2" xfId="57" xr:uid="{00000000-0005-0000-0000-000030000000}"/>
    <cellStyle name="dms_TopHeader" xfId="62" xr:uid="{00000000-0005-0000-0000-000031000000}"/>
    <cellStyle name="Explanatory Text" xfId="27" builtinId="53" hidden="1"/>
    <cellStyle name="Good" xfId="17" builtinId="26" hidden="1"/>
    <cellStyle name="Heading 1" xfId="13" builtinId="16" hidden="1"/>
    <cellStyle name="Heading 2" xfId="14" builtinId="17" hidden="1"/>
    <cellStyle name="Heading 3" xfId="15" builtinId="18" hidden="1"/>
    <cellStyle name="Heading 4" xfId="16" builtinId="19" hidden="1"/>
    <cellStyle name="Hyperlink" xfId="63" builtinId="8"/>
    <cellStyle name="Hyperlink 2" xfId="66" xr:uid="{00000000-0005-0000-0000-000039000000}"/>
    <cellStyle name="Input" xfId="20" builtinId="20" hidden="1"/>
    <cellStyle name="Linked Cell" xfId="23" builtinId="24" hidden="1"/>
    <cellStyle name="Neutral" xfId="19" builtinId="28" hidden="1"/>
    <cellStyle name="NonInputCell" xfId="73" xr:uid="{F5AFD5E2-D073-4DEF-B9F9-B2E8C6867C76}"/>
    <cellStyle name="Normal" xfId="0" builtinId="0"/>
    <cellStyle name="Note" xfId="26" builtinId="10" hidden="1"/>
    <cellStyle name="Output" xfId="21" builtinId="21" hidden="1"/>
    <cellStyle name="Percent" xfId="67" builtinId="5"/>
    <cellStyle name="Title" xfId="12" builtinId="15" hidden="1"/>
    <cellStyle name="Total" xfId="28" builtinId="25" hidden="1"/>
    <cellStyle name="Warning Text" xfId="25" builtinId="11" hidden="1"/>
  </cellStyles>
  <dxfs count="78">
    <dxf>
      <fill>
        <patternFill>
          <bgColor rgb="FFFFFF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rgb="FFFF0000"/>
      </font>
    </dxf>
    <dxf>
      <fill>
        <patternFill>
          <bgColor rgb="FFFFFF00"/>
        </patternFill>
      </fill>
    </dxf>
    <dxf>
      <font>
        <b/>
        <i val="0"/>
        <color rgb="FFFF0000"/>
      </font>
    </dxf>
    <dxf>
      <font>
        <b/>
        <i val="0"/>
        <color theme="5"/>
      </font>
    </dxf>
    <dxf>
      <font>
        <b/>
        <i val="0"/>
        <color rgb="FFFF0000"/>
      </font>
    </dxf>
    <dxf>
      <font>
        <b/>
        <i val="0"/>
        <color rgb="FFFF0000"/>
      </font>
      <fill>
        <patternFill patternType="solid">
          <bgColor theme="0" tint="-0.24994659260841701"/>
        </patternFill>
      </fill>
    </dxf>
    <dxf>
      <font>
        <b/>
        <i val="0"/>
        <color rgb="FFFF0000"/>
      </font>
      <border>
        <vertical/>
        <horizontal/>
      </border>
    </dxf>
    <dxf>
      <font>
        <b/>
        <i val="0"/>
        <color rgb="FFFF0000"/>
      </font>
    </dxf>
    <dxf>
      <fill>
        <patternFill>
          <bgColor theme="6" tint="0.59996337778862885"/>
        </patternFill>
      </fill>
    </dxf>
    <dxf>
      <fill>
        <patternFill>
          <bgColor rgb="FFFFFF99"/>
        </patternFill>
      </fill>
    </dxf>
    <dxf>
      <fill>
        <patternFill>
          <bgColor rgb="FFFFFF99"/>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rgb="FFFFFFCC"/>
        </patternFill>
      </fill>
    </dxf>
    <dxf>
      <fill>
        <patternFill>
          <bgColor rgb="FFFFFFCC"/>
        </patternFill>
      </fill>
    </dxf>
    <dxf>
      <fill>
        <patternFill>
          <bgColor rgb="FFFFFFCC"/>
        </patternFill>
      </fill>
    </dxf>
    <dxf>
      <fill>
        <patternFill>
          <bgColor theme="0" tint="-0.14996795556505021"/>
        </patternFill>
      </fill>
    </dxf>
    <dxf>
      <fill>
        <patternFill>
          <bgColor rgb="FFFFFFCC"/>
        </patternFill>
      </fill>
    </dxf>
    <dxf>
      <fill>
        <patternFill>
          <bgColor rgb="FFD9D9D9"/>
        </patternFill>
      </fill>
    </dxf>
    <dxf>
      <fill>
        <patternFill>
          <bgColor rgb="FFBFBFBF"/>
        </patternFill>
      </fill>
    </dxf>
    <dxf>
      <fill>
        <patternFill>
          <bgColor rgb="FFD9D9D9"/>
        </patternFill>
      </fill>
    </dxf>
    <dxf>
      <fill>
        <patternFill>
          <bgColor rgb="FFBFBFBF"/>
        </patternFill>
      </fill>
    </dxf>
    <dxf>
      <fill>
        <patternFill>
          <bgColor rgb="FFD9D9D9"/>
        </patternFill>
      </fill>
    </dxf>
    <dxf>
      <fill>
        <patternFill>
          <bgColor rgb="FFBFBFBF"/>
        </patternFill>
      </fill>
    </dxf>
    <dxf>
      <fill>
        <patternFill>
          <bgColor rgb="FFBFBFBF"/>
        </patternFill>
      </fill>
    </dxf>
    <dxf>
      <fill>
        <patternFill>
          <bgColor rgb="FFBFBFBF"/>
        </patternFill>
      </fill>
    </dxf>
    <dxf>
      <fill>
        <patternFill>
          <bgColor rgb="FFBFBFBF"/>
        </patternFill>
      </fill>
    </dxf>
    <dxf>
      <fill>
        <patternFill>
          <bgColor rgb="FFBFBFBF"/>
        </patternFill>
      </fill>
    </dxf>
    <dxf>
      <fill>
        <patternFill>
          <bgColor rgb="FFBFBFBF"/>
        </patternFill>
      </fill>
    </dxf>
    <dxf>
      <fill>
        <patternFill>
          <bgColor rgb="FFBFBFBF"/>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b/>
        <i val="0"/>
        <color rgb="FFFF0000"/>
      </font>
      <fill>
        <patternFill patternType="solid">
          <bgColor rgb="FFFFFFCC"/>
        </patternFill>
      </fill>
    </dxf>
    <dxf>
      <font>
        <b/>
        <i val="0"/>
        <color theme="9" tint="-0.24994659260841701"/>
      </font>
    </dxf>
    <dxf>
      <font>
        <b/>
        <i val="0"/>
        <color theme="9" tint="-0.24994659260841701"/>
      </font>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b val="0"/>
        <i val="0"/>
        <strike val="0"/>
        <condense val="0"/>
        <extend val="0"/>
        <outline val="0"/>
        <shadow val="0"/>
        <u val="none"/>
        <vertAlign val="baseline"/>
        <sz val="10"/>
        <color auto="1"/>
        <name val="Arial"/>
        <family val="2"/>
        <scheme val="none"/>
      </font>
      <numFmt numFmtId="165" formatCode="##\ ###\ ###\ ###\ ##0"/>
      <fill>
        <patternFill patternType="solid">
          <fgColor indexed="64"/>
          <bgColor theme="0"/>
        </patternFill>
      </fill>
      <alignment horizontal="right" vertical="top" textRotation="0" wrapText="0" indent="1" justifyLastLine="0" shrinkToFit="0" readingOrder="0"/>
      <border diagonalUp="0" diagonalDown="0">
        <left style="thin">
          <color theme="0" tint="-0.34998626667073579"/>
        </left>
        <right/>
        <top style="thin">
          <color theme="0" tint="-0.34998626667073579"/>
        </top>
        <bottom/>
        <vertical/>
        <horizontal/>
      </border>
    </dxf>
    <dxf>
      <font>
        <b val="0"/>
        <i val="0"/>
        <strike val="0"/>
        <condense val="0"/>
        <extend val="0"/>
        <outline val="0"/>
        <shadow val="0"/>
        <u val="none"/>
        <vertAlign val="baseline"/>
        <sz val="11"/>
        <color theme="1"/>
        <name val="Arial"/>
        <family val="2"/>
        <scheme val="none"/>
      </font>
      <numFmt numFmtId="0" formatCode="General"/>
      <fill>
        <patternFill patternType="solid">
          <fgColor indexed="64"/>
          <bgColor theme="0"/>
        </patternFill>
      </fill>
      <alignment horizontal="general" vertical="top" textRotation="0" wrapText="0" indent="0" justifyLastLine="0" shrinkToFit="0" readingOrder="0"/>
      <border diagonalUp="0" diagonalDown="0">
        <left style="medium">
          <color indexed="64"/>
        </left>
        <right/>
        <top style="thin">
          <color theme="0" tint="-0.34998626667073579"/>
        </top>
        <bottom/>
        <vertical/>
        <horizontal/>
      </border>
    </dxf>
    <dxf>
      <font>
        <b val="0"/>
        <i val="0"/>
        <strike val="0"/>
        <condense val="0"/>
        <extend val="0"/>
        <outline val="0"/>
        <shadow val="0"/>
        <u val="none"/>
        <vertAlign val="baseline"/>
        <sz val="11"/>
        <color theme="8" tint="-0.249977111117893"/>
        <name val="Arial"/>
        <family val="2"/>
        <scheme val="none"/>
      </font>
      <numFmt numFmtId="0" formatCode="General"/>
      <fill>
        <patternFill patternType="solid">
          <fgColor indexed="64"/>
          <bgColor theme="0"/>
        </patternFill>
      </fill>
      <alignment horizontal="general" vertical="top" textRotation="0" wrapText="0" indent="0" justifyLastLine="0" shrinkToFit="0" readingOrder="0"/>
      <border diagonalUp="0" diagonalDown="0">
        <left/>
        <right/>
        <top style="thin">
          <color theme="0" tint="-0.34998626667073579"/>
        </top>
        <bottom/>
        <vertical/>
        <horizontal/>
      </border>
    </dxf>
    <dxf>
      <border outline="0">
        <left style="medium">
          <color indexed="64"/>
        </left>
        <top style="medium">
          <color indexed="64"/>
        </top>
        <bottom style="medium">
          <color indexed="64"/>
        </bottom>
      </border>
    </dxf>
    <dxf>
      <font>
        <b/>
        <i val="0"/>
        <strike val="0"/>
        <condense val="0"/>
        <extend val="0"/>
        <outline val="0"/>
        <shadow val="0"/>
        <u val="none"/>
        <vertAlign val="baseline"/>
        <sz val="10"/>
        <color auto="1"/>
        <name val="Arial"/>
        <family val="2"/>
        <scheme val="none"/>
      </font>
      <numFmt numFmtId="0" formatCode="General"/>
      <fill>
        <patternFill patternType="solid">
          <fgColor indexed="64"/>
          <bgColor theme="2" tint="-0.249977111117893"/>
        </patternFill>
      </fill>
      <alignment horizontal="left" vertical="center" textRotation="0" wrapText="1" indent="0" justifyLastLine="0" shrinkToFit="0" readingOrder="0"/>
    </dxf>
  </dxfs>
  <tableStyles count="0" defaultTableStyle="TableStyleMedium2" defaultPivotStyle="PivotStyleLight16"/>
  <colors>
    <mruColors>
      <color rgb="FFFFFFCC"/>
      <color rgb="FF777777"/>
      <color rgb="FFFFFF99"/>
      <color rgb="FF0033CC"/>
      <color rgb="FFFFCCFF"/>
      <color rgb="FF2F5481"/>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 Id="rId30"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10.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11.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12.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13.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14.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15.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16.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17.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18.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2.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8.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9.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2</xdr:col>
      <xdr:colOff>1105058</xdr:colOff>
      <xdr:row>23</xdr:row>
      <xdr:rowOff>614484</xdr:rowOff>
    </xdr:from>
    <xdr:to>
      <xdr:col>4</xdr:col>
      <xdr:colOff>353786</xdr:colOff>
      <xdr:row>23</xdr:row>
      <xdr:rowOff>1279072</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10992008" y="20493159"/>
          <a:ext cx="5182803" cy="664588"/>
        </a:xfrm>
        <a:prstGeom prst="rect">
          <a:avLst/>
        </a:prstGeom>
      </xdr:spPr>
    </xdr:pic>
    <xdr:clientData/>
  </xdr:twoCellAnchor>
  <xdr:twoCellAnchor>
    <xdr:from>
      <xdr:col>1</xdr:col>
      <xdr:colOff>13606</xdr:colOff>
      <xdr:row>0</xdr:row>
      <xdr:rowOff>40821</xdr:rowOff>
    </xdr:from>
    <xdr:to>
      <xdr:col>5</xdr:col>
      <xdr:colOff>9998</xdr:colOff>
      <xdr:row>0</xdr:row>
      <xdr:rowOff>2694214</xdr:rowOff>
    </xdr:to>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2"/>
        <a:stretch>
          <a:fillRect/>
        </a:stretch>
      </xdr:blipFill>
      <xdr:spPr>
        <a:xfrm>
          <a:off x="5919106" y="40821"/>
          <a:ext cx="11293042" cy="2653393"/>
        </a:xfrm>
        <a:prstGeom prst="rect">
          <a:avLst/>
        </a:prstGeom>
      </xdr:spPr>
    </xdr:pic>
    <xdr:clientData/>
  </xdr:twoCellAnchor>
  <xdr:twoCellAnchor editAs="oneCell">
    <xdr:from>
      <xdr:col>3</xdr:col>
      <xdr:colOff>2890838</xdr:colOff>
      <xdr:row>7</xdr:row>
      <xdr:rowOff>361950</xdr:rowOff>
    </xdr:from>
    <xdr:to>
      <xdr:col>4</xdr:col>
      <xdr:colOff>1229005</xdr:colOff>
      <xdr:row>7</xdr:row>
      <xdr:rowOff>1266825</xdr:rowOff>
    </xdr:to>
    <xdr:pic>
      <xdr:nvPicPr>
        <xdr:cNvPr id="6" name="Picture 5">
          <a:extLst>
            <a:ext uri="{FF2B5EF4-FFF2-40B4-BE49-F238E27FC236}">
              <a16:creationId xmlns:a16="http://schemas.microsoft.com/office/drawing/2014/main" id="{8EB790AA-8C14-4666-9B86-26C833047294}"/>
            </a:ext>
          </a:extLst>
        </xdr:cNvPr>
        <xdr:cNvPicPr>
          <a:picLocks noChangeAspect="1"/>
        </xdr:cNvPicPr>
      </xdr:nvPicPr>
      <xdr:blipFill>
        <a:blip xmlns:r="http://schemas.openxmlformats.org/officeDocument/2006/relationships" r:embed="rId3"/>
        <a:stretch>
          <a:fillRect/>
        </a:stretch>
      </xdr:blipFill>
      <xdr:spPr>
        <a:xfrm>
          <a:off x="13641388" y="6877050"/>
          <a:ext cx="3110192" cy="901700"/>
        </a:xfrm>
        <a:prstGeom prst="rect">
          <a:avLst/>
        </a:prstGeom>
      </xdr:spPr>
    </xdr:pic>
    <xdr:clientData/>
  </xdr:twoCellAnchor>
  <xdr:oneCellAnchor>
    <xdr:from>
      <xdr:col>3</xdr:col>
      <xdr:colOff>2890385</xdr:colOff>
      <xdr:row>11</xdr:row>
      <xdr:rowOff>423410</xdr:rowOff>
    </xdr:from>
    <xdr:ext cx="2899167" cy="990600"/>
    <xdr:pic>
      <xdr:nvPicPr>
        <xdr:cNvPr id="7" name="Picture 6">
          <a:extLst>
            <a:ext uri="{FF2B5EF4-FFF2-40B4-BE49-F238E27FC236}">
              <a16:creationId xmlns:a16="http://schemas.microsoft.com/office/drawing/2014/main" id="{479FA355-7597-494E-B419-5F533432CE6A}"/>
            </a:ext>
          </a:extLst>
        </xdr:cNvPr>
        <xdr:cNvPicPr>
          <a:picLocks noChangeAspect="1"/>
        </xdr:cNvPicPr>
      </xdr:nvPicPr>
      <xdr:blipFill>
        <a:blip xmlns:r="http://schemas.openxmlformats.org/officeDocument/2006/relationships" r:embed="rId4"/>
        <a:stretch>
          <a:fillRect/>
        </a:stretch>
      </xdr:blipFill>
      <xdr:spPr>
        <a:xfrm>
          <a:off x="12428992" y="12356874"/>
          <a:ext cx="2899167" cy="990600"/>
        </a:xfrm>
        <a:prstGeom prst="rect">
          <a:avLst/>
        </a:prstGeom>
      </xdr:spPr>
    </xdr:pic>
    <xdr:clientData/>
  </xdr:oneCellAnchor>
</xdr:wsDr>
</file>

<file path=xl/drawings/drawing10.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1457325</xdr:colOff>
      <xdr:row>4</xdr:row>
      <xdr:rowOff>6569</xdr:rowOff>
    </xdr:to>
    <xdr:grpSp>
      <xdr:nvGrpSpPr>
        <xdr:cNvPr id="2" name="Group 1">
          <a:extLst>
            <a:ext uri="{FF2B5EF4-FFF2-40B4-BE49-F238E27FC236}">
              <a16:creationId xmlns:a16="http://schemas.microsoft.com/office/drawing/2014/main" id="{00000000-0008-0000-0A00-000002000000}"/>
            </a:ext>
          </a:extLst>
        </xdr:cNvPr>
        <xdr:cNvGrpSpPr/>
      </xdr:nvGrpSpPr>
      <xdr:grpSpPr>
        <a:xfrm>
          <a:off x="0" y="0"/>
          <a:ext cx="1457325" cy="1530569"/>
          <a:chOff x="22413" y="11206"/>
          <a:chExt cx="1546410" cy="1423147"/>
        </a:xfrm>
      </xdr:grpSpPr>
      <xdr:sp macro="" textlink="">
        <xdr:nvSpPr>
          <xdr:cNvPr id="3" name="Rectangle 3">
            <a:extLst>
              <a:ext uri="{FF2B5EF4-FFF2-40B4-BE49-F238E27FC236}">
                <a16:creationId xmlns:a16="http://schemas.microsoft.com/office/drawing/2014/main" id="{00000000-0008-0000-0A00-000003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0A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13" y="11206"/>
            <a:ext cx="1546410" cy="766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0A00-000005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0A00-000006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1457325</xdr:colOff>
      <xdr:row>4</xdr:row>
      <xdr:rowOff>6569</xdr:rowOff>
    </xdr:to>
    <xdr:grpSp>
      <xdr:nvGrpSpPr>
        <xdr:cNvPr id="2" name="Group 1">
          <a:extLst>
            <a:ext uri="{FF2B5EF4-FFF2-40B4-BE49-F238E27FC236}">
              <a16:creationId xmlns:a16="http://schemas.microsoft.com/office/drawing/2014/main" id="{00000000-0008-0000-0B00-000002000000}"/>
            </a:ext>
          </a:extLst>
        </xdr:cNvPr>
        <xdr:cNvGrpSpPr/>
      </xdr:nvGrpSpPr>
      <xdr:grpSpPr>
        <a:xfrm>
          <a:off x="0" y="0"/>
          <a:ext cx="1457325" cy="1530569"/>
          <a:chOff x="22413" y="11206"/>
          <a:chExt cx="1546410" cy="1423147"/>
        </a:xfrm>
      </xdr:grpSpPr>
      <xdr:sp macro="" textlink="">
        <xdr:nvSpPr>
          <xdr:cNvPr id="3" name="Rectangle 3">
            <a:extLst>
              <a:ext uri="{FF2B5EF4-FFF2-40B4-BE49-F238E27FC236}">
                <a16:creationId xmlns:a16="http://schemas.microsoft.com/office/drawing/2014/main" id="{00000000-0008-0000-0B00-000003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0B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13" y="11206"/>
            <a:ext cx="1546410" cy="766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0B00-000005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0B00-000006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1457325</xdr:colOff>
      <xdr:row>4</xdr:row>
      <xdr:rowOff>6569</xdr:rowOff>
    </xdr:to>
    <xdr:grpSp>
      <xdr:nvGrpSpPr>
        <xdr:cNvPr id="2" name="Group 1">
          <a:extLst>
            <a:ext uri="{FF2B5EF4-FFF2-40B4-BE49-F238E27FC236}">
              <a16:creationId xmlns:a16="http://schemas.microsoft.com/office/drawing/2014/main" id="{00000000-0008-0000-0C00-000002000000}"/>
            </a:ext>
          </a:extLst>
        </xdr:cNvPr>
        <xdr:cNvGrpSpPr/>
      </xdr:nvGrpSpPr>
      <xdr:grpSpPr>
        <a:xfrm>
          <a:off x="0" y="0"/>
          <a:ext cx="1457325" cy="1530569"/>
          <a:chOff x="22413" y="11206"/>
          <a:chExt cx="1546410" cy="1423147"/>
        </a:xfrm>
      </xdr:grpSpPr>
      <xdr:sp macro="" textlink="">
        <xdr:nvSpPr>
          <xdr:cNvPr id="3" name="Rectangle 3">
            <a:extLst>
              <a:ext uri="{FF2B5EF4-FFF2-40B4-BE49-F238E27FC236}">
                <a16:creationId xmlns:a16="http://schemas.microsoft.com/office/drawing/2014/main" id="{00000000-0008-0000-0C00-000003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0C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13" y="11206"/>
            <a:ext cx="1546410" cy="766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0C00-000005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0C00-000006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1457325</xdr:colOff>
      <xdr:row>4</xdr:row>
      <xdr:rowOff>6569</xdr:rowOff>
    </xdr:to>
    <xdr:grpSp>
      <xdr:nvGrpSpPr>
        <xdr:cNvPr id="2" name="Group 1">
          <a:extLst>
            <a:ext uri="{FF2B5EF4-FFF2-40B4-BE49-F238E27FC236}">
              <a16:creationId xmlns:a16="http://schemas.microsoft.com/office/drawing/2014/main" id="{00000000-0008-0000-0D00-000002000000}"/>
            </a:ext>
          </a:extLst>
        </xdr:cNvPr>
        <xdr:cNvGrpSpPr/>
      </xdr:nvGrpSpPr>
      <xdr:grpSpPr>
        <a:xfrm>
          <a:off x="0" y="0"/>
          <a:ext cx="1457325" cy="1530569"/>
          <a:chOff x="22413" y="11206"/>
          <a:chExt cx="1546410" cy="1423147"/>
        </a:xfrm>
      </xdr:grpSpPr>
      <xdr:sp macro="" textlink="">
        <xdr:nvSpPr>
          <xdr:cNvPr id="3" name="Rectangle 3">
            <a:extLst>
              <a:ext uri="{FF2B5EF4-FFF2-40B4-BE49-F238E27FC236}">
                <a16:creationId xmlns:a16="http://schemas.microsoft.com/office/drawing/2014/main" id="{00000000-0008-0000-0D00-000003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0D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13" y="11206"/>
            <a:ext cx="1546410" cy="766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0D00-000005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0D00-000006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1457325</xdr:colOff>
      <xdr:row>4</xdr:row>
      <xdr:rowOff>6569</xdr:rowOff>
    </xdr:to>
    <xdr:grpSp>
      <xdr:nvGrpSpPr>
        <xdr:cNvPr id="2" name="Group 1">
          <a:extLst>
            <a:ext uri="{FF2B5EF4-FFF2-40B4-BE49-F238E27FC236}">
              <a16:creationId xmlns:a16="http://schemas.microsoft.com/office/drawing/2014/main" id="{00000000-0008-0000-0E00-000002000000}"/>
            </a:ext>
          </a:extLst>
        </xdr:cNvPr>
        <xdr:cNvGrpSpPr/>
      </xdr:nvGrpSpPr>
      <xdr:grpSpPr>
        <a:xfrm>
          <a:off x="0" y="0"/>
          <a:ext cx="1457325" cy="1530569"/>
          <a:chOff x="22413" y="11206"/>
          <a:chExt cx="1546410" cy="1423147"/>
        </a:xfrm>
      </xdr:grpSpPr>
      <xdr:sp macro="" textlink="">
        <xdr:nvSpPr>
          <xdr:cNvPr id="3" name="Rectangle 3">
            <a:extLst>
              <a:ext uri="{FF2B5EF4-FFF2-40B4-BE49-F238E27FC236}">
                <a16:creationId xmlns:a16="http://schemas.microsoft.com/office/drawing/2014/main" id="{00000000-0008-0000-0E00-000003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0E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13" y="11206"/>
            <a:ext cx="1546410" cy="766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0E00-000005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0E00-000006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wsDr>
</file>

<file path=xl/drawings/drawing15.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1457325</xdr:colOff>
      <xdr:row>4</xdr:row>
      <xdr:rowOff>6569</xdr:rowOff>
    </xdr:to>
    <xdr:grpSp>
      <xdr:nvGrpSpPr>
        <xdr:cNvPr id="2" name="Group 1">
          <a:extLst>
            <a:ext uri="{FF2B5EF4-FFF2-40B4-BE49-F238E27FC236}">
              <a16:creationId xmlns:a16="http://schemas.microsoft.com/office/drawing/2014/main" id="{00000000-0008-0000-0F00-000002000000}"/>
            </a:ext>
          </a:extLst>
        </xdr:cNvPr>
        <xdr:cNvGrpSpPr/>
      </xdr:nvGrpSpPr>
      <xdr:grpSpPr>
        <a:xfrm>
          <a:off x="0" y="0"/>
          <a:ext cx="1457325" cy="1530569"/>
          <a:chOff x="22413" y="11206"/>
          <a:chExt cx="1546410" cy="1423147"/>
        </a:xfrm>
      </xdr:grpSpPr>
      <xdr:sp macro="" textlink="">
        <xdr:nvSpPr>
          <xdr:cNvPr id="3" name="Rectangle 3">
            <a:extLst>
              <a:ext uri="{FF2B5EF4-FFF2-40B4-BE49-F238E27FC236}">
                <a16:creationId xmlns:a16="http://schemas.microsoft.com/office/drawing/2014/main" id="{00000000-0008-0000-0F00-000003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0F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13" y="11206"/>
            <a:ext cx="1546410" cy="766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0F00-000005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0F00-000006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wsDr>
</file>

<file path=xl/drawings/drawing16.xml><?xml version="1.0" encoding="utf-8"?>
<xdr:wsDr xmlns:xdr="http://schemas.openxmlformats.org/drawingml/2006/spreadsheetDrawing" xmlns:a="http://schemas.openxmlformats.org/drawingml/2006/main">
  <xdr:twoCellAnchor>
    <xdr:from>
      <xdr:col>0</xdr:col>
      <xdr:colOff>1</xdr:colOff>
      <xdr:row>0</xdr:row>
      <xdr:rowOff>0</xdr:rowOff>
    </xdr:from>
    <xdr:to>
      <xdr:col>0</xdr:col>
      <xdr:colOff>1371601</xdr:colOff>
      <xdr:row>4</xdr:row>
      <xdr:rowOff>6569</xdr:rowOff>
    </xdr:to>
    <xdr:grpSp>
      <xdr:nvGrpSpPr>
        <xdr:cNvPr id="2" name="Group 1">
          <a:extLst>
            <a:ext uri="{FF2B5EF4-FFF2-40B4-BE49-F238E27FC236}">
              <a16:creationId xmlns:a16="http://schemas.microsoft.com/office/drawing/2014/main" id="{00000000-0008-0000-1000-000002000000}"/>
            </a:ext>
          </a:extLst>
        </xdr:cNvPr>
        <xdr:cNvGrpSpPr/>
      </xdr:nvGrpSpPr>
      <xdr:grpSpPr>
        <a:xfrm>
          <a:off x="1" y="0"/>
          <a:ext cx="1371600" cy="1530569"/>
          <a:chOff x="22413" y="11206"/>
          <a:chExt cx="1546410" cy="1423147"/>
        </a:xfrm>
      </xdr:grpSpPr>
      <xdr:sp macro="" textlink="">
        <xdr:nvSpPr>
          <xdr:cNvPr id="3" name="Rectangle 3">
            <a:extLst>
              <a:ext uri="{FF2B5EF4-FFF2-40B4-BE49-F238E27FC236}">
                <a16:creationId xmlns:a16="http://schemas.microsoft.com/office/drawing/2014/main" id="{00000000-0008-0000-1000-000003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1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13" y="11206"/>
            <a:ext cx="1546410" cy="766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1000-000005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1000-000006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wsDr>
</file>

<file path=xl/drawings/drawing17.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1457325</xdr:colOff>
      <xdr:row>4</xdr:row>
      <xdr:rowOff>6569</xdr:rowOff>
    </xdr:to>
    <xdr:grpSp>
      <xdr:nvGrpSpPr>
        <xdr:cNvPr id="2" name="Group 1">
          <a:extLst>
            <a:ext uri="{FF2B5EF4-FFF2-40B4-BE49-F238E27FC236}">
              <a16:creationId xmlns:a16="http://schemas.microsoft.com/office/drawing/2014/main" id="{00000000-0008-0000-1100-000002000000}"/>
            </a:ext>
          </a:extLst>
        </xdr:cNvPr>
        <xdr:cNvGrpSpPr/>
      </xdr:nvGrpSpPr>
      <xdr:grpSpPr>
        <a:xfrm>
          <a:off x="0" y="0"/>
          <a:ext cx="1457325" cy="1530569"/>
          <a:chOff x="22413" y="11206"/>
          <a:chExt cx="1546410" cy="1423147"/>
        </a:xfrm>
      </xdr:grpSpPr>
      <xdr:sp macro="" textlink="">
        <xdr:nvSpPr>
          <xdr:cNvPr id="3" name="Rectangle 3">
            <a:extLst>
              <a:ext uri="{FF2B5EF4-FFF2-40B4-BE49-F238E27FC236}">
                <a16:creationId xmlns:a16="http://schemas.microsoft.com/office/drawing/2014/main" id="{00000000-0008-0000-1100-000003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11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13" y="11206"/>
            <a:ext cx="1546410" cy="766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1100-000005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1100-000006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wsDr>
</file>

<file path=xl/drawings/drawing18.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1457325</xdr:colOff>
      <xdr:row>4</xdr:row>
      <xdr:rowOff>6569</xdr:rowOff>
    </xdr:to>
    <xdr:grpSp>
      <xdr:nvGrpSpPr>
        <xdr:cNvPr id="2" name="Group 1">
          <a:extLst>
            <a:ext uri="{FF2B5EF4-FFF2-40B4-BE49-F238E27FC236}">
              <a16:creationId xmlns:a16="http://schemas.microsoft.com/office/drawing/2014/main" id="{00000000-0008-0000-1200-000002000000}"/>
            </a:ext>
          </a:extLst>
        </xdr:cNvPr>
        <xdr:cNvGrpSpPr/>
      </xdr:nvGrpSpPr>
      <xdr:grpSpPr>
        <a:xfrm>
          <a:off x="0" y="0"/>
          <a:ext cx="1457325" cy="1530569"/>
          <a:chOff x="22413" y="11206"/>
          <a:chExt cx="1546410" cy="1423147"/>
        </a:xfrm>
      </xdr:grpSpPr>
      <xdr:sp macro="" textlink="">
        <xdr:nvSpPr>
          <xdr:cNvPr id="3" name="Rectangle 3">
            <a:extLst>
              <a:ext uri="{FF2B5EF4-FFF2-40B4-BE49-F238E27FC236}">
                <a16:creationId xmlns:a16="http://schemas.microsoft.com/office/drawing/2014/main" id="{00000000-0008-0000-1200-000003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12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13" y="11206"/>
            <a:ext cx="1546410" cy="766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1200-000005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1200-000006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142873</xdr:colOff>
      <xdr:row>0</xdr:row>
      <xdr:rowOff>119061</xdr:rowOff>
    </xdr:from>
    <xdr:to>
      <xdr:col>15</xdr:col>
      <xdr:colOff>35716</xdr:colOff>
      <xdr:row>2</xdr:row>
      <xdr:rowOff>404810</xdr:rowOff>
    </xdr:to>
    <xdr:grpSp>
      <xdr:nvGrpSpPr>
        <xdr:cNvPr id="2" name="Group 1">
          <a:extLst>
            <a:ext uri="{FF2B5EF4-FFF2-40B4-BE49-F238E27FC236}">
              <a16:creationId xmlns:a16="http://schemas.microsoft.com/office/drawing/2014/main" id="{00000000-0008-0000-0200-000002000000}"/>
            </a:ext>
          </a:extLst>
        </xdr:cNvPr>
        <xdr:cNvGrpSpPr/>
      </xdr:nvGrpSpPr>
      <xdr:grpSpPr>
        <a:xfrm>
          <a:off x="1409698" y="119061"/>
          <a:ext cx="1340643" cy="1409699"/>
          <a:chOff x="997323" y="22412"/>
          <a:chExt cx="1154206" cy="1176617"/>
        </a:xfrm>
      </xdr:grpSpPr>
      <xdr:sp macro="" textlink="">
        <xdr:nvSpPr>
          <xdr:cNvPr id="3" name="Rectangle 3">
            <a:extLst>
              <a:ext uri="{FF2B5EF4-FFF2-40B4-BE49-F238E27FC236}">
                <a16:creationId xmlns:a16="http://schemas.microsoft.com/office/drawing/2014/main" id="{00000000-0008-0000-0200-000003000000}"/>
              </a:ext>
            </a:extLst>
          </xdr:cNvPr>
          <xdr:cNvSpPr>
            <a:spLocks noChangeArrowheads="1"/>
          </xdr:cNvSpPr>
        </xdr:nvSpPr>
        <xdr:spPr bwMode="auto">
          <a:xfrm>
            <a:off x="997323" y="22412"/>
            <a:ext cx="1154206" cy="1176617"/>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02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7323" y="22412"/>
            <a:ext cx="1154206" cy="6319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0200-000005000000}"/>
              </a:ext>
            </a:extLst>
          </xdr:cNvPr>
          <xdr:cNvSpPr>
            <a:spLocks noChangeArrowheads="1"/>
          </xdr:cNvSpPr>
        </xdr:nvSpPr>
        <xdr:spPr bwMode="auto">
          <a:xfrm>
            <a:off x="1077641" y="697178"/>
            <a:ext cx="991434" cy="18870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0200-000006000000}"/>
              </a:ext>
            </a:extLst>
          </xdr:cNvPr>
          <xdr:cNvSpPr>
            <a:spLocks noChangeArrowheads="1"/>
          </xdr:cNvSpPr>
        </xdr:nvSpPr>
        <xdr:spPr bwMode="auto">
          <a:xfrm>
            <a:off x="1077641" y="936416"/>
            <a:ext cx="991434" cy="18828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1457325</xdr:colOff>
      <xdr:row>4</xdr:row>
      <xdr:rowOff>6569</xdr:rowOff>
    </xdr:to>
    <xdr:grpSp>
      <xdr:nvGrpSpPr>
        <xdr:cNvPr id="2" name="Group 1">
          <a:extLst>
            <a:ext uri="{FF2B5EF4-FFF2-40B4-BE49-F238E27FC236}">
              <a16:creationId xmlns:a16="http://schemas.microsoft.com/office/drawing/2014/main" id="{00000000-0008-0000-0300-000002000000}"/>
            </a:ext>
          </a:extLst>
        </xdr:cNvPr>
        <xdr:cNvGrpSpPr/>
      </xdr:nvGrpSpPr>
      <xdr:grpSpPr>
        <a:xfrm>
          <a:off x="0" y="0"/>
          <a:ext cx="1457325" cy="1530569"/>
          <a:chOff x="22413" y="11206"/>
          <a:chExt cx="1546410" cy="1423147"/>
        </a:xfrm>
      </xdr:grpSpPr>
      <xdr:sp macro="" textlink="">
        <xdr:nvSpPr>
          <xdr:cNvPr id="3" name="Rectangle 3">
            <a:extLst>
              <a:ext uri="{FF2B5EF4-FFF2-40B4-BE49-F238E27FC236}">
                <a16:creationId xmlns:a16="http://schemas.microsoft.com/office/drawing/2014/main" id="{00000000-0008-0000-0300-000003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03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13" y="11206"/>
            <a:ext cx="1546410" cy="766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0300-000005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0300-000006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57150</xdr:colOff>
      <xdr:row>0</xdr:row>
      <xdr:rowOff>19051</xdr:rowOff>
    </xdr:from>
    <xdr:to>
      <xdr:col>0</xdr:col>
      <xdr:colOff>1476375</xdr:colOff>
      <xdr:row>4</xdr:row>
      <xdr:rowOff>0</xdr:rowOff>
    </xdr:to>
    <xdr:grpSp>
      <xdr:nvGrpSpPr>
        <xdr:cNvPr id="2" name="Group 1">
          <a:extLst>
            <a:ext uri="{FF2B5EF4-FFF2-40B4-BE49-F238E27FC236}">
              <a16:creationId xmlns:a16="http://schemas.microsoft.com/office/drawing/2014/main" id="{00000000-0008-0000-0400-000002000000}"/>
            </a:ext>
          </a:extLst>
        </xdr:cNvPr>
        <xdr:cNvGrpSpPr/>
      </xdr:nvGrpSpPr>
      <xdr:grpSpPr>
        <a:xfrm>
          <a:off x="57150" y="19051"/>
          <a:ext cx="1419225" cy="1504949"/>
          <a:chOff x="22413" y="11206"/>
          <a:chExt cx="1546410" cy="1423147"/>
        </a:xfrm>
      </xdr:grpSpPr>
      <xdr:sp macro="" textlink="">
        <xdr:nvSpPr>
          <xdr:cNvPr id="3" name="Rectangle 3">
            <a:extLst>
              <a:ext uri="{FF2B5EF4-FFF2-40B4-BE49-F238E27FC236}">
                <a16:creationId xmlns:a16="http://schemas.microsoft.com/office/drawing/2014/main" id="{00000000-0008-0000-0400-000003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04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13" y="11206"/>
            <a:ext cx="1546410" cy="766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0400-000005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0400-000006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56268</xdr:colOff>
      <xdr:row>0</xdr:row>
      <xdr:rowOff>59898</xdr:rowOff>
    </xdr:from>
    <xdr:to>
      <xdr:col>0</xdr:col>
      <xdr:colOff>1415864</xdr:colOff>
      <xdr:row>4</xdr:row>
      <xdr:rowOff>42206</xdr:rowOff>
    </xdr:to>
    <xdr:grpSp>
      <xdr:nvGrpSpPr>
        <xdr:cNvPr id="5" name="Group 4">
          <a:extLst>
            <a:ext uri="{FF2B5EF4-FFF2-40B4-BE49-F238E27FC236}">
              <a16:creationId xmlns:a16="http://schemas.microsoft.com/office/drawing/2014/main" id="{00000000-0008-0000-0500-000005000000}"/>
            </a:ext>
          </a:extLst>
        </xdr:cNvPr>
        <xdr:cNvGrpSpPr/>
      </xdr:nvGrpSpPr>
      <xdr:grpSpPr>
        <a:xfrm>
          <a:off x="56268" y="59898"/>
          <a:ext cx="1359596" cy="1506308"/>
          <a:chOff x="626102" y="3127568"/>
          <a:chExt cx="762000" cy="931131"/>
        </a:xfrm>
      </xdr:grpSpPr>
      <xdr:pic>
        <xdr:nvPicPr>
          <xdr:cNvPr id="6" name="Picture 3" descr="item">
            <a:extLst>
              <a:ext uri="{FF2B5EF4-FFF2-40B4-BE49-F238E27FC236}">
                <a16:creationId xmlns:a16="http://schemas.microsoft.com/office/drawing/2014/main" id="{00000000-0008-0000-05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6102" y="3127568"/>
            <a:ext cx="762000" cy="4898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 name="AutoShape 4">
            <a:hlinkClick xmlns:r="http://schemas.openxmlformats.org/officeDocument/2006/relationships" r:id="rId2"/>
            <a:extLst>
              <a:ext uri="{FF2B5EF4-FFF2-40B4-BE49-F238E27FC236}">
                <a16:creationId xmlns:a16="http://schemas.microsoft.com/office/drawing/2014/main" id="{00000000-0008-0000-0500-000007000000}"/>
              </a:ext>
            </a:extLst>
          </xdr:cNvPr>
          <xdr:cNvSpPr>
            <a:spLocks noChangeArrowheads="1"/>
          </xdr:cNvSpPr>
        </xdr:nvSpPr>
        <xdr:spPr bwMode="auto">
          <a:xfrm>
            <a:off x="645153" y="3606540"/>
            <a:ext cx="736671" cy="234132"/>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0" i="0" u="none" strike="noStrike" baseline="0">
                <a:solidFill>
                  <a:srgbClr val="000080"/>
                </a:solidFill>
                <a:latin typeface="Arial Black"/>
              </a:rPr>
              <a:t>Contents</a:t>
            </a:r>
          </a:p>
        </xdr:txBody>
      </xdr:sp>
      <xdr:sp macro="" textlink="">
        <xdr:nvSpPr>
          <xdr:cNvPr id="8" name="AutoShape 5">
            <a:hlinkClick xmlns:r="http://schemas.openxmlformats.org/officeDocument/2006/relationships" r:id="rId3"/>
            <a:extLst>
              <a:ext uri="{FF2B5EF4-FFF2-40B4-BE49-F238E27FC236}">
                <a16:creationId xmlns:a16="http://schemas.microsoft.com/office/drawing/2014/main" id="{00000000-0008-0000-0500-000008000000}"/>
              </a:ext>
            </a:extLst>
          </xdr:cNvPr>
          <xdr:cNvSpPr>
            <a:spLocks noChangeArrowheads="1"/>
          </xdr:cNvSpPr>
        </xdr:nvSpPr>
        <xdr:spPr bwMode="auto">
          <a:xfrm>
            <a:off x="645153" y="3828335"/>
            <a:ext cx="736671" cy="230364"/>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650" b="0" i="0" u="none" strike="noStrike" baseline="0">
                <a:solidFill>
                  <a:srgbClr val="000080"/>
                </a:solidFill>
                <a:latin typeface="Arial Black"/>
              </a:rPr>
              <a:t>Instructions</a:t>
            </a:r>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76200</xdr:colOff>
      <xdr:row>0</xdr:row>
      <xdr:rowOff>28575</xdr:rowOff>
    </xdr:from>
    <xdr:to>
      <xdr:col>0</xdr:col>
      <xdr:colOff>1362075</xdr:colOff>
      <xdr:row>4</xdr:row>
      <xdr:rowOff>35144</xdr:rowOff>
    </xdr:to>
    <xdr:grpSp>
      <xdr:nvGrpSpPr>
        <xdr:cNvPr id="2" name="Group 1">
          <a:extLst>
            <a:ext uri="{FF2B5EF4-FFF2-40B4-BE49-F238E27FC236}">
              <a16:creationId xmlns:a16="http://schemas.microsoft.com/office/drawing/2014/main" id="{00000000-0008-0000-0600-000002000000}"/>
            </a:ext>
          </a:extLst>
        </xdr:cNvPr>
        <xdr:cNvGrpSpPr/>
      </xdr:nvGrpSpPr>
      <xdr:grpSpPr>
        <a:xfrm>
          <a:off x="76200" y="28575"/>
          <a:ext cx="1285875" cy="1530569"/>
          <a:chOff x="22413" y="11206"/>
          <a:chExt cx="1546410" cy="1423147"/>
        </a:xfrm>
      </xdr:grpSpPr>
      <xdr:sp macro="" textlink="">
        <xdr:nvSpPr>
          <xdr:cNvPr id="3" name="Rectangle 3">
            <a:extLst>
              <a:ext uri="{FF2B5EF4-FFF2-40B4-BE49-F238E27FC236}">
                <a16:creationId xmlns:a16="http://schemas.microsoft.com/office/drawing/2014/main" id="{00000000-0008-0000-0600-000003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06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13" y="11206"/>
            <a:ext cx="1546410" cy="766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0600-000005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0600-000006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1457325</xdr:colOff>
      <xdr:row>4</xdr:row>
      <xdr:rowOff>0</xdr:rowOff>
    </xdr:to>
    <xdr:grpSp>
      <xdr:nvGrpSpPr>
        <xdr:cNvPr id="2" name="Group 1">
          <a:extLst>
            <a:ext uri="{FF2B5EF4-FFF2-40B4-BE49-F238E27FC236}">
              <a16:creationId xmlns:a16="http://schemas.microsoft.com/office/drawing/2014/main" id="{00000000-0008-0000-0700-000002000000}"/>
            </a:ext>
          </a:extLst>
        </xdr:cNvPr>
        <xdr:cNvGrpSpPr/>
      </xdr:nvGrpSpPr>
      <xdr:grpSpPr>
        <a:xfrm>
          <a:off x="0" y="0"/>
          <a:ext cx="1457325" cy="1524000"/>
          <a:chOff x="22413" y="11206"/>
          <a:chExt cx="1546410" cy="1423147"/>
        </a:xfrm>
      </xdr:grpSpPr>
      <xdr:sp macro="" textlink="">
        <xdr:nvSpPr>
          <xdr:cNvPr id="3" name="Rectangle 3">
            <a:extLst>
              <a:ext uri="{FF2B5EF4-FFF2-40B4-BE49-F238E27FC236}">
                <a16:creationId xmlns:a16="http://schemas.microsoft.com/office/drawing/2014/main" id="{00000000-0008-0000-0700-000003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07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13" y="11206"/>
            <a:ext cx="1546410" cy="766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0700-000005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0700-000006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1457325</xdr:colOff>
      <xdr:row>4</xdr:row>
      <xdr:rowOff>6569</xdr:rowOff>
    </xdr:to>
    <xdr:grpSp>
      <xdr:nvGrpSpPr>
        <xdr:cNvPr id="2" name="Group 1">
          <a:extLst>
            <a:ext uri="{FF2B5EF4-FFF2-40B4-BE49-F238E27FC236}">
              <a16:creationId xmlns:a16="http://schemas.microsoft.com/office/drawing/2014/main" id="{00000000-0008-0000-0800-000002000000}"/>
            </a:ext>
          </a:extLst>
        </xdr:cNvPr>
        <xdr:cNvGrpSpPr/>
      </xdr:nvGrpSpPr>
      <xdr:grpSpPr>
        <a:xfrm>
          <a:off x="0" y="0"/>
          <a:ext cx="1457325" cy="1530569"/>
          <a:chOff x="22413" y="11206"/>
          <a:chExt cx="1546410" cy="1423147"/>
        </a:xfrm>
      </xdr:grpSpPr>
      <xdr:sp macro="" textlink="">
        <xdr:nvSpPr>
          <xdr:cNvPr id="3" name="Rectangle 3">
            <a:extLst>
              <a:ext uri="{FF2B5EF4-FFF2-40B4-BE49-F238E27FC236}">
                <a16:creationId xmlns:a16="http://schemas.microsoft.com/office/drawing/2014/main" id="{00000000-0008-0000-0800-000003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08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13" y="11206"/>
            <a:ext cx="1546410" cy="766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0800-000005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0800-000006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1457325</xdr:colOff>
      <xdr:row>4</xdr:row>
      <xdr:rowOff>6569</xdr:rowOff>
    </xdr:to>
    <xdr:grpSp>
      <xdr:nvGrpSpPr>
        <xdr:cNvPr id="2" name="Group 1">
          <a:extLst>
            <a:ext uri="{FF2B5EF4-FFF2-40B4-BE49-F238E27FC236}">
              <a16:creationId xmlns:a16="http://schemas.microsoft.com/office/drawing/2014/main" id="{00000000-0008-0000-0900-000002000000}"/>
            </a:ext>
          </a:extLst>
        </xdr:cNvPr>
        <xdr:cNvGrpSpPr/>
      </xdr:nvGrpSpPr>
      <xdr:grpSpPr>
        <a:xfrm>
          <a:off x="0" y="0"/>
          <a:ext cx="1457325" cy="1530569"/>
          <a:chOff x="22413" y="11206"/>
          <a:chExt cx="1546410" cy="1423147"/>
        </a:xfrm>
      </xdr:grpSpPr>
      <xdr:sp macro="" textlink="">
        <xdr:nvSpPr>
          <xdr:cNvPr id="3" name="Rectangle 3">
            <a:extLst>
              <a:ext uri="{FF2B5EF4-FFF2-40B4-BE49-F238E27FC236}">
                <a16:creationId xmlns:a16="http://schemas.microsoft.com/office/drawing/2014/main" id="{00000000-0008-0000-0900-000003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09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13" y="11206"/>
            <a:ext cx="1546410" cy="766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0900-000005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0900-000006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B889017-4D03-4024-816B-B580341DDABD}" name="Table1" displayName="Table1" ref="B12:D17" totalsRowShown="0" headerRowDxfId="77" tableBorderDxfId="76">
  <autoFilter ref="B12:D17" xr:uid="{9B889017-4D03-4024-816B-B580341DDABD}"/>
  <sortState xmlns:xlrd2="http://schemas.microsoft.com/office/spreadsheetml/2017/richdata2" ref="B13:D17">
    <sortCondition ref="B12:B17"/>
  </sortState>
  <tableColumns count="3">
    <tableColumn id="1" xr3:uid="{BA2B349E-D06A-4043-A34A-AD124BF150B2}" name="dms_TradingName_List" dataDxfId="75"/>
    <tableColumn id="2" xr3:uid="{F2299959-2BBC-41F8-AEBC-D44827C612C6}" name="dms_TradingNameFull_List" dataDxfId="74"/>
    <tableColumn id="3" xr3:uid="{D1F559BF-532E-43D0-A530-8C1D33E751B9}" name="dms_ABN_List" dataDxfId="73"/>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21.bin"/><Relationship Id="rId4" Type="http://schemas.openxmlformats.org/officeDocument/2006/relationships/comments" Target="../comments1.xml"/></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
    <tabColor theme="9"/>
  </sheetPr>
  <dimension ref="B1:O28"/>
  <sheetViews>
    <sheetView showGridLines="0" topLeftCell="A5" zoomScale="70" zoomScaleNormal="70" workbookViewId="0"/>
  </sheetViews>
  <sheetFormatPr defaultColWidth="9.140625" defaultRowHeight="28.5" x14ac:dyDescent="0.25"/>
  <cols>
    <col min="1" max="1" width="56.140625" customWidth="1"/>
    <col min="2" max="2" width="59.7109375" style="865" customWidth="1"/>
    <col min="3" max="3" width="20.7109375" customWidth="1"/>
    <col min="4" max="4" width="68.28515625" customWidth="1"/>
    <col min="5" max="5" width="20.7109375" customWidth="1"/>
    <col min="6" max="6" width="15.7109375" customWidth="1"/>
  </cols>
  <sheetData>
    <row r="1" spans="2:15" s="866" customFormat="1" ht="214.5" customHeight="1" thickBot="1" x14ac:dyDescent="0.3">
      <c r="B1" s="865"/>
    </row>
    <row r="2" spans="2:15" s="866" customFormat="1" ht="39.75" customHeight="1" x14ac:dyDescent="0.25">
      <c r="B2" s="1382" t="str">
        <f>CONCATENATE(dms_Sector," ",dms_Segment," ", "Network Service Provider")</f>
        <v>Gas Transmission Network Service Provider</v>
      </c>
      <c r="C2" s="1383"/>
      <c r="D2" s="1383"/>
      <c r="E2" s="1384"/>
      <c r="F2" s="867"/>
    </row>
    <row r="3" spans="2:15" s="866" customFormat="1" ht="39.75" customHeight="1" x14ac:dyDescent="0.25">
      <c r="B3" s="1385" t="str">
        <f>IF(dms_Model="Reset","Regulatory Proposal RIN Template","Annual Reporting RIN")</f>
        <v>Regulatory Proposal RIN Template</v>
      </c>
      <c r="C3" s="1386"/>
      <c r="D3" s="1386"/>
      <c r="E3" s="1387"/>
      <c r="F3" s="867"/>
      <c r="L3"/>
      <c r="O3"/>
    </row>
    <row r="4" spans="2:15" s="866" customFormat="1" ht="49.5" customHeight="1" thickBot="1" x14ac:dyDescent="0.3">
      <c r="B4" s="1388" t="str">
        <f>CONCATENATE("This template is to be used by ",dms_TradingNameFull," to fulfil its reporting obligations to the AER.")</f>
        <v>This template is to be used by APT Petroleum Pipelines Limited t/a Roma to Brisbane Pipeline to fulfil its reporting obligations to the AER.</v>
      </c>
      <c r="C4" s="1389"/>
      <c r="D4" s="1389"/>
      <c r="E4" s="1390"/>
      <c r="F4" s="868"/>
    </row>
    <row r="5" spans="2:15" s="866" customFormat="1" ht="39.75" customHeight="1" thickBot="1" x14ac:dyDescent="0.3">
      <c r="B5" s="1391" t="s">
        <v>653</v>
      </c>
      <c r="C5" s="1392"/>
      <c r="D5" s="1392"/>
      <c r="E5" s="1393"/>
      <c r="F5" s="869"/>
    </row>
    <row r="6" spans="2:15" s="866" customFormat="1" ht="114.75" customHeight="1" thickBot="1" x14ac:dyDescent="0.3">
      <c r="B6" s="870" t="s">
        <v>937</v>
      </c>
      <c r="C6" s="1394" t="s">
        <v>938</v>
      </c>
      <c r="D6" s="1395"/>
      <c r="E6" s="1396"/>
      <c r="F6"/>
    </row>
    <row r="7" spans="2:15" s="866" customFormat="1" ht="15" customHeight="1" thickBot="1" x14ac:dyDescent="0.3">
      <c r="B7" s="865"/>
      <c r="D7"/>
      <c r="E7"/>
      <c r="F7"/>
      <c r="G7"/>
    </row>
    <row r="8" spans="2:15" s="866" customFormat="1" ht="126.75" customHeight="1" x14ac:dyDescent="0.25">
      <c r="B8" s="1357" t="s">
        <v>939</v>
      </c>
      <c r="C8" s="1377" t="s">
        <v>1156</v>
      </c>
      <c r="D8" s="1378"/>
      <c r="E8" s="1339"/>
      <c r="F8"/>
      <c r="J8" s="871"/>
    </row>
    <row r="9" spans="2:15" s="866" customFormat="1" ht="100.7" customHeight="1" thickBot="1" x14ac:dyDescent="0.3">
      <c r="B9" s="1359"/>
      <c r="C9" s="1379" t="s">
        <v>1157</v>
      </c>
      <c r="D9" s="1380"/>
      <c r="E9" s="1381"/>
      <c r="F9"/>
    </row>
    <row r="10" spans="2:15" s="866" customFormat="1" ht="15" customHeight="1" thickBot="1" x14ac:dyDescent="0.3">
      <c r="B10" s="865"/>
      <c r="D10"/>
      <c r="E10"/>
      <c r="F10"/>
      <c r="G10"/>
    </row>
    <row r="11" spans="2:15" s="866" customFormat="1" ht="185.25" customHeight="1" x14ac:dyDescent="0.25">
      <c r="B11" s="1357" t="s">
        <v>940</v>
      </c>
      <c r="C11" s="1366" t="s">
        <v>1158</v>
      </c>
      <c r="D11" s="1367"/>
      <c r="E11" s="1368"/>
      <c r="F11"/>
    </row>
    <row r="12" spans="2:15" s="866" customFormat="1" ht="141.75" customHeight="1" x14ac:dyDescent="0.25">
      <c r="B12" s="1358"/>
      <c r="C12" s="1369" t="s">
        <v>1159</v>
      </c>
      <c r="D12" s="1370"/>
      <c r="E12" s="1340"/>
      <c r="F12"/>
    </row>
    <row r="13" spans="2:15" s="866" customFormat="1" ht="48.75" customHeight="1" thickBot="1" x14ac:dyDescent="0.3">
      <c r="B13" s="1359"/>
      <c r="C13" s="1371" t="s">
        <v>941</v>
      </c>
      <c r="D13" s="1372"/>
      <c r="E13" s="1373"/>
      <c r="F13"/>
    </row>
    <row r="14" spans="2:15" s="866" customFormat="1" ht="15" customHeight="1" thickBot="1" x14ac:dyDescent="0.3">
      <c r="B14" s="865"/>
      <c r="D14"/>
      <c r="E14"/>
      <c r="F14"/>
      <c r="G14"/>
    </row>
    <row r="15" spans="2:15" s="866" customFormat="1" ht="81.95" customHeight="1" thickBot="1" x14ac:dyDescent="0.3">
      <c r="B15" s="870" t="s">
        <v>1137</v>
      </c>
      <c r="C15" s="1374" t="s">
        <v>1138</v>
      </c>
      <c r="D15" s="1375"/>
      <c r="E15" s="1376"/>
      <c r="F15"/>
    </row>
    <row r="16" spans="2:15" s="866" customFormat="1" ht="15" customHeight="1" thickBot="1" x14ac:dyDescent="0.3">
      <c r="B16" s="865"/>
      <c r="D16"/>
      <c r="E16"/>
      <c r="F16"/>
      <c r="G16"/>
    </row>
    <row r="17" spans="2:7" s="866" customFormat="1" ht="27.95" customHeight="1" thickBot="1" x14ac:dyDescent="0.3">
      <c r="B17" s="1357" t="s">
        <v>942</v>
      </c>
      <c r="C17" s="1360"/>
      <c r="D17" s="1361"/>
      <c r="E17" s="1362"/>
      <c r="F17"/>
    </row>
    <row r="18" spans="2:7" s="866" customFormat="1" ht="24" customHeight="1" x14ac:dyDescent="0.25">
      <c r="B18" s="1358"/>
      <c r="C18" s="872"/>
      <c r="D18" s="873" t="s">
        <v>943</v>
      </c>
      <c r="E18" s="874"/>
      <c r="F18"/>
      <c r="G18"/>
    </row>
    <row r="19" spans="2:7" s="866" customFormat="1" ht="24" customHeight="1" x14ac:dyDescent="0.25">
      <c r="B19" s="1358"/>
      <c r="C19" s="872"/>
      <c r="D19" s="875" t="s">
        <v>944</v>
      </c>
      <c r="E19" s="874"/>
      <c r="F19"/>
      <c r="G19"/>
    </row>
    <row r="20" spans="2:7" s="866" customFormat="1" ht="24" customHeight="1" thickBot="1" x14ac:dyDescent="0.3">
      <c r="B20" s="1358"/>
      <c r="C20" s="872"/>
      <c r="D20" s="876" t="s">
        <v>945</v>
      </c>
      <c r="E20" s="874"/>
      <c r="F20"/>
      <c r="G20"/>
    </row>
    <row r="21" spans="2:7" s="866" customFormat="1" ht="54" x14ac:dyDescent="0.25">
      <c r="B21" s="1358"/>
      <c r="C21" s="872"/>
      <c r="D21" s="1341" t="s">
        <v>1160</v>
      </c>
      <c r="E21" s="874"/>
      <c r="F21"/>
      <c r="G21"/>
    </row>
    <row r="22" spans="2:7" s="866" customFormat="1" ht="21.75" customHeight="1" thickBot="1" x14ac:dyDescent="0.3">
      <c r="B22" s="1359"/>
      <c r="C22" s="877"/>
      <c r="D22" s="878"/>
      <c r="E22" s="879"/>
      <c r="F22"/>
      <c r="G22"/>
    </row>
    <row r="23" spans="2:7" s="866" customFormat="1" ht="15" customHeight="1" thickBot="1" x14ac:dyDescent="0.3">
      <c r="B23" s="865"/>
      <c r="D23"/>
      <c r="E23"/>
      <c r="F23"/>
      <c r="G23"/>
    </row>
    <row r="24" spans="2:7" s="866" customFormat="1" ht="105.75" customHeight="1" thickBot="1" x14ac:dyDescent="0.3">
      <c r="B24" s="870" t="s">
        <v>946</v>
      </c>
      <c r="C24" s="1363" t="s">
        <v>947</v>
      </c>
      <c r="D24" s="1364"/>
      <c r="E24" s="1365"/>
      <c r="F24"/>
    </row>
    <row r="25" spans="2:7" x14ac:dyDescent="0.25">
      <c r="C25" s="297"/>
      <c r="D25" s="297"/>
      <c r="E25" s="297"/>
    </row>
    <row r="26" spans="2:7" x14ac:dyDescent="0.25">
      <c r="C26" s="297"/>
      <c r="D26" s="297"/>
      <c r="E26" s="297"/>
    </row>
    <row r="27" spans="2:7" x14ac:dyDescent="0.25">
      <c r="C27" s="297"/>
      <c r="D27" s="297"/>
      <c r="E27" s="297"/>
    </row>
    <row r="28" spans="2:7" x14ac:dyDescent="0.25">
      <c r="C28" s="297"/>
      <c r="D28" s="297"/>
      <c r="E28" s="297"/>
    </row>
  </sheetData>
  <sheetProtection algorithmName="SHA-256" hashValue="R+mrUoH6lefrmLusxDgX/6A/uVgQbN5IUnQU8SvgCEc=" saltValue="wcvS6l/B3brjcSXwgo5QSA==" spinCount="100000" sheet="1" objects="1" scenarios="1" formatCells="0" insertRows="0" deleteRows="0"/>
  <mergeCells count="16">
    <mergeCell ref="B8:B9"/>
    <mergeCell ref="C8:D8"/>
    <mergeCell ref="C9:E9"/>
    <mergeCell ref="B2:E2"/>
    <mergeCell ref="B3:E3"/>
    <mergeCell ref="B4:E4"/>
    <mergeCell ref="B5:E5"/>
    <mergeCell ref="C6:E6"/>
    <mergeCell ref="B17:B22"/>
    <mergeCell ref="C17:E17"/>
    <mergeCell ref="C24:E24"/>
    <mergeCell ref="B11:B13"/>
    <mergeCell ref="C11:E11"/>
    <mergeCell ref="C12:D12"/>
    <mergeCell ref="C13:E13"/>
    <mergeCell ref="C15:E15"/>
  </mergeCells>
  <pageMargins left="0.7" right="0.7" top="0.75" bottom="0.75" header="0.3" footer="0.3"/>
  <pageSetup orientation="portrait" horizontalDpi="90" verticalDpi="90" r:id="rId1"/>
  <headerFooter>
    <oddFooter>&amp;C_x000D_&amp;1#&amp;"Aptos"&amp;10&amp;K008000 APA-INTERNAL</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23">
    <tabColor theme="3" tint="-0.249977111117893"/>
  </sheetPr>
  <dimension ref="B1:I23"/>
  <sheetViews>
    <sheetView showGridLines="0" topLeftCell="A2" zoomScaleNormal="100" workbookViewId="0">
      <selection activeCell="C27" sqref="C27"/>
    </sheetView>
  </sheetViews>
  <sheetFormatPr defaultColWidth="9.140625" defaultRowHeight="15" x14ac:dyDescent="0.25"/>
  <cols>
    <col min="1" max="1" width="22.7109375" customWidth="1"/>
    <col min="2" max="2" width="52" customWidth="1"/>
    <col min="3" max="9" width="20.7109375" customWidth="1"/>
  </cols>
  <sheetData>
    <row r="1" spans="2:9" ht="30.2" customHeight="1" x14ac:dyDescent="0.25">
      <c r="B1" s="1096" t="str">
        <f>IF(dms_MultiYear_ResponseFlag="Yes","REGULATORY REPORTING STATEMENT - HISTORICAL INFORMATION",INDEX(dms_Worksheet_List,MATCH(dms_Model,dms_Model_List)))</f>
        <v>REGULATORY REPORTING STATEMENT</v>
      </c>
      <c r="C1" s="280"/>
      <c r="D1" s="280"/>
      <c r="E1" s="280"/>
      <c r="F1" s="280"/>
      <c r="G1" s="1342" t="s">
        <v>1162</v>
      </c>
      <c r="H1" s="1343" t="s">
        <v>1163</v>
      </c>
      <c r="I1" s="936"/>
    </row>
    <row r="2" spans="2:9" ht="30.2" customHeight="1" x14ac:dyDescent="0.25">
      <c r="B2" s="1096" t="str">
        <f>INDEX(dms_TradingNameFull_List,MATCH(dms_TradingName,dms_TradingName_List))</f>
        <v>APT Petroleum Pipelines Limited t/a Roma to Brisbane Pipeline</v>
      </c>
      <c r="C2" s="280"/>
      <c r="D2" s="280"/>
      <c r="E2" s="280"/>
      <c r="F2" s="280"/>
      <c r="G2" s="1344" t="s">
        <v>1164</v>
      </c>
      <c r="H2" s="1345" t="s">
        <v>647</v>
      </c>
      <c r="I2" s="936"/>
    </row>
    <row r="3" spans="2:9" ht="30.2" customHeight="1" x14ac:dyDescent="0.25">
      <c r="B3" s="937" t="str">
        <f ca="1">dms_Header_Span</f>
        <v>Data Span 2025-26 - 2031-32</v>
      </c>
      <c r="C3" s="280"/>
      <c r="D3" s="280"/>
      <c r="E3" s="280"/>
      <c r="F3" s="280"/>
      <c r="G3" s="1346" t="s">
        <v>1165</v>
      </c>
      <c r="H3" s="1347" t="s">
        <v>830</v>
      </c>
      <c r="I3" s="938"/>
    </row>
    <row r="4" spans="2:9" ht="30.2" customHeight="1" x14ac:dyDescent="0.25">
      <c r="B4" s="263" t="s">
        <v>1051</v>
      </c>
      <c r="C4" s="934"/>
      <c r="D4" s="934"/>
      <c r="E4" s="934"/>
      <c r="F4" s="934"/>
      <c r="G4" s="1348" t="s">
        <v>1166</v>
      </c>
      <c r="H4" s="1349" t="s">
        <v>1167</v>
      </c>
      <c r="I4" s="263"/>
    </row>
    <row r="6" spans="2:9" x14ac:dyDescent="0.25">
      <c r="B6" t="s">
        <v>1050</v>
      </c>
    </row>
    <row r="7" spans="2:9" ht="15.75" thickBot="1" x14ac:dyDescent="0.3"/>
    <row r="8" spans="2:9" ht="21" customHeight="1" thickBot="1" x14ac:dyDescent="0.3">
      <c r="B8" s="264" t="s">
        <v>1049</v>
      </c>
      <c r="C8" s="264"/>
      <c r="D8" s="264"/>
      <c r="E8" s="264"/>
      <c r="F8" s="264"/>
      <c r="G8" s="264"/>
      <c r="H8" s="264"/>
      <c r="I8" s="264"/>
    </row>
    <row r="9" spans="2:9" ht="45.2" customHeight="1" x14ac:dyDescent="0.25">
      <c r="C9" s="1479" t="s">
        <v>1136</v>
      </c>
      <c r="D9" s="1480"/>
      <c r="E9" s="1480"/>
      <c r="F9" s="1480"/>
      <c r="G9" s="1480"/>
      <c r="H9" s="1480"/>
      <c r="I9" s="1481"/>
    </row>
    <row r="10" spans="2:9" ht="15.75" thickBot="1" x14ac:dyDescent="0.3">
      <c r="B10" s="943"/>
      <c r="C10" s="1027" t="str">
        <f ca="1">CRCP_y4</f>
        <v>2025-26</v>
      </c>
      <c r="D10" s="1013" t="str">
        <f ca="1">CRCP_y5</f>
        <v>2026-27</v>
      </c>
      <c r="E10" s="1013" t="str">
        <f>FRCP_y1</f>
        <v>2027-28</v>
      </c>
      <c r="F10" s="1013" t="str">
        <f ca="1">FRCP_y2</f>
        <v>2028-29</v>
      </c>
      <c r="G10" s="1013" t="str">
        <f ca="1">FRCP_y3</f>
        <v>2029-30</v>
      </c>
      <c r="H10" s="1013" t="str">
        <f ca="1">FRCP_y4</f>
        <v>2030-31</v>
      </c>
      <c r="I10" s="1028" t="str">
        <f ca="1">FRCP_y5</f>
        <v>2031-32</v>
      </c>
    </row>
    <row r="11" spans="2:9" ht="15.75" thickBot="1" x14ac:dyDescent="0.3">
      <c r="B11" s="971" t="s">
        <v>1048</v>
      </c>
      <c r="C11" s="1010"/>
      <c r="D11" s="1010"/>
      <c r="E11" s="1010"/>
      <c r="F11" s="1010"/>
      <c r="G11" s="1010"/>
      <c r="H11" s="1010"/>
      <c r="I11" s="1011"/>
    </row>
    <row r="12" spans="2:9" x14ac:dyDescent="0.25">
      <c r="B12" s="1029" t="s">
        <v>1046</v>
      </c>
      <c r="C12" s="921">
        <f>'E20. Opex'!F16*0.7</f>
        <v>19424247.318243563</v>
      </c>
      <c r="D12" s="931">
        <f>'E20. Opex'!G16*0.7</f>
        <v>19424247.318243563</v>
      </c>
      <c r="E12" s="920">
        <v>19546984.57154483</v>
      </c>
      <c r="F12" s="931">
        <v>19591859.9756543</v>
      </c>
      <c r="G12" s="920">
        <v>19645453.602258943</v>
      </c>
      <c r="H12" s="1095">
        <v>19679581.548032053</v>
      </c>
      <c r="I12" s="1157">
        <v>19712867.800370097</v>
      </c>
    </row>
    <row r="13" spans="2:9" x14ac:dyDescent="0.25">
      <c r="B13" s="982" t="s">
        <v>1045</v>
      </c>
      <c r="C13" s="921">
        <v>0</v>
      </c>
      <c r="D13" s="931">
        <v>0</v>
      </c>
      <c r="E13" s="920">
        <v>0</v>
      </c>
      <c r="F13" s="931">
        <v>0</v>
      </c>
      <c r="G13" s="920">
        <v>0</v>
      </c>
      <c r="H13" s="1095">
        <v>0</v>
      </c>
      <c r="I13" s="1157">
        <v>0</v>
      </c>
    </row>
    <row r="14" spans="2:9" x14ac:dyDescent="0.25">
      <c r="B14" s="982" t="s">
        <v>1044</v>
      </c>
      <c r="C14" s="921">
        <v>0</v>
      </c>
      <c r="D14" s="931">
        <v>0</v>
      </c>
      <c r="E14" s="920">
        <v>0</v>
      </c>
      <c r="F14" s="931">
        <v>0</v>
      </c>
      <c r="G14" s="920">
        <v>0</v>
      </c>
      <c r="H14" s="1095">
        <v>0</v>
      </c>
      <c r="I14" s="1157">
        <v>0</v>
      </c>
    </row>
    <row r="15" spans="2:9" x14ac:dyDescent="0.25">
      <c r="B15" s="982" t="s">
        <v>1106</v>
      </c>
      <c r="C15" s="921">
        <f>'E20. Opex'!F16*0.3</f>
        <v>8324677.4221043838</v>
      </c>
      <c r="D15" s="931">
        <f>'E20. Opex'!G16*0.3</f>
        <v>8324677.4221043838</v>
      </c>
      <c r="E15" s="920">
        <v>8377279.1020906409</v>
      </c>
      <c r="F15" s="931">
        <v>8396511.4181375578</v>
      </c>
      <c r="G15" s="920">
        <v>8419480.1152538322</v>
      </c>
      <c r="H15" s="1095">
        <v>8434106.3777280226</v>
      </c>
      <c r="I15" s="1157">
        <v>8448371.9144443274</v>
      </c>
    </row>
    <row r="16" spans="2:9" ht="15.75" thickBot="1" x14ac:dyDescent="0.3">
      <c r="B16" s="1150" t="s">
        <v>965</v>
      </c>
      <c r="C16" s="1151">
        <f>SUM(C12:C15)</f>
        <v>27748924.740347948</v>
      </c>
      <c r="D16" s="1151">
        <f t="shared" ref="D16:I16" si="0">SUM(D12:D15)</f>
        <v>27748924.740347948</v>
      </c>
      <c r="E16" s="1151">
        <f t="shared" si="0"/>
        <v>27924263.673635472</v>
      </c>
      <c r="F16" s="1151">
        <f t="shared" si="0"/>
        <v>27988371.393791858</v>
      </c>
      <c r="G16" s="1151">
        <f t="shared" si="0"/>
        <v>28064933.717512775</v>
      </c>
      <c r="H16" s="1151">
        <f t="shared" si="0"/>
        <v>28113687.925760075</v>
      </c>
      <c r="I16" s="1151">
        <f t="shared" si="0"/>
        <v>28161239.714814425</v>
      </c>
    </row>
    <row r="17" spans="2:9" ht="15.75" thickBot="1" x14ac:dyDescent="0.3"/>
    <row r="18" spans="2:9" ht="15.75" thickBot="1" x14ac:dyDescent="0.3">
      <c r="B18" s="971" t="s">
        <v>1047</v>
      </c>
      <c r="C18" s="1010"/>
      <c r="D18" s="1010"/>
      <c r="E18" s="1010"/>
      <c r="F18" s="1010"/>
      <c r="G18" s="1010"/>
      <c r="H18" s="1010"/>
      <c r="I18" s="1011"/>
    </row>
    <row r="19" spans="2:9" x14ac:dyDescent="0.25">
      <c r="B19" s="1029" t="s">
        <v>1046</v>
      </c>
      <c r="C19" s="921">
        <f>'E1. Expenditure Summary'!C39*0.38</f>
        <v>4374516.423095854</v>
      </c>
      <c r="D19" s="931">
        <f>'E1. Expenditure Summary'!D39*0.38</f>
        <v>6049436.4002063582</v>
      </c>
      <c r="E19" s="920">
        <f>'E2. Repex'!F10+'E6. Non-network'!E10</f>
        <v>8922714.3649266064</v>
      </c>
      <c r="F19" s="931">
        <f>'E2. Repex'!G10+'E6. Non-network'!F10</f>
        <v>6553206.2597547276</v>
      </c>
      <c r="G19" s="920">
        <f>'E2. Repex'!H10+'E6. Non-network'!G10</f>
        <v>4662192.5931615504</v>
      </c>
      <c r="H19" s="1095">
        <f>'E2. Repex'!I10+'E6. Non-network'!H10</f>
        <v>5394175.9553831788</v>
      </c>
      <c r="I19" s="1157">
        <f>'E2. Repex'!J10+'E6. Non-network'!I10</f>
        <v>3346051.9379382501</v>
      </c>
    </row>
    <row r="20" spans="2:9" x14ac:dyDescent="0.25">
      <c r="B20" s="982" t="s">
        <v>1045</v>
      </c>
      <c r="C20" s="921">
        <v>0</v>
      </c>
      <c r="D20" s="931">
        <v>0</v>
      </c>
      <c r="E20" s="920">
        <v>0</v>
      </c>
      <c r="F20" s="931">
        <v>0</v>
      </c>
      <c r="G20" s="920">
        <v>0</v>
      </c>
      <c r="H20" s="1095">
        <v>0</v>
      </c>
      <c r="I20" s="1157">
        <v>0</v>
      </c>
    </row>
    <row r="21" spans="2:9" x14ac:dyDescent="0.25">
      <c r="B21" s="982" t="s">
        <v>1044</v>
      </c>
      <c r="C21" s="921">
        <v>0</v>
      </c>
      <c r="D21" s="931">
        <v>0</v>
      </c>
      <c r="E21" s="920">
        <v>0</v>
      </c>
      <c r="F21" s="931">
        <v>0</v>
      </c>
      <c r="G21" s="920">
        <v>0</v>
      </c>
      <c r="H21" s="1095">
        <v>0</v>
      </c>
      <c r="I21" s="1157">
        <v>0</v>
      </c>
    </row>
    <row r="22" spans="2:9" x14ac:dyDescent="0.25">
      <c r="B22" s="982" t="s">
        <v>1106</v>
      </c>
      <c r="C22" s="921">
        <f>'E1. Expenditure Summary'!C39*0.62</f>
        <v>7137368.9008406028</v>
      </c>
      <c r="D22" s="931">
        <f>'E1. Expenditure Summary'!D39*0.62</f>
        <v>9870133.0740208998</v>
      </c>
      <c r="E22" s="920">
        <f>'E1. Expenditure Summary'!E19-'E11. Labour'!E19</f>
        <v>17799975.175445903</v>
      </c>
      <c r="F22" s="931">
        <f>'E1. Expenditure Summary'!F19-'E11. Labour'!F19</f>
        <v>13446167.197557099</v>
      </c>
      <c r="G22" s="920">
        <f>'E1. Expenditure Summary'!G19-'E11. Labour'!G19</f>
        <v>9825786.2469960675</v>
      </c>
      <c r="H22" s="1095">
        <f>'E1. Expenditure Summary'!H19-'E11. Labour'!H19</f>
        <v>10434259.274394363</v>
      </c>
      <c r="I22" s="1157">
        <f>'E1. Expenditure Summary'!I19-'E11. Labour'!I19</f>
        <v>7373898.7341545243</v>
      </c>
    </row>
    <row r="23" spans="2:9" ht="15.75" thickBot="1" x14ac:dyDescent="0.3">
      <c r="B23" s="1150" t="s">
        <v>965</v>
      </c>
      <c r="C23" s="1151">
        <f>SUM(C19:C22)</f>
        <v>11511885.323936457</v>
      </c>
      <c r="D23" s="1151">
        <f t="shared" ref="D23:I23" si="1">SUM(D19:D22)</f>
        <v>15919569.474227257</v>
      </c>
      <c r="E23" s="1151">
        <f t="shared" si="1"/>
        <v>26722689.54037251</v>
      </c>
      <c r="F23" s="1151">
        <f t="shared" si="1"/>
        <v>19999373.457311828</v>
      </c>
      <c r="G23" s="1151">
        <f t="shared" si="1"/>
        <v>14487978.840157617</v>
      </c>
      <c r="H23" s="1151">
        <f t="shared" si="1"/>
        <v>15828435.229777541</v>
      </c>
      <c r="I23" s="1151">
        <f t="shared" si="1"/>
        <v>10719950.672092775</v>
      </c>
    </row>
  </sheetData>
  <sheetProtection algorithmName="SHA-256" hashValue="Q1mtdqX9loO8ueN6HO5NQfv0MEMGbrc7zw2ggmy4CVs=" saltValue="E2AWKV32cE/X7/0hBN5tYQ==" spinCount="100000" sheet="1" objects="1" scenarios="1" formatCells="0" insertRows="0" deleteRows="0"/>
  <mergeCells count="1">
    <mergeCell ref="C9:I9"/>
  </mergeCells>
  <pageMargins left="0.7" right="0.7" top="0.75" bottom="0.75" header="0.3" footer="0.3"/>
  <pageSetup paperSize="0" orientation="portrait" horizontalDpi="0" verticalDpi="0" copies="0" r:id="rId1"/>
  <headerFooter>
    <oddFooter>&amp;C_x000D_&amp;1#&amp;"Aptos"&amp;10&amp;K008000 APA-INTERNAL</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27">
    <tabColor theme="3" tint="-0.249977111117893"/>
  </sheetPr>
  <dimension ref="A1:I34"/>
  <sheetViews>
    <sheetView showGridLines="0" zoomScale="70" zoomScaleNormal="70" workbookViewId="0">
      <selection activeCell="D39" sqref="D39"/>
    </sheetView>
  </sheetViews>
  <sheetFormatPr defaultColWidth="9.140625" defaultRowHeight="15" outlineLevelRow="2" x14ac:dyDescent="0.25"/>
  <cols>
    <col min="1" max="1" width="22.7109375" customWidth="1"/>
    <col min="2" max="2" width="79.28515625" customWidth="1"/>
    <col min="3" max="9" width="18.5703125" style="29" customWidth="1"/>
  </cols>
  <sheetData>
    <row r="1" spans="1:9" ht="30.2" customHeight="1" x14ac:dyDescent="0.25">
      <c r="B1" s="281" t="str">
        <f>IF(dms_MultiYear_ResponseFlag="Yes","REGULATORY REPORTING STATEMENT - HISTORICAL INFORMATION",INDEX(dms_Worksheet_List,MATCH(dms_Model,dms_Model_List)))</f>
        <v>REGULATORY REPORTING STATEMENT</v>
      </c>
      <c r="C1" s="1037"/>
      <c r="D1" s="1037"/>
      <c r="E1" s="1037"/>
      <c r="F1" s="1037"/>
      <c r="G1" s="1342" t="s">
        <v>1162</v>
      </c>
      <c r="H1" s="1343" t="s">
        <v>1163</v>
      </c>
      <c r="I1" s="936"/>
    </row>
    <row r="2" spans="1:9" ht="30.2" customHeight="1" x14ac:dyDescent="0.25">
      <c r="B2" s="937" t="str">
        <f>INDEX(dms_TradingNameFull_List,MATCH(dms_TradingName,dms_TradingName_List))</f>
        <v>APT Petroleum Pipelines Limited t/a Roma to Brisbane Pipeline</v>
      </c>
      <c r="C2" s="1037"/>
      <c r="D2" s="1037"/>
      <c r="E2" s="1037"/>
      <c r="F2" s="1037"/>
      <c r="G2" s="1344" t="s">
        <v>1164</v>
      </c>
      <c r="H2" s="1345" t="s">
        <v>647</v>
      </c>
      <c r="I2" s="936"/>
    </row>
    <row r="3" spans="1:9" ht="30.2" customHeight="1" x14ac:dyDescent="0.25">
      <c r="B3" s="937" t="str">
        <f ca="1">dms_Header_Span</f>
        <v>Data Span 2025-26 - 2031-32</v>
      </c>
      <c r="C3" s="1037"/>
      <c r="D3" s="1037"/>
      <c r="E3" s="1037"/>
      <c r="F3" s="1037"/>
      <c r="G3" s="1346" t="s">
        <v>1165</v>
      </c>
      <c r="H3" s="1347" t="s">
        <v>830</v>
      </c>
      <c r="I3" s="938"/>
    </row>
    <row r="4" spans="1:9" ht="30.2" customHeight="1" x14ac:dyDescent="0.25">
      <c r="B4" s="263" t="s">
        <v>995</v>
      </c>
      <c r="C4" s="1038"/>
      <c r="D4" s="1038"/>
      <c r="E4" s="1038"/>
      <c r="F4" s="1038"/>
      <c r="G4" s="1348" t="s">
        <v>1166</v>
      </c>
      <c r="H4" s="1349" t="s">
        <v>1167</v>
      </c>
      <c r="I4" s="263"/>
    </row>
    <row r="5" spans="1:9" ht="15.75" thickBot="1" x14ac:dyDescent="0.3"/>
    <row r="6" spans="1:9" s="972" customFormat="1" ht="28.7" customHeight="1" thickBot="1" x14ac:dyDescent="0.25">
      <c r="B6" s="264" t="s">
        <v>1062</v>
      </c>
      <c r="C6" s="975"/>
      <c r="D6" s="975"/>
      <c r="E6" s="975"/>
      <c r="F6" s="975"/>
      <c r="G6" s="975"/>
      <c r="H6" s="975"/>
      <c r="I6" s="975"/>
    </row>
    <row r="7" spans="1:9" s="972" customFormat="1" ht="24" customHeight="1" thickBot="1" x14ac:dyDescent="0.25">
      <c r="B7" s="998" t="s">
        <v>1076</v>
      </c>
      <c r="C7" s="899"/>
      <c r="D7" s="899"/>
      <c r="E7" s="899"/>
      <c r="F7" s="899"/>
      <c r="G7" s="899"/>
      <c r="H7" s="899"/>
      <c r="I7" s="999"/>
    </row>
    <row r="8" spans="1:9" s="42" customFormat="1" ht="40.5" customHeight="1" outlineLevel="2" x14ac:dyDescent="0.25">
      <c r="A8" s="958"/>
      <c r="B8"/>
      <c r="C8" s="1476" t="str">
        <f ca="1">CONCATENATE("EXPENDITURE
Forecast ($0's real, ",dms_DollarReal,")")</f>
        <v>EXPENDITURE
Forecast ($0's real, June 2027)</v>
      </c>
      <c r="D8" s="1477"/>
      <c r="E8" s="1477"/>
      <c r="F8" s="1477"/>
      <c r="G8" s="1477"/>
      <c r="H8" s="1477"/>
      <c r="I8" s="1478"/>
    </row>
    <row r="9" spans="1:9" s="42" customFormat="1" ht="15.75" customHeight="1" outlineLevel="2" thickBot="1" x14ac:dyDescent="0.3">
      <c r="A9" s="958"/>
      <c r="B9"/>
      <c r="C9" s="1027" t="str">
        <f ca="1">CRCP_y4</f>
        <v>2025-26</v>
      </c>
      <c r="D9" s="1013" t="str">
        <f ca="1">CRCP_y5</f>
        <v>2026-27</v>
      </c>
      <c r="E9" s="1013" t="str">
        <f>FRCP_y1</f>
        <v>2027-28</v>
      </c>
      <c r="F9" s="1013" t="str">
        <f ca="1">FRCP_y2</f>
        <v>2028-29</v>
      </c>
      <c r="G9" s="1013" t="str">
        <f ca="1">FRCP_y3</f>
        <v>2029-30</v>
      </c>
      <c r="H9" s="1013" t="str">
        <f ca="1">FRCP_y4</f>
        <v>2030-31</v>
      </c>
      <c r="I9" s="1028" t="str">
        <f ca="1">FRCP_y5</f>
        <v>2031-32</v>
      </c>
    </row>
    <row r="10" spans="1:9" ht="15.75" customHeight="1" outlineLevel="2" x14ac:dyDescent="0.25">
      <c r="B10" s="1001" t="s">
        <v>1052</v>
      </c>
      <c r="C10" s="995"/>
      <c r="D10" s="885"/>
      <c r="E10" s="885"/>
      <c r="F10" s="885"/>
      <c r="G10" s="885"/>
      <c r="H10" s="885"/>
      <c r="I10" s="886"/>
    </row>
    <row r="11" spans="1:9" ht="15.75" customHeight="1" outlineLevel="2" x14ac:dyDescent="0.25">
      <c r="B11" s="1002" t="s">
        <v>1053</v>
      </c>
      <c r="C11" s="996"/>
      <c r="D11" s="862"/>
      <c r="E11" s="862"/>
      <c r="F11" s="862"/>
      <c r="G11" s="862"/>
      <c r="H11" s="862"/>
      <c r="I11" s="864"/>
    </row>
    <row r="12" spans="1:9" ht="15.75" customHeight="1" outlineLevel="2" x14ac:dyDescent="0.25">
      <c r="B12" s="1002" t="s">
        <v>1054</v>
      </c>
      <c r="C12" s="996"/>
      <c r="D12" s="862"/>
      <c r="E12" s="862"/>
      <c r="F12" s="862"/>
      <c r="G12" s="862"/>
      <c r="H12" s="862"/>
      <c r="I12" s="864"/>
    </row>
    <row r="13" spans="1:9" ht="15.75" customHeight="1" outlineLevel="2" x14ac:dyDescent="0.25">
      <c r="B13" s="1002" t="s">
        <v>966</v>
      </c>
      <c r="C13" s="996"/>
      <c r="D13" s="862"/>
      <c r="E13" s="862"/>
      <c r="F13" s="862"/>
      <c r="G13" s="862"/>
      <c r="H13" s="862"/>
      <c r="I13" s="864"/>
    </row>
    <row r="14" spans="1:9" ht="15.75" customHeight="1" outlineLevel="2" x14ac:dyDescent="0.25">
      <c r="B14" s="1148" t="s">
        <v>967</v>
      </c>
      <c r="C14" s="1297"/>
      <c r="D14" s="1298"/>
      <c r="E14" s="1298"/>
      <c r="F14" s="1298"/>
      <c r="G14" s="1298"/>
      <c r="H14" s="1298"/>
      <c r="I14" s="1299"/>
    </row>
    <row r="15" spans="1:9" ht="15.75" customHeight="1" outlineLevel="2" thickBot="1" x14ac:dyDescent="0.3">
      <c r="B15" s="1149" t="s">
        <v>1043</v>
      </c>
      <c r="C15" s="1053"/>
      <c r="D15" s="861"/>
      <c r="E15" s="861"/>
      <c r="F15" s="861"/>
      <c r="G15" s="861"/>
      <c r="H15" s="861"/>
      <c r="I15" s="1052"/>
    </row>
    <row r="16" spans="1:9" ht="15.75" customHeight="1" outlineLevel="2" thickBot="1" x14ac:dyDescent="0.3">
      <c r="B16" s="1230" t="s">
        <v>1042</v>
      </c>
      <c r="C16" s="1226">
        <f>SUM(C10:C14)-C15</f>
        <v>0</v>
      </c>
      <c r="D16" s="1226">
        <f t="shared" ref="D16:I16" si="0">SUM(D10:D14)-D15</f>
        <v>0</v>
      </c>
      <c r="E16" s="1226">
        <f t="shared" si="0"/>
        <v>0</v>
      </c>
      <c r="F16" s="1226">
        <f t="shared" si="0"/>
        <v>0</v>
      </c>
      <c r="G16" s="1226">
        <f t="shared" si="0"/>
        <v>0</v>
      </c>
      <c r="H16" s="1226">
        <f t="shared" si="0"/>
        <v>0</v>
      </c>
      <c r="I16" s="1227">
        <f t="shared" si="0"/>
        <v>0</v>
      </c>
    </row>
    <row r="17" spans="1:9" ht="15.75" customHeight="1" outlineLevel="2" x14ac:dyDescent="0.25">
      <c r="C17"/>
      <c r="D17"/>
      <c r="E17"/>
      <c r="F17"/>
      <c r="G17"/>
      <c r="H17"/>
      <c r="I17"/>
    </row>
    <row r="18" spans="1:9" ht="15.75" thickBot="1" x14ac:dyDescent="0.3"/>
    <row r="19" spans="1:9" s="972" customFormat="1" ht="24" customHeight="1" thickBot="1" x14ac:dyDescent="0.25">
      <c r="B19" s="998" t="s">
        <v>1077</v>
      </c>
      <c r="C19" s="899"/>
      <c r="D19" s="899"/>
      <c r="E19" s="899"/>
      <c r="F19" s="899"/>
      <c r="G19" s="899"/>
      <c r="H19" s="899"/>
      <c r="I19" s="899"/>
    </row>
    <row r="20" spans="1:9" s="42" customFormat="1" ht="35.25" customHeight="1" outlineLevel="1" x14ac:dyDescent="0.25">
      <c r="A20" s="958"/>
      <c r="B20"/>
      <c r="C20" s="1476" t="str">
        <f ca="1">CONCATENATE("EXPENDITURE
Forecast ($0's real, ",dms_DollarReal,")")</f>
        <v>EXPENDITURE
Forecast ($0's real, June 2027)</v>
      </c>
      <c r="D20" s="1477"/>
      <c r="E20" s="1477"/>
      <c r="F20" s="1477"/>
      <c r="G20" s="1477"/>
      <c r="H20" s="1477"/>
      <c r="I20" s="1478"/>
    </row>
    <row r="21" spans="1:9" s="42" customFormat="1" ht="15" customHeight="1" outlineLevel="1" thickBot="1" x14ac:dyDescent="0.3">
      <c r="A21" s="958"/>
      <c r="B21"/>
      <c r="C21" s="1027" t="str">
        <f ca="1">CRCP_y4</f>
        <v>2025-26</v>
      </c>
      <c r="D21" s="1013" t="str">
        <f ca="1">CRCP_y5</f>
        <v>2026-27</v>
      </c>
      <c r="E21" s="1013" t="str">
        <f>FRCP_y1</f>
        <v>2027-28</v>
      </c>
      <c r="F21" s="1013" t="str">
        <f ca="1">FRCP_y2</f>
        <v>2028-29</v>
      </c>
      <c r="G21" s="1013" t="str">
        <f ca="1">FRCP_y3</f>
        <v>2029-30</v>
      </c>
      <c r="H21" s="1013" t="str">
        <f ca="1">FRCP_y4</f>
        <v>2030-31</v>
      </c>
      <c r="I21" s="1028" t="str">
        <f ca="1">FRCP_y5</f>
        <v>2031-32</v>
      </c>
    </row>
    <row r="22" spans="1:9" ht="15.75" customHeight="1" outlineLevel="1" x14ac:dyDescent="0.25">
      <c r="B22" s="1032"/>
      <c r="C22" s="983"/>
      <c r="D22" s="1017"/>
      <c r="E22" s="1017"/>
      <c r="F22" s="1017"/>
      <c r="G22" s="1017"/>
      <c r="H22" s="1017"/>
      <c r="I22" s="1018"/>
    </row>
    <row r="23" spans="1:9" ht="15.75" customHeight="1" outlineLevel="1" x14ac:dyDescent="0.25">
      <c r="B23" s="1033"/>
      <c r="C23" s="1019"/>
      <c r="D23" s="986"/>
      <c r="E23" s="986"/>
      <c r="F23" s="986"/>
      <c r="G23" s="986"/>
      <c r="H23" s="986"/>
      <c r="I23" s="1020"/>
    </row>
    <row r="24" spans="1:9" ht="15.75" customHeight="1" outlineLevel="1" x14ac:dyDescent="0.25">
      <c r="B24" s="1033"/>
      <c r="C24" s="1019"/>
      <c r="D24" s="986"/>
      <c r="E24" s="986"/>
      <c r="F24" s="986"/>
      <c r="G24" s="986"/>
      <c r="H24" s="986"/>
      <c r="I24" s="1020"/>
    </row>
    <row r="25" spans="1:9" ht="15.75" customHeight="1" outlineLevel="1" x14ac:dyDescent="0.25">
      <c r="B25" s="1033"/>
      <c r="C25" s="1019"/>
      <c r="D25" s="986"/>
      <c r="E25" s="986"/>
      <c r="F25" s="986"/>
      <c r="G25" s="986"/>
      <c r="H25" s="986"/>
      <c r="I25" s="1020"/>
    </row>
    <row r="26" spans="1:9" ht="15.75" customHeight="1" outlineLevel="1" x14ac:dyDescent="0.25">
      <c r="B26" s="1033"/>
      <c r="C26" s="1019"/>
      <c r="D26" s="986"/>
      <c r="E26" s="986"/>
      <c r="F26" s="986"/>
      <c r="G26" s="986"/>
      <c r="H26" s="986"/>
      <c r="I26" s="1020"/>
    </row>
    <row r="27" spans="1:9" ht="15.75" customHeight="1" outlineLevel="1" x14ac:dyDescent="0.25">
      <c r="B27" s="1033"/>
      <c r="C27" s="1019"/>
      <c r="D27" s="986"/>
      <c r="E27" s="986"/>
      <c r="F27" s="986"/>
      <c r="G27" s="986"/>
      <c r="H27" s="986"/>
      <c r="I27" s="1020"/>
    </row>
    <row r="28" spans="1:9" ht="15.75" customHeight="1" outlineLevel="1" x14ac:dyDescent="0.25">
      <c r="B28" s="1033"/>
      <c r="C28" s="1019"/>
      <c r="D28" s="986"/>
      <c r="E28" s="986"/>
      <c r="F28" s="986"/>
      <c r="G28" s="986"/>
      <c r="H28" s="986"/>
      <c r="I28" s="1020"/>
    </row>
    <row r="29" spans="1:9" ht="15.75" customHeight="1" outlineLevel="1" x14ac:dyDescent="0.25">
      <c r="B29" s="1033"/>
      <c r="C29" s="1019"/>
      <c r="D29" s="986"/>
      <c r="E29" s="986"/>
      <c r="F29" s="986"/>
      <c r="G29" s="986"/>
      <c r="H29" s="986"/>
      <c r="I29" s="1020"/>
    </row>
    <row r="30" spans="1:9" ht="15.75" customHeight="1" outlineLevel="1" x14ac:dyDescent="0.25">
      <c r="B30" s="1033"/>
      <c r="C30" s="1019"/>
      <c r="D30" s="986"/>
      <c r="E30" s="986"/>
      <c r="F30" s="986"/>
      <c r="G30" s="986"/>
      <c r="H30" s="986"/>
      <c r="I30" s="1020"/>
    </row>
    <row r="31" spans="1:9" ht="15.75" customHeight="1" outlineLevel="1" x14ac:dyDescent="0.25">
      <c r="B31" s="1033"/>
      <c r="C31" s="1019"/>
      <c r="D31" s="986"/>
      <c r="E31" s="986"/>
      <c r="F31" s="986"/>
      <c r="G31" s="986"/>
      <c r="H31" s="986"/>
      <c r="I31" s="1020"/>
    </row>
    <row r="32" spans="1:9" ht="15.75" customHeight="1" outlineLevel="1" thickBot="1" x14ac:dyDescent="0.3">
      <c r="B32" s="973" t="s">
        <v>985</v>
      </c>
      <c r="C32" s="1019"/>
      <c r="D32" s="986"/>
      <c r="E32" s="986"/>
      <c r="F32" s="986"/>
      <c r="G32" s="986"/>
      <c r="H32" s="986"/>
      <c r="I32" s="1020"/>
    </row>
    <row r="33" spans="2:9" ht="15.75" customHeight="1" outlineLevel="1" thickBot="1" x14ac:dyDescent="0.3">
      <c r="B33" s="1150" t="s">
        <v>965</v>
      </c>
      <c r="C33" s="1151">
        <f>SUM(C22:C32)</f>
        <v>0</v>
      </c>
      <c r="D33" s="1151">
        <f t="shared" ref="D33:I33" si="1">SUM(D22:D32)</f>
        <v>0</v>
      </c>
      <c r="E33" s="1151">
        <f t="shared" si="1"/>
        <v>0</v>
      </c>
      <c r="F33" s="1151">
        <f t="shared" si="1"/>
        <v>0</v>
      </c>
      <c r="G33" s="1151">
        <f t="shared" si="1"/>
        <v>0</v>
      </c>
      <c r="H33" s="1151">
        <f t="shared" si="1"/>
        <v>0</v>
      </c>
      <c r="I33" s="1151">
        <f t="shared" si="1"/>
        <v>0</v>
      </c>
    </row>
    <row r="34" spans="2:9" ht="15.75" customHeight="1" x14ac:dyDescent="0.25">
      <c r="B34" s="345"/>
    </row>
  </sheetData>
  <sheetProtection algorithmName="SHA-256" hashValue="SFG4wwBO2xyUs+CqX3Dvr7niNhAN9HS/b2PXV5E67mk=" saltValue="ZLSPf+sjirVCXT2Ft7m1Dg==" spinCount="100000" sheet="1" objects="1" scenarios="1" formatCells="0" insertRows="0" deleteRows="0"/>
  <mergeCells count="2">
    <mergeCell ref="C20:I20"/>
    <mergeCell ref="C8:I8"/>
  </mergeCells>
  <pageMargins left="0.7" right="0.7" top="0.75" bottom="0.75" header="0.3" footer="0.3"/>
  <pageSetup paperSize="0" orientation="portrait" horizontalDpi="0" verticalDpi="0" copies="0" r:id="rId1"/>
  <headerFooter>
    <oddFooter>&amp;C_x000D_&amp;1#&amp;"Aptos"&amp;10&amp;K008000 APA-INTERNAL</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tabColor theme="3" tint="-0.249977111117893"/>
  </sheetPr>
  <dimension ref="A1:O70"/>
  <sheetViews>
    <sheetView showGridLines="0" topLeftCell="A9" zoomScale="70" zoomScaleNormal="70" workbookViewId="0">
      <selection activeCell="H1" sqref="H1:J4"/>
    </sheetView>
  </sheetViews>
  <sheetFormatPr defaultColWidth="9.140625" defaultRowHeight="15" outlineLevelRow="1" x14ac:dyDescent="0.25"/>
  <cols>
    <col min="1" max="1" width="22.7109375" customWidth="1"/>
    <col min="2" max="2" width="67.5703125" customWidth="1"/>
    <col min="3" max="3" width="75" customWidth="1"/>
    <col min="4" max="10" width="20.7109375" customWidth="1"/>
  </cols>
  <sheetData>
    <row r="1" spans="1:15" ht="30.2" customHeight="1" x14ac:dyDescent="0.25">
      <c r="B1" s="422" t="str">
        <f>INDEX(dms_Worksheet_List,MATCH(dms_Model,dms_Model_List))</f>
        <v>REGULATORY REPORTING STATEMENT</v>
      </c>
      <c r="C1" s="280"/>
      <c r="D1" s="280"/>
      <c r="E1" s="280"/>
      <c r="F1" s="280"/>
      <c r="G1" s="280"/>
      <c r="H1" s="1342" t="s">
        <v>1162</v>
      </c>
      <c r="I1" s="1343" t="s">
        <v>1163</v>
      </c>
      <c r="J1" s="936"/>
    </row>
    <row r="2" spans="1:15" ht="30.2" customHeight="1" x14ac:dyDescent="0.25">
      <c r="B2" s="423" t="str">
        <f>INDEX(dms_TradingNameFull_List,MATCH(dms_TradingName,dms_TradingName_List))</f>
        <v>APT Petroleum Pipelines Limited t/a Roma to Brisbane Pipeline</v>
      </c>
      <c r="C2" s="280"/>
      <c r="D2" s="280"/>
      <c r="E2" s="280"/>
      <c r="F2" s="280"/>
      <c r="G2" s="280"/>
      <c r="H2" s="1344" t="s">
        <v>1164</v>
      </c>
      <c r="I2" s="1345" t="s">
        <v>647</v>
      </c>
      <c r="J2" s="936"/>
    </row>
    <row r="3" spans="1:15" ht="30.2" customHeight="1" x14ac:dyDescent="0.25">
      <c r="B3" s="627" t="str">
        <f ca="1">dms_Header_Span</f>
        <v>Data Span 2025-26 - 2031-32</v>
      </c>
      <c r="C3" s="280"/>
      <c r="D3" s="280"/>
      <c r="E3" s="280"/>
      <c r="F3" s="280"/>
      <c r="G3" s="280"/>
      <c r="H3" s="1346" t="s">
        <v>1165</v>
      </c>
      <c r="I3" s="1347" t="s">
        <v>830</v>
      </c>
      <c r="J3" s="938"/>
    </row>
    <row r="4" spans="1:15" ht="30.2" customHeight="1" x14ac:dyDescent="0.25">
      <c r="B4" s="263" t="s">
        <v>1035</v>
      </c>
      <c r="C4" s="263"/>
      <c r="D4" s="263"/>
      <c r="E4" s="263"/>
      <c r="F4" s="263"/>
      <c r="G4" s="263"/>
      <c r="H4" s="1348" t="s">
        <v>1166</v>
      </c>
      <c r="I4" s="1349" t="s">
        <v>1167</v>
      </c>
      <c r="J4" s="263"/>
    </row>
    <row r="5" spans="1:15" ht="42.75" customHeight="1" thickBot="1" x14ac:dyDescent="0.3"/>
    <row r="6" spans="1:15" s="1087" customFormat="1" ht="24.95" customHeight="1" thickBot="1" x14ac:dyDescent="0.3">
      <c r="A6" s="1088"/>
      <c r="B6" s="264" t="s">
        <v>1034</v>
      </c>
      <c r="C6" s="264"/>
      <c r="D6" s="264"/>
      <c r="E6" s="264"/>
      <c r="F6" s="264"/>
      <c r="G6" s="264"/>
      <c r="H6" s="264"/>
      <c r="I6" s="264"/>
      <c r="J6" s="264"/>
      <c r="K6"/>
      <c r="L6"/>
      <c r="M6"/>
      <c r="N6"/>
      <c r="O6"/>
    </row>
    <row r="7" spans="1:15" s="1090" customFormat="1" ht="29.45" customHeight="1" thickBot="1" x14ac:dyDescent="0.35">
      <c r="A7" s="1091"/>
      <c r="B7" s="1094" t="s">
        <v>1033</v>
      </c>
      <c r="C7" s="1093"/>
      <c r="D7" s="1093"/>
      <c r="E7" s="1093"/>
      <c r="F7" s="1093"/>
      <c r="G7" s="1093"/>
      <c r="H7" s="1093"/>
      <c r="I7" s="1093"/>
      <c r="J7" s="1092"/>
      <c r="K7"/>
      <c r="L7"/>
      <c r="M7"/>
      <c r="N7"/>
      <c r="O7"/>
    </row>
    <row r="8" spans="1:15" s="1083" customFormat="1" ht="21.75" customHeight="1" outlineLevel="1" x14ac:dyDescent="0.25">
      <c r="A8" s="1077"/>
      <c r="B8" s="1086"/>
      <c r="C8" s="1086"/>
      <c r="D8" s="1482" t="s">
        <v>936</v>
      </c>
      <c r="E8" s="1482"/>
      <c r="F8" s="1482"/>
      <c r="G8" s="1482"/>
      <c r="H8" s="1482"/>
      <c r="I8" s="1482"/>
      <c r="J8" s="1483"/>
    </row>
    <row r="9" spans="1:15" s="1083" customFormat="1" ht="29.45" customHeight="1" outlineLevel="1" x14ac:dyDescent="0.25">
      <c r="A9" s="1077"/>
      <c r="B9" s="1086"/>
      <c r="C9" s="1076"/>
      <c r="D9" s="1484" t="str">
        <f ca="1">CONCATENATE("$0's, real ",dms_DollarReal)</f>
        <v>$0's, real June 2027</v>
      </c>
      <c r="E9" s="1485"/>
      <c r="F9" s="1485"/>
      <c r="G9" s="1485"/>
      <c r="H9" s="1485"/>
      <c r="I9" s="1485"/>
      <c r="J9" s="1486"/>
    </row>
    <row r="10" spans="1:15" s="1083" customFormat="1" ht="22.5" customHeight="1" outlineLevel="1" thickBot="1" x14ac:dyDescent="0.3">
      <c r="A10" s="1077"/>
      <c r="B10" s="1064" t="s">
        <v>1031</v>
      </c>
      <c r="C10" s="1089" t="s">
        <v>997</v>
      </c>
      <c r="D10" s="932" t="str">
        <f ca="1">CRCP_y4</f>
        <v>2025-26</v>
      </c>
      <c r="E10" s="274" t="str">
        <f ca="1">CRCP_y5</f>
        <v>2026-27</v>
      </c>
      <c r="F10" s="273" t="str">
        <f>FRCP_y1</f>
        <v>2027-28</v>
      </c>
      <c r="G10" s="273" t="str">
        <f ca="1">FRCP_y2</f>
        <v>2028-29</v>
      </c>
      <c r="H10" s="273" t="str">
        <f ca="1">FRCP_y3</f>
        <v>2029-30</v>
      </c>
      <c r="I10" s="273" t="str">
        <f ca="1">FRCP_y4</f>
        <v>2030-31</v>
      </c>
      <c r="J10" s="933" t="str">
        <f ca="1">FRCP_y5</f>
        <v>2031-32</v>
      </c>
    </row>
    <row r="11" spans="1:15" s="1076" customFormat="1" outlineLevel="1" x14ac:dyDescent="0.25">
      <c r="A11" s="1077"/>
      <c r="B11" s="1104"/>
      <c r="C11" s="1107"/>
      <c r="D11" s="1108"/>
      <c r="E11" s="1082"/>
      <c r="F11" s="1097"/>
      <c r="G11" s="1098"/>
      <c r="H11" s="1098"/>
      <c r="I11" s="1098"/>
      <c r="J11" s="1099"/>
    </row>
    <row r="12" spans="1:15" s="1076" customFormat="1" outlineLevel="1" x14ac:dyDescent="0.25">
      <c r="A12" s="1077"/>
      <c r="B12" s="1105"/>
      <c r="C12" s="1107"/>
      <c r="D12" s="1109"/>
      <c r="E12" s="1081"/>
      <c r="F12" s="1080"/>
      <c r="G12" s="1079"/>
      <c r="H12" s="1079"/>
      <c r="I12" s="1079"/>
      <c r="J12" s="1078"/>
    </row>
    <row r="13" spans="1:15" s="1076" customFormat="1" outlineLevel="1" x14ac:dyDescent="0.25">
      <c r="A13" s="1077"/>
      <c r="B13" s="1105"/>
      <c r="C13" s="1107"/>
      <c r="D13" s="1109"/>
      <c r="E13" s="1081"/>
      <c r="F13" s="1080"/>
      <c r="G13" s="1079"/>
      <c r="H13" s="1079"/>
      <c r="I13" s="1079"/>
      <c r="J13" s="1078"/>
    </row>
    <row r="14" spans="1:15" s="1076" customFormat="1" outlineLevel="1" x14ac:dyDescent="0.25">
      <c r="A14" s="1077"/>
      <c r="B14" s="1105"/>
      <c r="C14" s="1107"/>
      <c r="D14" s="1109"/>
      <c r="E14" s="1251"/>
      <c r="F14" s="1080"/>
      <c r="G14" s="1079"/>
      <c r="H14" s="1079"/>
      <c r="I14" s="1079"/>
      <c r="J14" s="1078"/>
    </row>
    <row r="15" spans="1:15" s="1076" customFormat="1" outlineLevel="1" x14ac:dyDescent="0.25">
      <c r="A15" s="1077"/>
      <c r="B15" s="1105"/>
      <c r="C15" s="1107"/>
      <c r="D15" s="1109"/>
      <c r="E15" s="1081"/>
      <c r="F15" s="1080"/>
      <c r="G15" s="1079"/>
      <c r="H15" s="1079"/>
      <c r="I15" s="1079"/>
      <c r="J15" s="1078"/>
    </row>
    <row r="16" spans="1:15" s="1076" customFormat="1" outlineLevel="1" x14ac:dyDescent="0.25">
      <c r="A16" s="1077"/>
      <c r="B16" s="1105"/>
      <c r="C16" s="1107"/>
      <c r="D16" s="1109"/>
      <c r="E16" s="1081"/>
      <c r="F16" s="1080"/>
      <c r="G16" s="1079"/>
      <c r="H16" s="1079"/>
      <c r="I16" s="1079"/>
      <c r="J16" s="1078"/>
    </row>
    <row r="17" spans="1:15" s="1076" customFormat="1" outlineLevel="1" x14ac:dyDescent="0.25">
      <c r="A17" s="1077"/>
      <c r="B17" s="1105"/>
      <c r="C17" s="1107"/>
      <c r="D17" s="1109"/>
      <c r="E17" s="1081"/>
      <c r="F17" s="1080"/>
      <c r="G17" s="1079"/>
      <c r="H17" s="1079"/>
      <c r="I17" s="1079"/>
      <c r="J17" s="1078"/>
    </row>
    <row r="18" spans="1:15" s="1076" customFormat="1" outlineLevel="1" x14ac:dyDescent="0.25">
      <c r="A18" s="1077"/>
      <c r="B18" s="1105"/>
      <c r="C18" s="1107"/>
      <c r="D18" s="1109"/>
      <c r="E18" s="1081"/>
      <c r="F18" s="1080"/>
      <c r="G18" s="1079"/>
      <c r="H18" s="1079"/>
      <c r="I18" s="1079"/>
      <c r="J18" s="1078"/>
    </row>
    <row r="19" spans="1:15" s="1076" customFormat="1" outlineLevel="1" x14ac:dyDescent="0.25">
      <c r="A19" s="1077"/>
      <c r="B19" s="1105"/>
      <c r="C19" s="1107"/>
      <c r="D19" s="1109"/>
      <c r="E19" s="1081"/>
      <c r="F19" s="1080"/>
      <c r="G19" s="1079"/>
      <c r="H19" s="1079"/>
      <c r="I19" s="1079"/>
      <c r="J19" s="1078"/>
    </row>
    <row r="20" spans="1:15" s="1076" customFormat="1" ht="15.75" outlineLevel="1" thickBot="1" x14ac:dyDescent="0.3">
      <c r="A20" s="1077"/>
      <c r="B20" s="1106"/>
      <c r="C20" s="1107"/>
      <c r="D20" s="1110"/>
      <c r="E20" s="1101"/>
      <c r="F20" s="1100"/>
      <c r="G20" s="1102"/>
      <c r="H20" s="1102"/>
      <c r="I20" s="1102"/>
      <c r="J20" s="1103"/>
    </row>
    <row r="21" spans="1:15" s="1076" customFormat="1" ht="15.75" outlineLevel="1" thickBot="1" x14ac:dyDescent="0.3">
      <c r="A21" s="1077"/>
      <c r="B21" s="1473" t="s">
        <v>965</v>
      </c>
      <c r="C21" s="1474"/>
      <c r="D21" s="1226">
        <f t="shared" ref="D21:J21" si="0">SUM(D11:D20)</f>
        <v>0</v>
      </c>
      <c r="E21" s="1226">
        <f t="shared" si="0"/>
        <v>0</v>
      </c>
      <c r="F21" s="1226">
        <f t="shared" si="0"/>
        <v>0</v>
      </c>
      <c r="G21" s="1226">
        <f t="shared" si="0"/>
        <v>0</v>
      </c>
      <c r="H21" s="1226">
        <f t="shared" si="0"/>
        <v>0</v>
      </c>
      <c r="I21" s="1226">
        <f t="shared" si="0"/>
        <v>0</v>
      </c>
      <c r="J21" s="1227">
        <f t="shared" si="0"/>
        <v>0</v>
      </c>
    </row>
    <row r="22" spans="1:15" ht="15.75" thickBot="1" x14ac:dyDescent="0.3">
      <c r="B22" s="1050"/>
    </row>
    <row r="23" spans="1:15" s="1090" customFormat="1" ht="29.45" customHeight="1" thickBot="1" x14ac:dyDescent="0.35">
      <c r="A23" s="1091"/>
      <c r="B23" s="971" t="s">
        <v>1032</v>
      </c>
      <c r="C23" s="1010"/>
      <c r="D23" s="1010"/>
      <c r="E23" s="1010"/>
      <c r="F23" s="1010"/>
      <c r="G23" s="1010"/>
      <c r="H23" s="1010"/>
      <c r="I23" s="1010"/>
      <c r="J23" s="1011"/>
      <c r="K23"/>
      <c r="L23"/>
      <c r="M23"/>
      <c r="N23"/>
      <c r="O23"/>
    </row>
    <row r="24" spans="1:15" s="1083" customFormat="1" ht="22.5" customHeight="1" outlineLevel="1" x14ac:dyDescent="0.25">
      <c r="A24" s="1077"/>
      <c r="B24" s="1086"/>
      <c r="C24" s="1086"/>
      <c r="D24" s="1482" t="s">
        <v>936</v>
      </c>
      <c r="E24" s="1482"/>
      <c r="F24" s="1482"/>
      <c r="G24" s="1482"/>
      <c r="H24" s="1482"/>
      <c r="I24" s="1482"/>
      <c r="J24" s="1483"/>
    </row>
    <row r="25" spans="1:15" s="1083" customFormat="1" ht="29.45" customHeight="1" outlineLevel="1" x14ac:dyDescent="0.25">
      <c r="A25" s="1077"/>
      <c r="B25" s="1086"/>
      <c r="C25" s="1076"/>
      <c r="D25" s="1484" t="str">
        <f ca="1">CONCATENATE("$0's, real ", dms_DollarReal)</f>
        <v>$0's, real June 2027</v>
      </c>
      <c r="E25" s="1485"/>
      <c r="F25" s="1485"/>
      <c r="G25" s="1485"/>
      <c r="H25" s="1485"/>
      <c r="I25" s="1485"/>
      <c r="J25" s="1486"/>
    </row>
    <row r="26" spans="1:15" s="1083" customFormat="1" ht="22.5" customHeight="1" outlineLevel="1" thickBot="1" x14ac:dyDescent="0.3">
      <c r="A26" s="1077"/>
      <c r="B26" s="1064" t="s">
        <v>1031</v>
      </c>
      <c r="C26" s="1089" t="s">
        <v>997</v>
      </c>
      <c r="D26" s="932" t="str">
        <f ca="1">CRCP_y4</f>
        <v>2025-26</v>
      </c>
      <c r="E26" s="274" t="str">
        <f ca="1">CRCP_y5</f>
        <v>2026-27</v>
      </c>
      <c r="F26" s="273" t="str">
        <f>FRCP_y1</f>
        <v>2027-28</v>
      </c>
      <c r="G26" s="273" t="str">
        <f ca="1">FRCP_y2</f>
        <v>2028-29</v>
      </c>
      <c r="H26" s="273" t="str">
        <f ca="1">FRCP_y3</f>
        <v>2029-30</v>
      </c>
      <c r="I26" s="273" t="str">
        <f ca="1">FRCP_y4</f>
        <v>2030-31</v>
      </c>
      <c r="J26" s="933" t="str">
        <f ca="1">FRCP_y5</f>
        <v>2031-32</v>
      </c>
    </row>
    <row r="27" spans="1:15" s="1076" customFormat="1" outlineLevel="1" x14ac:dyDescent="0.25">
      <c r="A27" s="1077"/>
      <c r="B27" s="1104"/>
      <c r="C27" s="1107"/>
      <c r="D27" s="1108"/>
      <c r="E27" s="1082"/>
      <c r="F27" s="1097"/>
      <c r="G27" s="1098"/>
      <c r="H27" s="1098"/>
      <c r="I27" s="1098"/>
      <c r="J27" s="1099"/>
    </row>
    <row r="28" spans="1:15" s="1076" customFormat="1" outlineLevel="1" x14ac:dyDescent="0.25">
      <c r="A28" s="1077"/>
      <c r="B28" s="1105"/>
      <c r="C28" s="1107"/>
      <c r="D28" s="1109"/>
      <c r="E28" s="1081"/>
      <c r="F28" s="1080"/>
      <c r="G28" s="1079"/>
      <c r="H28" s="1079"/>
      <c r="I28" s="1079"/>
      <c r="J28" s="1078"/>
    </row>
    <row r="29" spans="1:15" s="1076" customFormat="1" outlineLevel="1" x14ac:dyDescent="0.25">
      <c r="A29" s="1077"/>
      <c r="B29" s="1105"/>
      <c r="C29" s="1107"/>
      <c r="D29" s="1109"/>
      <c r="E29" s="1081"/>
      <c r="F29" s="1080"/>
      <c r="G29" s="1079"/>
      <c r="H29" s="1079"/>
      <c r="I29" s="1079"/>
      <c r="J29" s="1078"/>
    </row>
    <row r="30" spans="1:15" s="1076" customFormat="1" outlineLevel="1" x14ac:dyDescent="0.25">
      <c r="A30" s="1077"/>
      <c r="B30" s="1105"/>
      <c r="C30" s="1107"/>
      <c r="D30" s="1109"/>
      <c r="E30" s="1081"/>
      <c r="F30" s="1080"/>
      <c r="G30" s="1079"/>
      <c r="H30" s="1079"/>
      <c r="I30" s="1079"/>
      <c r="J30" s="1078"/>
    </row>
    <row r="31" spans="1:15" s="1076" customFormat="1" outlineLevel="1" x14ac:dyDescent="0.25">
      <c r="A31" s="1077"/>
      <c r="B31" s="1105"/>
      <c r="C31" s="1107"/>
      <c r="D31" s="1109"/>
      <c r="E31" s="1081"/>
      <c r="F31" s="1080"/>
      <c r="G31" s="1079"/>
      <c r="H31" s="1079"/>
      <c r="I31" s="1079"/>
      <c r="J31" s="1078"/>
    </row>
    <row r="32" spans="1:15" s="1076" customFormat="1" outlineLevel="1" x14ac:dyDescent="0.25">
      <c r="A32" s="1077"/>
      <c r="B32" s="1105"/>
      <c r="C32" s="1107"/>
      <c r="D32" s="1109"/>
      <c r="E32" s="1081"/>
      <c r="F32" s="1080"/>
      <c r="G32" s="1079"/>
      <c r="H32" s="1079"/>
      <c r="I32" s="1079"/>
      <c r="J32" s="1078"/>
    </row>
    <row r="33" spans="1:15" s="1076" customFormat="1" outlineLevel="1" x14ac:dyDescent="0.25">
      <c r="A33" s="1077"/>
      <c r="B33" s="1105"/>
      <c r="C33" s="1107"/>
      <c r="D33" s="1109"/>
      <c r="E33" s="1081"/>
      <c r="F33" s="1080"/>
      <c r="G33" s="1079"/>
      <c r="H33" s="1079"/>
      <c r="I33" s="1079"/>
      <c r="J33" s="1078"/>
    </row>
    <row r="34" spans="1:15" s="1076" customFormat="1" outlineLevel="1" x14ac:dyDescent="0.25">
      <c r="A34" s="1077"/>
      <c r="B34" s="1105"/>
      <c r="C34" s="1107"/>
      <c r="D34" s="1109"/>
      <c r="E34" s="1081"/>
      <c r="F34" s="1080"/>
      <c r="G34" s="1079"/>
      <c r="H34" s="1079"/>
      <c r="I34" s="1079"/>
      <c r="J34" s="1078"/>
    </row>
    <row r="35" spans="1:15" s="1076" customFormat="1" outlineLevel="1" x14ac:dyDescent="0.25">
      <c r="A35" s="1077"/>
      <c r="B35" s="1105"/>
      <c r="C35" s="1107"/>
      <c r="D35" s="1109"/>
      <c r="E35" s="1081"/>
      <c r="F35" s="1080"/>
      <c r="G35" s="1079"/>
      <c r="H35" s="1079"/>
      <c r="I35" s="1079"/>
      <c r="J35" s="1078"/>
    </row>
    <row r="36" spans="1:15" s="1076" customFormat="1" ht="15.75" outlineLevel="1" thickBot="1" x14ac:dyDescent="0.3">
      <c r="A36" s="1077"/>
      <c r="B36" s="1106"/>
      <c r="C36" s="1107"/>
      <c r="D36" s="1110"/>
      <c r="E36" s="1101"/>
      <c r="F36" s="1100"/>
      <c r="G36" s="1102"/>
      <c r="H36" s="1102"/>
      <c r="I36" s="1102"/>
      <c r="J36" s="1103"/>
    </row>
    <row r="37" spans="1:15" s="1076" customFormat="1" ht="15.75" outlineLevel="1" thickBot="1" x14ac:dyDescent="0.3">
      <c r="A37" s="1077"/>
      <c r="B37" s="1473" t="s">
        <v>965</v>
      </c>
      <c r="C37" s="1474"/>
      <c r="D37" s="1226">
        <f t="shared" ref="D37:J37" si="1">SUM(D27:D36)</f>
        <v>0</v>
      </c>
      <c r="E37" s="1226">
        <f t="shared" si="1"/>
        <v>0</v>
      </c>
      <c r="F37" s="1226">
        <f t="shared" si="1"/>
        <v>0</v>
      </c>
      <c r="G37" s="1226">
        <f t="shared" si="1"/>
        <v>0</v>
      </c>
      <c r="H37" s="1226">
        <f t="shared" si="1"/>
        <v>0</v>
      </c>
      <c r="I37" s="1226">
        <f t="shared" si="1"/>
        <v>0</v>
      </c>
      <c r="J37" s="1227">
        <f t="shared" si="1"/>
        <v>0</v>
      </c>
    </row>
    <row r="38" spans="1:15" x14ac:dyDescent="0.25">
      <c r="B38" s="1050"/>
    </row>
    <row r="40" spans="1:15" ht="15.75" thickBot="1" x14ac:dyDescent="0.3"/>
    <row r="41" spans="1:15" s="1087" customFormat="1" ht="24.95" customHeight="1" thickBot="1" x14ac:dyDescent="0.3">
      <c r="A41" s="1088"/>
      <c r="B41" s="264" t="s">
        <v>1030</v>
      </c>
      <c r="C41" s="264"/>
      <c r="D41" s="264"/>
      <c r="E41" s="264"/>
      <c r="F41" s="264"/>
      <c r="G41" s="264"/>
      <c r="H41" s="264"/>
      <c r="I41" s="264"/>
      <c r="J41" s="264"/>
      <c r="K41"/>
      <c r="L41"/>
      <c r="M41"/>
      <c r="N41"/>
      <c r="O41"/>
    </row>
    <row r="42" spans="1:15" s="1083" customFormat="1" ht="20.25" customHeight="1" outlineLevel="1" x14ac:dyDescent="0.25">
      <c r="A42" s="1077"/>
      <c r="B42" s="1086"/>
      <c r="C42" s="1086"/>
      <c r="D42" s="1482" t="s">
        <v>936</v>
      </c>
      <c r="E42" s="1482"/>
      <c r="F42" s="1482"/>
      <c r="G42" s="1482"/>
      <c r="H42" s="1482"/>
      <c r="I42" s="1482"/>
      <c r="J42" s="1483"/>
    </row>
    <row r="43" spans="1:15" s="1083" customFormat="1" ht="29.45" customHeight="1" outlineLevel="1" x14ac:dyDescent="0.25">
      <c r="A43" s="1077"/>
      <c r="B43" s="1086"/>
      <c r="C43" s="1076"/>
      <c r="D43" s="1484" t="str">
        <f ca="1">CONCATENATE("$0's, real ",dms_DollarReal)</f>
        <v>$0's, real June 2027</v>
      </c>
      <c r="E43" s="1485"/>
      <c r="F43" s="1485"/>
      <c r="G43" s="1485"/>
      <c r="H43" s="1485"/>
      <c r="I43" s="1485"/>
      <c r="J43" s="1486"/>
    </row>
    <row r="44" spans="1:15" s="1083" customFormat="1" ht="22.5" customHeight="1" outlineLevel="1" thickBot="1" x14ac:dyDescent="0.3">
      <c r="A44" s="1077"/>
      <c r="B44" s="1085" t="s">
        <v>1029</v>
      </c>
      <c r="C44" s="1084"/>
      <c r="D44" s="932" t="str">
        <f ca="1">CRCP_y4</f>
        <v>2025-26</v>
      </c>
      <c r="E44" s="274" t="str">
        <f ca="1">CRCP_y5</f>
        <v>2026-27</v>
      </c>
      <c r="F44" s="273" t="str">
        <f>FRCP_y1</f>
        <v>2027-28</v>
      </c>
      <c r="G44" s="273" t="str">
        <f ca="1">FRCP_y2</f>
        <v>2028-29</v>
      </c>
      <c r="H44" s="273" t="str">
        <f ca="1">FRCP_y3</f>
        <v>2029-30</v>
      </c>
      <c r="I44" s="273" t="str">
        <f ca="1">FRCP_y4</f>
        <v>2030-31</v>
      </c>
      <c r="J44" s="933" t="str">
        <f ca="1">FRCP_y5</f>
        <v>2031-32</v>
      </c>
    </row>
    <row r="45" spans="1:15" s="1076" customFormat="1" outlineLevel="1" x14ac:dyDescent="0.25">
      <c r="A45" s="1077"/>
      <c r="B45" s="1487"/>
      <c r="C45" s="1488"/>
      <c r="D45" s="1108"/>
      <c r="E45" s="1082"/>
      <c r="F45" s="1097"/>
      <c r="G45" s="1098"/>
      <c r="H45" s="1098"/>
      <c r="I45" s="1098"/>
      <c r="J45" s="1099"/>
    </row>
    <row r="46" spans="1:15" s="1076" customFormat="1" outlineLevel="1" x14ac:dyDescent="0.25">
      <c r="A46" s="1077"/>
      <c r="B46" s="1489"/>
      <c r="C46" s="1490"/>
      <c r="D46" s="1109"/>
      <c r="E46" s="1081"/>
      <c r="F46" s="1080"/>
      <c r="G46" s="1079"/>
      <c r="H46" s="1079"/>
      <c r="I46" s="1079"/>
      <c r="J46" s="1078"/>
    </row>
    <row r="47" spans="1:15" s="1076" customFormat="1" outlineLevel="1" x14ac:dyDescent="0.25">
      <c r="A47" s="1077"/>
      <c r="B47" s="1489"/>
      <c r="C47" s="1490"/>
      <c r="D47" s="1109"/>
      <c r="E47" s="1081"/>
      <c r="F47" s="1080"/>
      <c r="G47" s="1079"/>
      <c r="H47" s="1079"/>
      <c r="I47" s="1079"/>
      <c r="J47" s="1078"/>
    </row>
    <row r="48" spans="1:15" s="1076" customFormat="1" outlineLevel="1" x14ac:dyDescent="0.25">
      <c r="A48" s="1077"/>
      <c r="B48" s="1489"/>
      <c r="C48" s="1490"/>
      <c r="D48" s="1109"/>
      <c r="E48" s="1081"/>
      <c r="F48" s="1080"/>
      <c r="G48" s="1079"/>
      <c r="H48" s="1079"/>
      <c r="I48" s="1079"/>
      <c r="J48" s="1078"/>
    </row>
    <row r="49" spans="1:10" s="1076" customFormat="1" outlineLevel="1" x14ac:dyDescent="0.25">
      <c r="A49" s="1077"/>
      <c r="B49" s="1489"/>
      <c r="C49" s="1490"/>
      <c r="D49" s="1109"/>
      <c r="E49" s="1081"/>
      <c r="F49" s="1080"/>
      <c r="G49" s="1079"/>
      <c r="H49" s="1079"/>
      <c r="I49" s="1079"/>
      <c r="J49" s="1078"/>
    </row>
    <row r="50" spans="1:10" s="1076" customFormat="1" outlineLevel="1" x14ac:dyDescent="0.25">
      <c r="A50" s="1077"/>
      <c r="B50" s="1489"/>
      <c r="C50" s="1490"/>
      <c r="D50" s="1109"/>
      <c r="E50" s="1081"/>
      <c r="F50" s="1080"/>
      <c r="G50" s="1079"/>
      <c r="H50" s="1079"/>
      <c r="I50" s="1079"/>
      <c r="J50" s="1078"/>
    </row>
    <row r="51" spans="1:10" s="1076" customFormat="1" outlineLevel="1" x14ac:dyDescent="0.25">
      <c r="A51" s="1077"/>
      <c r="B51" s="1489"/>
      <c r="C51" s="1490"/>
      <c r="D51" s="1109"/>
      <c r="E51" s="1081"/>
      <c r="F51" s="1080"/>
      <c r="G51" s="1079"/>
      <c r="H51" s="1079"/>
      <c r="I51" s="1079"/>
      <c r="J51" s="1078"/>
    </row>
    <row r="52" spans="1:10" s="1076" customFormat="1" outlineLevel="1" x14ac:dyDescent="0.25">
      <c r="A52" s="1077"/>
      <c r="B52" s="1489"/>
      <c r="C52" s="1490"/>
      <c r="D52" s="1109"/>
      <c r="E52" s="1081"/>
      <c r="F52" s="1080"/>
      <c r="G52" s="1079"/>
      <c r="H52" s="1079"/>
      <c r="I52" s="1079"/>
      <c r="J52" s="1078"/>
    </row>
    <row r="53" spans="1:10" s="1076" customFormat="1" outlineLevel="1" x14ac:dyDescent="0.25">
      <c r="A53" s="1077"/>
      <c r="B53" s="1489"/>
      <c r="C53" s="1490"/>
      <c r="D53" s="1109"/>
      <c r="E53" s="1081"/>
      <c r="F53" s="1080"/>
      <c r="G53" s="1079"/>
      <c r="H53" s="1079"/>
      <c r="I53" s="1079"/>
      <c r="J53" s="1078"/>
    </row>
    <row r="54" spans="1:10" s="1076" customFormat="1" outlineLevel="1" x14ac:dyDescent="0.25">
      <c r="A54" s="1077"/>
      <c r="B54" s="1489"/>
      <c r="C54" s="1490"/>
      <c r="D54" s="1109"/>
      <c r="E54" s="1081"/>
      <c r="F54" s="1080"/>
      <c r="G54" s="1079"/>
      <c r="H54" s="1079"/>
      <c r="I54" s="1079"/>
      <c r="J54" s="1078"/>
    </row>
    <row r="55" spans="1:10" s="1076" customFormat="1" outlineLevel="1" x14ac:dyDescent="0.25">
      <c r="A55" s="1077"/>
      <c r="B55" s="1489"/>
      <c r="C55" s="1490"/>
      <c r="D55" s="1109"/>
      <c r="E55" s="1081"/>
      <c r="F55" s="1080"/>
      <c r="G55" s="1079"/>
      <c r="H55" s="1079"/>
      <c r="I55" s="1079"/>
      <c r="J55" s="1078"/>
    </row>
    <row r="56" spans="1:10" s="1076" customFormat="1" outlineLevel="1" x14ac:dyDescent="0.25">
      <c r="A56" s="1077"/>
      <c r="B56" s="1489"/>
      <c r="C56" s="1490"/>
      <c r="D56" s="1109"/>
      <c r="E56" s="1081"/>
      <c r="F56" s="1080"/>
      <c r="G56" s="1079"/>
      <c r="H56" s="1079"/>
      <c r="I56" s="1079"/>
      <c r="J56" s="1078"/>
    </row>
    <row r="57" spans="1:10" s="1076" customFormat="1" outlineLevel="1" x14ac:dyDescent="0.25">
      <c r="A57" s="1077"/>
      <c r="B57" s="1489"/>
      <c r="C57" s="1490"/>
      <c r="D57" s="1109"/>
      <c r="E57" s="1081"/>
      <c r="F57" s="1080"/>
      <c r="G57" s="1079"/>
      <c r="H57" s="1079"/>
      <c r="I57" s="1079"/>
      <c r="J57" s="1078"/>
    </row>
    <row r="58" spans="1:10" s="1076" customFormat="1" outlineLevel="1" x14ac:dyDescent="0.25">
      <c r="A58" s="1077"/>
      <c r="B58" s="1489"/>
      <c r="C58" s="1490"/>
      <c r="D58" s="1109"/>
      <c r="E58" s="1081"/>
      <c r="F58" s="1080"/>
      <c r="G58" s="1079"/>
      <c r="H58" s="1079"/>
      <c r="I58" s="1079"/>
      <c r="J58" s="1078"/>
    </row>
    <row r="59" spans="1:10" s="1076" customFormat="1" outlineLevel="1" x14ac:dyDescent="0.25">
      <c r="A59" s="1077"/>
      <c r="B59" s="1489"/>
      <c r="C59" s="1490"/>
      <c r="D59" s="1109"/>
      <c r="E59" s="1081"/>
      <c r="F59" s="1080"/>
      <c r="G59" s="1079"/>
      <c r="H59" s="1079"/>
      <c r="I59" s="1079"/>
      <c r="J59" s="1078"/>
    </row>
    <row r="60" spans="1:10" s="1076" customFormat="1" outlineLevel="1" x14ac:dyDescent="0.25">
      <c r="A60" s="1077"/>
      <c r="B60" s="1489"/>
      <c r="C60" s="1490"/>
      <c r="D60" s="1109"/>
      <c r="E60" s="1081"/>
      <c r="F60" s="1080"/>
      <c r="G60" s="1079"/>
      <c r="H60" s="1079"/>
      <c r="I60" s="1079"/>
      <c r="J60" s="1078"/>
    </row>
    <row r="61" spans="1:10" s="1076" customFormat="1" outlineLevel="1" x14ac:dyDescent="0.25">
      <c r="A61" s="1077"/>
      <c r="B61" s="1489"/>
      <c r="C61" s="1490"/>
      <c r="D61" s="1109"/>
      <c r="E61" s="1081"/>
      <c r="F61" s="1080"/>
      <c r="G61" s="1079"/>
      <c r="H61" s="1079"/>
      <c r="I61" s="1079"/>
      <c r="J61" s="1078"/>
    </row>
    <row r="62" spans="1:10" s="1076" customFormat="1" outlineLevel="1" x14ac:dyDescent="0.25">
      <c r="A62" s="1077"/>
      <c r="B62" s="1489"/>
      <c r="C62" s="1490"/>
      <c r="D62" s="1109"/>
      <c r="E62" s="1081"/>
      <c r="F62" s="1080"/>
      <c r="G62" s="1079"/>
      <c r="H62" s="1079"/>
      <c r="I62" s="1079"/>
      <c r="J62" s="1078"/>
    </row>
    <row r="63" spans="1:10" s="1076" customFormat="1" outlineLevel="1" x14ac:dyDescent="0.25">
      <c r="A63" s="1077"/>
      <c r="B63" s="1489"/>
      <c r="C63" s="1490"/>
      <c r="D63" s="1109"/>
      <c r="E63" s="1081"/>
      <c r="F63" s="1080"/>
      <c r="G63" s="1079"/>
      <c r="H63" s="1079"/>
      <c r="I63" s="1079"/>
      <c r="J63" s="1078"/>
    </row>
    <row r="64" spans="1:10" s="1076" customFormat="1" outlineLevel="1" x14ac:dyDescent="0.25">
      <c r="A64" s="1077"/>
      <c r="B64" s="1489"/>
      <c r="C64" s="1490"/>
      <c r="D64" s="1109"/>
      <c r="E64" s="1081"/>
      <c r="F64" s="1080"/>
      <c r="G64" s="1079"/>
      <c r="H64" s="1079"/>
      <c r="I64" s="1079"/>
      <c r="J64" s="1078"/>
    </row>
    <row r="65" spans="1:10" s="1076" customFormat="1" outlineLevel="1" x14ac:dyDescent="0.25">
      <c r="A65" s="1077"/>
      <c r="B65" s="1489"/>
      <c r="C65" s="1490"/>
      <c r="D65" s="1109"/>
      <c r="E65" s="1081"/>
      <c r="F65" s="1080"/>
      <c r="G65" s="1079"/>
      <c r="H65" s="1079"/>
      <c r="I65" s="1079"/>
      <c r="J65" s="1078"/>
    </row>
    <row r="66" spans="1:10" s="1076" customFormat="1" outlineLevel="1" x14ac:dyDescent="0.25">
      <c r="A66" s="1077"/>
      <c r="B66" s="1489"/>
      <c r="C66" s="1490"/>
      <c r="D66" s="1109"/>
      <c r="E66" s="1081"/>
      <c r="F66" s="1080"/>
      <c r="G66" s="1079"/>
      <c r="H66" s="1079"/>
      <c r="I66" s="1079"/>
      <c r="J66" s="1078"/>
    </row>
    <row r="67" spans="1:10" s="1076" customFormat="1" outlineLevel="1" x14ac:dyDescent="0.25">
      <c r="A67" s="1077"/>
      <c r="B67" s="1489"/>
      <c r="C67" s="1490"/>
      <c r="D67" s="1109"/>
      <c r="E67" s="1081"/>
      <c r="F67" s="1080"/>
      <c r="G67" s="1079"/>
      <c r="H67" s="1079"/>
      <c r="I67" s="1079"/>
      <c r="J67" s="1078"/>
    </row>
    <row r="68" spans="1:10" s="1076" customFormat="1" outlineLevel="1" x14ac:dyDescent="0.25">
      <c r="A68" s="1077"/>
      <c r="B68" s="1489"/>
      <c r="C68" s="1490"/>
      <c r="D68" s="1109"/>
      <c r="E68" s="1081"/>
      <c r="F68" s="1080"/>
      <c r="G68" s="1079"/>
      <c r="H68" s="1079"/>
      <c r="I68" s="1079"/>
      <c r="J68" s="1078"/>
    </row>
    <row r="69" spans="1:10" s="1076" customFormat="1" ht="15.75" outlineLevel="1" thickBot="1" x14ac:dyDescent="0.3">
      <c r="A69" s="1077"/>
      <c r="B69" s="1491"/>
      <c r="C69" s="1492"/>
      <c r="D69" s="1110"/>
      <c r="E69" s="1101"/>
      <c r="F69" s="1100"/>
      <c r="G69" s="1102"/>
      <c r="H69" s="1102"/>
      <c r="I69" s="1102"/>
      <c r="J69" s="1103"/>
    </row>
    <row r="70" spans="1:10" s="1076" customFormat="1" ht="15.75" outlineLevel="1" thickBot="1" x14ac:dyDescent="0.3">
      <c r="A70" s="1077"/>
      <c r="B70" s="1473" t="s">
        <v>965</v>
      </c>
      <c r="C70" s="1474"/>
      <c r="D70" s="1226">
        <f t="shared" ref="D70:J70" si="2">SUM(D45:D69)</f>
        <v>0</v>
      </c>
      <c r="E70" s="1226">
        <f t="shared" si="2"/>
        <v>0</v>
      </c>
      <c r="F70" s="1226">
        <f t="shared" si="2"/>
        <v>0</v>
      </c>
      <c r="G70" s="1226">
        <f t="shared" si="2"/>
        <v>0</v>
      </c>
      <c r="H70" s="1226">
        <f t="shared" si="2"/>
        <v>0</v>
      </c>
      <c r="I70" s="1226">
        <f t="shared" si="2"/>
        <v>0</v>
      </c>
      <c r="J70" s="1227">
        <f t="shared" si="2"/>
        <v>0</v>
      </c>
    </row>
  </sheetData>
  <sheetProtection algorithmName="SHA-256" hashValue="yRbIxlDooPB8awysPmxbMEPZ6TakysVudCi9cH47njE=" saltValue="88+UaXxnmD/PZEprqTZwSA==" spinCount="100000" sheet="1" objects="1" scenarios="1" formatCells="0" insertRows="0" deleteRows="0"/>
  <mergeCells count="34">
    <mergeCell ref="B56:C56"/>
    <mergeCell ref="B69:C69"/>
    <mergeCell ref="B58:C58"/>
    <mergeCell ref="B59:C59"/>
    <mergeCell ref="B60:C60"/>
    <mergeCell ref="B61:C61"/>
    <mergeCell ref="B62:C62"/>
    <mergeCell ref="B63:C63"/>
    <mergeCell ref="B64:C64"/>
    <mergeCell ref="B65:C65"/>
    <mergeCell ref="B66:C66"/>
    <mergeCell ref="B67:C67"/>
    <mergeCell ref="B68:C68"/>
    <mergeCell ref="B51:C51"/>
    <mergeCell ref="B52:C52"/>
    <mergeCell ref="B53:C53"/>
    <mergeCell ref="B54:C54"/>
    <mergeCell ref="B55:C55"/>
    <mergeCell ref="D42:J42"/>
    <mergeCell ref="D43:J43"/>
    <mergeCell ref="B70:C70"/>
    <mergeCell ref="D8:J8"/>
    <mergeCell ref="D9:J9"/>
    <mergeCell ref="B21:C21"/>
    <mergeCell ref="D24:J24"/>
    <mergeCell ref="D25:J25"/>
    <mergeCell ref="B37:C37"/>
    <mergeCell ref="B45:C45"/>
    <mergeCell ref="B57:C57"/>
    <mergeCell ref="B46:C46"/>
    <mergeCell ref="B47:C47"/>
    <mergeCell ref="B48:C48"/>
    <mergeCell ref="B49:C49"/>
    <mergeCell ref="B50:C50"/>
  </mergeCells>
  <conditionalFormatting sqref="H11:H20">
    <cfRule type="expression" dxfId="39" priority="14">
      <formula>(dms_FRCPlength_Num)&lt;3</formula>
    </cfRule>
  </conditionalFormatting>
  <conditionalFormatting sqref="H27:H36">
    <cfRule type="expression" dxfId="38" priority="10">
      <formula>(dms_FRCPlength_Num)&lt;3</formula>
    </cfRule>
  </conditionalFormatting>
  <conditionalFormatting sqref="H45:H69">
    <cfRule type="expression" dxfId="37" priority="6">
      <formula>(dms_FRCPlength_Num)&lt;3</formula>
    </cfRule>
  </conditionalFormatting>
  <conditionalFormatting sqref="I11:I20">
    <cfRule type="expression" dxfId="36" priority="13">
      <formula>(dms_FRCPlength_Num)&lt;4</formula>
    </cfRule>
  </conditionalFormatting>
  <conditionalFormatting sqref="I27:I36">
    <cfRule type="expression" dxfId="35" priority="9">
      <formula>(dms_FRCPlength_Num)&lt;4</formula>
    </cfRule>
  </conditionalFormatting>
  <conditionalFormatting sqref="I45:I69">
    <cfRule type="expression" dxfId="34" priority="5">
      <formula>(dms_FRCPlength_Num)&lt;4</formula>
    </cfRule>
  </conditionalFormatting>
  <conditionalFormatting sqref="J11:J20">
    <cfRule type="expression" dxfId="33" priority="12">
      <formula>(dms_FRCPlength_Num)&lt;5</formula>
    </cfRule>
  </conditionalFormatting>
  <conditionalFormatting sqref="J21">
    <cfRule type="expression" dxfId="32" priority="11">
      <formula>(dms_FRCPlength_Num)&lt;5</formula>
    </cfRule>
  </conditionalFormatting>
  <conditionalFormatting sqref="J27:J36">
    <cfRule type="expression" dxfId="31" priority="8">
      <formula>(dms_FRCPlength_Num)&lt;5</formula>
    </cfRule>
  </conditionalFormatting>
  <conditionalFormatting sqref="J37">
    <cfRule type="expression" dxfId="30" priority="2">
      <formula>(dms_FRCPlength_Num)&lt;5</formula>
    </cfRule>
  </conditionalFormatting>
  <conditionalFormatting sqref="J45:J69">
    <cfRule type="expression" dxfId="29" priority="4">
      <formula>(dms_FRCPlength_Num)&lt;5</formula>
    </cfRule>
  </conditionalFormatting>
  <conditionalFormatting sqref="J70">
    <cfRule type="expression" dxfId="28" priority="1">
      <formula>(dms_FRCPlength_Num)&lt;5</formula>
    </cfRule>
  </conditionalFormatting>
  <dataValidations count="3">
    <dataValidation type="textLength" operator="greaterThanOrEqual" allowBlank="1" showInputMessage="1" showErrorMessage="1" promptTitle="Step change" prompt="Enter description of step change" sqref="C13:C20 C29:C36" xr:uid="{00000000-0002-0000-0B00-000000000000}">
      <formula1>0</formula1>
    </dataValidation>
    <dataValidation type="textLength" operator="greaterThanOrEqual" allowBlank="1" showInputMessage="1" showErrorMessage="1" promptTitle="Step change" prompt="Enter step change" sqref="B11:B20 B27:B36 B45:B69" xr:uid="{00000000-0002-0000-0B00-000001000000}">
      <formula1>0</formula1>
    </dataValidation>
    <dataValidation allowBlank="1" showInputMessage="1" showErrorMessage="1" sqref="D27:J37 D11:J21 D45:J70" xr:uid="{00000000-0002-0000-0B00-000002000000}"/>
  </dataValidations>
  <pageMargins left="0.7" right="0.7" top="0.75" bottom="0.75" header="0.3" footer="0.3"/>
  <pageSetup paperSize="9" orientation="portrait" r:id="rId1"/>
  <headerFooter>
    <oddFooter>&amp;C_x000D_&amp;1#&amp;"Aptos"&amp;10&amp;K008000 APA-INTERNAL</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28">
    <tabColor theme="3" tint="-0.249977111117893"/>
  </sheetPr>
  <dimension ref="A1:L104"/>
  <sheetViews>
    <sheetView showGridLines="0" topLeftCell="B22" zoomScale="85" zoomScaleNormal="85" workbookViewId="0">
      <selection activeCell="L16" sqref="L16:L20"/>
    </sheetView>
  </sheetViews>
  <sheetFormatPr defaultColWidth="9.140625" defaultRowHeight="15" outlineLevelRow="2" x14ac:dyDescent="0.25"/>
  <cols>
    <col min="1" max="1" width="22.7109375" customWidth="1"/>
    <col min="2" max="2" width="62" customWidth="1"/>
    <col min="3" max="9" width="18.7109375" style="29" customWidth="1"/>
    <col min="10" max="12" width="18.7109375" customWidth="1"/>
  </cols>
  <sheetData>
    <row r="1" spans="1:12" ht="30.2" customHeight="1" x14ac:dyDescent="0.25">
      <c r="B1" s="281" t="str">
        <f>IF(dms_MultiYear_ResponseFlag="Yes","REGULATORY REPORTING STATEMENT - HISTORICAL INFORMATION",INDEX(dms_Worksheet_List,MATCH(dms_Model,dms_Model_List)))</f>
        <v>REGULATORY REPORTING STATEMENT</v>
      </c>
      <c r="C1" s="1037"/>
      <c r="D1" s="1037"/>
      <c r="E1" s="1037"/>
      <c r="F1" s="1037"/>
      <c r="G1" s="1037"/>
      <c r="H1" s="1037"/>
      <c r="I1" s="1037"/>
      <c r="J1" s="1342" t="s">
        <v>1162</v>
      </c>
      <c r="K1" s="1343" t="s">
        <v>1163</v>
      </c>
      <c r="L1" s="936"/>
    </row>
    <row r="2" spans="1:12" ht="30.2" customHeight="1" x14ac:dyDescent="0.25">
      <c r="B2" s="937" t="str">
        <f>INDEX(dms_TradingNameFull_List,MATCH(dms_TradingName,dms_TradingName_List))</f>
        <v>APT Petroleum Pipelines Limited t/a Roma to Brisbane Pipeline</v>
      </c>
      <c r="C2" s="1037"/>
      <c r="D2" s="1037"/>
      <c r="E2" s="1037"/>
      <c r="F2" s="1037"/>
      <c r="G2" s="1037"/>
      <c r="H2" s="1037"/>
      <c r="I2" s="1037"/>
      <c r="J2" s="1344" t="s">
        <v>1164</v>
      </c>
      <c r="K2" s="1345" t="s">
        <v>647</v>
      </c>
      <c r="L2" s="936"/>
    </row>
    <row r="3" spans="1:12" ht="30.2" customHeight="1" x14ac:dyDescent="0.25">
      <c r="B3" s="937" t="str">
        <f ca="1">dms_Header_Span</f>
        <v>Data Span 2025-26 - 2031-32</v>
      </c>
      <c r="C3" s="1037"/>
      <c r="D3" s="1037"/>
      <c r="E3" s="1037"/>
      <c r="F3" s="1037"/>
      <c r="G3" s="1037"/>
      <c r="H3" s="1037"/>
      <c r="I3" s="1037"/>
      <c r="J3" s="1346" t="s">
        <v>1165</v>
      </c>
      <c r="K3" s="1347" t="s">
        <v>830</v>
      </c>
      <c r="L3" s="938"/>
    </row>
    <row r="4" spans="1:12" ht="30.2" customHeight="1" x14ac:dyDescent="0.25">
      <c r="B4" s="263" t="s">
        <v>996</v>
      </c>
      <c r="C4" s="1038"/>
      <c r="D4" s="1038"/>
      <c r="E4" s="1038"/>
      <c r="F4" s="1038"/>
      <c r="G4" s="1038"/>
      <c r="H4" s="1038"/>
      <c r="I4" s="1038"/>
      <c r="J4" s="1348" t="s">
        <v>1166</v>
      </c>
      <c r="K4" s="1349" t="s">
        <v>1167</v>
      </c>
      <c r="L4" s="263"/>
    </row>
    <row r="5" spans="1:12" ht="25.5" customHeight="1" thickBot="1" x14ac:dyDescent="0.3"/>
    <row r="6" spans="1:12" ht="25.5" customHeight="1" x14ac:dyDescent="0.25">
      <c r="B6" s="1502" t="s">
        <v>1011</v>
      </c>
      <c r="C6" s="1503"/>
      <c r="D6" s="1504"/>
      <c r="G6"/>
      <c r="H6"/>
      <c r="I6"/>
    </row>
    <row r="7" spans="1:12" ht="25.5" customHeight="1" x14ac:dyDescent="0.25">
      <c r="B7" s="1505" t="str">
        <f>CONCATENATE("Has ",dms_TradingName," used a base-step-trend model to derive its opex forecast? ")</f>
        <v xml:space="preserve">Has Roma to Brisbane Pipeline used a base-step-trend model to derive its opex forecast? </v>
      </c>
      <c r="C7" s="1506"/>
      <c r="D7" s="1507" t="s">
        <v>1135</v>
      </c>
      <c r="G7"/>
      <c r="H7"/>
      <c r="I7"/>
    </row>
    <row r="8" spans="1:12" ht="25.5" customHeight="1" thickBot="1" x14ac:dyDescent="0.3">
      <c r="B8" s="1509" t="s">
        <v>1012</v>
      </c>
      <c r="C8" s="1510"/>
      <c r="D8" s="1508"/>
      <c r="G8"/>
      <c r="H8"/>
      <c r="I8"/>
    </row>
    <row r="9" spans="1:12" ht="25.5" customHeight="1" thickBot="1" x14ac:dyDescent="0.3">
      <c r="B9" s="1511" t="s">
        <v>1013</v>
      </c>
      <c r="C9" s="1512"/>
      <c r="D9" s="1051" t="s">
        <v>295</v>
      </c>
      <c r="G9"/>
      <c r="H9"/>
      <c r="I9"/>
    </row>
    <row r="10" spans="1:12" ht="25.5" customHeight="1" thickBot="1" x14ac:dyDescent="0.3"/>
    <row r="11" spans="1:12" ht="25.5" customHeight="1" thickBot="1" x14ac:dyDescent="0.3">
      <c r="A11" s="297"/>
      <c r="B11" s="1034" t="s">
        <v>1006</v>
      </c>
      <c r="C11" s="1034"/>
      <c r="D11" s="1034"/>
      <c r="E11" s="1034"/>
      <c r="F11" s="1034"/>
      <c r="G11" s="1034"/>
      <c r="H11" s="1034"/>
      <c r="I11" s="1034"/>
      <c r="J11" s="1034"/>
      <c r="K11" s="1034"/>
      <c r="L11" s="1034"/>
    </row>
    <row r="12" spans="1:12" ht="25.5" customHeight="1" outlineLevel="1" thickBot="1" x14ac:dyDescent="0.3">
      <c r="A12" s="297"/>
      <c r="B12" s="998" t="s">
        <v>1063</v>
      </c>
      <c r="C12" s="899"/>
      <c r="D12" s="899"/>
      <c r="E12" s="899"/>
      <c r="F12" s="899"/>
      <c r="G12" s="899"/>
      <c r="H12" s="899"/>
      <c r="I12" s="899"/>
      <c r="J12" s="899"/>
      <c r="K12" s="899"/>
      <c r="L12" s="999"/>
    </row>
    <row r="13" spans="1:12" ht="24.75" customHeight="1" outlineLevel="2" x14ac:dyDescent="0.25">
      <c r="C13" s="1493" t="s">
        <v>936</v>
      </c>
      <c r="D13" s="1494"/>
      <c r="E13" s="1494"/>
      <c r="F13" s="1494"/>
      <c r="G13" s="1494"/>
      <c r="H13" s="1494"/>
      <c r="I13" s="1494"/>
      <c r="J13" s="1494"/>
      <c r="K13" s="1494"/>
      <c r="L13" s="1495"/>
    </row>
    <row r="14" spans="1:12" ht="24.75" customHeight="1" outlineLevel="2" x14ac:dyDescent="0.25">
      <c r="A14" s="297"/>
      <c r="C14" s="1496" t="str">
        <f ca="1">CONCATENATE("$0's, real ",dms_DollarReal)</f>
        <v>$0's, real June 2027</v>
      </c>
      <c r="D14" s="1497"/>
      <c r="E14" s="1497"/>
      <c r="F14" s="1497"/>
      <c r="G14" s="1497"/>
      <c r="H14" s="1497"/>
      <c r="I14" s="1497"/>
      <c r="J14" s="1497"/>
      <c r="K14" s="1497"/>
      <c r="L14" s="1498"/>
    </row>
    <row r="15" spans="1:12" ht="27.95" customHeight="1" outlineLevel="2" thickBot="1" x14ac:dyDescent="0.3">
      <c r="A15" s="297"/>
      <c r="B15" s="146"/>
      <c r="C15" s="1041" t="str">
        <f ca="1">CRCP_y1</f>
        <v>2022-23</v>
      </c>
      <c r="D15" s="1042" t="str">
        <f ca="1">CRCP_y2</f>
        <v>2023-24</v>
      </c>
      <c r="E15" s="1042" t="str">
        <f ca="1">CRCP_y3</f>
        <v>2024-25</v>
      </c>
      <c r="F15" s="1042" t="str">
        <f ca="1">CRCP_y4</f>
        <v>2025-26</v>
      </c>
      <c r="G15" s="1042" t="str">
        <f ca="1">CRCP_y5</f>
        <v>2026-27</v>
      </c>
      <c r="H15" s="1043" t="str">
        <f>FRCP_y1</f>
        <v>2027-28</v>
      </c>
      <c r="I15" s="1043" t="str">
        <f ca="1">FRCP_y2</f>
        <v>2028-29</v>
      </c>
      <c r="J15" s="1043" t="str">
        <f ca="1">FRCP_y3</f>
        <v>2029-30</v>
      </c>
      <c r="K15" s="1043" t="str">
        <f ca="1">FRCP_y4</f>
        <v>2030-31</v>
      </c>
      <c r="L15" s="1044" t="str">
        <f ca="1">FRCP_y5</f>
        <v>2031-32</v>
      </c>
    </row>
    <row r="16" spans="1:12" outlineLevel="2" x14ac:dyDescent="0.25">
      <c r="A16" s="297"/>
      <c r="B16" s="1216" t="s">
        <v>1007</v>
      </c>
      <c r="C16" s="1213"/>
      <c r="D16" s="1284"/>
      <c r="E16" s="1184">
        <v>27748924.740347948</v>
      </c>
      <c r="F16" s="1184">
        <v>27748924.740347948</v>
      </c>
      <c r="G16" s="1184">
        <v>27748924.740347948</v>
      </c>
      <c r="H16" s="1185">
        <v>27575810.118916068</v>
      </c>
      <c r="I16" s="1183">
        <v>27575810.118916068</v>
      </c>
      <c r="J16" s="1183">
        <v>27575810.118916068</v>
      </c>
      <c r="K16" s="1183">
        <v>27575810.118916068</v>
      </c>
      <c r="L16" s="1186">
        <v>27575810.118916068</v>
      </c>
    </row>
    <row r="17" spans="1:12" outlineLevel="2" x14ac:dyDescent="0.25">
      <c r="A17" s="297"/>
      <c r="B17" s="1217" t="s">
        <v>1008</v>
      </c>
      <c r="C17" s="1214"/>
      <c r="D17" s="1045"/>
      <c r="E17" s="1045"/>
      <c r="F17" s="1045"/>
      <c r="G17" s="1187">
        <v>-173114.62143187839</v>
      </c>
      <c r="H17" s="1046"/>
      <c r="I17" s="1045"/>
      <c r="J17" s="1045"/>
      <c r="K17" s="1045"/>
      <c r="L17" s="1047"/>
    </row>
    <row r="18" spans="1:12" outlineLevel="2" x14ac:dyDescent="0.25">
      <c r="A18" s="297"/>
      <c r="B18" s="1217" t="s">
        <v>1009</v>
      </c>
      <c r="C18" s="1214"/>
      <c r="D18" s="1045"/>
      <c r="E18" s="1045"/>
      <c r="F18" s="1045"/>
      <c r="G18" s="1048"/>
      <c r="H18" s="1188">
        <v>146313.08195226308</v>
      </c>
      <c r="I18" s="1189">
        <v>342432.27802969667</v>
      </c>
      <c r="J18" s="1189">
        <v>556397.79874529841</v>
      </c>
      <c r="K18" s="1189">
        <v>747125.61129491776</v>
      </c>
      <c r="L18" s="1190">
        <v>937059.31682165561</v>
      </c>
    </row>
    <row r="19" spans="1:12" outlineLevel="2" x14ac:dyDescent="0.25">
      <c r="A19" s="297"/>
      <c r="B19" s="1217" t="s">
        <v>964</v>
      </c>
      <c r="C19" s="1214"/>
      <c r="D19" s="1045"/>
      <c r="E19" s="1045"/>
      <c r="F19" s="1045"/>
      <c r="G19" s="1048"/>
      <c r="H19" s="1188">
        <v>0</v>
      </c>
      <c r="I19" s="1189">
        <v>0</v>
      </c>
      <c r="J19" s="1189">
        <v>0</v>
      </c>
      <c r="K19" s="1189">
        <v>0</v>
      </c>
      <c r="L19" s="1190">
        <v>0</v>
      </c>
    </row>
    <row r="20" spans="1:12" outlineLevel="2" x14ac:dyDescent="0.25">
      <c r="A20" s="297"/>
      <c r="B20" s="1217" t="s">
        <v>963</v>
      </c>
      <c r="C20" s="1214"/>
      <c r="D20" s="1045"/>
      <c r="E20" s="1045"/>
      <c r="F20" s="1045"/>
      <c r="G20" s="1048"/>
      <c r="H20" s="1188">
        <v>-137879.05059457739</v>
      </c>
      <c r="I20" s="1189">
        <v>-276447.49644212611</v>
      </c>
      <c r="J20" s="1189">
        <v>-415708.78451891447</v>
      </c>
      <c r="K20" s="1189">
        <v>-555666.37903608766</v>
      </c>
      <c r="L20" s="1190">
        <v>-696323.76152584318</v>
      </c>
    </row>
    <row r="21" spans="1:12" outlineLevel="2" x14ac:dyDescent="0.25">
      <c r="A21" s="297"/>
      <c r="B21" s="1218" t="s">
        <v>962</v>
      </c>
      <c r="C21" s="1214"/>
      <c r="D21" s="1045"/>
      <c r="E21" s="1045"/>
      <c r="F21" s="1045"/>
      <c r="G21" s="1048"/>
      <c r="H21" s="1188">
        <v>0</v>
      </c>
      <c r="I21" s="1188">
        <v>0</v>
      </c>
      <c r="J21" s="1188">
        <v>0</v>
      </c>
      <c r="K21" s="1188">
        <v>0</v>
      </c>
      <c r="L21" s="1188">
        <v>0</v>
      </c>
    </row>
    <row r="22" spans="1:12" ht="15.75" outlineLevel="2" thickBot="1" x14ac:dyDescent="0.3">
      <c r="A22" s="297"/>
      <c r="B22" s="1219" t="s">
        <v>1010</v>
      </c>
      <c r="C22" s="1215"/>
      <c r="D22" s="1049"/>
      <c r="E22" s="1049"/>
      <c r="F22" s="1286">
        <f>IF(ISBLANK('E17. Step changes'!D70),"",'E17. Step changes'!D70)</f>
        <v>0</v>
      </c>
      <c r="G22" s="1286">
        <f>IF(ISBLANK('E17. Step changes'!E70),"",'E17. Step changes'!E70)</f>
        <v>0</v>
      </c>
      <c r="H22" s="1286">
        <f>IF(ISBLANK('E17. Step changes'!F70),"",'E17. Step changes'!F70)</f>
        <v>0</v>
      </c>
      <c r="I22" s="1286">
        <f>IF(ISBLANK('E17. Step changes'!G70),"",'E17. Step changes'!G70)</f>
        <v>0</v>
      </c>
      <c r="J22" s="1286">
        <f>IF(ISBLANK('E17. Step changes'!H70),"",'E17. Step changes'!H70)</f>
        <v>0</v>
      </c>
      <c r="K22" s="1286">
        <f>IF(ISBLANK('E17. Step changes'!I70),"",'E17. Step changes'!I70)</f>
        <v>0</v>
      </c>
      <c r="L22" s="1286">
        <f>IF(ISBLANK('E17. Step changes'!J70),"",'E17. Step changes'!J70)</f>
        <v>0</v>
      </c>
    </row>
    <row r="23" spans="1:12" ht="15.75" outlineLevel="1" thickBot="1" x14ac:dyDescent="0.3">
      <c r="B23" s="1050"/>
      <c r="C23"/>
      <c r="D23"/>
      <c r="E23"/>
      <c r="F23"/>
      <c r="G23"/>
      <c r="H23"/>
      <c r="I23"/>
    </row>
    <row r="24" spans="1:12" ht="25.5" customHeight="1" outlineLevel="1" thickBot="1" x14ac:dyDescent="0.3">
      <c r="A24" s="297"/>
      <c r="B24" s="998" t="s">
        <v>1120</v>
      </c>
      <c r="C24" s="899"/>
      <c r="D24" s="899"/>
      <c r="E24" s="899"/>
      <c r="F24" s="899"/>
      <c r="G24" s="899"/>
      <c r="H24" s="899"/>
      <c r="I24" s="899"/>
      <c r="J24" s="899"/>
      <c r="K24" s="899"/>
      <c r="L24" s="999"/>
    </row>
    <row r="25" spans="1:12" ht="24.75" customHeight="1" outlineLevel="2" x14ac:dyDescent="0.25">
      <c r="C25" s="1493" t="s">
        <v>936</v>
      </c>
      <c r="D25" s="1494"/>
      <c r="E25" s="1494"/>
      <c r="F25" s="1494"/>
      <c r="G25" s="1494"/>
      <c r="H25" s="1494"/>
      <c r="I25" s="1494"/>
      <c r="J25" s="1494"/>
      <c r="K25" s="1494"/>
      <c r="L25" s="1495"/>
    </row>
    <row r="26" spans="1:12" ht="24.75" customHeight="1" outlineLevel="2" x14ac:dyDescent="0.25">
      <c r="A26" s="297"/>
      <c r="C26" s="1496" t="str">
        <f ca="1">CONCATENATE("$0's, real ",dms_DollarReal)</f>
        <v>$0's, real June 2027</v>
      </c>
      <c r="D26" s="1497"/>
      <c r="E26" s="1497"/>
      <c r="F26" s="1497"/>
      <c r="G26" s="1497"/>
      <c r="H26" s="1497"/>
      <c r="I26" s="1497"/>
      <c r="J26" s="1497"/>
      <c r="K26" s="1497"/>
      <c r="L26" s="1498"/>
    </row>
    <row r="27" spans="1:12" ht="27.95" customHeight="1" outlineLevel="2" thickBot="1" x14ac:dyDescent="0.3">
      <c r="A27" s="297"/>
      <c r="B27" s="146"/>
      <c r="C27" s="1041" t="str">
        <f ca="1">CRCP_y1</f>
        <v>2022-23</v>
      </c>
      <c r="D27" s="1042" t="str">
        <f ca="1">CRCP_y2</f>
        <v>2023-24</v>
      </c>
      <c r="E27" s="1042" t="str">
        <f ca="1">CRCP_y3</f>
        <v>2024-25</v>
      </c>
      <c r="F27" s="1042" t="str">
        <f ca="1">CRCP_y4</f>
        <v>2025-26</v>
      </c>
      <c r="G27" s="1042" t="str">
        <f ca="1">CRCP_y5</f>
        <v>2026-27</v>
      </c>
      <c r="H27" s="1043" t="str">
        <f>FRCP_y1</f>
        <v>2027-28</v>
      </c>
      <c r="I27" s="1043" t="str">
        <f ca="1">FRCP_y2</f>
        <v>2028-29</v>
      </c>
      <c r="J27" s="1043" t="str">
        <f ca="1">FRCP_y3</f>
        <v>2029-30</v>
      </c>
      <c r="K27" s="1043" t="str">
        <f ca="1">FRCP_y4</f>
        <v>2030-31</v>
      </c>
      <c r="L27" s="1044" t="str">
        <f ca="1">FRCP_y5</f>
        <v>2031-32</v>
      </c>
    </row>
    <row r="28" spans="1:12" outlineLevel="2" x14ac:dyDescent="0.25">
      <c r="A28" s="297"/>
      <c r="B28" s="1246" t="s">
        <v>1007</v>
      </c>
      <c r="C28" s="1213"/>
      <c r="D28" s="1284"/>
      <c r="E28" s="1184"/>
      <c r="F28" s="1184"/>
      <c r="G28" s="1184"/>
      <c r="H28" s="1185"/>
      <c r="I28" s="1183"/>
      <c r="J28" s="1183"/>
      <c r="K28" s="1183"/>
      <c r="L28" s="1186"/>
    </row>
    <row r="29" spans="1:12" outlineLevel="2" x14ac:dyDescent="0.25">
      <c r="A29" s="297"/>
      <c r="B29" s="1246" t="s">
        <v>1008</v>
      </c>
      <c r="C29" s="1214"/>
      <c r="D29" s="1045"/>
      <c r="E29" s="1045"/>
      <c r="F29" s="1045"/>
      <c r="G29" s="1187"/>
      <c r="H29" s="1046"/>
      <c r="I29" s="1045"/>
      <c r="J29" s="1045"/>
      <c r="K29" s="1045"/>
      <c r="L29" s="1047"/>
    </row>
    <row r="30" spans="1:12" outlineLevel="2" x14ac:dyDescent="0.25">
      <c r="A30" s="297"/>
      <c r="B30" s="1246" t="s">
        <v>1009</v>
      </c>
      <c r="C30" s="1214"/>
      <c r="D30" s="1045"/>
      <c r="E30" s="1045"/>
      <c r="F30" s="1045"/>
      <c r="G30" s="1048"/>
      <c r="H30" s="1188"/>
      <c r="I30" s="1189"/>
      <c r="J30" s="1189"/>
      <c r="K30" s="1189"/>
      <c r="L30" s="1190"/>
    </row>
    <row r="31" spans="1:12" outlineLevel="2" x14ac:dyDescent="0.25">
      <c r="A31" s="297"/>
      <c r="B31" s="1246" t="s">
        <v>964</v>
      </c>
      <c r="C31" s="1214"/>
      <c r="D31" s="1045"/>
      <c r="E31" s="1045"/>
      <c r="F31" s="1045"/>
      <c r="G31" s="1048"/>
      <c r="H31" s="1188"/>
      <c r="I31" s="1189"/>
      <c r="J31" s="1189"/>
      <c r="K31" s="1189"/>
      <c r="L31" s="1190"/>
    </row>
    <row r="32" spans="1:12" outlineLevel="2" x14ac:dyDescent="0.25">
      <c r="A32" s="297"/>
      <c r="B32" s="1246" t="s">
        <v>963</v>
      </c>
      <c r="C32" s="1214"/>
      <c r="D32" s="1045"/>
      <c r="E32" s="1045"/>
      <c r="F32" s="1045"/>
      <c r="G32" s="1048"/>
      <c r="H32" s="1188"/>
      <c r="I32" s="1189"/>
      <c r="J32" s="1189"/>
      <c r="K32" s="1189"/>
      <c r="L32" s="1190"/>
    </row>
    <row r="33" spans="1:12" outlineLevel="2" x14ac:dyDescent="0.25">
      <c r="A33" s="297"/>
      <c r="B33" s="1246" t="s">
        <v>962</v>
      </c>
      <c r="C33" s="1214"/>
      <c r="D33" s="1045"/>
      <c r="E33" s="1045"/>
      <c r="F33" s="1045"/>
      <c r="G33" s="1048"/>
      <c r="H33" s="1188"/>
      <c r="I33" s="1189"/>
      <c r="J33" s="1189"/>
      <c r="K33" s="1189"/>
      <c r="L33" s="1190"/>
    </row>
    <row r="34" spans="1:12" ht="15.75" outlineLevel="2" thickBot="1" x14ac:dyDescent="0.3">
      <c r="A34" s="297"/>
      <c r="B34" s="1246" t="s">
        <v>1010</v>
      </c>
      <c r="C34" s="1215"/>
      <c r="D34" s="1049"/>
      <c r="E34" s="1049"/>
      <c r="F34" s="1049"/>
      <c r="G34" s="1049"/>
      <c r="H34" s="1049"/>
      <c r="I34" s="1049"/>
      <c r="J34" s="1049"/>
      <c r="K34" s="1049"/>
      <c r="L34" s="1049"/>
    </row>
    <row r="35" spans="1:12" ht="15.75" outlineLevel="1" thickBot="1" x14ac:dyDescent="0.3">
      <c r="B35" s="1050"/>
      <c r="C35"/>
      <c r="D35"/>
      <c r="E35"/>
      <c r="F35"/>
      <c r="G35"/>
      <c r="H35"/>
      <c r="I35"/>
    </row>
    <row r="36" spans="1:12" ht="25.5" customHeight="1" outlineLevel="1" thickBot="1" x14ac:dyDescent="0.3">
      <c r="A36" s="297"/>
      <c r="B36" s="998" t="s">
        <v>1129</v>
      </c>
      <c r="C36" s="899"/>
      <c r="D36" s="899"/>
      <c r="E36" s="899"/>
      <c r="F36" s="899"/>
      <c r="G36" s="899"/>
      <c r="H36" s="899"/>
      <c r="I36" s="899"/>
      <c r="J36" s="899"/>
      <c r="K36" s="899"/>
      <c r="L36" s="999"/>
    </row>
    <row r="37" spans="1:12" ht="24.75" customHeight="1" outlineLevel="2" x14ac:dyDescent="0.25">
      <c r="C37" s="1493" t="s">
        <v>936</v>
      </c>
      <c r="D37" s="1494"/>
      <c r="E37" s="1494"/>
      <c r="F37" s="1494"/>
      <c r="G37" s="1494"/>
      <c r="H37" s="1494"/>
      <c r="I37" s="1494"/>
      <c r="J37" s="1494"/>
      <c r="K37" s="1494"/>
      <c r="L37" s="1495"/>
    </row>
    <row r="38" spans="1:12" ht="24.75" customHeight="1" outlineLevel="2" x14ac:dyDescent="0.25">
      <c r="A38" s="297"/>
      <c r="C38" s="1496" t="str">
        <f ca="1">CONCATENATE("$0's, real ",dms_DollarReal)</f>
        <v>$0's, real June 2027</v>
      </c>
      <c r="D38" s="1497"/>
      <c r="E38" s="1497"/>
      <c r="F38" s="1497"/>
      <c r="G38" s="1497"/>
      <c r="H38" s="1497"/>
      <c r="I38" s="1497"/>
      <c r="J38" s="1497"/>
      <c r="K38" s="1497"/>
      <c r="L38" s="1498"/>
    </row>
    <row r="39" spans="1:12" ht="27.95" customHeight="1" outlineLevel="2" thickBot="1" x14ac:dyDescent="0.3">
      <c r="A39" s="297"/>
      <c r="B39" s="146"/>
      <c r="C39" s="1041" t="str">
        <f ca="1">CRCP_y1</f>
        <v>2022-23</v>
      </c>
      <c r="D39" s="1042" t="str">
        <f ca="1">CRCP_y2</f>
        <v>2023-24</v>
      </c>
      <c r="E39" s="1042" t="str">
        <f ca="1">CRCP_y3</f>
        <v>2024-25</v>
      </c>
      <c r="F39" s="1042" t="str">
        <f ca="1">CRCP_y4</f>
        <v>2025-26</v>
      </c>
      <c r="G39" s="1042" t="str">
        <f ca="1">CRCP_y5</f>
        <v>2026-27</v>
      </c>
      <c r="H39" s="1043" t="str">
        <f>FRCP_y1</f>
        <v>2027-28</v>
      </c>
      <c r="I39" s="1043" t="str">
        <f ca="1">FRCP_y2</f>
        <v>2028-29</v>
      </c>
      <c r="J39" s="1043" t="str">
        <f ca="1">FRCP_y3</f>
        <v>2029-30</v>
      </c>
      <c r="K39" s="1043" t="str">
        <f ca="1">FRCP_y4</f>
        <v>2030-31</v>
      </c>
      <c r="L39" s="1044" t="str">
        <f ca="1">FRCP_y5</f>
        <v>2031-32</v>
      </c>
    </row>
    <row r="40" spans="1:12" outlineLevel="2" x14ac:dyDescent="0.25">
      <c r="A40" s="297"/>
      <c r="B40" s="1216" t="s">
        <v>1007</v>
      </c>
      <c r="C40" s="1213"/>
      <c r="D40" s="1284"/>
      <c r="E40" s="1184">
        <f>E16</f>
        <v>27748924.740347948</v>
      </c>
      <c r="F40" s="1184">
        <f t="shared" ref="F40:L41" si="0">F16</f>
        <v>27748924.740347948</v>
      </c>
      <c r="G40" s="1184">
        <f t="shared" si="0"/>
        <v>27748924.740347948</v>
      </c>
      <c r="H40" s="1185">
        <f t="shared" si="0"/>
        <v>27575810.118916068</v>
      </c>
      <c r="I40" s="1183">
        <f t="shared" si="0"/>
        <v>27575810.118916068</v>
      </c>
      <c r="J40" s="1183">
        <f t="shared" si="0"/>
        <v>27575810.118916068</v>
      </c>
      <c r="K40" s="1183">
        <f t="shared" si="0"/>
        <v>27575810.118916068</v>
      </c>
      <c r="L40" s="1186">
        <f t="shared" si="0"/>
        <v>27575810.118916068</v>
      </c>
    </row>
    <row r="41" spans="1:12" outlineLevel="2" x14ac:dyDescent="0.25">
      <c r="A41" s="297"/>
      <c r="B41" s="1217" t="s">
        <v>1008</v>
      </c>
      <c r="C41" s="1214"/>
      <c r="D41" s="1045"/>
      <c r="E41" s="1045"/>
      <c r="F41" s="1045"/>
      <c r="G41" s="1184">
        <f t="shared" si="0"/>
        <v>-173114.62143187839</v>
      </c>
      <c r="H41" s="1046"/>
      <c r="I41" s="1045"/>
      <c r="J41" s="1045"/>
      <c r="K41" s="1045"/>
      <c r="L41" s="1047"/>
    </row>
    <row r="42" spans="1:12" outlineLevel="2" x14ac:dyDescent="0.25">
      <c r="A42" s="297"/>
      <c r="B42" s="1217" t="s">
        <v>1009</v>
      </c>
      <c r="C42" s="1214"/>
      <c r="D42" s="1045"/>
      <c r="E42" s="1045"/>
      <c r="F42" s="1045"/>
      <c r="G42" s="1048"/>
      <c r="H42" s="1188">
        <f>H18</f>
        <v>146313.08195226308</v>
      </c>
      <c r="I42" s="1189">
        <f t="shared" ref="I42:L42" si="1">I18</f>
        <v>342432.27802969667</v>
      </c>
      <c r="J42" s="1189">
        <f t="shared" si="1"/>
        <v>556397.79874529841</v>
      </c>
      <c r="K42" s="1189">
        <f t="shared" si="1"/>
        <v>747125.61129491776</v>
      </c>
      <c r="L42" s="1190">
        <f t="shared" si="1"/>
        <v>937059.31682165561</v>
      </c>
    </row>
    <row r="43" spans="1:12" outlineLevel="2" x14ac:dyDescent="0.25">
      <c r="A43" s="297"/>
      <c r="B43" s="1217" t="s">
        <v>964</v>
      </c>
      <c r="C43" s="1214"/>
      <c r="D43" s="1045"/>
      <c r="E43" s="1045"/>
      <c r="F43" s="1045"/>
      <c r="G43" s="1048"/>
      <c r="H43" s="1188">
        <f t="shared" ref="H43:H45" si="2">H19</f>
        <v>0</v>
      </c>
      <c r="I43" s="1189">
        <f t="shared" ref="I43:L43" si="3">I19</f>
        <v>0</v>
      </c>
      <c r="J43" s="1189">
        <f t="shared" si="3"/>
        <v>0</v>
      </c>
      <c r="K43" s="1189">
        <f t="shared" si="3"/>
        <v>0</v>
      </c>
      <c r="L43" s="1190">
        <f t="shared" si="3"/>
        <v>0</v>
      </c>
    </row>
    <row r="44" spans="1:12" outlineLevel="2" x14ac:dyDescent="0.25">
      <c r="A44" s="297"/>
      <c r="B44" s="1217" t="s">
        <v>963</v>
      </c>
      <c r="C44" s="1214"/>
      <c r="D44" s="1045"/>
      <c r="E44" s="1045"/>
      <c r="F44" s="1045"/>
      <c r="G44" s="1048"/>
      <c r="H44" s="1188">
        <f t="shared" si="2"/>
        <v>-137879.05059457739</v>
      </c>
      <c r="I44" s="1189">
        <f t="shared" ref="I44:L44" si="4">I20</f>
        <v>-276447.49644212611</v>
      </c>
      <c r="J44" s="1189">
        <f t="shared" si="4"/>
        <v>-415708.78451891447</v>
      </c>
      <c r="K44" s="1189">
        <f t="shared" si="4"/>
        <v>-555666.37903608766</v>
      </c>
      <c r="L44" s="1190">
        <f t="shared" si="4"/>
        <v>-696323.76152584318</v>
      </c>
    </row>
    <row r="45" spans="1:12" outlineLevel="2" x14ac:dyDescent="0.25">
      <c r="A45" s="297"/>
      <c r="B45" s="1218" t="s">
        <v>962</v>
      </c>
      <c r="C45" s="1214"/>
      <c r="D45" s="1045"/>
      <c r="E45" s="1045"/>
      <c r="F45" s="1045"/>
      <c r="G45" s="1048"/>
      <c r="H45" s="1188">
        <f t="shared" si="2"/>
        <v>0</v>
      </c>
      <c r="I45" s="1189">
        <f t="shared" ref="I45:L45" si="5">I21</f>
        <v>0</v>
      </c>
      <c r="J45" s="1189">
        <f t="shared" si="5"/>
        <v>0</v>
      </c>
      <c r="K45" s="1189">
        <f t="shared" si="5"/>
        <v>0</v>
      </c>
      <c r="L45" s="1190">
        <f t="shared" si="5"/>
        <v>0</v>
      </c>
    </row>
    <row r="46" spans="1:12" ht="15.75" outlineLevel="2" thickBot="1" x14ac:dyDescent="0.3">
      <c r="A46" s="297"/>
      <c r="B46" s="1219" t="s">
        <v>1010</v>
      </c>
      <c r="C46" s="1215"/>
      <c r="D46" s="1049"/>
      <c r="E46" s="1049"/>
      <c r="F46" s="1049"/>
      <c r="G46" s="1049"/>
      <c r="H46" s="1049"/>
      <c r="I46" s="1049"/>
      <c r="J46" s="1049"/>
      <c r="K46" s="1049"/>
      <c r="L46" s="1049"/>
    </row>
    <row r="47" spans="1:12" ht="15.75" outlineLevel="1" thickBot="1" x14ac:dyDescent="0.3">
      <c r="B47" s="1050"/>
      <c r="C47"/>
      <c r="D47"/>
      <c r="E47"/>
      <c r="F47"/>
      <c r="G47"/>
      <c r="H47"/>
      <c r="I47"/>
    </row>
    <row r="48" spans="1:12" ht="28.7" customHeight="1" thickBot="1" x14ac:dyDescent="0.3">
      <c r="A48" s="297"/>
      <c r="B48" s="1034" t="s">
        <v>1005</v>
      </c>
      <c r="C48" s="1034"/>
      <c r="D48" s="1034"/>
      <c r="E48" s="1034"/>
      <c r="F48" s="1035"/>
      <c r="G48" s="1035"/>
      <c r="H48" s="1035"/>
      <c r="I48" s="1035"/>
      <c r="J48" s="1035"/>
      <c r="K48" s="1035"/>
      <c r="L48" s="1035"/>
    </row>
    <row r="49" spans="1:12" ht="28.7" customHeight="1" outlineLevel="1" thickBot="1" x14ac:dyDescent="0.3">
      <c r="A49" s="297"/>
      <c r="B49" s="998" t="s">
        <v>1064</v>
      </c>
      <c r="C49" s="899"/>
      <c r="D49" s="899"/>
      <c r="E49" s="899"/>
      <c r="F49" s="899"/>
      <c r="G49" s="899"/>
      <c r="H49" s="899"/>
      <c r="I49" s="899"/>
      <c r="J49" s="899"/>
      <c r="K49" s="899"/>
      <c r="L49" s="999"/>
    </row>
    <row r="50" spans="1:12" ht="33" customHeight="1" outlineLevel="2" thickBot="1" x14ac:dyDescent="0.3">
      <c r="A50" s="5"/>
      <c r="C50" s="1499" t="str">
        <f ca="1">CONCATENATE("EXPENDITURE
Forecast ($0's real, ",dms_DollarReal,")")</f>
        <v>EXPENDITURE
Forecast ($0's real, June 2027)</v>
      </c>
      <c r="D50" s="1500"/>
      <c r="E50" s="1500"/>
      <c r="F50" s="1500"/>
      <c r="G50" s="1500"/>
      <c r="H50" s="1500"/>
      <c r="I50" s="1500"/>
      <c r="J50" s="1500"/>
      <c r="K50" s="1500"/>
      <c r="L50" s="1501"/>
    </row>
    <row r="51" spans="1:12" ht="20.25" customHeight="1" outlineLevel="2" thickBot="1" x14ac:dyDescent="0.3">
      <c r="A51" s="5"/>
      <c r="B51" s="218"/>
      <c r="C51" s="1168" t="str">
        <f ca="1">CRCP_y1</f>
        <v>2022-23</v>
      </c>
      <c r="D51" s="1169" t="str">
        <f ca="1">CRCP_y2</f>
        <v>2023-24</v>
      </c>
      <c r="E51" s="1169" t="str">
        <f ca="1">CRCP_y3</f>
        <v>2024-25</v>
      </c>
      <c r="F51" s="1027" t="str">
        <f ca="1">CRCP_y4</f>
        <v>2025-26</v>
      </c>
      <c r="G51" s="1013" t="str">
        <f ca="1">CRCP_y5</f>
        <v>2026-27</v>
      </c>
      <c r="H51" s="1013" t="str">
        <f>FRCP_y1</f>
        <v>2027-28</v>
      </c>
      <c r="I51" s="1013" t="str">
        <f ca="1">FRCP_y2</f>
        <v>2028-29</v>
      </c>
      <c r="J51" s="1013" t="str">
        <f ca="1">FRCP_y3</f>
        <v>2029-30</v>
      </c>
      <c r="K51" s="1013" t="str">
        <f ca="1">FRCP_y4</f>
        <v>2030-31</v>
      </c>
      <c r="L51" s="1028" t="str">
        <f ca="1">FRCP_y5</f>
        <v>2031-32</v>
      </c>
    </row>
    <row r="52" spans="1:12" outlineLevel="2" x14ac:dyDescent="0.25">
      <c r="A52" s="985"/>
      <c r="B52" s="1001" t="s">
        <v>1113</v>
      </c>
      <c r="C52" s="1173"/>
      <c r="D52" s="1174"/>
      <c r="E52" s="1175"/>
      <c r="F52" s="1159"/>
      <c r="G52" s="1154"/>
      <c r="H52" s="1152"/>
      <c r="I52" s="1039"/>
      <c r="J52" s="1039"/>
      <c r="K52" s="1039"/>
      <c r="L52" s="1018"/>
    </row>
    <row r="53" spans="1:12" outlineLevel="2" x14ac:dyDescent="0.25">
      <c r="A53" s="985"/>
      <c r="B53" s="1002" t="s">
        <v>1114</v>
      </c>
      <c r="C53" s="1170"/>
      <c r="D53" s="1171"/>
      <c r="E53" s="1172"/>
      <c r="F53" s="1158"/>
      <c r="G53" s="1155"/>
      <c r="H53" s="1153"/>
      <c r="I53" s="1012"/>
      <c r="J53" s="1012"/>
      <c r="K53" s="1012"/>
      <c r="L53" s="1020"/>
    </row>
    <row r="54" spans="1:12" outlineLevel="2" x14ac:dyDescent="0.25">
      <c r="A54" s="985"/>
      <c r="B54" s="1002" t="s">
        <v>1115</v>
      </c>
      <c r="C54" s="1170"/>
      <c r="D54" s="1171"/>
      <c r="E54" s="1172"/>
      <c r="F54" s="1158"/>
      <c r="G54" s="1155"/>
      <c r="H54" s="1153"/>
      <c r="I54" s="1012"/>
      <c r="J54" s="1012"/>
      <c r="K54" s="1012"/>
      <c r="L54" s="1020"/>
    </row>
    <row r="55" spans="1:12" ht="15.75" outlineLevel="2" thickBot="1" x14ac:dyDescent="0.3">
      <c r="A55" s="985"/>
      <c r="B55" s="1003" t="s">
        <v>1116</v>
      </c>
      <c r="C55" s="1176"/>
      <c r="D55" s="1177"/>
      <c r="E55" s="1178"/>
      <c r="F55" s="1182"/>
      <c r="G55" s="1180"/>
      <c r="H55" s="1179"/>
      <c r="I55" s="1181"/>
      <c r="J55" s="1181"/>
      <c r="K55" s="1181"/>
      <c r="L55" s="1023"/>
    </row>
    <row r="56" spans="1:12" ht="15.75" outlineLevel="2" thickBot="1" x14ac:dyDescent="0.3">
      <c r="A56" s="985"/>
      <c r="B56" s="895" t="s">
        <v>965</v>
      </c>
      <c r="C56" s="896"/>
      <c r="D56" s="896"/>
      <c r="E56" s="896"/>
      <c r="F56" s="896">
        <f t="shared" ref="F56:L56" si="6">SUM(F52:F55)</f>
        <v>0</v>
      </c>
      <c r="G56" s="896">
        <f t="shared" si="6"/>
        <v>0</v>
      </c>
      <c r="H56" s="896">
        <f t="shared" si="6"/>
        <v>0</v>
      </c>
      <c r="I56" s="896">
        <f t="shared" si="6"/>
        <v>0</v>
      </c>
      <c r="J56" s="896">
        <f t="shared" si="6"/>
        <v>0</v>
      </c>
      <c r="K56" s="896">
        <f t="shared" si="6"/>
        <v>0</v>
      </c>
      <c r="L56" s="897">
        <f t="shared" si="6"/>
        <v>0</v>
      </c>
    </row>
    <row r="57" spans="1:12" ht="15.75" outlineLevel="1" thickBot="1" x14ac:dyDescent="0.3">
      <c r="C57"/>
      <c r="D57"/>
      <c r="E57"/>
      <c r="J57" s="29"/>
      <c r="K57" s="29"/>
      <c r="L57" s="29"/>
    </row>
    <row r="58" spans="1:12" ht="28.7" customHeight="1" outlineLevel="1" thickBot="1" x14ac:dyDescent="0.3">
      <c r="A58" s="297"/>
      <c r="B58" s="998" t="s">
        <v>1119</v>
      </c>
      <c r="C58" s="899"/>
      <c r="D58" s="899"/>
      <c r="E58" s="899"/>
      <c r="F58" s="899"/>
      <c r="G58" s="899"/>
      <c r="H58" s="899"/>
      <c r="I58" s="899"/>
      <c r="J58" s="899"/>
      <c r="K58" s="899"/>
      <c r="L58" s="999"/>
    </row>
    <row r="59" spans="1:12" ht="33" customHeight="1" outlineLevel="2" thickBot="1" x14ac:dyDescent="0.3">
      <c r="A59" s="5"/>
      <c r="C59" s="1499" t="str">
        <f ca="1">CONCATENATE("EXPENDITURE
Forecast ($0's real, ",dms_DollarReal,")")</f>
        <v>EXPENDITURE
Forecast ($0's real, June 2027)</v>
      </c>
      <c r="D59" s="1500"/>
      <c r="E59" s="1500"/>
      <c r="F59" s="1500"/>
      <c r="G59" s="1500"/>
      <c r="H59" s="1500"/>
      <c r="I59" s="1500"/>
      <c r="J59" s="1500"/>
      <c r="K59" s="1500"/>
      <c r="L59" s="1501"/>
    </row>
    <row r="60" spans="1:12" ht="20.25" customHeight="1" outlineLevel="2" thickBot="1" x14ac:dyDescent="0.3">
      <c r="A60" s="5"/>
      <c r="B60" s="218"/>
      <c r="C60" s="1168" t="str">
        <f ca="1">CRCP_y1</f>
        <v>2022-23</v>
      </c>
      <c r="D60" s="1169" t="str">
        <f ca="1">CRCP_y2</f>
        <v>2023-24</v>
      </c>
      <c r="E60" s="1169" t="str">
        <f ca="1">CRCP_y3</f>
        <v>2024-25</v>
      </c>
      <c r="F60" s="1027" t="str">
        <f ca="1">CRCP_y4</f>
        <v>2025-26</v>
      </c>
      <c r="G60" s="1013" t="str">
        <f ca="1">CRCP_y5</f>
        <v>2026-27</v>
      </c>
      <c r="H60" s="1013" t="str">
        <f>FRCP_y1</f>
        <v>2027-28</v>
      </c>
      <c r="I60" s="1013" t="str">
        <f ca="1">FRCP_y2</f>
        <v>2028-29</v>
      </c>
      <c r="J60" s="1013" t="str">
        <f ca="1">FRCP_y3</f>
        <v>2029-30</v>
      </c>
      <c r="K60" s="1013" t="str">
        <f ca="1">FRCP_y4</f>
        <v>2030-31</v>
      </c>
      <c r="L60" s="1028" t="str">
        <f ca="1">FRCP_y5</f>
        <v>2031-32</v>
      </c>
    </row>
    <row r="61" spans="1:12" outlineLevel="2" x14ac:dyDescent="0.25">
      <c r="A61" s="985"/>
      <c r="B61" s="1001" t="s">
        <v>1113</v>
      </c>
      <c r="C61" s="1173"/>
      <c r="D61" s="1174"/>
      <c r="E61" s="1175"/>
      <c r="F61" s="1159"/>
      <c r="G61" s="1154"/>
      <c r="H61" s="1152"/>
      <c r="I61" s="1039"/>
      <c r="J61" s="1039"/>
      <c r="K61" s="1039"/>
      <c r="L61" s="1018"/>
    </row>
    <row r="62" spans="1:12" outlineLevel="2" x14ac:dyDescent="0.25">
      <c r="A62" s="985"/>
      <c r="B62" s="1002" t="s">
        <v>1114</v>
      </c>
      <c r="C62" s="1170"/>
      <c r="D62" s="1171"/>
      <c r="E62" s="1172"/>
      <c r="F62" s="1158"/>
      <c r="G62" s="1155"/>
      <c r="H62" s="1153"/>
      <c r="I62" s="1012"/>
      <c r="J62" s="1012"/>
      <c r="K62" s="1012"/>
      <c r="L62" s="1020"/>
    </row>
    <row r="63" spans="1:12" outlineLevel="2" x14ac:dyDescent="0.25">
      <c r="A63" s="985"/>
      <c r="B63" s="1002" t="s">
        <v>1115</v>
      </c>
      <c r="C63" s="1170"/>
      <c r="D63" s="1171"/>
      <c r="E63" s="1172"/>
      <c r="F63" s="1158"/>
      <c r="G63" s="1155"/>
      <c r="H63" s="1153"/>
      <c r="I63" s="1012"/>
      <c r="J63" s="1012"/>
      <c r="K63" s="1012"/>
      <c r="L63" s="1020"/>
    </row>
    <row r="64" spans="1:12" ht="15.75" outlineLevel="2" thickBot="1" x14ac:dyDescent="0.3">
      <c r="A64" s="985"/>
      <c r="B64" s="1003" t="s">
        <v>1116</v>
      </c>
      <c r="C64" s="1176"/>
      <c r="D64" s="1177"/>
      <c r="E64" s="1178"/>
      <c r="F64" s="1182"/>
      <c r="G64" s="1180"/>
      <c r="H64" s="1179"/>
      <c r="I64" s="1181"/>
      <c r="J64" s="1181"/>
      <c r="K64" s="1181"/>
      <c r="L64" s="1023"/>
    </row>
    <row r="65" spans="1:12" ht="15.75" outlineLevel="2" thickBot="1" x14ac:dyDescent="0.3">
      <c r="A65" s="985"/>
      <c r="B65" s="895" t="s">
        <v>965</v>
      </c>
      <c r="C65" s="896"/>
      <c r="D65" s="896"/>
      <c r="E65" s="896"/>
      <c r="F65" s="896">
        <f t="shared" ref="F65:L65" si="7">SUM(F61:F64)</f>
        <v>0</v>
      </c>
      <c r="G65" s="896">
        <f t="shared" si="7"/>
        <v>0</v>
      </c>
      <c r="H65" s="896">
        <f t="shared" si="7"/>
        <v>0</v>
      </c>
      <c r="I65" s="896">
        <f t="shared" si="7"/>
        <v>0</v>
      </c>
      <c r="J65" s="896">
        <f t="shared" si="7"/>
        <v>0</v>
      </c>
      <c r="K65" s="896">
        <f t="shared" si="7"/>
        <v>0</v>
      </c>
      <c r="L65" s="897">
        <f t="shared" si="7"/>
        <v>0</v>
      </c>
    </row>
    <row r="66" spans="1:12" ht="15.75" outlineLevel="1" thickBot="1" x14ac:dyDescent="0.3"/>
    <row r="67" spans="1:12" ht="28.7" customHeight="1" outlineLevel="1" thickBot="1" x14ac:dyDescent="0.3">
      <c r="A67" s="297"/>
      <c r="B67" s="998" t="s">
        <v>1131</v>
      </c>
      <c r="C67" s="899"/>
      <c r="D67" s="899"/>
      <c r="E67" s="899"/>
      <c r="F67" s="899"/>
      <c r="G67" s="899"/>
      <c r="H67" s="899"/>
      <c r="I67" s="899"/>
      <c r="J67" s="899"/>
      <c r="K67" s="899"/>
      <c r="L67" s="999"/>
    </row>
    <row r="68" spans="1:12" ht="33" customHeight="1" outlineLevel="2" thickBot="1" x14ac:dyDescent="0.3">
      <c r="A68" s="5"/>
      <c r="C68" s="1499" t="str">
        <f ca="1">CONCATENATE("EXPENDITURE
Forecast ($0's real, ",dms_DollarReal,")")</f>
        <v>EXPENDITURE
Forecast ($0's real, June 2027)</v>
      </c>
      <c r="D68" s="1500"/>
      <c r="E68" s="1500"/>
      <c r="F68" s="1500"/>
      <c r="G68" s="1500"/>
      <c r="H68" s="1500"/>
      <c r="I68" s="1500"/>
      <c r="J68" s="1500"/>
      <c r="K68" s="1500"/>
      <c r="L68" s="1501"/>
    </row>
    <row r="69" spans="1:12" ht="20.25" customHeight="1" outlineLevel="2" thickBot="1" x14ac:dyDescent="0.3">
      <c r="A69" s="5"/>
      <c r="B69" s="218"/>
      <c r="C69" s="1168" t="str">
        <f ca="1">CRCP_y1</f>
        <v>2022-23</v>
      </c>
      <c r="D69" s="1169" t="str">
        <f ca="1">CRCP_y2</f>
        <v>2023-24</v>
      </c>
      <c r="E69" s="1169" t="str">
        <f ca="1">CRCP_y3</f>
        <v>2024-25</v>
      </c>
      <c r="F69" s="1027" t="str">
        <f ca="1">CRCP_y4</f>
        <v>2025-26</v>
      </c>
      <c r="G69" s="1013" t="str">
        <f ca="1">CRCP_y5</f>
        <v>2026-27</v>
      </c>
      <c r="H69" s="1013" t="str">
        <f>FRCP_y1</f>
        <v>2027-28</v>
      </c>
      <c r="I69" s="1013" t="str">
        <f ca="1">FRCP_y2</f>
        <v>2028-29</v>
      </c>
      <c r="J69" s="1013" t="str">
        <f ca="1">FRCP_y3</f>
        <v>2029-30</v>
      </c>
      <c r="K69" s="1013" t="str">
        <f ca="1">FRCP_y4</f>
        <v>2030-31</v>
      </c>
      <c r="L69" s="1028" t="str">
        <f ca="1">FRCP_y5</f>
        <v>2031-32</v>
      </c>
    </row>
    <row r="70" spans="1:12" outlineLevel="2" x14ac:dyDescent="0.25">
      <c r="A70" s="985"/>
      <c r="B70" s="1001" t="s">
        <v>1113</v>
      </c>
      <c r="C70" s="1173"/>
      <c r="D70" s="1174"/>
      <c r="E70" s="1175"/>
      <c r="F70" s="1159"/>
      <c r="G70" s="1154"/>
      <c r="H70" s="1152"/>
      <c r="I70" s="1039"/>
      <c r="J70" s="1039"/>
      <c r="K70" s="1039"/>
      <c r="L70" s="1018"/>
    </row>
    <row r="71" spans="1:12" outlineLevel="2" x14ac:dyDescent="0.25">
      <c r="A71" s="985"/>
      <c r="B71" s="1002" t="s">
        <v>1114</v>
      </c>
      <c r="C71" s="1170"/>
      <c r="D71" s="1171"/>
      <c r="E71" s="1172"/>
      <c r="F71" s="1158"/>
      <c r="G71" s="1155"/>
      <c r="H71" s="1153"/>
      <c r="I71" s="1012"/>
      <c r="J71" s="1012"/>
      <c r="K71" s="1012"/>
      <c r="L71" s="1020"/>
    </row>
    <row r="72" spans="1:12" outlineLevel="2" x14ac:dyDescent="0.25">
      <c r="A72" s="985"/>
      <c r="B72" s="1002" t="s">
        <v>1115</v>
      </c>
      <c r="C72" s="1170"/>
      <c r="D72" s="1171"/>
      <c r="E72" s="1172"/>
      <c r="F72" s="1158"/>
      <c r="G72" s="1155"/>
      <c r="H72" s="1153"/>
      <c r="I72" s="1012"/>
      <c r="J72" s="1012"/>
      <c r="K72" s="1012"/>
      <c r="L72" s="1020"/>
    </row>
    <row r="73" spans="1:12" ht="15.75" outlineLevel="2" thickBot="1" x14ac:dyDescent="0.3">
      <c r="A73" s="985"/>
      <c r="B73" s="1003" t="s">
        <v>1116</v>
      </c>
      <c r="C73" s="1247"/>
      <c r="D73" s="1177"/>
      <c r="E73" s="1178"/>
      <c r="F73" s="1182"/>
      <c r="G73" s="1180"/>
      <c r="H73" s="1179"/>
      <c r="I73" s="1181"/>
      <c r="J73" s="1181"/>
      <c r="K73" s="1181"/>
      <c r="L73" s="1023"/>
    </row>
    <row r="74" spans="1:12" ht="15.75" outlineLevel="2" thickBot="1" x14ac:dyDescent="0.3">
      <c r="A74" s="985"/>
      <c r="B74" s="895" t="s">
        <v>965</v>
      </c>
      <c r="C74" s="896"/>
      <c r="D74" s="896"/>
      <c r="E74" s="896"/>
      <c r="F74" s="896">
        <f t="shared" ref="F74:L74" si="8">SUM(F70:F73)</f>
        <v>0</v>
      </c>
      <c r="G74" s="896">
        <f t="shared" si="8"/>
        <v>0</v>
      </c>
      <c r="H74" s="896">
        <f t="shared" si="8"/>
        <v>0</v>
      </c>
      <c r="I74" s="896">
        <f t="shared" si="8"/>
        <v>0</v>
      </c>
      <c r="J74" s="896">
        <f t="shared" si="8"/>
        <v>0</v>
      </c>
      <c r="K74" s="896">
        <f t="shared" si="8"/>
        <v>0</v>
      </c>
      <c r="L74" s="897">
        <f t="shared" si="8"/>
        <v>0</v>
      </c>
    </row>
    <row r="75" spans="1:12" outlineLevel="1" x14ac:dyDescent="0.25"/>
    <row r="76" spans="1:12" ht="15.75" thickBot="1" x14ac:dyDescent="0.3"/>
    <row r="77" spans="1:12" ht="28.7" customHeight="1" thickBot="1" x14ac:dyDescent="0.3">
      <c r="A77" s="297"/>
      <c r="B77" s="1034" t="s">
        <v>1079</v>
      </c>
      <c r="C77" s="1034"/>
      <c r="D77" s="1034"/>
      <c r="E77" s="1034"/>
      <c r="F77" s="1035"/>
      <c r="G77" s="1035"/>
      <c r="H77" s="1035"/>
      <c r="I77" s="1035"/>
      <c r="J77" s="1035"/>
      <c r="K77" s="1035"/>
      <c r="L77" s="1035"/>
    </row>
    <row r="78" spans="1:12" ht="28.7" customHeight="1" outlineLevel="1" thickBot="1" x14ac:dyDescent="0.3">
      <c r="A78" s="297"/>
      <c r="B78" s="998" t="s">
        <v>1080</v>
      </c>
      <c r="C78" s="899"/>
      <c r="D78" s="899"/>
      <c r="E78" s="899"/>
      <c r="F78" s="899"/>
      <c r="G78" s="899"/>
      <c r="H78" s="899"/>
      <c r="I78" s="899"/>
      <c r="J78" s="899"/>
      <c r="K78" s="899"/>
      <c r="L78" s="999"/>
    </row>
    <row r="79" spans="1:12" ht="33" customHeight="1" outlineLevel="2" thickBot="1" x14ac:dyDescent="0.3">
      <c r="A79" s="5"/>
      <c r="C79" s="1499" t="str">
        <f ca="1">CONCATENATE("EXPENDITURE
Forecast ($0's real, ",dms_DollarReal,")")</f>
        <v>EXPENDITURE
Forecast ($0's real, June 2027)</v>
      </c>
      <c r="D79" s="1500"/>
      <c r="E79" s="1500"/>
      <c r="F79" s="1500"/>
      <c r="G79" s="1500"/>
      <c r="H79" s="1500"/>
      <c r="I79" s="1500"/>
      <c r="J79" s="1500"/>
      <c r="K79" s="1500"/>
      <c r="L79" s="1501"/>
    </row>
    <row r="80" spans="1:12" ht="20.25" customHeight="1" outlineLevel="2" thickBot="1" x14ac:dyDescent="0.3">
      <c r="A80" s="5"/>
      <c r="B80" s="218"/>
      <c r="C80" s="1168" t="str">
        <f ca="1">CRCP_y1</f>
        <v>2022-23</v>
      </c>
      <c r="D80" s="1169" t="str">
        <f ca="1">CRCP_y2</f>
        <v>2023-24</v>
      </c>
      <c r="E80" s="1169" t="str">
        <f ca="1">CRCP_y3</f>
        <v>2024-25</v>
      </c>
      <c r="F80" s="1027" t="str">
        <f ca="1">CRCP_y4</f>
        <v>2025-26</v>
      </c>
      <c r="G80" s="1013" t="str">
        <f ca="1">CRCP_y5</f>
        <v>2026-27</v>
      </c>
      <c r="H80" s="1013" t="str">
        <f>FRCP_y1</f>
        <v>2027-28</v>
      </c>
      <c r="I80" s="1013" t="str">
        <f ca="1">FRCP_y2</f>
        <v>2028-29</v>
      </c>
      <c r="J80" s="1013" t="str">
        <f ca="1">FRCP_y3</f>
        <v>2029-30</v>
      </c>
      <c r="K80" s="1013" t="str">
        <f ca="1">FRCP_y4</f>
        <v>2030-31</v>
      </c>
      <c r="L80" s="1028" t="str">
        <f ca="1">FRCP_y5</f>
        <v>2031-32</v>
      </c>
    </row>
    <row r="81" spans="1:12" outlineLevel="2" x14ac:dyDescent="0.25">
      <c r="A81" s="985"/>
      <c r="B81" s="1001" t="s">
        <v>1113</v>
      </c>
      <c r="C81" s="1173"/>
      <c r="D81" s="1174"/>
      <c r="E81" s="1175"/>
      <c r="F81" s="1159"/>
      <c r="G81" s="1154"/>
      <c r="H81" s="1152"/>
      <c r="I81" s="1039"/>
      <c r="J81" s="1039"/>
      <c r="K81" s="1039"/>
      <c r="L81" s="1018"/>
    </row>
    <row r="82" spans="1:12" outlineLevel="2" x14ac:dyDescent="0.25">
      <c r="A82" s="985"/>
      <c r="B82" s="1002" t="s">
        <v>1114</v>
      </c>
      <c r="C82" s="1170"/>
      <c r="D82" s="1171"/>
      <c r="E82" s="1172"/>
      <c r="F82" s="1158"/>
      <c r="G82" s="1155"/>
      <c r="H82" s="1153"/>
      <c r="I82" s="1012"/>
      <c r="J82" s="1012"/>
      <c r="K82" s="1012"/>
      <c r="L82" s="1020"/>
    </row>
    <row r="83" spans="1:12" outlineLevel="2" x14ac:dyDescent="0.25">
      <c r="A83" s="985"/>
      <c r="B83" s="1002" t="s">
        <v>1115</v>
      </c>
      <c r="C83" s="1170"/>
      <c r="D83" s="1171"/>
      <c r="E83" s="1172"/>
      <c r="F83" s="1158"/>
      <c r="G83" s="1155"/>
      <c r="H83" s="1153"/>
      <c r="I83" s="1012"/>
      <c r="J83" s="1012"/>
      <c r="K83" s="1012"/>
      <c r="L83" s="1020"/>
    </row>
    <row r="84" spans="1:12" ht="15.75" outlineLevel="2" thickBot="1" x14ac:dyDescent="0.3">
      <c r="A84" s="985"/>
      <c r="B84" s="1003" t="s">
        <v>1116</v>
      </c>
      <c r="C84" s="1176"/>
      <c r="D84" s="1177"/>
      <c r="E84" s="1178"/>
      <c r="F84" s="1182"/>
      <c r="G84" s="1180"/>
      <c r="H84" s="1179"/>
      <c r="I84" s="1181"/>
      <c r="J84" s="1181"/>
      <c r="K84" s="1181"/>
      <c r="L84" s="1023"/>
    </row>
    <row r="85" spans="1:12" ht="15.75" outlineLevel="2" thickBot="1" x14ac:dyDescent="0.3">
      <c r="A85" s="985"/>
      <c r="B85" s="895" t="s">
        <v>965</v>
      </c>
      <c r="C85" s="896"/>
      <c r="D85" s="896"/>
      <c r="E85" s="896"/>
      <c r="F85" s="896">
        <f t="shared" ref="F85:L85" si="9">SUM(F81:F84)</f>
        <v>0</v>
      </c>
      <c r="G85" s="896">
        <f t="shared" si="9"/>
        <v>0</v>
      </c>
      <c r="H85" s="896">
        <f t="shared" si="9"/>
        <v>0</v>
      </c>
      <c r="I85" s="896">
        <f t="shared" si="9"/>
        <v>0</v>
      </c>
      <c r="J85" s="896">
        <f t="shared" si="9"/>
        <v>0</v>
      </c>
      <c r="K85" s="896">
        <f t="shared" si="9"/>
        <v>0</v>
      </c>
      <c r="L85" s="897">
        <f t="shared" si="9"/>
        <v>0</v>
      </c>
    </row>
    <row r="86" spans="1:12" ht="15.75" outlineLevel="1" thickBot="1" x14ac:dyDescent="0.3">
      <c r="C86"/>
      <c r="D86"/>
      <c r="E86"/>
      <c r="J86" s="29"/>
      <c r="K86" s="29"/>
      <c r="L86" s="29"/>
    </row>
    <row r="87" spans="1:12" ht="28.7" customHeight="1" outlineLevel="1" thickBot="1" x14ac:dyDescent="0.3">
      <c r="A87" s="297"/>
      <c r="B87" s="998" t="s">
        <v>1118</v>
      </c>
      <c r="C87" s="899"/>
      <c r="D87" s="899"/>
      <c r="E87" s="899"/>
      <c r="F87" s="899"/>
      <c r="G87" s="899"/>
      <c r="H87" s="899"/>
      <c r="I87" s="899"/>
      <c r="J87" s="899"/>
      <c r="K87" s="899"/>
      <c r="L87" s="999"/>
    </row>
    <row r="88" spans="1:12" ht="33" customHeight="1" outlineLevel="2" thickBot="1" x14ac:dyDescent="0.3">
      <c r="A88" s="5"/>
      <c r="C88" s="1499" t="str">
        <f ca="1">CONCATENATE("EXPENDITURE
Forecast ($0's real, ",dms_DollarReal,")")</f>
        <v>EXPENDITURE
Forecast ($0's real, June 2027)</v>
      </c>
      <c r="D88" s="1500"/>
      <c r="E88" s="1500"/>
      <c r="F88" s="1500"/>
      <c r="G88" s="1500"/>
      <c r="H88" s="1500"/>
      <c r="I88" s="1500"/>
      <c r="J88" s="1500"/>
      <c r="K88" s="1500"/>
      <c r="L88" s="1501"/>
    </row>
    <row r="89" spans="1:12" ht="20.25" customHeight="1" outlineLevel="2" thickBot="1" x14ac:dyDescent="0.3">
      <c r="A89" s="5"/>
      <c r="B89" s="943"/>
      <c r="C89" s="1168" t="str">
        <f ca="1">CRCP_y1</f>
        <v>2022-23</v>
      </c>
      <c r="D89" s="1169" t="str">
        <f ca="1">CRCP_y2</f>
        <v>2023-24</v>
      </c>
      <c r="E89" s="1169" t="str">
        <f ca="1">CRCP_y3</f>
        <v>2024-25</v>
      </c>
      <c r="F89" s="1027" t="str">
        <f ca="1">CRCP_y4</f>
        <v>2025-26</v>
      </c>
      <c r="G89" s="1013" t="str">
        <f ca="1">CRCP_y5</f>
        <v>2026-27</v>
      </c>
      <c r="H89" s="1013" t="str">
        <f>FRCP_y1</f>
        <v>2027-28</v>
      </c>
      <c r="I89" s="1013" t="str">
        <f ca="1">FRCP_y2</f>
        <v>2028-29</v>
      </c>
      <c r="J89" s="1013" t="str">
        <f ca="1">FRCP_y3</f>
        <v>2029-30</v>
      </c>
      <c r="K89" s="1013" t="str">
        <f ca="1">FRCP_y4</f>
        <v>2030-31</v>
      </c>
      <c r="L89" s="1028" t="str">
        <f ca="1">FRCP_y5</f>
        <v>2031-32</v>
      </c>
    </row>
    <row r="90" spans="1:12" outlineLevel="2" x14ac:dyDescent="0.25">
      <c r="A90" s="985"/>
      <c r="B90" s="1001" t="s">
        <v>1113</v>
      </c>
      <c r="C90" s="1173"/>
      <c r="D90" s="1174"/>
      <c r="E90" s="1175"/>
      <c r="F90" s="1159"/>
      <c r="G90" s="1154"/>
      <c r="H90" s="1152"/>
      <c r="I90" s="1039"/>
      <c r="J90" s="1039"/>
      <c r="K90" s="1039"/>
      <c r="L90" s="1018"/>
    </row>
    <row r="91" spans="1:12" outlineLevel="2" x14ac:dyDescent="0.25">
      <c r="A91" s="985"/>
      <c r="B91" s="1002" t="s">
        <v>1114</v>
      </c>
      <c r="C91" s="1170"/>
      <c r="D91" s="1171"/>
      <c r="E91" s="1172"/>
      <c r="F91" s="1158"/>
      <c r="G91" s="1155"/>
      <c r="H91" s="1153"/>
      <c r="I91" s="1012"/>
      <c r="J91" s="1012"/>
      <c r="K91" s="1012"/>
      <c r="L91" s="1020"/>
    </row>
    <row r="92" spans="1:12" outlineLevel="2" x14ac:dyDescent="0.25">
      <c r="A92" s="985"/>
      <c r="B92" s="1002" t="s">
        <v>1115</v>
      </c>
      <c r="C92" s="1170"/>
      <c r="D92" s="1171"/>
      <c r="E92" s="1172"/>
      <c r="F92" s="1158"/>
      <c r="G92" s="1155"/>
      <c r="H92" s="1153"/>
      <c r="I92" s="1012"/>
      <c r="J92" s="1012"/>
      <c r="K92" s="1012"/>
      <c r="L92" s="1020"/>
    </row>
    <row r="93" spans="1:12" ht="15.75" outlineLevel="2" thickBot="1" x14ac:dyDescent="0.3">
      <c r="A93" s="985"/>
      <c r="B93" s="1003" t="s">
        <v>1116</v>
      </c>
      <c r="C93" s="1247"/>
      <c r="D93" s="1177"/>
      <c r="E93" s="1178"/>
      <c r="F93" s="1182"/>
      <c r="G93" s="1180"/>
      <c r="H93" s="1179"/>
      <c r="I93" s="1181"/>
      <c r="J93" s="1181"/>
      <c r="K93" s="1181"/>
      <c r="L93" s="1023"/>
    </row>
    <row r="94" spans="1:12" ht="15.75" outlineLevel="2" thickBot="1" x14ac:dyDescent="0.3">
      <c r="A94" s="985"/>
      <c r="B94" s="895" t="s">
        <v>965</v>
      </c>
      <c r="C94" s="896"/>
      <c r="D94" s="896"/>
      <c r="E94" s="896"/>
      <c r="F94" s="896">
        <f t="shared" ref="F94:L94" si="10">SUM(F90:F93)</f>
        <v>0</v>
      </c>
      <c r="G94" s="896">
        <f t="shared" si="10"/>
        <v>0</v>
      </c>
      <c r="H94" s="896">
        <f t="shared" si="10"/>
        <v>0</v>
      </c>
      <c r="I94" s="896">
        <f t="shared" si="10"/>
        <v>0</v>
      </c>
      <c r="J94" s="896">
        <f t="shared" si="10"/>
        <v>0</v>
      </c>
      <c r="K94" s="896">
        <f t="shared" si="10"/>
        <v>0</v>
      </c>
      <c r="L94" s="897">
        <f t="shared" si="10"/>
        <v>0</v>
      </c>
    </row>
    <row r="95" spans="1:12" ht="15.75" outlineLevel="1" thickBot="1" x14ac:dyDescent="0.3"/>
    <row r="96" spans="1:12" ht="28.7" customHeight="1" outlineLevel="1" thickBot="1" x14ac:dyDescent="0.3">
      <c r="A96" s="297"/>
      <c r="B96" s="998" t="s">
        <v>1132</v>
      </c>
      <c r="C96" s="899"/>
      <c r="D96" s="899"/>
      <c r="E96" s="899"/>
      <c r="F96" s="899"/>
      <c r="G96" s="899"/>
      <c r="H96" s="899"/>
      <c r="I96" s="899"/>
      <c r="J96" s="899"/>
      <c r="K96" s="899"/>
      <c r="L96" s="999"/>
    </row>
    <row r="97" spans="1:12" ht="33" customHeight="1" outlineLevel="2" thickBot="1" x14ac:dyDescent="0.3">
      <c r="A97" s="5"/>
      <c r="C97" s="1499" t="str">
        <f ca="1">CONCATENATE("EXPENDITURE
Forecast ($0's real, ",dms_DollarReal,")")</f>
        <v>EXPENDITURE
Forecast ($0's real, June 2027)</v>
      </c>
      <c r="D97" s="1500"/>
      <c r="E97" s="1500"/>
      <c r="F97" s="1500"/>
      <c r="G97" s="1500"/>
      <c r="H97" s="1500"/>
      <c r="I97" s="1500"/>
      <c r="J97" s="1500"/>
      <c r="K97" s="1500"/>
      <c r="L97" s="1501"/>
    </row>
    <row r="98" spans="1:12" ht="20.25" customHeight="1" outlineLevel="2" thickBot="1" x14ac:dyDescent="0.3">
      <c r="A98" s="5"/>
      <c r="B98" s="943"/>
      <c r="C98" s="1168" t="str">
        <f ca="1">CRCP_y1</f>
        <v>2022-23</v>
      </c>
      <c r="D98" s="1169" t="str">
        <f ca="1">CRCP_y2</f>
        <v>2023-24</v>
      </c>
      <c r="E98" s="1169" t="str">
        <f ca="1">CRCP_y3</f>
        <v>2024-25</v>
      </c>
      <c r="F98" s="1027" t="str">
        <f ca="1">CRCP_y4</f>
        <v>2025-26</v>
      </c>
      <c r="G98" s="1013" t="str">
        <f ca="1">CRCP_y5</f>
        <v>2026-27</v>
      </c>
      <c r="H98" s="1013" t="str">
        <f>FRCP_y1</f>
        <v>2027-28</v>
      </c>
      <c r="I98" s="1013" t="str">
        <f ca="1">FRCP_y2</f>
        <v>2028-29</v>
      </c>
      <c r="J98" s="1013" t="str">
        <f ca="1">FRCP_y3</f>
        <v>2029-30</v>
      </c>
      <c r="K98" s="1013" t="str">
        <f ca="1">FRCP_y4</f>
        <v>2030-31</v>
      </c>
      <c r="L98" s="1028" t="str">
        <f ca="1">FRCP_y5</f>
        <v>2031-32</v>
      </c>
    </row>
    <row r="99" spans="1:12" outlineLevel="2" x14ac:dyDescent="0.25">
      <c r="A99" s="985"/>
      <c r="B99" s="1001" t="s">
        <v>1113</v>
      </c>
      <c r="C99" s="1173"/>
      <c r="D99" s="1174"/>
      <c r="E99" s="1175"/>
      <c r="F99" s="1159"/>
      <c r="G99" s="1154"/>
      <c r="H99" s="1152"/>
      <c r="I99" s="1039"/>
      <c r="J99" s="1039"/>
      <c r="K99" s="1039"/>
      <c r="L99" s="1018"/>
    </row>
    <row r="100" spans="1:12" outlineLevel="2" x14ac:dyDescent="0.25">
      <c r="A100" s="985"/>
      <c r="B100" s="1002" t="s">
        <v>1114</v>
      </c>
      <c r="C100" s="1170"/>
      <c r="D100" s="1171"/>
      <c r="E100" s="1172"/>
      <c r="F100" s="1158"/>
      <c r="G100" s="1155"/>
      <c r="H100" s="1153"/>
      <c r="I100" s="1012"/>
      <c r="J100" s="1012"/>
      <c r="K100" s="1012"/>
      <c r="L100" s="1020"/>
    </row>
    <row r="101" spans="1:12" outlineLevel="2" x14ac:dyDescent="0.25">
      <c r="A101" s="985"/>
      <c r="B101" s="1002" t="s">
        <v>1115</v>
      </c>
      <c r="C101" s="1248"/>
      <c r="D101" s="1171"/>
      <c r="E101" s="1172"/>
      <c r="F101" s="1158"/>
      <c r="G101" s="1155"/>
      <c r="H101" s="1153"/>
      <c r="I101" s="1012"/>
      <c r="J101" s="1012"/>
      <c r="K101" s="1012"/>
      <c r="L101" s="1020"/>
    </row>
    <row r="102" spans="1:12" ht="15.75" outlineLevel="2" thickBot="1" x14ac:dyDescent="0.3">
      <c r="A102" s="985"/>
      <c r="B102" s="1003" t="s">
        <v>1116</v>
      </c>
      <c r="C102" s="1247"/>
      <c r="D102" s="1177"/>
      <c r="E102" s="1178"/>
      <c r="F102" s="1182"/>
      <c r="G102" s="1180"/>
      <c r="H102" s="1179"/>
      <c r="I102" s="1181"/>
      <c r="J102" s="1181"/>
      <c r="K102" s="1181"/>
      <c r="L102" s="1023"/>
    </row>
    <row r="103" spans="1:12" ht="15.75" outlineLevel="2" thickBot="1" x14ac:dyDescent="0.3">
      <c r="A103" s="985"/>
      <c r="B103" s="895" t="s">
        <v>965</v>
      </c>
      <c r="C103" s="896"/>
      <c r="D103" s="896"/>
      <c r="E103" s="896"/>
      <c r="F103" s="896">
        <f t="shared" ref="F103:L103" si="11">SUM(F99:F102)</f>
        <v>0</v>
      </c>
      <c r="G103" s="896">
        <f t="shared" si="11"/>
        <v>0</v>
      </c>
      <c r="H103" s="896">
        <f t="shared" si="11"/>
        <v>0</v>
      </c>
      <c r="I103" s="896">
        <f t="shared" si="11"/>
        <v>0</v>
      </c>
      <c r="J103" s="896">
        <f t="shared" si="11"/>
        <v>0</v>
      </c>
      <c r="K103" s="896">
        <f t="shared" si="11"/>
        <v>0</v>
      </c>
      <c r="L103" s="897">
        <f t="shared" si="11"/>
        <v>0</v>
      </c>
    </row>
    <row r="104" spans="1:12" outlineLevel="1" x14ac:dyDescent="0.25"/>
  </sheetData>
  <sheetProtection algorithmName="SHA-256" hashValue="QtwIvWe4gMxmLoKH1ixfi21vbNFziNuxniy8o8kTyy4=" saltValue="kePk9g4a1XltRUegmvrwgQ==" spinCount="100000" sheet="1" objects="1" scenarios="1" formatCells="0" insertRows="0" deleteRows="0"/>
  <mergeCells count="17">
    <mergeCell ref="C97:L97"/>
    <mergeCell ref="C68:L68"/>
    <mergeCell ref="C79:L79"/>
    <mergeCell ref="C88:L88"/>
    <mergeCell ref="C25:L25"/>
    <mergeCell ref="C26:L26"/>
    <mergeCell ref="B6:D6"/>
    <mergeCell ref="B7:C7"/>
    <mergeCell ref="D7:D8"/>
    <mergeCell ref="B8:C8"/>
    <mergeCell ref="B9:C9"/>
    <mergeCell ref="C13:L13"/>
    <mergeCell ref="C14:L14"/>
    <mergeCell ref="C50:L50"/>
    <mergeCell ref="C59:L59"/>
    <mergeCell ref="C37:L37"/>
    <mergeCell ref="C38:L38"/>
  </mergeCells>
  <conditionalFormatting sqref="C16:F16 C28:F28 C40:F40">
    <cfRule type="expression" dxfId="27" priority="2">
      <formula>dms_Base_Year = "2017-18"</formula>
    </cfRule>
  </conditionalFormatting>
  <conditionalFormatting sqref="C16:L21 C28:L33 C40:L45">
    <cfRule type="expression" dxfId="26" priority="1">
      <formula>dms_E20_Flag = "No"</formula>
    </cfRule>
  </conditionalFormatting>
  <conditionalFormatting sqref="D16:F16 D28:F28 D40:F40">
    <cfRule type="expression" dxfId="25" priority="3">
      <formula>dms_Base_Year = "2018-19"</formula>
    </cfRule>
  </conditionalFormatting>
  <conditionalFormatting sqref="E16:F16 E28:F28 E40:F40">
    <cfRule type="expression" dxfId="24" priority="4">
      <formula>dms_Base_Year = "2019-20"</formula>
    </cfRule>
  </conditionalFormatting>
  <conditionalFormatting sqref="F16 F28 F40">
    <cfRule type="expression" dxfId="23" priority="5">
      <formula>dms_Base_Year="2020-21"</formula>
    </cfRule>
  </conditionalFormatting>
  <conditionalFormatting sqref="F52:L55">
    <cfRule type="expression" dxfId="22" priority="16">
      <formula>dms_E20_Flag="Yes"</formula>
    </cfRule>
  </conditionalFormatting>
  <conditionalFormatting sqref="F61:L64">
    <cfRule type="expression" dxfId="21" priority="14">
      <formula>dms_E20_Flag="Yes"</formula>
    </cfRule>
  </conditionalFormatting>
  <conditionalFormatting sqref="F70:L73">
    <cfRule type="expression" dxfId="20" priority="10">
      <formula>dms_E20_Flag="Yes"</formula>
    </cfRule>
  </conditionalFormatting>
  <conditionalFormatting sqref="F81:L84">
    <cfRule type="expression" dxfId="19" priority="13">
      <formula>dms_E20_Flag="Yes"</formula>
    </cfRule>
  </conditionalFormatting>
  <conditionalFormatting sqref="F90:L93">
    <cfRule type="expression" dxfId="18" priority="12">
      <formula>dms_E20_Flag="Yes"</formula>
    </cfRule>
  </conditionalFormatting>
  <conditionalFormatting sqref="F99:L102">
    <cfRule type="expression" dxfId="17" priority="11">
      <formula>dms_E20_Flag="Yes"</formula>
    </cfRule>
  </conditionalFormatting>
  <dataValidations count="2">
    <dataValidation type="list" allowBlank="1" showInputMessage="1" showErrorMessage="1" sqref="D9" xr:uid="{00000000-0002-0000-0C00-000000000000}">
      <formula1>dms_BaseYear_List</formula1>
    </dataValidation>
    <dataValidation type="list" allowBlank="1" showInputMessage="1" showErrorMessage="1" sqref="D7" xr:uid="{00000000-0002-0000-0C00-000001000000}">
      <formula1>"Yes, No"</formula1>
    </dataValidation>
  </dataValidations>
  <pageMargins left="0.7" right="0.7" top="0.75" bottom="0.75" header="0.3" footer="0.3"/>
  <pageSetup paperSize="9" orientation="portrait" r:id="rId1"/>
  <headerFooter>
    <oddFooter>&amp;C_x000D_&amp;1#&amp;"Aptos"&amp;10&amp;K008000 APA-INTERNAL</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21">
    <tabColor theme="6" tint="-0.249977111117893"/>
  </sheetPr>
  <dimension ref="A1:U474"/>
  <sheetViews>
    <sheetView showGridLines="0" topLeftCell="A33" zoomScale="85" zoomScaleNormal="85" workbookViewId="0">
      <selection activeCell="M13" sqref="M13"/>
    </sheetView>
  </sheetViews>
  <sheetFormatPr defaultColWidth="9.140625" defaultRowHeight="15" outlineLevelRow="3" x14ac:dyDescent="0.25"/>
  <cols>
    <col min="1" max="1" width="22.7109375" customWidth="1"/>
    <col min="2" max="2" width="88.140625" customWidth="1"/>
    <col min="3" max="9" width="17.7109375" customWidth="1"/>
  </cols>
  <sheetData>
    <row r="1" spans="1:21" ht="30.2" customHeight="1" x14ac:dyDescent="0.25">
      <c r="B1" s="281" t="str">
        <f>IF(dms_MultiYear_ResponseFlag="Yes","REGULATORY REPORTING STATEMENT - HISTORICAL INFORMATION",INDEX(dms_Worksheet_List,MATCH(dms_Model,dms_Model_List)))</f>
        <v>REGULATORY REPORTING STATEMENT</v>
      </c>
      <c r="C1" s="280"/>
      <c r="D1" s="280"/>
      <c r="E1" s="280"/>
      <c r="F1" s="280"/>
      <c r="G1" s="1342" t="s">
        <v>1162</v>
      </c>
      <c r="H1" s="1343" t="s">
        <v>1163</v>
      </c>
      <c r="I1" s="936"/>
    </row>
    <row r="2" spans="1:21" ht="30.2" customHeight="1" x14ac:dyDescent="0.25">
      <c r="B2" s="281" t="str">
        <f>INDEX(dms_TradingNameFull_List,MATCH(dms_TradingName,dms_TradingName_List))</f>
        <v>APT Petroleum Pipelines Limited t/a Roma to Brisbane Pipeline</v>
      </c>
      <c r="C2" s="280"/>
      <c r="D2" s="280"/>
      <c r="E2" s="280"/>
      <c r="F2" s="280"/>
      <c r="G2" s="1344" t="s">
        <v>1164</v>
      </c>
      <c r="H2" s="1345" t="s">
        <v>647</v>
      </c>
      <c r="I2" s="936"/>
    </row>
    <row r="3" spans="1:21" ht="30.2" customHeight="1" x14ac:dyDescent="0.25">
      <c r="B3" s="937" t="str">
        <f ca="1">dms_Header_Span</f>
        <v>Data Span 2025-26 - 2031-32</v>
      </c>
      <c r="C3" s="280"/>
      <c r="D3" s="280"/>
      <c r="E3" s="280"/>
      <c r="F3" s="280"/>
      <c r="G3" s="1346" t="s">
        <v>1165</v>
      </c>
      <c r="H3" s="1347" t="s">
        <v>830</v>
      </c>
      <c r="I3" s="938"/>
    </row>
    <row r="4" spans="1:21" ht="30.2" customHeight="1" x14ac:dyDescent="0.25">
      <c r="B4" s="263" t="s">
        <v>952</v>
      </c>
      <c r="C4" s="934"/>
      <c r="D4" s="934"/>
      <c r="E4" s="934"/>
      <c r="F4" s="934"/>
      <c r="G4" s="1348" t="s">
        <v>1166</v>
      </c>
      <c r="H4" s="1349" t="s">
        <v>1167</v>
      </c>
      <c r="I4" s="263"/>
    </row>
    <row r="5" spans="1:21" ht="33" customHeight="1" thickBot="1" x14ac:dyDescent="0.3"/>
    <row r="6" spans="1:21" ht="25.5" customHeight="1" thickBot="1" x14ac:dyDescent="0.3">
      <c r="B6" s="264" t="s">
        <v>1083</v>
      </c>
      <c r="C6" s="264"/>
      <c r="D6" s="264"/>
      <c r="E6" s="264"/>
      <c r="F6" s="264"/>
      <c r="G6" s="264"/>
      <c r="H6" s="264"/>
      <c r="I6" s="264"/>
    </row>
    <row r="7" spans="1:21" s="42" customFormat="1" ht="27.95" customHeight="1" outlineLevel="3" x14ac:dyDescent="0.25">
      <c r="A7"/>
      <c r="B7"/>
      <c r="C7" s="1519" t="s">
        <v>951</v>
      </c>
      <c r="D7" s="1520"/>
      <c r="E7" s="1520"/>
      <c r="F7" s="1521"/>
      <c r="G7" s="1521"/>
      <c r="H7" s="1521"/>
      <c r="I7" s="1522"/>
      <c r="J7"/>
      <c r="K7"/>
      <c r="L7"/>
      <c r="M7"/>
      <c r="N7"/>
      <c r="O7"/>
      <c r="P7"/>
      <c r="Q7"/>
      <c r="R7"/>
      <c r="S7"/>
      <c r="T7"/>
      <c r="U7"/>
    </row>
    <row r="8" spans="1:21" s="42" customFormat="1" outlineLevel="3" x14ac:dyDescent="0.25">
      <c r="C8" s="1513" t="s">
        <v>1081</v>
      </c>
      <c r="D8" s="1514"/>
      <c r="E8" s="1514"/>
      <c r="F8" s="1515"/>
      <c r="G8" s="1515"/>
      <c r="H8" s="1515"/>
      <c r="I8" s="1523"/>
      <c r="J8"/>
      <c r="K8"/>
      <c r="L8"/>
      <c r="M8"/>
      <c r="N8"/>
      <c r="O8"/>
      <c r="P8"/>
      <c r="Q8"/>
      <c r="R8"/>
      <c r="S8"/>
      <c r="T8"/>
    </row>
    <row r="9" spans="1:21" ht="18.75" customHeight="1" outlineLevel="3" thickBot="1" x14ac:dyDescent="0.3">
      <c r="B9" s="1064"/>
      <c r="C9" s="1118" t="str">
        <f ca="1">CRCP_y4</f>
        <v>2025-26</v>
      </c>
      <c r="D9" s="1119" t="str">
        <f ca="1">CRCP_y5</f>
        <v>2026-27</v>
      </c>
      <c r="E9" s="1120" t="str">
        <f>FRCP_y1</f>
        <v>2027-28</v>
      </c>
      <c r="F9" s="1120" t="str">
        <f ca="1">FRCP_y2</f>
        <v>2028-29</v>
      </c>
      <c r="G9" s="1120" t="str">
        <f ca="1">FRCP_y3</f>
        <v>2029-30</v>
      </c>
      <c r="H9" s="1120" t="str">
        <f ca="1">FRCP_y4</f>
        <v>2030-31</v>
      </c>
      <c r="I9" s="1121" t="str">
        <f ca="1">FRCP_y5</f>
        <v>2031-32</v>
      </c>
    </row>
    <row r="10" spans="1:21" ht="26.25" customHeight="1" outlineLevel="3" x14ac:dyDescent="0.25">
      <c r="B10" s="1075" t="s">
        <v>1020</v>
      </c>
      <c r="C10" s="927">
        <v>10950000</v>
      </c>
      <c r="D10" s="1056">
        <v>10950000</v>
      </c>
      <c r="E10" s="995">
        <v>22326000</v>
      </c>
      <c r="F10" s="885">
        <v>22265000</v>
      </c>
      <c r="G10" s="885">
        <v>22265000</v>
      </c>
      <c r="H10" s="885">
        <v>22265000</v>
      </c>
      <c r="I10" s="886">
        <v>22326000</v>
      </c>
    </row>
    <row r="11" spans="1:21" ht="15.75" outlineLevel="3" thickBot="1" x14ac:dyDescent="0.3">
      <c r="B11" s="1150" t="s">
        <v>965</v>
      </c>
      <c r="C11" s="896">
        <f t="shared" ref="C11:I11" si="0">SUM(C10:C10)</f>
        <v>10950000</v>
      </c>
      <c r="D11" s="896">
        <f t="shared" si="0"/>
        <v>10950000</v>
      </c>
      <c r="E11" s="896">
        <f t="shared" si="0"/>
        <v>22326000</v>
      </c>
      <c r="F11" s="896">
        <f t="shared" si="0"/>
        <v>22265000</v>
      </c>
      <c r="G11" s="896">
        <f t="shared" si="0"/>
        <v>22265000</v>
      </c>
      <c r="H11" s="896">
        <f t="shared" si="0"/>
        <v>22265000</v>
      </c>
      <c r="I11" s="896">
        <f t="shared" si="0"/>
        <v>22326000</v>
      </c>
    </row>
    <row r="13" spans="1:21" ht="15.75" thickBot="1" x14ac:dyDescent="0.3"/>
    <row r="14" spans="1:21" ht="25.5" customHeight="1" thickBot="1" x14ac:dyDescent="0.3">
      <c r="B14" s="264" t="s">
        <v>1021</v>
      </c>
      <c r="C14" s="264"/>
      <c r="D14" s="264"/>
      <c r="E14" s="264"/>
      <c r="F14" s="264"/>
      <c r="G14" s="264"/>
      <c r="H14" s="264"/>
      <c r="I14" s="264"/>
    </row>
    <row r="15" spans="1:21" s="42" customFormat="1" ht="27.95" customHeight="1" outlineLevel="3" x14ac:dyDescent="0.25">
      <c r="A15"/>
      <c r="B15"/>
      <c r="C15" s="1519" t="s">
        <v>951</v>
      </c>
      <c r="D15" s="1520"/>
      <c r="E15" s="1521"/>
      <c r="F15" s="1521"/>
      <c r="G15" s="1521"/>
      <c r="H15" s="1521"/>
      <c r="I15" s="1522"/>
      <c r="J15"/>
      <c r="K15"/>
      <c r="L15"/>
      <c r="M15"/>
      <c r="N15"/>
      <c r="O15"/>
      <c r="P15"/>
      <c r="Q15"/>
      <c r="R15"/>
      <c r="S15"/>
      <c r="T15"/>
    </row>
    <row r="16" spans="1:21" s="42" customFormat="1" outlineLevel="3" x14ac:dyDescent="0.25">
      <c r="B16" s="1057"/>
      <c r="C16" s="1513" t="s">
        <v>1081</v>
      </c>
      <c r="D16" s="1514"/>
      <c r="E16" s="1515"/>
      <c r="F16" s="1515"/>
      <c r="G16" s="1515"/>
      <c r="H16" s="1515"/>
      <c r="I16" s="1523"/>
      <c r="J16"/>
      <c r="K16"/>
      <c r="L16"/>
      <c r="M16"/>
      <c r="N16"/>
      <c r="O16"/>
      <c r="P16"/>
      <c r="Q16"/>
      <c r="R16"/>
      <c r="S16"/>
    </row>
    <row r="17" spans="2:9" ht="18.75" customHeight="1" outlineLevel="3" thickBot="1" x14ac:dyDescent="0.3">
      <c r="B17" s="1064" t="s">
        <v>1022</v>
      </c>
      <c r="C17" s="1118" t="str">
        <f ca="1">CRCP_y4</f>
        <v>2025-26</v>
      </c>
      <c r="D17" s="1119" t="str">
        <f ca="1">CRCP_y5</f>
        <v>2026-27</v>
      </c>
      <c r="E17" s="1120" t="str">
        <f>FRCP_y1</f>
        <v>2027-28</v>
      </c>
      <c r="F17" s="1120" t="str">
        <f ca="1">FRCP_y2</f>
        <v>2028-29</v>
      </c>
      <c r="G17" s="1120" t="str">
        <f ca="1">FRCP_y3</f>
        <v>2029-30</v>
      </c>
      <c r="H17" s="1120" t="str">
        <f ca="1">FRCP_y4</f>
        <v>2030-31</v>
      </c>
      <c r="I17" s="1121" t="str">
        <f ca="1">FRCP_y5</f>
        <v>2031-32</v>
      </c>
    </row>
    <row r="18" spans="2:9" outlineLevel="3" x14ac:dyDescent="0.25">
      <c r="B18" s="919" t="s">
        <v>1168</v>
      </c>
      <c r="C18" s="927"/>
      <c r="D18" s="1056"/>
      <c r="E18" s="995">
        <v>65257800</v>
      </c>
      <c r="F18" s="885">
        <v>62451500</v>
      </c>
      <c r="G18" s="885">
        <v>62451500</v>
      </c>
      <c r="H18" s="885">
        <v>62451500</v>
      </c>
      <c r="I18" s="886">
        <v>62622600</v>
      </c>
    </row>
    <row r="19" spans="2:9" outlineLevel="3" x14ac:dyDescent="0.25">
      <c r="B19" s="926" t="s">
        <v>1169</v>
      </c>
      <c r="C19" s="1112">
        <v>38033000</v>
      </c>
      <c r="D19" s="1055">
        <v>38033000</v>
      </c>
      <c r="E19" s="1000"/>
      <c r="F19" s="880"/>
      <c r="G19" s="880"/>
      <c r="H19" s="880"/>
      <c r="I19" s="882"/>
    </row>
    <row r="20" spans="2:9" outlineLevel="3" x14ac:dyDescent="0.25">
      <c r="B20" s="926" t="s">
        <v>1170</v>
      </c>
      <c r="C20" s="1112">
        <v>32010500</v>
      </c>
      <c r="D20" s="1055">
        <v>32010500</v>
      </c>
      <c r="E20" s="1000"/>
      <c r="F20" s="880"/>
      <c r="G20" s="880"/>
      <c r="H20" s="880"/>
      <c r="I20" s="882"/>
    </row>
    <row r="21" spans="2:9" outlineLevel="3" x14ac:dyDescent="0.25">
      <c r="B21" s="926"/>
      <c r="C21" s="1112"/>
      <c r="D21" s="1055"/>
      <c r="E21" s="1000"/>
      <c r="F21" s="880"/>
      <c r="G21" s="880"/>
      <c r="H21" s="880"/>
      <c r="I21" s="882"/>
    </row>
    <row r="22" spans="2:9" outlineLevel="3" x14ac:dyDescent="0.25">
      <c r="B22" s="926"/>
      <c r="C22" s="1112"/>
      <c r="D22" s="1055"/>
      <c r="E22" s="1000"/>
      <c r="F22" s="880"/>
      <c r="G22" s="880"/>
      <c r="H22" s="880"/>
      <c r="I22" s="882"/>
    </row>
    <row r="23" spans="2:9" outlineLevel="3" x14ac:dyDescent="0.25">
      <c r="B23" s="926"/>
      <c r="C23" s="1112"/>
      <c r="D23" s="1055"/>
      <c r="E23" s="1000"/>
      <c r="F23" s="880"/>
      <c r="G23" s="880"/>
      <c r="H23" s="880"/>
      <c r="I23" s="882"/>
    </row>
    <row r="24" spans="2:9" outlineLevel="3" x14ac:dyDescent="0.25">
      <c r="B24" s="926"/>
      <c r="C24" s="1112"/>
      <c r="D24" s="1055"/>
      <c r="E24" s="1000"/>
      <c r="F24" s="880"/>
      <c r="G24" s="880"/>
      <c r="H24" s="880"/>
      <c r="I24" s="882"/>
    </row>
    <row r="25" spans="2:9" outlineLevel="3" x14ac:dyDescent="0.25">
      <c r="B25" s="926"/>
      <c r="C25" s="1112"/>
      <c r="D25" s="1055"/>
      <c r="E25" s="1000"/>
      <c r="F25" s="880"/>
      <c r="G25" s="880"/>
      <c r="H25" s="880"/>
      <c r="I25" s="882"/>
    </row>
    <row r="26" spans="2:9" outlineLevel="3" x14ac:dyDescent="0.25">
      <c r="B26" s="926"/>
      <c r="C26" s="1112"/>
      <c r="D26" s="1055"/>
      <c r="E26" s="1000"/>
      <c r="F26" s="880"/>
      <c r="G26" s="880"/>
      <c r="H26" s="880"/>
      <c r="I26" s="882"/>
    </row>
    <row r="27" spans="2:9" outlineLevel="3" x14ac:dyDescent="0.25">
      <c r="B27" s="926"/>
      <c r="C27" s="1112"/>
      <c r="D27" s="1055"/>
      <c r="E27" s="1000"/>
      <c r="F27" s="880"/>
      <c r="G27" s="880"/>
      <c r="H27" s="880"/>
      <c r="I27" s="882"/>
    </row>
    <row r="28" spans="2:9" outlineLevel="3" x14ac:dyDescent="0.25">
      <c r="B28" s="926"/>
      <c r="C28" s="1112"/>
      <c r="D28" s="1055"/>
      <c r="E28" s="1000"/>
      <c r="F28" s="880"/>
      <c r="G28" s="880"/>
      <c r="H28" s="880"/>
      <c r="I28" s="882"/>
    </row>
    <row r="29" spans="2:9" outlineLevel="3" x14ac:dyDescent="0.25">
      <c r="B29" s="926"/>
      <c r="C29" s="1112"/>
      <c r="D29" s="1055"/>
      <c r="E29" s="1000"/>
      <c r="F29" s="880"/>
      <c r="G29" s="880"/>
      <c r="H29" s="880"/>
      <c r="I29" s="882"/>
    </row>
    <row r="30" spans="2:9" outlineLevel="3" x14ac:dyDescent="0.25">
      <c r="B30" s="926"/>
      <c r="C30" s="1112"/>
      <c r="D30" s="1055"/>
      <c r="E30" s="1000"/>
      <c r="F30" s="880"/>
      <c r="G30" s="880"/>
      <c r="H30" s="880"/>
      <c r="I30" s="882"/>
    </row>
    <row r="31" spans="2:9" outlineLevel="3" x14ac:dyDescent="0.25">
      <c r="B31" s="926"/>
      <c r="C31" s="1112"/>
      <c r="D31" s="1055"/>
      <c r="E31" s="1000"/>
      <c r="F31" s="880"/>
      <c r="G31" s="880"/>
      <c r="H31" s="880"/>
      <c r="I31" s="882"/>
    </row>
    <row r="32" spans="2:9" outlineLevel="3" x14ac:dyDescent="0.25">
      <c r="B32" s="926"/>
      <c r="C32" s="1112"/>
      <c r="D32" s="1055"/>
      <c r="E32" s="1000"/>
      <c r="F32" s="880"/>
      <c r="G32" s="880"/>
      <c r="H32" s="880"/>
      <c r="I32" s="882"/>
    </row>
    <row r="33" spans="1:17" outlineLevel="3" x14ac:dyDescent="0.25">
      <c r="B33" s="926"/>
      <c r="C33" s="1112"/>
      <c r="D33" s="1055"/>
      <c r="E33" s="1000"/>
      <c r="F33" s="880"/>
      <c r="G33" s="880"/>
      <c r="H33" s="880"/>
      <c r="I33" s="882"/>
    </row>
    <row r="34" spans="1:17" outlineLevel="3" x14ac:dyDescent="0.25">
      <c r="B34" s="926"/>
      <c r="C34" s="1112"/>
      <c r="D34" s="1055"/>
      <c r="E34" s="1000"/>
      <c r="F34" s="880"/>
      <c r="G34" s="880"/>
      <c r="H34" s="880"/>
      <c r="I34" s="882"/>
    </row>
    <row r="35" spans="1:17" outlineLevel="3" x14ac:dyDescent="0.25">
      <c r="B35" s="926"/>
      <c r="C35" s="1112"/>
      <c r="D35" s="1055"/>
      <c r="E35" s="1000"/>
      <c r="F35" s="880"/>
      <c r="G35" s="880"/>
      <c r="H35" s="880"/>
      <c r="I35" s="882"/>
    </row>
    <row r="36" spans="1:17" outlineLevel="3" x14ac:dyDescent="0.25">
      <c r="B36" s="926"/>
      <c r="C36" s="1112"/>
      <c r="D36" s="1055"/>
      <c r="E36" s="1000"/>
      <c r="F36" s="880"/>
      <c r="G36" s="880"/>
      <c r="H36" s="880"/>
      <c r="I36" s="882"/>
    </row>
    <row r="37" spans="1:17" ht="15.75" outlineLevel="3" thickBot="1" x14ac:dyDescent="0.3">
      <c r="B37" s="1111"/>
      <c r="C37" s="860"/>
      <c r="D37" s="1054"/>
      <c r="E37" s="1053"/>
      <c r="F37" s="861"/>
      <c r="G37" s="861"/>
      <c r="H37" s="861"/>
      <c r="I37" s="1052"/>
    </row>
    <row r="38" spans="1:17" ht="15.75" outlineLevel="3" thickBot="1" x14ac:dyDescent="0.3">
      <c r="B38" s="1150" t="s">
        <v>965</v>
      </c>
      <c r="C38" s="896">
        <f>SUM(C18:C37)</f>
        <v>70043500</v>
      </c>
      <c r="D38" s="896">
        <f t="shared" ref="D38:I38" si="1">SUM(D18:D37)</f>
        <v>70043500</v>
      </c>
      <c r="E38" s="896">
        <f t="shared" si="1"/>
        <v>65257800</v>
      </c>
      <c r="F38" s="896">
        <f t="shared" si="1"/>
        <v>62451500</v>
      </c>
      <c r="G38" s="896">
        <f t="shared" si="1"/>
        <v>62451500</v>
      </c>
      <c r="H38" s="896">
        <f t="shared" si="1"/>
        <v>62451500</v>
      </c>
      <c r="I38" s="897">
        <f t="shared" si="1"/>
        <v>62622600</v>
      </c>
    </row>
    <row r="40" spans="1:17" ht="15.75" thickBot="1" x14ac:dyDescent="0.3"/>
    <row r="41" spans="1:17" ht="25.5" customHeight="1" thickBot="1" x14ac:dyDescent="0.3">
      <c r="B41" s="1034" t="s">
        <v>1023</v>
      </c>
      <c r="C41" s="1034"/>
      <c r="D41" s="1034"/>
      <c r="E41" s="1034"/>
      <c r="F41" s="1034"/>
      <c r="G41" s="1034"/>
      <c r="H41" s="1034"/>
      <c r="I41" s="1034"/>
    </row>
    <row r="42" spans="1:17" ht="25.5" customHeight="1" outlineLevel="1" thickBot="1" x14ac:dyDescent="0.3">
      <c r="B42" s="998" t="s">
        <v>1024</v>
      </c>
      <c r="C42" s="899"/>
      <c r="D42" s="899"/>
      <c r="E42" s="899"/>
      <c r="F42" s="899"/>
      <c r="G42" s="899"/>
      <c r="H42" s="899"/>
      <c r="I42" s="899"/>
    </row>
    <row r="43" spans="1:17" s="42" customFormat="1" ht="27.95" customHeight="1" outlineLevel="2" x14ac:dyDescent="0.25">
      <c r="A43"/>
      <c r="B43"/>
      <c r="C43" s="1516" t="s">
        <v>951</v>
      </c>
      <c r="D43" s="1517"/>
      <c r="E43" s="1518"/>
      <c r="F43" s="1518"/>
      <c r="G43" s="1518"/>
      <c r="H43" s="1518"/>
      <c r="I43" s="1518"/>
      <c r="J43"/>
      <c r="K43"/>
      <c r="L43"/>
      <c r="M43"/>
      <c r="N43"/>
      <c r="O43"/>
      <c r="P43"/>
      <c r="Q43"/>
    </row>
    <row r="44" spans="1:17" s="42" customFormat="1" outlineLevel="2" x14ac:dyDescent="0.25">
      <c r="A44"/>
      <c r="B44" s="1057"/>
      <c r="C44" s="1513" t="s">
        <v>1081</v>
      </c>
      <c r="D44" s="1514"/>
      <c r="E44" s="1515"/>
      <c r="F44" s="1515"/>
      <c r="G44" s="1515"/>
      <c r="H44" s="1515"/>
      <c r="I44" s="1515"/>
      <c r="J44"/>
      <c r="K44"/>
      <c r="L44"/>
      <c r="M44"/>
      <c r="N44"/>
      <c r="O44"/>
      <c r="P44"/>
    </row>
    <row r="45" spans="1:17" ht="18.75" customHeight="1" outlineLevel="2" thickBot="1" x14ac:dyDescent="0.3">
      <c r="B45" s="1064" t="s">
        <v>1016</v>
      </c>
      <c r="C45" s="893" t="str">
        <f ca="1">CRCP_y4</f>
        <v>2025-26</v>
      </c>
      <c r="D45" s="892" t="str">
        <f ca="1">CRCP_y5</f>
        <v>2026-27</v>
      </c>
      <c r="E45" s="890" t="str">
        <f>FRCP_y1</f>
        <v>2027-28</v>
      </c>
      <c r="F45" s="890" t="str">
        <f ca="1">FRCP_y2</f>
        <v>2028-29</v>
      </c>
      <c r="G45" s="890" t="str">
        <f ca="1">FRCP_y3</f>
        <v>2029-30</v>
      </c>
      <c r="H45" s="890" t="str">
        <f ca="1">FRCP_y4</f>
        <v>2030-31</v>
      </c>
      <c r="I45" s="891" t="str">
        <f ca="1">FRCP_y5</f>
        <v>2031-32</v>
      </c>
    </row>
    <row r="46" spans="1:17" ht="18.75" customHeight="1" outlineLevel="2" thickBot="1" x14ac:dyDescent="0.3">
      <c r="B46" s="894" t="s">
        <v>1057</v>
      </c>
      <c r="C46" s="1062"/>
      <c r="D46" s="1062"/>
      <c r="E46" s="1062"/>
      <c r="F46" s="1061"/>
      <c r="G46" s="1061"/>
      <c r="H46" s="1063"/>
      <c r="I46" s="1062"/>
    </row>
    <row r="47" spans="1:17" outlineLevel="3" x14ac:dyDescent="0.25">
      <c r="B47" s="919"/>
      <c r="C47" s="927"/>
      <c r="D47" s="1056"/>
      <c r="E47" s="995"/>
      <c r="F47" s="885"/>
      <c r="G47" s="885"/>
      <c r="H47" s="885"/>
      <c r="I47" s="886"/>
    </row>
    <row r="48" spans="1:17" outlineLevel="3" x14ac:dyDescent="0.25">
      <c r="B48" s="1271"/>
      <c r="C48" s="1112"/>
      <c r="D48" s="1055"/>
      <c r="E48" s="1000"/>
      <c r="F48" s="880"/>
      <c r="G48" s="880"/>
      <c r="H48" s="880"/>
      <c r="I48" s="882"/>
    </row>
    <row r="49" spans="2:9" outlineLevel="3" x14ac:dyDescent="0.25">
      <c r="B49" s="1271"/>
      <c r="C49" s="1112"/>
      <c r="D49" s="1055"/>
      <c r="E49" s="1000"/>
      <c r="F49" s="880"/>
      <c r="G49" s="880"/>
      <c r="H49" s="880"/>
      <c r="I49" s="882"/>
    </row>
    <row r="50" spans="2:9" outlineLevel="3" x14ac:dyDescent="0.25">
      <c r="B50" s="1271"/>
      <c r="C50" s="1112"/>
      <c r="D50" s="1055"/>
      <c r="E50" s="1000"/>
      <c r="F50" s="880"/>
      <c r="G50" s="880"/>
      <c r="H50" s="880"/>
      <c r="I50" s="882"/>
    </row>
    <row r="51" spans="2:9" outlineLevel="3" x14ac:dyDescent="0.25">
      <c r="B51" s="1271"/>
      <c r="C51" s="1112"/>
      <c r="D51" s="1055"/>
      <c r="E51" s="1000"/>
      <c r="F51" s="880"/>
      <c r="G51" s="880"/>
      <c r="H51" s="880"/>
      <c r="I51" s="882"/>
    </row>
    <row r="52" spans="2:9" outlineLevel="3" x14ac:dyDescent="0.25">
      <c r="B52" s="1271"/>
      <c r="C52" s="1112"/>
      <c r="D52" s="1055"/>
      <c r="E52" s="1000"/>
      <c r="F52" s="880"/>
      <c r="G52" s="880"/>
      <c r="H52" s="880"/>
      <c r="I52" s="882"/>
    </row>
    <row r="53" spans="2:9" outlineLevel="3" x14ac:dyDescent="0.25">
      <c r="B53" s="1271"/>
      <c r="C53" s="1112"/>
      <c r="D53" s="1055"/>
      <c r="E53" s="1000"/>
      <c r="F53" s="880"/>
      <c r="G53" s="880"/>
      <c r="H53" s="880"/>
      <c r="I53" s="882"/>
    </row>
    <row r="54" spans="2:9" outlineLevel="3" x14ac:dyDescent="0.25">
      <c r="B54" s="1271"/>
      <c r="C54" s="1112"/>
      <c r="D54" s="1055"/>
      <c r="E54" s="1000"/>
      <c r="F54" s="880"/>
      <c r="G54" s="880"/>
      <c r="H54" s="880"/>
      <c r="I54" s="882"/>
    </row>
    <row r="55" spans="2:9" outlineLevel="3" x14ac:dyDescent="0.25">
      <c r="B55" s="1271"/>
      <c r="C55" s="1112"/>
      <c r="D55" s="1055"/>
      <c r="E55" s="1000"/>
      <c r="F55" s="880"/>
      <c r="G55" s="880"/>
      <c r="H55" s="880"/>
      <c r="I55" s="882"/>
    </row>
    <row r="56" spans="2:9" outlineLevel="3" x14ac:dyDescent="0.25">
      <c r="B56" s="1271"/>
      <c r="C56" s="1112"/>
      <c r="D56" s="1055"/>
      <c r="E56" s="1000"/>
      <c r="F56" s="880"/>
      <c r="G56" s="880"/>
      <c r="H56" s="880"/>
      <c r="I56" s="882"/>
    </row>
    <row r="57" spans="2:9" outlineLevel="3" x14ac:dyDescent="0.25">
      <c r="B57" s="1271"/>
      <c r="C57" s="1112"/>
      <c r="D57" s="1055"/>
      <c r="E57" s="1000"/>
      <c r="F57" s="880"/>
      <c r="G57" s="880"/>
      <c r="H57" s="880"/>
      <c r="I57" s="882"/>
    </row>
    <row r="58" spans="2:9" outlineLevel="3" x14ac:dyDescent="0.25">
      <c r="B58" s="1271"/>
      <c r="C58" s="1112"/>
      <c r="D58" s="1055"/>
      <c r="E58" s="1000"/>
      <c r="F58" s="880"/>
      <c r="G58" s="880"/>
      <c r="H58" s="880"/>
      <c r="I58" s="882"/>
    </row>
    <row r="59" spans="2:9" outlineLevel="3" x14ac:dyDescent="0.25">
      <c r="B59" s="1271"/>
      <c r="C59" s="1112"/>
      <c r="D59" s="1055"/>
      <c r="E59" s="1000"/>
      <c r="F59" s="880"/>
      <c r="G59" s="880"/>
      <c r="H59" s="880"/>
      <c r="I59" s="882"/>
    </row>
    <row r="60" spans="2:9" outlineLevel="3" x14ac:dyDescent="0.25">
      <c r="B60" s="1271"/>
      <c r="C60" s="1112"/>
      <c r="D60" s="1055"/>
      <c r="E60" s="1000"/>
      <c r="F60" s="880"/>
      <c r="G60" s="880"/>
      <c r="H60" s="880"/>
      <c r="I60" s="882"/>
    </row>
    <row r="61" spans="2:9" outlineLevel="3" x14ac:dyDescent="0.25">
      <c r="B61" s="1271"/>
      <c r="C61" s="1112"/>
      <c r="D61" s="1055"/>
      <c r="E61" s="1000"/>
      <c r="F61" s="880"/>
      <c r="G61" s="880"/>
      <c r="H61" s="880"/>
      <c r="I61" s="882"/>
    </row>
    <row r="62" spans="2:9" outlineLevel="3" x14ac:dyDescent="0.25">
      <c r="B62" s="1271"/>
      <c r="C62" s="1112"/>
      <c r="D62" s="1055"/>
      <c r="E62" s="1000"/>
      <c r="F62" s="880"/>
      <c r="G62" s="880"/>
      <c r="H62" s="880"/>
      <c r="I62" s="882"/>
    </row>
    <row r="63" spans="2:9" outlineLevel="3" x14ac:dyDescent="0.25">
      <c r="B63" s="1271"/>
      <c r="C63" s="1112"/>
      <c r="D63" s="1055"/>
      <c r="E63" s="1000"/>
      <c r="F63" s="880"/>
      <c r="G63" s="880"/>
      <c r="H63" s="880"/>
      <c r="I63" s="882"/>
    </row>
    <row r="64" spans="2:9" outlineLevel="3" x14ac:dyDescent="0.25">
      <c r="B64" s="1271"/>
      <c r="C64" s="1112"/>
      <c r="D64" s="1055"/>
      <c r="E64" s="1000"/>
      <c r="F64" s="880"/>
      <c r="G64" s="880"/>
      <c r="H64" s="880"/>
      <c r="I64" s="882"/>
    </row>
    <row r="65" spans="2:9" outlineLevel="3" x14ac:dyDescent="0.25">
      <c r="B65" s="1271"/>
      <c r="C65" s="1112"/>
      <c r="D65" s="1055"/>
      <c r="E65" s="1000"/>
      <c r="F65" s="880"/>
      <c r="G65" s="880"/>
      <c r="H65" s="880"/>
      <c r="I65" s="882"/>
    </row>
    <row r="66" spans="2:9" outlineLevel="3" x14ac:dyDescent="0.25">
      <c r="B66" s="1271"/>
      <c r="C66" s="1112"/>
      <c r="D66" s="1055"/>
      <c r="E66" s="1000"/>
      <c r="F66" s="880"/>
      <c r="G66" s="880"/>
      <c r="H66" s="880"/>
      <c r="I66" s="882"/>
    </row>
    <row r="67" spans="2:9" outlineLevel="3" x14ac:dyDescent="0.25">
      <c r="B67" s="1271"/>
      <c r="C67" s="1112"/>
      <c r="D67" s="1055"/>
      <c r="E67" s="1000"/>
      <c r="F67" s="880"/>
      <c r="G67" s="880"/>
      <c r="H67" s="880"/>
      <c r="I67" s="882"/>
    </row>
    <row r="68" spans="2:9" outlineLevel="3" x14ac:dyDescent="0.25">
      <c r="B68" s="1271"/>
      <c r="C68" s="1112"/>
      <c r="D68" s="1055"/>
      <c r="E68" s="1000"/>
      <c r="F68" s="880"/>
      <c r="G68" s="880"/>
      <c r="H68" s="880"/>
      <c r="I68" s="882"/>
    </row>
    <row r="69" spans="2:9" outlineLevel="3" x14ac:dyDescent="0.25">
      <c r="B69" s="1271"/>
      <c r="C69" s="1112"/>
      <c r="D69" s="1055"/>
      <c r="E69" s="1000"/>
      <c r="F69" s="880"/>
      <c r="G69" s="880"/>
      <c r="H69" s="880"/>
      <c r="I69" s="882"/>
    </row>
    <row r="70" spans="2:9" outlineLevel="3" x14ac:dyDescent="0.25">
      <c r="B70" s="1271"/>
      <c r="C70" s="1112"/>
      <c r="D70" s="1055"/>
      <c r="E70" s="1000"/>
      <c r="F70" s="880"/>
      <c r="G70" s="880"/>
      <c r="H70" s="880"/>
      <c r="I70" s="882"/>
    </row>
    <row r="71" spans="2:9" outlineLevel="3" x14ac:dyDescent="0.25">
      <c r="B71" s="1271"/>
      <c r="C71" s="1112"/>
      <c r="D71" s="1055"/>
      <c r="E71" s="1000"/>
      <c r="F71" s="880"/>
      <c r="G71" s="880"/>
      <c r="H71" s="880"/>
      <c r="I71" s="882"/>
    </row>
    <row r="72" spans="2:9" outlineLevel="3" x14ac:dyDescent="0.25">
      <c r="B72" s="1271"/>
      <c r="C72" s="1112"/>
      <c r="D72" s="1055"/>
      <c r="E72" s="1000"/>
      <c r="F72" s="880"/>
      <c r="G72" s="880"/>
      <c r="H72" s="880"/>
      <c r="I72" s="882"/>
    </row>
    <row r="73" spans="2:9" outlineLevel="3" x14ac:dyDescent="0.25">
      <c r="B73" s="1271"/>
      <c r="C73" s="1112"/>
      <c r="D73" s="1055"/>
      <c r="E73" s="1000"/>
      <c r="F73" s="880"/>
      <c r="G73" s="880"/>
      <c r="H73" s="880"/>
      <c r="I73" s="882"/>
    </row>
    <row r="74" spans="2:9" outlineLevel="3" x14ac:dyDescent="0.25">
      <c r="B74" s="1271"/>
      <c r="C74" s="1112"/>
      <c r="D74" s="1055"/>
      <c r="E74" s="1000"/>
      <c r="F74" s="880"/>
      <c r="G74" s="880"/>
      <c r="H74" s="880"/>
      <c r="I74" s="882"/>
    </row>
    <row r="75" spans="2:9" outlineLevel="3" x14ac:dyDescent="0.25">
      <c r="B75" s="1271"/>
      <c r="C75" s="1112"/>
      <c r="D75" s="1055"/>
      <c r="E75" s="1000"/>
      <c r="F75" s="880"/>
      <c r="G75" s="880"/>
      <c r="H75" s="880"/>
      <c r="I75" s="882"/>
    </row>
    <row r="76" spans="2:9" outlineLevel="3" x14ac:dyDescent="0.25">
      <c r="B76" s="1271"/>
      <c r="C76" s="1112"/>
      <c r="D76" s="1055"/>
      <c r="E76" s="1000"/>
      <c r="F76" s="880"/>
      <c r="G76" s="880"/>
      <c r="H76" s="880"/>
      <c r="I76" s="882"/>
    </row>
    <row r="77" spans="2:9" outlineLevel="3" x14ac:dyDescent="0.25">
      <c r="B77" s="1271"/>
      <c r="C77" s="1112"/>
      <c r="D77" s="1055"/>
      <c r="E77" s="1000"/>
      <c r="F77" s="880"/>
      <c r="G77" s="880"/>
      <c r="H77" s="880"/>
      <c r="I77" s="882"/>
    </row>
    <row r="78" spans="2:9" outlineLevel="3" x14ac:dyDescent="0.25">
      <c r="B78" s="926"/>
      <c r="C78" s="1112"/>
      <c r="D78" s="1055"/>
      <c r="E78" s="1000"/>
      <c r="F78" s="880"/>
      <c r="G78" s="880"/>
      <c r="H78" s="880"/>
      <c r="I78" s="882"/>
    </row>
    <row r="79" spans="2:9" outlineLevel="3" x14ac:dyDescent="0.25">
      <c r="B79" s="926"/>
      <c r="C79" s="1112"/>
      <c r="D79" s="1055"/>
      <c r="E79" s="1000"/>
      <c r="F79" s="880"/>
      <c r="G79" s="880"/>
      <c r="H79" s="880"/>
      <c r="I79" s="882"/>
    </row>
    <row r="80" spans="2:9" outlineLevel="3" x14ac:dyDescent="0.25">
      <c r="B80" s="926"/>
      <c r="C80" s="1112"/>
      <c r="D80" s="1055"/>
      <c r="E80" s="1000"/>
      <c r="F80" s="880"/>
      <c r="G80" s="880"/>
      <c r="H80" s="880"/>
      <c r="I80" s="882"/>
    </row>
    <row r="81" spans="2:9" outlineLevel="3" x14ac:dyDescent="0.25">
      <c r="B81" s="926"/>
      <c r="C81" s="1112"/>
      <c r="D81" s="1055"/>
      <c r="E81" s="1000"/>
      <c r="F81" s="880"/>
      <c r="G81" s="880"/>
      <c r="H81" s="880"/>
      <c r="I81" s="882"/>
    </row>
    <row r="82" spans="2:9" outlineLevel="3" x14ac:dyDescent="0.25">
      <c r="B82" s="926"/>
      <c r="C82" s="1112"/>
      <c r="D82" s="1055"/>
      <c r="E82" s="1000"/>
      <c r="F82" s="880"/>
      <c r="G82" s="880"/>
      <c r="H82" s="880"/>
      <c r="I82" s="882"/>
    </row>
    <row r="83" spans="2:9" outlineLevel="3" x14ac:dyDescent="0.25">
      <c r="B83" s="926"/>
      <c r="C83" s="1112"/>
      <c r="D83" s="1055"/>
      <c r="E83" s="1000"/>
      <c r="F83" s="880"/>
      <c r="G83" s="880"/>
      <c r="H83" s="880"/>
      <c r="I83" s="882"/>
    </row>
    <row r="84" spans="2:9" outlineLevel="3" x14ac:dyDescent="0.25">
      <c r="B84" s="926"/>
      <c r="C84" s="1112"/>
      <c r="D84" s="1055"/>
      <c r="E84" s="1000"/>
      <c r="F84" s="880"/>
      <c r="G84" s="880"/>
      <c r="H84" s="880"/>
      <c r="I84" s="882"/>
    </row>
    <row r="85" spans="2:9" outlineLevel="3" x14ac:dyDescent="0.25">
      <c r="B85" s="926"/>
      <c r="C85" s="1112"/>
      <c r="D85" s="1055"/>
      <c r="E85" s="1000"/>
      <c r="F85" s="880"/>
      <c r="G85" s="880"/>
      <c r="H85" s="880"/>
      <c r="I85" s="882"/>
    </row>
    <row r="86" spans="2:9" outlineLevel="3" x14ac:dyDescent="0.25">
      <c r="B86" s="926"/>
      <c r="C86" s="1112"/>
      <c r="D86" s="1055"/>
      <c r="E86" s="1000"/>
      <c r="F86" s="880"/>
      <c r="G86" s="880"/>
      <c r="H86" s="880"/>
      <c r="I86" s="882"/>
    </row>
    <row r="87" spans="2:9" outlineLevel="3" x14ac:dyDescent="0.25">
      <c r="B87" s="926"/>
      <c r="C87" s="1112"/>
      <c r="D87" s="1055"/>
      <c r="E87" s="1000"/>
      <c r="F87" s="880"/>
      <c r="G87" s="880"/>
      <c r="H87" s="880"/>
      <c r="I87" s="882"/>
    </row>
    <row r="88" spans="2:9" outlineLevel="3" x14ac:dyDescent="0.25">
      <c r="B88" s="926"/>
      <c r="C88" s="1112"/>
      <c r="D88" s="1055"/>
      <c r="E88" s="1000"/>
      <c r="F88" s="880"/>
      <c r="G88" s="880"/>
      <c r="H88" s="880"/>
      <c r="I88" s="882"/>
    </row>
    <row r="89" spans="2:9" outlineLevel="3" x14ac:dyDescent="0.25">
      <c r="B89" s="926"/>
      <c r="C89" s="1112"/>
      <c r="D89" s="1055"/>
      <c r="E89" s="1000"/>
      <c r="F89" s="880"/>
      <c r="G89" s="880"/>
      <c r="H89" s="880"/>
      <c r="I89" s="882"/>
    </row>
    <row r="90" spans="2:9" outlineLevel="3" x14ac:dyDescent="0.25">
      <c r="B90" s="926"/>
      <c r="C90" s="1112"/>
      <c r="D90" s="1055"/>
      <c r="E90" s="1000"/>
      <c r="F90" s="880"/>
      <c r="G90" s="880"/>
      <c r="H90" s="880"/>
      <c r="I90" s="882"/>
    </row>
    <row r="91" spans="2:9" outlineLevel="3" x14ac:dyDescent="0.25">
      <c r="B91" s="926"/>
      <c r="C91" s="1112"/>
      <c r="D91" s="1055"/>
      <c r="E91" s="1000"/>
      <c r="F91" s="880"/>
      <c r="G91" s="880"/>
      <c r="H91" s="880"/>
      <c r="I91" s="882"/>
    </row>
    <row r="92" spans="2:9" outlineLevel="3" x14ac:dyDescent="0.25">
      <c r="B92" s="926"/>
      <c r="C92" s="1112"/>
      <c r="D92" s="1055"/>
      <c r="E92" s="1000"/>
      <c r="F92" s="880"/>
      <c r="G92" s="880"/>
      <c r="H92" s="880"/>
      <c r="I92" s="882"/>
    </row>
    <row r="93" spans="2:9" outlineLevel="3" x14ac:dyDescent="0.25">
      <c r="B93" s="926"/>
      <c r="C93" s="1112"/>
      <c r="D93" s="1055"/>
      <c r="E93" s="1000"/>
      <c r="F93" s="880"/>
      <c r="G93" s="880"/>
      <c r="H93" s="880"/>
      <c r="I93" s="882"/>
    </row>
    <row r="94" spans="2:9" outlineLevel="3" x14ac:dyDescent="0.25">
      <c r="B94" s="926"/>
      <c r="C94" s="1112"/>
      <c r="D94" s="1055"/>
      <c r="E94" s="1000"/>
      <c r="F94" s="880"/>
      <c r="G94" s="880"/>
      <c r="H94" s="880"/>
      <c r="I94" s="882"/>
    </row>
    <row r="95" spans="2:9" outlineLevel="3" x14ac:dyDescent="0.25">
      <c r="B95" s="926"/>
      <c r="C95" s="1112"/>
      <c r="D95" s="1055"/>
      <c r="E95" s="1000"/>
      <c r="F95" s="880"/>
      <c r="G95" s="880"/>
      <c r="H95" s="880"/>
      <c r="I95" s="882"/>
    </row>
    <row r="96" spans="2:9" ht="15.75" outlineLevel="3" thickBot="1" x14ac:dyDescent="0.3">
      <c r="B96" s="1111"/>
      <c r="C96" s="860"/>
      <c r="D96" s="1054"/>
      <c r="E96" s="1053"/>
      <c r="F96" s="861"/>
      <c r="G96" s="861"/>
      <c r="H96" s="861"/>
      <c r="I96" s="1052"/>
    </row>
    <row r="97" spans="2:9" ht="18.75" customHeight="1" outlineLevel="2" thickBot="1" x14ac:dyDescent="0.3">
      <c r="B97" s="971" t="s">
        <v>1058</v>
      </c>
      <c r="C97" s="1062"/>
      <c r="D97" s="1062"/>
      <c r="E97" s="1062"/>
      <c r="F97" s="1061"/>
      <c r="G97" s="1061"/>
      <c r="H97" s="1063"/>
      <c r="I97" s="1062"/>
    </row>
    <row r="98" spans="2:9" outlineLevel="3" x14ac:dyDescent="0.25">
      <c r="B98" s="898" t="str">
        <f>IF(ISBLANK(B47),"",B47)</f>
        <v/>
      </c>
      <c r="C98" s="927"/>
      <c r="D98" s="1056"/>
      <c r="E98" s="995"/>
      <c r="F98" s="885"/>
      <c r="G98" s="885"/>
      <c r="H98" s="885"/>
      <c r="I98" s="886"/>
    </row>
    <row r="99" spans="2:9" outlineLevel="3" x14ac:dyDescent="0.25">
      <c r="B99" s="898" t="str">
        <f>IF(ISBLANK(B48),"",B48)</f>
        <v/>
      </c>
      <c r="C99" s="1112"/>
      <c r="D99" s="1055"/>
      <c r="E99" s="1000"/>
      <c r="F99" s="880"/>
      <c r="G99" s="880"/>
      <c r="H99" s="880"/>
      <c r="I99" s="882"/>
    </row>
    <row r="100" spans="2:9" outlineLevel="3" x14ac:dyDescent="0.25">
      <c r="B100" s="898" t="str">
        <f t="shared" ref="B100:B147" si="2">IF(ISBLANK(B49),"",B49)</f>
        <v/>
      </c>
      <c r="C100" s="1112"/>
      <c r="D100" s="1055"/>
      <c r="E100" s="1000"/>
      <c r="F100" s="880"/>
      <c r="G100" s="880"/>
      <c r="H100" s="880"/>
      <c r="I100" s="882"/>
    </row>
    <row r="101" spans="2:9" outlineLevel="3" x14ac:dyDescent="0.25">
      <c r="B101" s="898" t="str">
        <f t="shared" si="2"/>
        <v/>
      </c>
      <c r="C101" s="1112"/>
      <c r="D101" s="1055"/>
      <c r="E101" s="1000"/>
      <c r="F101" s="880"/>
      <c r="G101" s="880"/>
      <c r="H101" s="880"/>
      <c r="I101" s="882"/>
    </row>
    <row r="102" spans="2:9" outlineLevel="3" x14ac:dyDescent="0.25">
      <c r="B102" s="898" t="str">
        <f t="shared" si="2"/>
        <v/>
      </c>
      <c r="C102" s="1112"/>
      <c r="D102" s="1055"/>
      <c r="E102" s="1000"/>
      <c r="F102" s="880"/>
      <c r="G102" s="880"/>
      <c r="H102" s="880"/>
      <c r="I102" s="882"/>
    </row>
    <row r="103" spans="2:9" outlineLevel="3" x14ac:dyDescent="0.25">
      <c r="B103" s="898" t="str">
        <f t="shared" si="2"/>
        <v/>
      </c>
      <c r="C103" s="1112"/>
      <c r="D103" s="1055"/>
      <c r="E103" s="1000"/>
      <c r="F103" s="880"/>
      <c r="G103" s="880"/>
      <c r="H103" s="880"/>
      <c r="I103" s="882"/>
    </row>
    <row r="104" spans="2:9" outlineLevel="3" x14ac:dyDescent="0.25">
      <c r="B104" s="898" t="str">
        <f t="shared" si="2"/>
        <v/>
      </c>
      <c r="C104" s="1112"/>
      <c r="D104" s="1055"/>
      <c r="E104" s="1000"/>
      <c r="F104" s="880"/>
      <c r="G104" s="880"/>
      <c r="H104" s="880"/>
      <c r="I104" s="882"/>
    </row>
    <row r="105" spans="2:9" outlineLevel="3" x14ac:dyDescent="0.25">
      <c r="B105" s="898" t="str">
        <f t="shared" si="2"/>
        <v/>
      </c>
      <c r="C105" s="1112"/>
      <c r="D105" s="1055"/>
      <c r="E105" s="1000"/>
      <c r="F105" s="880"/>
      <c r="G105" s="880"/>
      <c r="H105" s="880"/>
      <c r="I105" s="882"/>
    </row>
    <row r="106" spans="2:9" outlineLevel="3" x14ac:dyDescent="0.25">
      <c r="B106" s="898" t="str">
        <f t="shared" si="2"/>
        <v/>
      </c>
      <c r="C106" s="1112"/>
      <c r="D106" s="1055"/>
      <c r="E106" s="1000"/>
      <c r="F106" s="880"/>
      <c r="G106" s="880"/>
      <c r="H106" s="880"/>
      <c r="I106" s="882"/>
    </row>
    <row r="107" spans="2:9" outlineLevel="3" x14ac:dyDescent="0.25">
      <c r="B107" s="898" t="str">
        <f t="shared" si="2"/>
        <v/>
      </c>
      <c r="C107" s="1112"/>
      <c r="D107" s="1055"/>
      <c r="E107" s="1000"/>
      <c r="F107" s="880"/>
      <c r="G107" s="880"/>
      <c r="H107" s="880"/>
      <c r="I107" s="882"/>
    </row>
    <row r="108" spans="2:9" outlineLevel="3" x14ac:dyDescent="0.25">
      <c r="B108" s="898" t="str">
        <f t="shared" si="2"/>
        <v/>
      </c>
      <c r="C108" s="1112"/>
      <c r="D108" s="1055"/>
      <c r="E108" s="1000"/>
      <c r="F108" s="880"/>
      <c r="G108" s="880"/>
      <c r="H108" s="880"/>
      <c r="I108" s="882"/>
    </row>
    <row r="109" spans="2:9" outlineLevel="3" x14ac:dyDescent="0.25">
      <c r="B109" s="898" t="str">
        <f t="shared" si="2"/>
        <v/>
      </c>
      <c r="C109" s="1112"/>
      <c r="D109" s="1055"/>
      <c r="E109" s="1000"/>
      <c r="F109" s="880"/>
      <c r="G109" s="880"/>
      <c r="H109" s="880"/>
      <c r="I109" s="882"/>
    </row>
    <row r="110" spans="2:9" outlineLevel="3" x14ac:dyDescent="0.25">
      <c r="B110" s="898" t="str">
        <f t="shared" si="2"/>
        <v/>
      </c>
      <c r="C110" s="1112"/>
      <c r="D110" s="1055"/>
      <c r="E110" s="1000"/>
      <c r="F110" s="880"/>
      <c r="G110" s="880"/>
      <c r="H110" s="880"/>
      <c r="I110" s="882"/>
    </row>
    <row r="111" spans="2:9" outlineLevel="3" x14ac:dyDescent="0.25">
      <c r="B111" s="898" t="str">
        <f t="shared" si="2"/>
        <v/>
      </c>
      <c r="C111" s="1112"/>
      <c r="D111" s="1055"/>
      <c r="E111" s="1000"/>
      <c r="F111" s="880"/>
      <c r="G111" s="880"/>
      <c r="H111" s="880"/>
      <c r="I111" s="882"/>
    </row>
    <row r="112" spans="2:9" outlineLevel="3" x14ac:dyDescent="0.25">
      <c r="B112" s="898" t="str">
        <f t="shared" si="2"/>
        <v/>
      </c>
      <c r="C112" s="1112"/>
      <c r="D112" s="1055"/>
      <c r="E112" s="1000"/>
      <c r="F112" s="880"/>
      <c r="G112" s="880"/>
      <c r="H112" s="880"/>
      <c r="I112" s="882"/>
    </row>
    <row r="113" spans="2:9" outlineLevel="3" x14ac:dyDescent="0.25">
      <c r="B113" s="898" t="str">
        <f t="shared" si="2"/>
        <v/>
      </c>
      <c r="C113" s="1112"/>
      <c r="D113" s="1055"/>
      <c r="E113" s="1000"/>
      <c r="F113" s="880"/>
      <c r="G113" s="880"/>
      <c r="H113" s="880"/>
      <c r="I113" s="882"/>
    </row>
    <row r="114" spans="2:9" outlineLevel="3" x14ac:dyDescent="0.25">
      <c r="B114" s="898" t="str">
        <f t="shared" si="2"/>
        <v/>
      </c>
      <c r="C114" s="1112"/>
      <c r="D114" s="1055"/>
      <c r="E114" s="1000"/>
      <c r="F114" s="880"/>
      <c r="G114" s="880"/>
      <c r="H114" s="880"/>
      <c r="I114" s="882"/>
    </row>
    <row r="115" spans="2:9" outlineLevel="3" x14ac:dyDescent="0.25">
      <c r="B115" s="898" t="str">
        <f t="shared" si="2"/>
        <v/>
      </c>
      <c r="C115" s="1112"/>
      <c r="D115" s="1055"/>
      <c r="E115" s="1000"/>
      <c r="F115" s="880"/>
      <c r="G115" s="880"/>
      <c r="H115" s="880"/>
      <c r="I115" s="882"/>
    </row>
    <row r="116" spans="2:9" outlineLevel="3" x14ac:dyDescent="0.25">
      <c r="B116" s="898" t="str">
        <f t="shared" si="2"/>
        <v/>
      </c>
      <c r="C116" s="1112"/>
      <c r="D116" s="1055"/>
      <c r="E116" s="1000"/>
      <c r="F116" s="880"/>
      <c r="G116" s="880"/>
      <c r="H116" s="880"/>
      <c r="I116" s="882"/>
    </row>
    <row r="117" spans="2:9" outlineLevel="3" x14ac:dyDescent="0.25">
      <c r="B117" s="898" t="str">
        <f t="shared" si="2"/>
        <v/>
      </c>
      <c r="C117" s="1112"/>
      <c r="D117" s="1055"/>
      <c r="E117" s="1000"/>
      <c r="F117" s="880"/>
      <c r="G117" s="880"/>
      <c r="H117" s="880"/>
      <c r="I117" s="882"/>
    </row>
    <row r="118" spans="2:9" outlineLevel="3" x14ac:dyDescent="0.25">
      <c r="B118" s="898" t="str">
        <f t="shared" si="2"/>
        <v/>
      </c>
      <c r="C118" s="1112"/>
      <c r="D118" s="1055"/>
      <c r="E118" s="1000"/>
      <c r="F118" s="880"/>
      <c r="G118" s="880"/>
      <c r="H118" s="880"/>
      <c r="I118" s="882"/>
    </row>
    <row r="119" spans="2:9" outlineLevel="3" x14ac:dyDescent="0.25">
      <c r="B119" s="898" t="str">
        <f t="shared" si="2"/>
        <v/>
      </c>
      <c r="C119" s="1112"/>
      <c r="D119" s="1055"/>
      <c r="E119" s="1000"/>
      <c r="F119" s="880"/>
      <c r="G119" s="880"/>
      <c r="H119" s="880"/>
      <c r="I119" s="882"/>
    </row>
    <row r="120" spans="2:9" outlineLevel="3" x14ac:dyDescent="0.25">
      <c r="B120" s="898" t="str">
        <f t="shared" si="2"/>
        <v/>
      </c>
      <c r="C120" s="1112"/>
      <c r="D120" s="1055"/>
      <c r="E120" s="1000"/>
      <c r="F120" s="880"/>
      <c r="G120" s="880"/>
      <c r="H120" s="880"/>
      <c r="I120" s="882"/>
    </row>
    <row r="121" spans="2:9" outlineLevel="3" x14ac:dyDescent="0.25">
      <c r="B121" s="898" t="str">
        <f t="shared" si="2"/>
        <v/>
      </c>
      <c r="C121" s="1112"/>
      <c r="D121" s="1055"/>
      <c r="E121" s="1000"/>
      <c r="F121" s="880"/>
      <c r="G121" s="880"/>
      <c r="H121" s="880"/>
      <c r="I121" s="882"/>
    </row>
    <row r="122" spans="2:9" outlineLevel="3" x14ac:dyDescent="0.25">
      <c r="B122" s="898" t="str">
        <f t="shared" si="2"/>
        <v/>
      </c>
      <c r="C122" s="1112"/>
      <c r="D122" s="1055"/>
      <c r="E122" s="1000"/>
      <c r="F122" s="880"/>
      <c r="G122" s="880"/>
      <c r="H122" s="880"/>
      <c r="I122" s="882"/>
    </row>
    <row r="123" spans="2:9" outlineLevel="3" x14ac:dyDescent="0.25">
      <c r="B123" s="898" t="str">
        <f t="shared" si="2"/>
        <v/>
      </c>
      <c r="C123" s="1112"/>
      <c r="D123" s="1055"/>
      <c r="E123" s="1000"/>
      <c r="F123" s="880"/>
      <c r="G123" s="880"/>
      <c r="H123" s="880"/>
      <c r="I123" s="882"/>
    </row>
    <row r="124" spans="2:9" outlineLevel="3" x14ac:dyDescent="0.25">
      <c r="B124" s="898" t="str">
        <f t="shared" si="2"/>
        <v/>
      </c>
      <c r="C124" s="1112"/>
      <c r="D124" s="1055"/>
      <c r="E124" s="1000"/>
      <c r="F124" s="880"/>
      <c r="G124" s="880"/>
      <c r="H124" s="880"/>
      <c r="I124" s="882"/>
    </row>
    <row r="125" spans="2:9" outlineLevel="3" x14ac:dyDescent="0.25">
      <c r="B125" s="898" t="str">
        <f t="shared" si="2"/>
        <v/>
      </c>
      <c r="C125" s="1112"/>
      <c r="D125" s="1055"/>
      <c r="E125" s="1000"/>
      <c r="F125" s="880"/>
      <c r="G125" s="880"/>
      <c r="H125" s="880"/>
      <c r="I125" s="882"/>
    </row>
    <row r="126" spans="2:9" outlineLevel="3" x14ac:dyDescent="0.25">
      <c r="B126" s="898" t="str">
        <f t="shared" si="2"/>
        <v/>
      </c>
      <c r="C126" s="1112"/>
      <c r="D126" s="1055"/>
      <c r="E126" s="1000"/>
      <c r="F126" s="880"/>
      <c r="G126" s="880"/>
      <c r="H126" s="880"/>
      <c r="I126" s="882"/>
    </row>
    <row r="127" spans="2:9" outlineLevel="3" x14ac:dyDescent="0.25">
      <c r="B127" s="898" t="str">
        <f t="shared" si="2"/>
        <v/>
      </c>
      <c r="C127" s="1112"/>
      <c r="D127" s="1055"/>
      <c r="E127" s="1000"/>
      <c r="F127" s="880"/>
      <c r="G127" s="880"/>
      <c r="H127" s="880"/>
      <c r="I127" s="882"/>
    </row>
    <row r="128" spans="2:9" outlineLevel="3" x14ac:dyDescent="0.25">
      <c r="B128" s="898" t="str">
        <f t="shared" si="2"/>
        <v/>
      </c>
      <c r="C128" s="1112"/>
      <c r="D128" s="1055"/>
      <c r="E128" s="1000"/>
      <c r="F128" s="880"/>
      <c r="G128" s="880"/>
      <c r="H128" s="880"/>
      <c r="I128" s="882"/>
    </row>
    <row r="129" spans="2:9" outlineLevel="3" x14ac:dyDescent="0.25">
      <c r="B129" s="898" t="str">
        <f t="shared" si="2"/>
        <v/>
      </c>
      <c r="C129" s="1112"/>
      <c r="D129" s="1055"/>
      <c r="E129" s="1000"/>
      <c r="F129" s="880"/>
      <c r="G129" s="880"/>
      <c r="H129" s="880"/>
      <c r="I129" s="882"/>
    </row>
    <row r="130" spans="2:9" outlineLevel="3" x14ac:dyDescent="0.25">
      <c r="B130" s="898" t="str">
        <f t="shared" si="2"/>
        <v/>
      </c>
      <c r="C130" s="1112"/>
      <c r="D130" s="1055"/>
      <c r="E130" s="1000"/>
      <c r="F130" s="880"/>
      <c r="G130" s="880"/>
      <c r="H130" s="880"/>
      <c r="I130" s="882"/>
    </row>
    <row r="131" spans="2:9" outlineLevel="3" x14ac:dyDescent="0.25">
      <c r="B131" s="898" t="str">
        <f t="shared" si="2"/>
        <v/>
      </c>
      <c r="C131" s="1112"/>
      <c r="D131" s="1055"/>
      <c r="E131" s="1000"/>
      <c r="F131" s="880"/>
      <c r="G131" s="880"/>
      <c r="H131" s="880"/>
      <c r="I131" s="882"/>
    </row>
    <row r="132" spans="2:9" outlineLevel="3" x14ac:dyDescent="0.25">
      <c r="B132" s="898" t="str">
        <f t="shared" si="2"/>
        <v/>
      </c>
      <c r="C132" s="1112"/>
      <c r="D132" s="1055"/>
      <c r="E132" s="1000"/>
      <c r="F132" s="880"/>
      <c r="G132" s="880"/>
      <c r="H132" s="880"/>
      <c r="I132" s="882"/>
    </row>
    <row r="133" spans="2:9" outlineLevel="3" x14ac:dyDescent="0.25">
      <c r="B133" s="898" t="str">
        <f t="shared" si="2"/>
        <v/>
      </c>
      <c r="C133" s="1112"/>
      <c r="D133" s="1055"/>
      <c r="E133" s="1000"/>
      <c r="F133" s="880"/>
      <c r="G133" s="880"/>
      <c r="H133" s="880"/>
      <c r="I133" s="882"/>
    </row>
    <row r="134" spans="2:9" outlineLevel="3" x14ac:dyDescent="0.25">
      <c r="B134" s="898" t="str">
        <f t="shared" si="2"/>
        <v/>
      </c>
      <c r="C134" s="1112"/>
      <c r="D134" s="1055"/>
      <c r="E134" s="1000"/>
      <c r="F134" s="880"/>
      <c r="G134" s="880"/>
      <c r="H134" s="880"/>
      <c r="I134" s="882"/>
    </row>
    <row r="135" spans="2:9" outlineLevel="3" x14ac:dyDescent="0.25">
      <c r="B135" s="898" t="str">
        <f t="shared" si="2"/>
        <v/>
      </c>
      <c r="C135" s="1112"/>
      <c r="D135" s="1055"/>
      <c r="E135" s="1000"/>
      <c r="F135" s="880"/>
      <c r="G135" s="880"/>
      <c r="H135" s="880"/>
      <c r="I135" s="882"/>
    </row>
    <row r="136" spans="2:9" outlineLevel="3" x14ac:dyDescent="0.25">
      <c r="B136" s="898" t="str">
        <f t="shared" si="2"/>
        <v/>
      </c>
      <c r="C136" s="1112"/>
      <c r="D136" s="1055"/>
      <c r="E136" s="1000"/>
      <c r="F136" s="880"/>
      <c r="G136" s="880"/>
      <c r="H136" s="880"/>
      <c r="I136" s="882"/>
    </row>
    <row r="137" spans="2:9" outlineLevel="3" x14ac:dyDescent="0.25">
      <c r="B137" s="898" t="str">
        <f t="shared" si="2"/>
        <v/>
      </c>
      <c r="C137" s="1112"/>
      <c r="D137" s="1055"/>
      <c r="E137" s="1000"/>
      <c r="F137" s="880"/>
      <c r="G137" s="880"/>
      <c r="H137" s="880"/>
      <c r="I137" s="882"/>
    </row>
    <row r="138" spans="2:9" outlineLevel="3" x14ac:dyDescent="0.25">
      <c r="B138" s="898" t="str">
        <f t="shared" si="2"/>
        <v/>
      </c>
      <c r="C138" s="1112"/>
      <c r="D138" s="1055"/>
      <c r="E138" s="1000"/>
      <c r="F138" s="880"/>
      <c r="G138" s="880"/>
      <c r="H138" s="880"/>
      <c r="I138" s="882"/>
    </row>
    <row r="139" spans="2:9" outlineLevel="3" x14ac:dyDescent="0.25">
      <c r="B139" s="898" t="str">
        <f t="shared" si="2"/>
        <v/>
      </c>
      <c r="C139" s="1112"/>
      <c r="D139" s="1055"/>
      <c r="E139" s="1000"/>
      <c r="F139" s="880"/>
      <c r="G139" s="880"/>
      <c r="H139" s="880"/>
      <c r="I139" s="882"/>
    </row>
    <row r="140" spans="2:9" outlineLevel="3" x14ac:dyDescent="0.25">
      <c r="B140" s="898" t="str">
        <f t="shared" si="2"/>
        <v/>
      </c>
      <c r="C140" s="1112"/>
      <c r="D140" s="1055"/>
      <c r="E140" s="1000"/>
      <c r="F140" s="880"/>
      <c r="G140" s="880"/>
      <c r="H140" s="880"/>
      <c r="I140" s="882"/>
    </row>
    <row r="141" spans="2:9" outlineLevel="3" x14ac:dyDescent="0.25">
      <c r="B141" s="898" t="str">
        <f t="shared" si="2"/>
        <v/>
      </c>
      <c r="C141" s="1112"/>
      <c r="D141" s="1055"/>
      <c r="E141" s="1000"/>
      <c r="F141" s="880"/>
      <c r="G141" s="880"/>
      <c r="H141" s="880"/>
      <c r="I141" s="882"/>
    </row>
    <row r="142" spans="2:9" outlineLevel="3" x14ac:dyDescent="0.25">
      <c r="B142" s="898" t="str">
        <f t="shared" si="2"/>
        <v/>
      </c>
      <c r="C142" s="1112"/>
      <c r="D142" s="1055"/>
      <c r="E142" s="1000"/>
      <c r="F142" s="880"/>
      <c r="G142" s="880"/>
      <c r="H142" s="880"/>
      <c r="I142" s="882"/>
    </row>
    <row r="143" spans="2:9" outlineLevel="3" x14ac:dyDescent="0.25">
      <c r="B143" s="898" t="str">
        <f t="shared" si="2"/>
        <v/>
      </c>
      <c r="C143" s="1112"/>
      <c r="D143" s="1055"/>
      <c r="E143" s="1000"/>
      <c r="F143" s="880"/>
      <c r="G143" s="880"/>
      <c r="H143" s="880"/>
      <c r="I143" s="882"/>
    </row>
    <row r="144" spans="2:9" outlineLevel="3" x14ac:dyDescent="0.25">
      <c r="B144" s="898" t="str">
        <f t="shared" si="2"/>
        <v/>
      </c>
      <c r="C144" s="1112"/>
      <c r="D144" s="1055"/>
      <c r="E144" s="1000"/>
      <c r="F144" s="880"/>
      <c r="G144" s="880"/>
      <c r="H144" s="880"/>
      <c r="I144" s="882"/>
    </row>
    <row r="145" spans="2:9" outlineLevel="3" x14ac:dyDescent="0.25">
      <c r="B145" s="898" t="str">
        <f t="shared" si="2"/>
        <v/>
      </c>
      <c r="C145" s="1112"/>
      <c r="D145" s="1055"/>
      <c r="E145" s="1000"/>
      <c r="F145" s="880"/>
      <c r="G145" s="880"/>
      <c r="H145" s="880"/>
      <c r="I145" s="882"/>
    </row>
    <row r="146" spans="2:9" outlineLevel="3" x14ac:dyDescent="0.25">
      <c r="B146" s="898" t="str">
        <f t="shared" si="2"/>
        <v/>
      </c>
      <c r="C146" s="1112"/>
      <c r="D146" s="1055"/>
      <c r="E146" s="1000"/>
      <c r="F146" s="880"/>
      <c r="G146" s="880"/>
      <c r="H146" s="880"/>
      <c r="I146" s="882"/>
    </row>
    <row r="147" spans="2:9" ht="15.75" outlineLevel="3" thickBot="1" x14ac:dyDescent="0.3">
      <c r="B147" s="898" t="str">
        <f t="shared" si="2"/>
        <v/>
      </c>
      <c r="C147" s="860"/>
      <c r="D147" s="1054"/>
      <c r="E147" s="1053"/>
      <c r="F147" s="861"/>
      <c r="G147" s="861"/>
      <c r="H147" s="861"/>
      <c r="I147" s="1052"/>
    </row>
    <row r="148" spans="2:9" ht="18.75" customHeight="1" outlineLevel="2" thickBot="1" x14ac:dyDescent="0.3">
      <c r="B148" s="971" t="s">
        <v>1059</v>
      </c>
      <c r="C148" s="1059"/>
      <c r="D148" s="1059"/>
      <c r="E148" s="1059"/>
      <c r="F148" s="1058"/>
      <c r="G148" s="1058"/>
      <c r="H148" s="1060"/>
      <c r="I148" s="1059"/>
    </row>
    <row r="149" spans="2:9" outlineLevel="3" x14ac:dyDescent="0.25">
      <c r="B149" s="898" t="str">
        <f>IF(ISBLANK(B47),"",B47)</f>
        <v/>
      </c>
      <c r="C149" s="927"/>
      <c r="D149" s="1056"/>
      <c r="E149" s="995"/>
      <c r="F149" s="885"/>
      <c r="G149" s="885"/>
      <c r="H149" s="885"/>
      <c r="I149" s="886"/>
    </row>
    <row r="150" spans="2:9" outlineLevel="3" x14ac:dyDescent="0.25">
      <c r="B150" s="1069" t="str">
        <f>IF(ISBLANK(B48),"",B48)</f>
        <v/>
      </c>
      <c r="C150" s="1112"/>
      <c r="D150" s="1055"/>
      <c r="E150" s="1000"/>
      <c r="F150" s="880"/>
      <c r="G150" s="880"/>
      <c r="H150" s="880"/>
      <c r="I150" s="882"/>
    </row>
    <row r="151" spans="2:9" outlineLevel="3" x14ac:dyDescent="0.25">
      <c r="B151" s="1280" t="str">
        <f t="shared" ref="B151:B198" si="3">IF(ISBLANK(B49),"",B49)</f>
        <v/>
      </c>
      <c r="C151" s="1112"/>
      <c r="D151" s="1055"/>
      <c r="E151" s="1000"/>
      <c r="F151" s="880"/>
      <c r="G151" s="880"/>
      <c r="H151" s="880"/>
      <c r="I151" s="882"/>
    </row>
    <row r="152" spans="2:9" outlineLevel="3" x14ac:dyDescent="0.25">
      <c r="B152" s="1280" t="str">
        <f t="shared" si="3"/>
        <v/>
      </c>
      <c r="C152" s="1112"/>
      <c r="D152" s="1055"/>
      <c r="E152" s="1000"/>
      <c r="F152" s="880"/>
      <c r="G152" s="880"/>
      <c r="H152" s="880"/>
      <c r="I152" s="882"/>
    </row>
    <row r="153" spans="2:9" outlineLevel="3" x14ac:dyDescent="0.25">
      <c r="B153" s="1280" t="str">
        <f t="shared" si="3"/>
        <v/>
      </c>
      <c r="C153" s="1112"/>
      <c r="D153" s="1055"/>
      <c r="E153" s="1000"/>
      <c r="F153" s="880"/>
      <c r="G153" s="880"/>
      <c r="H153" s="880"/>
      <c r="I153" s="882"/>
    </row>
    <row r="154" spans="2:9" outlineLevel="3" x14ac:dyDescent="0.25">
      <c r="B154" s="1280" t="str">
        <f t="shared" si="3"/>
        <v/>
      </c>
      <c r="C154" s="1112"/>
      <c r="D154" s="1055"/>
      <c r="E154" s="1000"/>
      <c r="F154" s="880"/>
      <c r="G154" s="880"/>
      <c r="H154" s="880"/>
      <c r="I154" s="882"/>
    </row>
    <row r="155" spans="2:9" outlineLevel="3" x14ac:dyDescent="0.25">
      <c r="B155" s="1280" t="str">
        <f t="shared" si="3"/>
        <v/>
      </c>
      <c r="C155" s="1112"/>
      <c r="D155" s="1055"/>
      <c r="E155" s="1000"/>
      <c r="F155" s="880"/>
      <c r="G155" s="880"/>
      <c r="H155" s="880"/>
      <c r="I155" s="882"/>
    </row>
    <row r="156" spans="2:9" outlineLevel="3" x14ac:dyDescent="0.25">
      <c r="B156" s="1280" t="str">
        <f t="shared" si="3"/>
        <v/>
      </c>
      <c r="C156" s="1112"/>
      <c r="D156" s="1055"/>
      <c r="E156" s="1000"/>
      <c r="F156" s="880"/>
      <c r="G156" s="880"/>
      <c r="H156" s="880"/>
      <c r="I156" s="882"/>
    </row>
    <row r="157" spans="2:9" outlineLevel="3" x14ac:dyDescent="0.25">
      <c r="B157" s="1280" t="str">
        <f t="shared" si="3"/>
        <v/>
      </c>
      <c r="C157" s="1112"/>
      <c r="D157" s="1055"/>
      <c r="E157" s="1000"/>
      <c r="F157" s="880"/>
      <c r="G157" s="880"/>
      <c r="H157" s="880"/>
      <c r="I157" s="882"/>
    </row>
    <row r="158" spans="2:9" outlineLevel="3" x14ac:dyDescent="0.25">
      <c r="B158" s="1280" t="str">
        <f t="shared" si="3"/>
        <v/>
      </c>
      <c r="C158" s="1112"/>
      <c r="D158" s="1055"/>
      <c r="E158" s="1000"/>
      <c r="F158" s="880"/>
      <c r="G158" s="880"/>
      <c r="H158" s="880"/>
      <c r="I158" s="882"/>
    </row>
    <row r="159" spans="2:9" outlineLevel="3" x14ac:dyDescent="0.25">
      <c r="B159" s="1280" t="str">
        <f t="shared" si="3"/>
        <v/>
      </c>
      <c r="C159" s="1112"/>
      <c r="D159" s="1055"/>
      <c r="E159" s="1000"/>
      <c r="F159" s="880"/>
      <c r="G159" s="880"/>
      <c r="H159" s="880"/>
      <c r="I159" s="882"/>
    </row>
    <row r="160" spans="2:9" outlineLevel="3" x14ac:dyDescent="0.25">
      <c r="B160" s="1280" t="str">
        <f t="shared" si="3"/>
        <v/>
      </c>
      <c r="C160" s="1112"/>
      <c r="D160" s="1055"/>
      <c r="E160" s="1000"/>
      <c r="F160" s="880"/>
      <c r="G160" s="880"/>
      <c r="H160" s="880"/>
      <c r="I160" s="882"/>
    </row>
    <row r="161" spans="2:9" outlineLevel="3" x14ac:dyDescent="0.25">
      <c r="B161" s="1280" t="str">
        <f t="shared" si="3"/>
        <v/>
      </c>
      <c r="C161" s="1112"/>
      <c r="D161" s="1055"/>
      <c r="E161" s="1000"/>
      <c r="F161" s="880"/>
      <c r="G161" s="880"/>
      <c r="H161" s="880"/>
      <c r="I161" s="882"/>
    </row>
    <row r="162" spans="2:9" outlineLevel="3" x14ac:dyDescent="0.25">
      <c r="B162" s="1280" t="str">
        <f t="shared" si="3"/>
        <v/>
      </c>
      <c r="C162" s="1112"/>
      <c r="D162" s="1055"/>
      <c r="E162" s="1000"/>
      <c r="F162" s="880"/>
      <c r="G162" s="880"/>
      <c r="H162" s="880"/>
      <c r="I162" s="882"/>
    </row>
    <row r="163" spans="2:9" outlineLevel="3" x14ac:dyDescent="0.25">
      <c r="B163" s="1280" t="str">
        <f t="shared" si="3"/>
        <v/>
      </c>
      <c r="C163" s="1112"/>
      <c r="D163" s="1055"/>
      <c r="E163" s="1000"/>
      <c r="F163" s="880"/>
      <c r="G163" s="880"/>
      <c r="H163" s="880"/>
      <c r="I163" s="882"/>
    </row>
    <row r="164" spans="2:9" outlineLevel="3" x14ac:dyDescent="0.25">
      <c r="B164" s="1280" t="str">
        <f t="shared" si="3"/>
        <v/>
      </c>
      <c r="C164" s="1112"/>
      <c r="D164" s="1055"/>
      <c r="E164" s="1000"/>
      <c r="F164" s="880"/>
      <c r="G164" s="880"/>
      <c r="H164" s="880"/>
      <c r="I164" s="882"/>
    </row>
    <row r="165" spans="2:9" outlineLevel="3" x14ac:dyDescent="0.25">
      <c r="B165" s="1280" t="str">
        <f t="shared" si="3"/>
        <v/>
      </c>
      <c r="C165" s="1112"/>
      <c r="D165" s="1055"/>
      <c r="E165" s="1000"/>
      <c r="F165" s="880"/>
      <c r="G165" s="880"/>
      <c r="H165" s="880"/>
      <c r="I165" s="882"/>
    </row>
    <row r="166" spans="2:9" outlineLevel="3" x14ac:dyDescent="0.25">
      <c r="B166" s="1280" t="str">
        <f t="shared" si="3"/>
        <v/>
      </c>
      <c r="C166" s="1112"/>
      <c r="D166" s="1055"/>
      <c r="E166" s="1000"/>
      <c r="F166" s="880"/>
      <c r="G166" s="880"/>
      <c r="H166" s="880"/>
      <c r="I166" s="882"/>
    </row>
    <row r="167" spans="2:9" outlineLevel="3" x14ac:dyDescent="0.25">
      <c r="B167" s="1280" t="str">
        <f t="shared" si="3"/>
        <v/>
      </c>
      <c r="C167" s="1112"/>
      <c r="D167" s="1055"/>
      <c r="E167" s="1000"/>
      <c r="F167" s="880"/>
      <c r="G167" s="880"/>
      <c r="H167" s="880"/>
      <c r="I167" s="882"/>
    </row>
    <row r="168" spans="2:9" outlineLevel="3" x14ac:dyDescent="0.25">
      <c r="B168" s="1280" t="str">
        <f t="shared" si="3"/>
        <v/>
      </c>
      <c r="C168" s="1112"/>
      <c r="D168" s="1055"/>
      <c r="E168" s="1000"/>
      <c r="F168" s="880"/>
      <c r="G168" s="880"/>
      <c r="H168" s="880"/>
      <c r="I168" s="882"/>
    </row>
    <row r="169" spans="2:9" outlineLevel="3" x14ac:dyDescent="0.25">
      <c r="B169" s="1280" t="str">
        <f t="shared" si="3"/>
        <v/>
      </c>
      <c r="C169" s="1112"/>
      <c r="D169" s="1055"/>
      <c r="E169" s="1000"/>
      <c r="F169" s="880"/>
      <c r="G169" s="880"/>
      <c r="H169" s="880"/>
      <c r="I169" s="882"/>
    </row>
    <row r="170" spans="2:9" outlineLevel="3" x14ac:dyDescent="0.25">
      <c r="B170" s="1280" t="str">
        <f t="shared" si="3"/>
        <v/>
      </c>
      <c r="C170" s="1112"/>
      <c r="D170" s="1055"/>
      <c r="E170" s="1000"/>
      <c r="F170" s="880"/>
      <c r="G170" s="880"/>
      <c r="H170" s="880"/>
      <c r="I170" s="882"/>
    </row>
    <row r="171" spans="2:9" outlineLevel="3" x14ac:dyDescent="0.25">
      <c r="B171" s="1280" t="str">
        <f t="shared" si="3"/>
        <v/>
      </c>
      <c r="C171" s="1112"/>
      <c r="D171" s="1055"/>
      <c r="E171" s="1000"/>
      <c r="F171" s="880"/>
      <c r="G171" s="880"/>
      <c r="H171" s="880"/>
      <c r="I171" s="882"/>
    </row>
    <row r="172" spans="2:9" outlineLevel="3" x14ac:dyDescent="0.25">
      <c r="B172" s="1280" t="str">
        <f t="shared" si="3"/>
        <v/>
      </c>
      <c r="C172" s="1112"/>
      <c r="D172" s="1055"/>
      <c r="E172" s="1000"/>
      <c r="F172" s="880"/>
      <c r="G172" s="880"/>
      <c r="H172" s="880"/>
      <c r="I172" s="882"/>
    </row>
    <row r="173" spans="2:9" outlineLevel="3" x14ac:dyDescent="0.25">
      <c r="B173" s="1280" t="str">
        <f t="shared" si="3"/>
        <v/>
      </c>
      <c r="C173" s="1112"/>
      <c r="D173" s="1055"/>
      <c r="E173" s="1000"/>
      <c r="F173" s="880"/>
      <c r="G173" s="880"/>
      <c r="H173" s="880"/>
      <c r="I173" s="882"/>
    </row>
    <row r="174" spans="2:9" outlineLevel="3" x14ac:dyDescent="0.25">
      <c r="B174" s="1280" t="str">
        <f t="shared" si="3"/>
        <v/>
      </c>
      <c r="C174" s="1112"/>
      <c r="D174" s="1055"/>
      <c r="E174" s="1000"/>
      <c r="F174" s="880"/>
      <c r="G174" s="880"/>
      <c r="H174" s="880"/>
      <c r="I174" s="882"/>
    </row>
    <row r="175" spans="2:9" outlineLevel="3" x14ac:dyDescent="0.25">
      <c r="B175" s="1280" t="str">
        <f t="shared" si="3"/>
        <v/>
      </c>
      <c r="C175" s="1112"/>
      <c r="D175" s="1055"/>
      <c r="E175" s="1000"/>
      <c r="F175" s="880"/>
      <c r="G175" s="880"/>
      <c r="H175" s="880"/>
      <c r="I175" s="882"/>
    </row>
    <row r="176" spans="2:9" outlineLevel="3" x14ac:dyDescent="0.25">
      <c r="B176" s="1280" t="str">
        <f t="shared" si="3"/>
        <v/>
      </c>
      <c r="C176" s="1112"/>
      <c r="D176" s="1055"/>
      <c r="E176" s="1000"/>
      <c r="F176" s="880"/>
      <c r="G176" s="880"/>
      <c r="H176" s="880"/>
      <c r="I176" s="882"/>
    </row>
    <row r="177" spans="2:9" outlineLevel="3" x14ac:dyDescent="0.25">
      <c r="B177" s="1280" t="str">
        <f t="shared" si="3"/>
        <v/>
      </c>
      <c r="C177" s="1112"/>
      <c r="D177" s="1055"/>
      <c r="E177" s="1000"/>
      <c r="F177" s="880"/>
      <c r="G177" s="880"/>
      <c r="H177" s="880"/>
      <c r="I177" s="882"/>
    </row>
    <row r="178" spans="2:9" outlineLevel="3" x14ac:dyDescent="0.25">
      <c r="B178" s="1280" t="str">
        <f t="shared" si="3"/>
        <v/>
      </c>
      <c r="C178" s="1112"/>
      <c r="D178" s="1055"/>
      <c r="E178" s="1000"/>
      <c r="F178" s="880"/>
      <c r="G178" s="880"/>
      <c r="H178" s="880"/>
      <c r="I178" s="882"/>
    </row>
    <row r="179" spans="2:9" outlineLevel="3" x14ac:dyDescent="0.25">
      <c r="B179" s="1280" t="str">
        <f t="shared" si="3"/>
        <v/>
      </c>
      <c r="C179" s="1112"/>
      <c r="D179" s="1055"/>
      <c r="E179" s="1000"/>
      <c r="F179" s="880"/>
      <c r="G179" s="880"/>
      <c r="H179" s="880"/>
      <c r="I179" s="882"/>
    </row>
    <row r="180" spans="2:9" outlineLevel="3" x14ac:dyDescent="0.25">
      <c r="B180" s="1280" t="str">
        <f t="shared" si="3"/>
        <v/>
      </c>
      <c r="C180" s="1112"/>
      <c r="D180" s="1055"/>
      <c r="E180" s="1000"/>
      <c r="F180" s="880"/>
      <c r="G180" s="880"/>
      <c r="H180" s="880"/>
      <c r="I180" s="882"/>
    </row>
    <row r="181" spans="2:9" outlineLevel="3" x14ac:dyDescent="0.25">
      <c r="B181" s="1280" t="str">
        <f t="shared" si="3"/>
        <v/>
      </c>
      <c r="C181" s="1112"/>
      <c r="D181" s="1055"/>
      <c r="E181" s="1000"/>
      <c r="F181" s="880"/>
      <c r="G181" s="880"/>
      <c r="H181" s="880"/>
      <c r="I181" s="882"/>
    </row>
    <row r="182" spans="2:9" outlineLevel="3" x14ac:dyDescent="0.25">
      <c r="B182" s="1280" t="str">
        <f t="shared" si="3"/>
        <v/>
      </c>
      <c r="C182" s="1112"/>
      <c r="D182" s="1055"/>
      <c r="E182" s="1000"/>
      <c r="F182" s="880"/>
      <c r="G182" s="880"/>
      <c r="H182" s="880"/>
      <c r="I182" s="882"/>
    </row>
    <row r="183" spans="2:9" outlineLevel="3" x14ac:dyDescent="0.25">
      <c r="B183" s="1280" t="str">
        <f t="shared" si="3"/>
        <v/>
      </c>
      <c r="C183" s="1112"/>
      <c r="D183" s="1055"/>
      <c r="E183" s="1000"/>
      <c r="F183" s="880"/>
      <c r="G183" s="880"/>
      <c r="H183" s="880"/>
      <c r="I183" s="882"/>
    </row>
    <row r="184" spans="2:9" outlineLevel="3" x14ac:dyDescent="0.25">
      <c r="B184" s="1280" t="str">
        <f t="shared" si="3"/>
        <v/>
      </c>
      <c r="C184" s="1112"/>
      <c r="D184" s="1055"/>
      <c r="E184" s="1000"/>
      <c r="F184" s="880"/>
      <c r="G184" s="880"/>
      <c r="H184" s="880"/>
      <c r="I184" s="882"/>
    </row>
    <row r="185" spans="2:9" outlineLevel="3" x14ac:dyDescent="0.25">
      <c r="B185" s="1280" t="str">
        <f t="shared" si="3"/>
        <v/>
      </c>
      <c r="C185" s="1112"/>
      <c r="D185" s="1055"/>
      <c r="E185" s="1000"/>
      <c r="F185" s="880"/>
      <c r="G185" s="880"/>
      <c r="H185" s="880"/>
      <c r="I185" s="882"/>
    </row>
    <row r="186" spans="2:9" outlineLevel="3" x14ac:dyDescent="0.25">
      <c r="B186" s="1280" t="str">
        <f t="shared" si="3"/>
        <v/>
      </c>
      <c r="C186" s="1112"/>
      <c r="D186" s="1055"/>
      <c r="E186" s="1000"/>
      <c r="F186" s="880"/>
      <c r="G186" s="880"/>
      <c r="H186" s="880"/>
      <c r="I186" s="882"/>
    </row>
    <row r="187" spans="2:9" outlineLevel="3" x14ac:dyDescent="0.25">
      <c r="B187" s="1280" t="str">
        <f t="shared" si="3"/>
        <v/>
      </c>
      <c r="C187" s="1112"/>
      <c r="D187" s="1055"/>
      <c r="E187" s="1000"/>
      <c r="F187" s="880"/>
      <c r="G187" s="880"/>
      <c r="H187" s="880"/>
      <c r="I187" s="882"/>
    </row>
    <row r="188" spans="2:9" outlineLevel="3" x14ac:dyDescent="0.25">
      <c r="B188" s="1280" t="str">
        <f t="shared" si="3"/>
        <v/>
      </c>
      <c r="C188" s="1112"/>
      <c r="D188" s="1055"/>
      <c r="E188" s="1000"/>
      <c r="F188" s="880"/>
      <c r="G188" s="880"/>
      <c r="H188" s="880"/>
      <c r="I188" s="882"/>
    </row>
    <row r="189" spans="2:9" outlineLevel="3" x14ac:dyDescent="0.25">
      <c r="B189" s="1280" t="str">
        <f t="shared" si="3"/>
        <v/>
      </c>
      <c r="C189" s="1112"/>
      <c r="D189" s="1055"/>
      <c r="E189" s="1000"/>
      <c r="F189" s="880"/>
      <c r="G189" s="880"/>
      <c r="H189" s="880"/>
      <c r="I189" s="882"/>
    </row>
    <row r="190" spans="2:9" outlineLevel="3" x14ac:dyDescent="0.25">
      <c r="B190" s="1280" t="str">
        <f t="shared" si="3"/>
        <v/>
      </c>
      <c r="C190" s="1112"/>
      <c r="D190" s="1055"/>
      <c r="E190" s="1000"/>
      <c r="F190" s="880"/>
      <c r="G190" s="880"/>
      <c r="H190" s="880"/>
      <c r="I190" s="882"/>
    </row>
    <row r="191" spans="2:9" outlineLevel="3" x14ac:dyDescent="0.25">
      <c r="B191" s="1280" t="str">
        <f t="shared" si="3"/>
        <v/>
      </c>
      <c r="C191" s="1112"/>
      <c r="D191" s="1055"/>
      <c r="E191" s="1000"/>
      <c r="F191" s="880"/>
      <c r="G191" s="880"/>
      <c r="H191" s="880"/>
      <c r="I191" s="882"/>
    </row>
    <row r="192" spans="2:9" outlineLevel="3" x14ac:dyDescent="0.25">
      <c r="B192" s="1280" t="str">
        <f t="shared" si="3"/>
        <v/>
      </c>
      <c r="C192" s="1112"/>
      <c r="D192" s="1055"/>
      <c r="E192" s="1000"/>
      <c r="F192" s="880"/>
      <c r="G192" s="880"/>
      <c r="H192" s="880"/>
      <c r="I192" s="882"/>
    </row>
    <row r="193" spans="1:17" outlineLevel="3" x14ac:dyDescent="0.25">
      <c r="B193" s="1280" t="str">
        <f t="shared" si="3"/>
        <v/>
      </c>
      <c r="C193" s="1112"/>
      <c r="D193" s="1055"/>
      <c r="E193" s="1000"/>
      <c r="F193" s="880"/>
      <c r="G193" s="880"/>
      <c r="H193" s="880"/>
      <c r="I193" s="882"/>
    </row>
    <row r="194" spans="1:17" outlineLevel="3" x14ac:dyDescent="0.25">
      <c r="B194" s="1280" t="str">
        <f t="shared" si="3"/>
        <v/>
      </c>
      <c r="C194" s="1112"/>
      <c r="D194" s="1055"/>
      <c r="E194" s="1000"/>
      <c r="F194" s="880"/>
      <c r="G194" s="880"/>
      <c r="H194" s="880"/>
      <c r="I194" s="882"/>
    </row>
    <row r="195" spans="1:17" outlineLevel="3" x14ac:dyDescent="0.25">
      <c r="B195" s="1280" t="str">
        <f t="shared" si="3"/>
        <v/>
      </c>
      <c r="C195" s="1112"/>
      <c r="D195" s="1055"/>
      <c r="E195" s="1000"/>
      <c r="F195" s="880"/>
      <c r="G195" s="880"/>
      <c r="H195" s="880"/>
      <c r="I195" s="882"/>
    </row>
    <row r="196" spans="1:17" outlineLevel="3" x14ac:dyDescent="0.25">
      <c r="B196" s="1280" t="str">
        <f t="shared" si="3"/>
        <v/>
      </c>
      <c r="C196" s="1112"/>
      <c r="D196" s="1055"/>
      <c r="E196" s="1000"/>
      <c r="F196" s="880"/>
      <c r="G196" s="880"/>
      <c r="H196" s="880"/>
      <c r="I196" s="882"/>
    </row>
    <row r="197" spans="1:17" outlineLevel="3" x14ac:dyDescent="0.25">
      <c r="B197" s="1280" t="str">
        <f t="shared" si="3"/>
        <v/>
      </c>
      <c r="C197" s="1112"/>
      <c r="D197" s="1055"/>
      <c r="E197" s="1000"/>
      <c r="F197" s="880"/>
      <c r="G197" s="880"/>
      <c r="H197" s="880"/>
      <c r="I197" s="882"/>
    </row>
    <row r="198" spans="1:17" ht="15.75" outlineLevel="3" thickBot="1" x14ac:dyDescent="0.3">
      <c r="B198" s="1281" t="str">
        <f t="shared" si="3"/>
        <v/>
      </c>
      <c r="C198" s="860"/>
      <c r="D198" s="1054"/>
      <c r="E198" s="1053"/>
      <c r="F198" s="861"/>
      <c r="G198" s="861"/>
      <c r="H198" s="861"/>
      <c r="I198" s="1052"/>
    </row>
    <row r="199" spans="1:17" outlineLevel="2" x14ac:dyDescent="0.25"/>
    <row r="200" spans="1:17" ht="15.75" outlineLevel="1" thickBot="1" x14ac:dyDescent="0.3"/>
    <row r="201" spans="1:17" ht="25.5" customHeight="1" outlineLevel="1" thickBot="1" x14ac:dyDescent="0.3">
      <c r="B201" s="998" t="s">
        <v>1025</v>
      </c>
      <c r="C201" s="899"/>
      <c r="D201" s="899"/>
      <c r="E201" s="899"/>
      <c r="F201" s="899"/>
      <c r="G201" s="899"/>
      <c r="H201" s="899"/>
      <c r="I201" s="899"/>
    </row>
    <row r="202" spans="1:17" s="42" customFormat="1" ht="27.95" customHeight="1" outlineLevel="2" x14ac:dyDescent="0.25">
      <c r="A202"/>
      <c r="B202"/>
      <c r="C202" s="1516" t="s">
        <v>951</v>
      </c>
      <c r="D202" s="1517"/>
      <c r="E202" s="1518"/>
      <c r="F202" s="1518"/>
      <c r="G202" s="1518"/>
      <c r="H202" s="1518"/>
      <c r="I202" s="1518"/>
      <c r="J202"/>
      <c r="K202"/>
      <c r="L202"/>
      <c r="M202"/>
      <c r="N202"/>
      <c r="O202"/>
      <c r="P202"/>
      <c r="Q202"/>
    </row>
    <row r="203" spans="1:17" s="42" customFormat="1" outlineLevel="2" x14ac:dyDescent="0.25">
      <c r="A203"/>
      <c r="B203" s="1057"/>
      <c r="C203" s="1513" t="s">
        <v>1081</v>
      </c>
      <c r="D203" s="1514"/>
      <c r="E203" s="1515"/>
      <c r="F203" s="1515"/>
      <c r="G203" s="1515"/>
      <c r="H203" s="1515"/>
      <c r="I203" s="1515"/>
      <c r="J203"/>
      <c r="K203"/>
      <c r="L203"/>
      <c r="M203"/>
      <c r="N203"/>
      <c r="O203"/>
      <c r="P203"/>
    </row>
    <row r="204" spans="1:17" ht="18.75" customHeight="1" outlineLevel="2" thickBot="1" x14ac:dyDescent="0.3">
      <c r="B204" s="1276" t="s">
        <v>1016</v>
      </c>
      <c r="C204" s="1113" t="str">
        <f ca="1">CRCP_y4</f>
        <v>2025-26</v>
      </c>
      <c r="D204" s="1114" t="str">
        <f ca="1">CRCP_y5</f>
        <v>2026-27</v>
      </c>
      <c r="E204" s="1115" t="str">
        <f>FRCP_y1</f>
        <v>2027-28</v>
      </c>
      <c r="F204" s="1115" t="str">
        <f ca="1">FRCP_y2</f>
        <v>2028-29</v>
      </c>
      <c r="G204" s="1115" t="str">
        <f ca="1">FRCP_y3</f>
        <v>2029-30</v>
      </c>
      <c r="H204" s="1115" t="str">
        <f ca="1">FRCP_y4</f>
        <v>2030-31</v>
      </c>
      <c r="I204" s="1116" t="str">
        <f ca="1">FRCP_y5</f>
        <v>2031-32</v>
      </c>
    </row>
    <row r="205" spans="1:17" outlineLevel="3" x14ac:dyDescent="0.25">
      <c r="B205" s="1277" t="str">
        <f t="shared" ref="B205:B210" si="4">IF(ISBLANK(B47),"",B47)</f>
        <v/>
      </c>
      <c r="C205" s="995"/>
      <c r="D205" s="1056"/>
      <c r="E205" s="995"/>
      <c r="F205" s="885"/>
      <c r="G205" s="885"/>
      <c r="H205" s="885"/>
      <c r="I205" s="886"/>
    </row>
    <row r="206" spans="1:17" outlineLevel="3" x14ac:dyDescent="0.25">
      <c r="B206" s="1278" t="str">
        <f t="shared" si="4"/>
        <v/>
      </c>
      <c r="C206" s="1000"/>
      <c r="D206" s="1055"/>
      <c r="E206" s="1000"/>
      <c r="F206" s="880"/>
      <c r="G206" s="880"/>
      <c r="H206" s="880"/>
      <c r="I206" s="882"/>
    </row>
    <row r="207" spans="1:17" outlineLevel="3" x14ac:dyDescent="0.25">
      <c r="B207" s="1278" t="str">
        <f t="shared" si="4"/>
        <v/>
      </c>
      <c r="C207" s="1000"/>
      <c r="D207" s="1055"/>
      <c r="E207" s="1000"/>
      <c r="F207" s="880"/>
      <c r="G207" s="880"/>
      <c r="H207" s="880"/>
      <c r="I207" s="882"/>
    </row>
    <row r="208" spans="1:17" outlineLevel="3" x14ac:dyDescent="0.25">
      <c r="B208" s="1278" t="str">
        <f t="shared" si="4"/>
        <v/>
      </c>
      <c r="C208" s="1000"/>
      <c r="D208" s="1055"/>
      <c r="E208" s="1000"/>
      <c r="F208" s="880"/>
      <c r="G208" s="880"/>
      <c r="H208" s="880"/>
      <c r="I208" s="882"/>
    </row>
    <row r="209" spans="2:9" outlineLevel="3" x14ac:dyDescent="0.25">
      <c r="B209" s="1278" t="str">
        <f t="shared" si="4"/>
        <v/>
      </c>
      <c r="C209" s="1000"/>
      <c r="D209" s="1055"/>
      <c r="E209" s="1000"/>
      <c r="F209" s="880"/>
      <c r="G209" s="880"/>
      <c r="H209" s="880"/>
      <c r="I209" s="882"/>
    </row>
    <row r="210" spans="2:9" outlineLevel="3" x14ac:dyDescent="0.25">
      <c r="B210" s="1278" t="str">
        <f t="shared" si="4"/>
        <v/>
      </c>
      <c r="C210" s="1000"/>
      <c r="D210" s="1055"/>
      <c r="E210" s="1000"/>
      <c r="F210" s="880"/>
      <c r="G210" s="880"/>
      <c r="H210" s="880"/>
      <c r="I210" s="882"/>
    </row>
    <row r="211" spans="2:9" outlineLevel="3" x14ac:dyDescent="0.25">
      <c r="B211" s="1278" t="str">
        <f t="shared" ref="B211:B225" si="5">IF(ISBLANK(B53),"",B53)</f>
        <v/>
      </c>
      <c r="C211" s="1000"/>
      <c r="D211" s="1055"/>
      <c r="E211" s="1000"/>
      <c r="F211" s="880"/>
      <c r="G211" s="880"/>
      <c r="H211" s="880"/>
      <c r="I211" s="882"/>
    </row>
    <row r="212" spans="2:9" outlineLevel="3" x14ac:dyDescent="0.25">
      <c r="B212" s="1278" t="str">
        <f t="shared" si="5"/>
        <v/>
      </c>
      <c r="C212" s="1000"/>
      <c r="D212" s="1055"/>
      <c r="E212" s="1000"/>
      <c r="F212" s="880"/>
      <c r="G212" s="880"/>
      <c r="H212" s="880"/>
      <c r="I212" s="882"/>
    </row>
    <row r="213" spans="2:9" outlineLevel="3" x14ac:dyDescent="0.25">
      <c r="B213" s="1278" t="str">
        <f t="shared" si="5"/>
        <v/>
      </c>
      <c r="C213" s="1000"/>
      <c r="D213" s="1055"/>
      <c r="E213" s="1000"/>
      <c r="F213" s="880"/>
      <c r="G213" s="880"/>
      <c r="H213" s="880"/>
      <c r="I213" s="882"/>
    </row>
    <row r="214" spans="2:9" outlineLevel="3" x14ac:dyDescent="0.25">
      <c r="B214" s="1278" t="str">
        <f t="shared" si="5"/>
        <v/>
      </c>
      <c r="C214" s="1000"/>
      <c r="D214" s="1055"/>
      <c r="E214" s="1000"/>
      <c r="F214" s="880"/>
      <c r="G214" s="880"/>
      <c r="H214" s="880"/>
      <c r="I214" s="882"/>
    </row>
    <row r="215" spans="2:9" outlineLevel="3" x14ac:dyDescent="0.25">
      <c r="B215" s="1278" t="str">
        <f t="shared" si="5"/>
        <v/>
      </c>
      <c r="C215" s="1000"/>
      <c r="D215" s="1055"/>
      <c r="E215" s="1000"/>
      <c r="F215" s="880"/>
      <c r="G215" s="880"/>
      <c r="H215" s="880"/>
      <c r="I215" s="882"/>
    </row>
    <row r="216" spans="2:9" outlineLevel="3" x14ac:dyDescent="0.25">
      <c r="B216" s="1278" t="str">
        <f t="shared" si="5"/>
        <v/>
      </c>
      <c r="C216" s="1000"/>
      <c r="D216" s="1055"/>
      <c r="E216" s="1000"/>
      <c r="F216" s="880"/>
      <c r="G216" s="880"/>
      <c r="H216" s="880"/>
      <c r="I216" s="882"/>
    </row>
    <row r="217" spans="2:9" outlineLevel="3" x14ac:dyDescent="0.25">
      <c r="B217" s="1278" t="str">
        <f t="shared" si="5"/>
        <v/>
      </c>
      <c r="C217" s="1000"/>
      <c r="D217" s="1055"/>
      <c r="E217" s="1000"/>
      <c r="F217" s="880"/>
      <c r="G217" s="880"/>
      <c r="H217" s="880"/>
      <c r="I217" s="882"/>
    </row>
    <row r="218" spans="2:9" outlineLevel="3" x14ac:dyDescent="0.25">
      <c r="B218" s="1278" t="str">
        <f t="shared" si="5"/>
        <v/>
      </c>
      <c r="C218" s="1000"/>
      <c r="D218" s="1055"/>
      <c r="E218" s="1000"/>
      <c r="F218" s="880"/>
      <c r="G218" s="880"/>
      <c r="H218" s="880"/>
      <c r="I218" s="882"/>
    </row>
    <row r="219" spans="2:9" outlineLevel="3" x14ac:dyDescent="0.25">
      <c r="B219" s="1278" t="str">
        <f t="shared" si="5"/>
        <v/>
      </c>
      <c r="C219" s="1000"/>
      <c r="D219" s="1055"/>
      <c r="E219" s="1000"/>
      <c r="F219" s="880"/>
      <c r="G219" s="880"/>
      <c r="H219" s="880"/>
      <c r="I219" s="882"/>
    </row>
    <row r="220" spans="2:9" outlineLevel="3" x14ac:dyDescent="0.25">
      <c r="B220" s="1278" t="str">
        <f t="shared" si="5"/>
        <v/>
      </c>
      <c r="C220" s="1000"/>
      <c r="D220" s="1055"/>
      <c r="E220" s="1000"/>
      <c r="F220" s="880"/>
      <c r="G220" s="880"/>
      <c r="H220" s="880"/>
      <c r="I220" s="882"/>
    </row>
    <row r="221" spans="2:9" outlineLevel="3" x14ac:dyDescent="0.25">
      <c r="B221" s="1278" t="str">
        <f t="shared" si="5"/>
        <v/>
      </c>
      <c r="C221" s="1000"/>
      <c r="D221" s="1055"/>
      <c r="E221" s="1000"/>
      <c r="F221" s="880"/>
      <c r="G221" s="880"/>
      <c r="H221" s="880"/>
      <c r="I221" s="882"/>
    </row>
    <row r="222" spans="2:9" outlineLevel="3" x14ac:dyDescent="0.25">
      <c r="B222" s="1278" t="str">
        <f t="shared" si="5"/>
        <v/>
      </c>
      <c r="C222" s="1000"/>
      <c r="D222" s="1055"/>
      <c r="E222" s="1000"/>
      <c r="F222" s="880"/>
      <c r="G222" s="880"/>
      <c r="H222" s="880"/>
      <c r="I222" s="882"/>
    </row>
    <row r="223" spans="2:9" outlineLevel="3" x14ac:dyDescent="0.25">
      <c r="B223" s="1278" t="str">
        <f t="shared" si="5"/>
        <v/>
      </c>
      <c r="C223" s="1000"/>
      <c r="D223" s="1055"/>
      <c r="E223" s="1000"/>
      <c r="F223" s="880"/>
      <c r="G223" s="880"/>
      <c r="H223" s="880"/>
      <c r="I223" s="882"/>
    </row>
    <row r="224" spans="2:9" outlineLevel="3" x14ac:dyDescent="0.25">
      <c r="B224" s="1278" t="str">
        <f t="shared" si="5"/>
        <v/>
      </c>
      <c r="C224" s="1000"/>
      <c r="D224" s="1055"/>
      <c r="E224" s="1000"/>
      <c r="F224" s="880"/>
      <c r="G224" s="880"/>
      <c r="H224" s="880"/>
      <c r="I224" s="882"/>
    </row>
    <row r="225" spans="2:9" outlineLevel="3" x14ac:dyDescent="0.25">
      <c r="B225" s="1278" t="str">
        <f t="shared" si="5"/>
        <v/>
      </c>
      <c r="C225" s="1000"/>
      <c r="D225" s="1055"/>
      <c r="E225" s="1000"/>
      <c r="F225" s="880"/>
      <c r="G225" s="880"/>
      <c r="H225" s="880"/>
      <c r="I225" s="882"/>
    </row>
    <row r="226" spans="2:9" outlineLevel="3" x14ac:dyDescent="0.25">
      <c r="B226" s="1278" t="str">
        <f t="shared" ref="B226:B254" si="6">IF(ISBLANK(B68),"",B68)</f>
        <v/>
      </c>
      <c r="C226" s="1000"/>
      <c r="D226" s="1055"/>
      <c r="E226" s="1000"/>
      <c r="F226" s="880"/>
      <c r="G226" s="880"/>
      <c r="H226" s="880"/>
      <c r="I226" s="882"/>
    </row>
    <row r="227" spans="2:9" outlineLevel="3" x14ac:dyDescent="0.25">
      <c r="B227" s="1278" t="str">
        <f t="shared" si="6"/>
        <v/>
      </c>
      <c r="C227" s="1000"/>
      <c r="D227" s="1055"/>
      <c r="E227" s="1000"/>
      <c r="F227" s="880"/>
      <c r="G227" s="880"/>
      <c r="H227" s="880"/>
      <c r="I227" s="882"/>
    </row>
    <row r="228" spans="2:9" outlineLevel="3" x14ac:dyDescent="0.25">
      <c r="B228" s="1278" t="str">
        <f t="shared" si="6"/>
        <v/>
      </c>
      <c r="C228" s="1000"/>
      <c r="D228" s="1055"/>
      <c r="E228" s="1000"/>
      <c r="F228" s="880"/>
      <c r="G228" s="880"/>
      <c r="H228" s="880"/>
      <c r="I228" s="882"/>
    </row>
    <row r="229" spans="2:9" outlineLevel="3" x14ac:dyDescent="0.25">
      <c r="B229" s="1278" t="str">
        <f t="shared" si="6"/>
        <v/>
      </c>
      <c r="C229" s="1000"/>
      <c r="D229" s="1055"/>
      <c r="E229" s="1000"/>
      <c r="F229" s="880"/>
      <c r="G229" s="880"/>
      <c r="H229" s="880"/>
      <c r="I229" s="882"/>
    </row>
    <row r="230" spans="2:9" outlineLevel="3" x14ac:dyDescent="0.25">
      <c r="B230" s="1278" t="str">
        <f t="shared" si="6"/>
        <v/>
      </c>
      <c r="C230" s="1000"/>
      <c r="D230" s="1055"/>
      <c r="E230" s="1000"/>
      <c r="F230" s="880"/>
      <c r="G230" s="880"/>
      <c r="H230" s="880"/>
      <c r="I230" s="882"/>
    </row>
    <row r="231" spans="2:9" outlineLevel="3" x14ac:dyDescent="0.25">
      <c r="B231" s="1278" t="str">
        <f t="shared" si="6"/>
        <v/>
      </c>
      <c r="C231" s="1000"/>
      <c r="D231" s="1055"/>
      <c r="E231" s="1000"/>
      <c r="F231" s="880"/>
      <c r="G231" s="880"/>
      <c r="H231" s="880"/>
      <c r="I231" s="882"/>
    </row>
    <row r="232" spans="2:9" outlineLevel="3" x14ac:dyDescent="0.25">
      <c r="B232" s="1278" t="str">
        <f t="shared" si="6"/>
        <v/>
      </c>
      <c r="C232" s="1000"/>
      <c r="D232" s="1055"/>
      <c r="E232" s="1000"/>
      <c r="F232" s="880"/>
      <c r="G232" s="880"/>
      <c r="H232" s="880"/>
      <c r="I232" s="882"/>
    </row>
    <row r="233" spans="2:9" outlineLevel="3" x14ac:dyDescent="0.25">
      <c r="B233" s="1278" t="str">
        <f t="shared" si="6"/>
        <v/>
      </c>
      <c r="C233" s="1000"/>
      <c r="D233" s="1055"/>
      <c r="E233" s="1000"/>
      <c r="F233" s="880"/>
      <c r="G233" s="880"/>
      <c r="H233" s="880"/>
      <c r="I233" s="882"/>
    </row>
    <row r="234" spans="2:9" outlineLevel="3" x14ac:dyDescent="0.25">
      <c r="B234" s="1278" t="str">
        <f t="shared" si="6"/>
        <v/>
      </c>
      <c r="C234" s="1000"/>
      <c r="D234" s="1055"/>
      <c r="E234" s="1000"/>
      <c r="F234" s="880"/>
      <c r="G234" s="880"/>
      <c r="H234" s="880"/>
      <c r="I234" s="882"/>
    </row>
    <row r="235" spans="2:9" outlineLevel="3" x14ac:dyDescent="0.25">
      <c r="B235" s="1278" t="str">
        <f t="shared" si="6"/>
        <v/>
      </c>
      <c r="C235" s="1000"/>
      <c r="D235" s="1055"/>
      <c r="E235" s="1000"/>
      <c r="F235" s="880"/>
      <c r="G235" s="880"/>
      <c r="H235" s="880"/>
      <c r="I235" s="882"/>
    </row>
    <row r="236" spans="2:9" outlineLevel="3" x14ac:dyDescent="0.25">
      <c r="B236" s="1278" t="str">
        <f t="shared" si="6"/>
        <v/>
      </c>
      <c r="C236" s="1000"/>
      <c r="D236" s="1055"/>
      <c r="E236" s="1000"/>
      <c r="F236" s="880"/>
      <c r="G236" s="880"/>
      <c r="H236" s="880"/>
      <c r="I236" s="882"/>
    </row>
    <row r="237" spans="2:9" outlineLevel="3" x14ac:dyDescent="0.25">
      <c r="B237" s="1278" t="str">
        <f t="shared" si="6"/>
        <v/>
      </c>
      <c r="C237" s="1000"/>
      <c r="D237" s="1055"/>
      <c r="E237" s="1000"/>
      <c r="F237" s="880"/>
      <c r="G237" s="880"/>
      <c r="H237" s="880"/>
      <c r="I237" s="882"/>
    </row>
    <row r="238" spans="2:9" outlineLevel="3" x14ac:dyDescent="0.25">
      <c r="B238" s="1278" t="str">
        <f t="shared" si="6"/>
        <v/>
      </c>
      <c r="C238" s="1000"/>
      <c r="D238" s="1055"/>
      <c r="E238" s="1000"/>
      <c r="F238" s="880"/>
      <c r="G238" s="880"/>
      <c r="H238" s="880"/>
      <c r="I238" s="882"/>
    </row>
    <row r="239" spans="2:9" outlineLevel="3" x14ac:dyDescent="0.25">
      <c r="B239" s="1278" t="str">
        <f t="shared" si="6"/>
        <v/>
      </c>
      <c r="C239" s="1000"/>
      <c r="D239" s="1055"/>
      <c r="E239" s="1000"/>
      <c r="F239" s="880"/>
      <c r="G239" s="880"/>
      <c r="H239" s="880"/>
      <c r="I239" s="882"/>
    </row>
    <row r="240" spans="2:9" outlineLevel="3" x14ac:dyDescent="0.25">
      <c r="B240" s="1278" t="str">
        <f t="shared" si="6"/>
        <v/>
      </c>
      <c r="C240" s="1000"/>
      <c r="D240" s="1055"/>
      <c r="E240" s="1000"/>
      <c r="F240" s="880"/>
      <c r="G240" s="880"/>
      <c r="H240" s="880"/>
      <c r="I240" s="882"/>
    </row>
    <row r="241" spans="2:9" outlineLevel="3" x14ac:dyDescent="0.25">
      <c r="B241" s="1278" t="str">
        <f t="shared" si="6"/>
        <v/>
      </c>
      <c r="C241" s="1000"/>
      <c r="D241" s="1055"/>
      <c r="E241" s="1000"/>
      <c r="F241" s="880"/>
      <c r="G241" s="880"/>
      <c r="H241" s="880"/>
      <c r="I241" s="882"/>
    </row>
    <row r="242" spans="2:9" outlineLevel="3" x14ac:dyDescent="0.25">
      <c r="B242" s="1278" t="str">
        <f t="shared" si="6"/>
        <v/>
      </c>
      <c r="C242" s="1000"/>
      <c r="D242" s="1055"/>
      <c r="E242" s="1000"/>
      <c r="F242" s="880"/>
      <c r="G242" s="880"/>
      <c r="H242" s="880"/>
      <c r="I242" s="882"/>
    </row>
    <row r="243" spans="2:9" outlineLevel="3" x14ac:dyDescent="0.25">
      <c r="B243" s="1278" t="str">
        <f t="shared" si="6"/>
        <v/>
      </c>
      <c r="C243" s="1000"/>
      <c r="D243" s="1055"/>
      <c r="E243" s="1000"/>
      <c r="F243" s="880"/>
      <c r="G243" s="880"/>
      <c r="H243" s="880"/>
      <c r="I243" s="882"/>
    </row>
    <row r="244" spans="2:9" outlineLevel="3" x14ac:dyDescent="0.25">
      <c r="B244" s="1278" t="str">
        <f t="shared" si="6"/>
        <v/>
      </c>
      <c r="C244" s="1000"/>
      <c r="D244" s="1055"/>
      <c r="E244" s="1000"/>
      <c r="F244" s="880"/>
      <c r="G244" s="880"/>
      <c r="H244" s="880"/>
      <c r="I244" s="882"/>
    </row>
    <row r="245" spans="2:9" outlineLevel="3" x14ac:dyDescent="0.25">
      <c r="B245" s="1278" t="str">
        <f t="shared" si="6"/>
        <v/>
      </c>
      <c r="C245" s="1000"/>
      <c r="D245" s="1055"/>
      <c r="E245" s="1000"/>
      <c r="F245" s="880"/>
      <c r="G245" s="880"/>
      <c r="H245" s="880"/>
      <c r="I245" s="882"/>
    </row>
    <row r="246" spans="2:9" outlineLevel="3" x14ac:dyDescent="0.25">
      <c r="B246" s="1278" t="str">
        <f t="shared" si="6"/>
        <v/>
      </c>
      <c r="C246" s="1000"/>
      <c r="D246" s="1055"/>
      <c r="E246" s="1000"/>
      <c r="F246" s="880"/>
      <c r="G246" s="880"/>
      <c r="H246" s="880"/>
      <c r="I246" s="882"/>
    </row>
    <row r="247" spans="2:9" outlineLevel="3" x14ac:dyDescent="0.25">
      <c r="B247" s="1278" t="str">
        <f t="shared" si="6"/>
        <v/>
      </c>
      <c r="C247" s="1000"/>
      <c r="D247" s="1055"/>
      <c r="E247" s="1000"/>
      <c r="F247" s="880"/>
      <c r="G247" s="880"/>
      <c r="H247" s="880"/>
      <c r="I247" s="882"/>
    </row>
    <row r="248" spans="2:9" outlineLevel="3" x14ac:dyDescent="0.25">
      <c r="B248" s="1278" t="str">
        <f t="shared" si="6"/>
        <v/>
      </c>
      <c r="C248" s="1000"/>
      <c r="D248" s="1055"/>
      <c r="E248" s="1000"/>
      <c r="F248" s="880"/>
      <c r="G248" s="880"/>
      <c r="H248" s="880"/>
      <c r="I248" s="882"/>
    </row>
    <row r="249" spans="2:9" outlineLevel="3" x14ac:dyDescent="0.25">
      <c r="B249" s="1278" t="str">
        <f t="shared" si="6"/>
        <v/>
      </c>
      <c r="C249" s="1000"/>
      <c r="D249" s="1055"/>
      <c r="E249" s="1000"/>
      <c r="F249" s="880"/>
      <c r="G249" s="880"/>
      <c r="H249" s="880"/>
      <c r="I249" s="882"/>
    </row>
    <row r="250" spans="2:9" outlineLevel="3" x14ac:dyDescent="0.25">
      <c r="B250" s="1278" t="str">
        <f t="shared" si="6"/>
        <v/>
      </c>
      <c r="C250" s="1000"/>
      <c r="D250" s="1055"/>
      <c r="E250" s="1000"/>
      <c r="F250" s="880"/>
      <c r="G250" s="880"/>
      <c r="H250" s="880"/>
      <c r="I250" s="882"/>
    </row>
    <row r="251" spans="2:9" outlineLevel="3" x14ac:dyDescent="0.25">
      <c r="B251" s="1278" t="str">
        <f t="shared" si="6"/>
        <v/>
      </c>
      <c r="C251" s="1000"/>
      <c r="D251" s="1055"/>
      <c r="E251" s="1000"/>
      <c r="F251" s="880"/>
      <c r="G251" s="880"/>
      <c r="H251" s="880"/>
      <c r="I251" s="882"/>
    </row>
    <row r="252" spans="2:9" outlineLevel="3" x14ac:dyDescent="0.25">
      <c r="B252" s="1278" t="str">
        <f t="shared" si="6"/>
        <v/>
      </c>
      <c r="C252" s="1000"/>
      <c r="D252" s="1055"/>
      <c r="E252" s="1000"/>
      <c r="F252" s="880"/>
      <c r="G252" s="880"/>
      <c r="H252" s="880"/>
      <c r="I252" s="882"/>
    </row>
    <row r="253" spans="2:9" outlineLevel="3" x14ac:dyDescent="0.25">
      <c r="B253" s="1278" t="str">
        <f t="shared" si="6"/>
        <v/>
      </c>
      <c r="C253" s="1000"/>
      <c r="D253" s="1055"/>
      <c r="E253" s="1000"/>
      <c r="F253" s="880"/>
      <c r="G253" s="880"/>
      <c r="H253" s="880"/>
      <c r="I253" s="882"/>
    </row>
    <row r="254" spans="2:9" ht="15.75" outlineLevel="3" thickBot="1" x14ac:dyDescent="0.3">
      <c r="B254" s="1279" t="str">
        <f t="shared" si="6"/>
        <v/>
      </c>
      <c r="C254" s="1053"/>
      <c r="D254" s="1054"/>
      <c r="E254" s="1053"/>
      <c r="F254" s="861"/>
      <c r="G254" s="861"/>
      <c r="H254" s="861"/>
      <c r="I254" s="1052"/>
    </row>
    <row r="255" spans="2:9" outlineLevel="2" x14ac:dyDescent="0.25"/>
    <row r="256" spans="2:9" outlineLevel="1" x14ac:dyDescent="0.25"/>
    <row r="258" spans="1:17" ht="15.75" thickBot="1" x14ac:dyDescent="0.3"/>
    <row r="259" spans="1:17" ht="25.5" customHeight="1" thickBot="1" x14ac:dyDescent="0.3">
      <c r="B259" s="1034" t="s">
        <v>1026</v>
      </c>
      <c r="C259" s="1034"/>
      <c r="D259" s="1034"/>
      <c r="E259" s="1034"/>
      <c r="F259" s="1034"/>
      <c r="G259" s="1034"/>
      <c r="H259" s="1034"/>
      <c r="I259" s="1034"/>
    </row>
    <row r="260" spans="1:17" ht="25.5" customHeight="1" outlineLevel="1" thickBot="1" x14ac:dyDescent="0.3">
      <c r="B260" s="998" t="s">
        <v>1027</v>
      </c>
      <c r="C260" s="899"/>
      <c r="D260" s="899"/>
      <c r="E260" s="899"/>
      <c r="F260" s="899"/>
      <c r="G260" s="899"/>
      <c r="H260" s="899"/>
      <c r="I260" s="899"/>
    </row>
    <row r="261" spans="1:17" s="42" customFormat="1" ht="27.95" customHeight="1" outlineLevel="2" x14ac:dyDescent="0.25">
      <c r="A261"/>
      <c r="B261"/>
      <c r="C261" s="1516" t="s">
        <v>951</v>
      </c>
      <c r="D261" s="1517"/>
      <c r="E261" s="1518"/>
      <c r="F261" s="1518"/>
      <c r="G261" s="1518"/>
      <c r="H261" s="1518"/>
      <c r="I261" s="1518"/>
      <c r="J261"/>
      <c r="K261"/>
      <c r="L261"/>
      <c r="M261"/>
      <c r="N261"/>
      <c r="O261"/>
      <c r="P261"/>
      <c r="Q261"/>
    </row>
    <row r="262" spans="1:17" s="42" customFormat="1" outlineLevel="2" x14ac:dyDescent="0.25">
      <c r="A262"/>
      <c r="B262" s="1057"/>
      <c r="C262" s="1513" t="s">
        <v>1081</v>
      </c>
      <c r="D262" s="1514"/>
      <c r="E262" s="1515"/>
      <c r="F262" s="1515"/>
      <c r="G262" s="1515"/>
      <c r="H262" s="1515"/>
      <c r="I262" s="1515"/>
      <c r="J262"/>
      <c r="K262"/>
      <c r="L262"/>
      <c r="M262"/>
      <c r="N262"/>
      <c r="O262"/>
      <c r="P262"/>
    </row>
    <row r="263" spans="1:17" ht="18.75" customHeight="1" outlineLevel="2" thickBot="1" x14ac:dyDescent="0.3">
      <c r="B263" s="1064" t="s">
        <v>1015</v>
      </c>
      <c r="C263" s="893" t="str">
        <f ca="1">CRCP_y4</f>
        <v>2025-26</v>
      </c>
      <c r="D263" s="892" t="str">
        <f ca="1">CRCP_y5</f>
        <v>2026-27</v>
      </c>
      <c r="E263" s="890" t="str">
        <f>FRCP_y1</f>
        <v>2027-28</v>
      </c>
      <c r="F263" s="890" t="str">
        <f ca="1">FRCP_y2</f>
        <v>2028-29</v>
      </c>
      <c r="G263" s="890" t="str">
        <f ca="1">FRCP_y3</f>
        <v>2029-30</v>
      </c>
      <c r="H263" s="890" t="str">
        <f ca="1">FRCP_y4</f>
        <v>2030-31</v>
      </c>
      <c r="I263" s="891" t="str">
        <f ca="1">FRCP_y5</f>
        <v>2031-32</v>
      </c>
    </row>
    <row r="264" spans="1:17" ht="18.75" customHeight="1" outlineLevel="2" thickBot="1" x14ac:dyDescent="0.3">
      <c r="B264" s="894" t="s">
        <v>1057</v>
      </c>
      <c r="C264" s="1062"/>
      <c r="D264" s="1062"/>
      <c r="E264" s="1062"/>
      <c r="F264" s="1061"/>
      <c r="G264" s="1061"/>
      <c r="H264" s="1063"/>
      <c r="I264" s="1062"/>
    </row>
    <row r="265" spans="1:17" outlineLevel="3" x14ac:dyDescent="0.25">
      <c r="B265" s="884"/>
      <c r="C265" s="927"/>
      <c r="D265" s="1056"/>
      <c r="E265" s="995"/>
      <c r="F265" s="885"/>
      <c r="G265" s="885"/>
      <c r="H265" s="885"/>
      <c r="I265" s="886"/>
    </row>
    <row r="266" spans="1:17" outlineLevel="3" x14ac:dyDescent="0.25">
      <c r="B266" s="863"/>
      <c r="C266" s="1112"/>
      <c r="D266" s="1055"/>
      <c r="E266" s="1000"/>
      <c r="F266" s="880"/>
      <c r="G266" s="880"/>
      <c r="H266" s="880"/>
      <c r="I266" s="882"/>
    </row>
    <row r="267" spans="1:17" outlineLevel="3" x14ac:dyDescent="0.25">
      <c r="B267" s="863"/>
      <c r="C267" s="1112"/>
      <c r="D267" s="1055"/>
      <c r="E267" s="1000"/>
      <c r="F267" s="880"/>
      <c r="G267" s="880"/>
      <c r="H267" s="880"/>
      <c r="I267" s="882"/>
    </row>
    <row r="268" spans="1:17" outlineLevel="3" x14ac:dyDescent="0.25">
      <c r="B268" s="863"/>
      <c r="C268" s="1112"/>
      <c r="D268" s="1055"/>
      <c r="E268" s="1000"/>
      <c r="F268" s="880"/>
      <c r="G268" s="880"/>
      <c r="H268" s="880"/>
      <c r="I268" s="882"/>
    </row>
    <row r="269" spans="1:17" outlineLevel="3" x14ac:dyDescent="0.25">
      <c r="B269" s="863"/>
      <c r="C269" s="1112"/>
      <c r="D269" s="1055"/>
      <c r="E269" s="1000"/>
      <c r="F269" s="880"/>
      <c r="G269" s="880"/>
      <c r="H269" s="880"/>
      <c r="I269" s="882"/>
    </row>
    <row r="270" spans="1:17" outlineLevel="3" x14ac:dyDescent="0.25">
      <c r="B270" s="863"/>
      <c r="C270" s="1112"/>
      <c r="D270" s="1055"/>
      <c r="E270" s="1000"/>
      <c r="F270" s="880"/>
      <c r="G270" s="880"/>
      <c r="H270" s="880"/>
      <c r="I270" s="882"/>
    </row>
    <row r="271" spans="1:17" outlineLevel="3" x14ac:dyDescent="0.25">
      <c r="B271" s="863"/>
      <c r="C271" s="1112"/>
      <c r="D271" s="1055"/>
      <c r="E271" s="1000"/>
      <c r="F271" s="880"/>
      <c r="G271" s="880"/>
      <c r="H271" s="880"/>
      <c r="I271" s="882"/>
    </row>
    <row r="272" spans="1:17" outlineLevel="3" x14ac:dyDescent="0.25">
      <c r="B272" s="863"/>
      <c r="C272" s="1112"/>
      <c r="D272" s="1055"/>
      <c r="E272" s="1000"/>
      <c r="F272" s="880"/>
      <c r="G272" s="880"/>
      <c r="H272" s="880"/>
      <c r="I272" s="882"/>
    </row>
    <row r="273" spans="2:9" outlineLevel="3" x14ac:dyDescent="0.25">
      <c r="B273" s="863"/>
      <c r="C273" s="1112"/>
      <c r="D273" s="1055"/>
      <c r="E273" s="1000"/>
      <c r="F273" s="880"/>
      <c r="G273" s="880"/>
      <c r="H273" s="880"/>
      <c r="I273" s="882"/>
    </row>
    <row r="274" spans="2:9" outlineLevel="3" x14ac:dyDescent="0.25">
      <c r="B274" s="863"/>
      <c r="C274" s="1112"/>
      <c r="D274" s="1055"/>
      <c r="E274" s="1000"/>
      <c r="F274" s="880"/>
      <c r="G274" s="880"/>
      <c r="H274" s="880"/>
      <c r="I274" s="882"/>
    </row>
    <row r="275" spans="2:9" outlineLevel="3" x14ac:dyDescent="0.25">
      <c r="B275" s="863"/>
      <c r="C275" s="1112"/>
      <c r="D275" s="1055"/>
      <c r="E275" s="1000"/>
      <c r="F275" s="880"/>
      <c r="G275" s="880"/>
      <c r="H275" s="880"/>
      <c r="I275" s="882"/>
    </row>
    <row r="276" spans="2:9" outlineLevel="3" x14ac:dyDescent="0.25">
      <c r="B276" s="863"/>
      <c r="C276" s="1112"/>
      <c r="D276" s="1055"/>
      <c r="E276" s="1000"/>
      <c r="F276" s="880"/>
      <c r="G276" s="880"/>
      <c r="H276" s="880"/>
      <c r="I276" s="882"/>
    </row>
    <row r="277" spans="2:9" outlineLevel="3" x14ac:dyDescent="0.25">
      <c r="B277" s="863"/>
      <c r="C277" s="1112"/>
      <c r="D277" s="1055"/>
      <c r="E277" s="1000"/>
      <c r="F277" s="880"/>
      <c r="G277" s="880"/>
      <c r="H277" s="880"/>
      <c r="I277" s="882"/>
    </row>
    <row r="278" spans="2:9" outlineLevel="3" x14ac:dyDescent="0.25">
      <c r="B278" s="863"/>
      <c r="C278" s="1112"/>
      <c r="D278" s="1055"/>
      <c r="E278" s="1000"/>
      <c r="F278" s="880"/>
      <c r="G278" s="880"/>
      <c r="H278" s="880"/>
      <c r="I278" s="882"/>
    </row>
    <row r="279" spans="2:9" outlineLevel="3" x14ac:dyDescent="0.25">
      <c r="B279" s="863"/>
      <c r="C279" s="1112"/>
      <c r="D279" s="1055"/>
      <c r="E279" s="1000"/>
      <c r="F279" s="880"/>
      <c r="G279" s="880"/>
      <c r="H279" s="880"/>
      <c r="I279" s="882"/>
    </row>
    <row r="280" spans="2:9" outlineLevel="3" x14ac:dyDescent="0.25">
      <c r="B280" s="863"/>
      <c r="C280" s="1112"/>
      <c r="D280" s="1055"/>
      <c r="E280" s="1000"/>
      <c r="F280" s="880"/>
      <c r="G280" s="880"/>
      <c r="H280" s="880"/>
      <c r="I280" s="882"/>
    </row>
    <row r="281" spans="2:9" outlineLevel="3" x14ac:dyDescent="0.25">
      <c r="B281" s="863"/>
      <c r="C281" s="1112"/>
      <c r="D281" s="1055"/>
      <c r="E281" s="1000"/>
      <c r="F281" s="880"/>
      <c r="G281" s="880"/>
      <c r="H281" s="880"/>
      <c r="I281" s="882"/>
    </row>
    <row r="282" spans="2:9" outlineLevel="3" x14ac:dyDescent="0.25">
      <c r="B282" s="863"/>
      <c r="C282" s="1112"/>
      <c r="D282" s="1055"/>
      <c r="E282" s="1000"/>
      <c r="F282" s="880"/>
      <c r="G282" s="880"/>
      <c r="H282" s="880"/>
      <c r="I282" s="882"/>
    </row>
    <row r="283" spans="2:9" outlineLevel="3" x14ac:dyDescent="0.25">
      <c r="B283" s="863"/>
      <c r="C283" s="1112"/>
      <c r="D283" s="1055"/>
      <c r="E283" s="1000"/>
      <c r="F283" s="880"/>
      <c r="G283" s="880"/>
      <c r="H283" s="880"/>
      <c r="I283" s="882"/>
    </row>
    <row r="284" spans="2:9" outlineLevel="3" x14ac:dyDescent="0.25">
      <c r="B284" s="863"/>
      <c r="C284" s="1112"/>
      <c r="D284" s="1055"/>
      <c r="E284" s="1000"/>
      <c r="F284" s="880"/>
      <c r="G284" s="880"/>
      <c r="H284" s="880"/>
      <c r="I284" s="882"/>
    </row>
    <row r="285" spans="2:9" outlineLevel="3" x14ac:dyDescent="0.25">
      <c r="B285" s="863"/>
      <c r="C285" s="1112"/>
      <c r="D285" s="1055"/>
      <c r="E285" s="1000"/>
      <c r="F285" s="880"/>
      <c r="G285" s="880"/>
      <c r="H285" s="880"/>
      <c r="I285" s="882"/>
    </row>
    <row r="286" spans="2:9" outlineLevel="3" x14ac:dyDescent="0.25">
      <c r="B286" s="863"/>
      <c r="C286" s="1112"/>
      <c r="D286" s="1055"/>
      <c r="E286" s="1000"/>
      <c r="F286" s="880"/>
      <c r="G286" s="880"/>
      <c r="H286" s="880"/>
      <c r="I286" s="882"/>
    </row>
    <row r="287" spans="2:9" outlineLevel="3" x14ac:dyDescent="0.25">
      <c r="B287" s="863"/>
      <c r="C287" s="1112"/>
      <c r="D287" s="1055"/>
      <c r="E287" s="1000"/>
      <c r="F287" s="880"/>
      <c r="G287" s="880"/>
      <c r="H287" s="880"/>
      <c r="I287" s="882"/>
    </row>
    <row r="288" spans="2:9" outlineLevel="3" x14ac:dyDescent="0.25">
      <c r="B288" s="863"/>
      <c r="C288" s="1112"/>
      <c r="D288" s="1055"/>
      <c r="E288" s="1000"/>
      <c r="F288" s="880"/>
      <c r="G288" s="880"/>
      <c r="H288" s="880"/>
      <c r="I288" s="882"/>
    </row>
    <row r="289" spans="2:9" outlineLevel="3" x14ac:dyDescent="0.25">
      <c r="B289" s="863"/>
      <c r="C289" s="1112"/>
      <c r="D289" s="1055"/>
      <c r="E289" s="1000"/>
      <c r="F289" s="880"/>
      <c r="G289" s="880"/>
      <c r="H289" s="880"/>
      <c r="I289" s="882"/>
    </row>
    <row r="290" spans="2:9" outlineLevel="3" x14ac:dyDescent="0.25">
      <c r="B290" s="863"/>
      <c r="C290" s="1112"/>
      <c r="D290" s="1055"/>
      <c r="E290" s="1000"/>
      <c r="F290" s="880"/>
      <c r="G290" s="880"/>
      <c r="H290" s="880"/>
      <c r="I290" s="882"/>
    </row>
    <row r="291" spans="2:9" outlineLevel="3" x14ac:dyDescent="0.25">
      <c r="B291" s="863"/>
      <c r="C291" s="1112"/>
      <c r="D291" s="1055"/>
      <c r="E291" s="1000"/>
      <c r="F291" s="880"/>
      <c r="G291" s="880"/>
      <c r="H291" s="880"/>
      <c r="I291" s="882"/>
    </row>
    <row r="292" spans="2:9" outlineLevel="3" x14ac:dyDescent="0.25">
      <c r="B292" s="863"/>
      <c r="C292" s="1112"/>
      <c r="D292" s="1055"/>
      <c r="E292" s="1000"/>
      <c r="F292" s="880"/>
      <c r="G292" s="880"/>
      <c r="H292" s="880"/>
      <c r="I292" s="882"/>
    </row>
    <row r="293" spans="2:9" outlineLevel="3" x14ac:dyDescent="0.25">
      <c r="B293" s="863"/>
      <c r="C293" s="1112"/>
      <c r="D293" s="1055"/>
      <c r="E293" s="1000"/>
      <c r="F293" s="880"/>
      <c r="G293" s="880"/>
      <c r="H293" s="880"/>
      <c r="I293" s="882"/>
    </row>
    <row r="294" spans="2:9" outlineLevel="3" x14ac:dyDescent="0.25">
      <c r="B294" s="863"/>
      <c r="C294" s="1112"/>
      <c r="D294" s="1055"/>
      <c r="E294" s="1000"/>
      <c r="F294" s="880"/>
      <c r="G294" s="880"/>
      <c r="H294" s="880"/>
      <c r="I294" s="882"/>
    </row>
    <row r="295" spans="2:9" outlineLevel="3" x14ac:dyDescent="0.25">
      <c r="B295" s="863"/>
      <c r="C295" s="1112"/>
      <c r="D295" s="1055"/>
      <c r="E295" s="1000"/>
      <c r="F295" s="880"/>
      <c r="G295" s="880"/>
      <c r="H295" s="880"/>
      <c r="I295" s="882"/>
    </row>
    <row r="296" spans="2:9" outlineLevel="3" x14ac:dyDescent="0.25">
      <c r="B296" s="863"/>
      <c r="C296" s="1112"/>
      <c r="D296" s="1055"/>
      <c r="E296" s="1000"/>
      <c r="F296" s="880"/>
      <c r="G296" s="880"/>
      <c r="H296" s="880"/>
      <c r="I296" s="882"/>
    </row>
    <row r="297" spans="2:9" outlineLevel="3" x14ac:dyDescent="0.25">
      <c r="B297" s="863"/>
      <c r="C297" s="1112"/>
      <c r="D297" s="1055"/>
      <c r="E297" s="1000"/>
      <c r="F297" s="880"/>
      <c r="G297" s="880"/>
      <c r="H297" s="880"/>
      <c r="I297" s="882"/>
    </row>
    <row r="298" spans="2:9" outlineLevel="3" x14ac:dyDescent="0.25">
      <c r="B298" s="863"/>
      <c r="C298" s="1112"/>
      <c r="D298" s="1055"/>
      <c r="E298" s="1000"/>
      <c r="F298" s="880"/>
      <c r="G298" s="880"/>
      <c r="H298" s="880"/>
      <c r="I298" s="882"/>
    </row>
    <row r="299" spans="2:9" outlineLevel="3" x14ac:dyDescent="0.25">
      <c r="B299" s="863"/>
      <c r="C299" s="1112"/>
      <c r="D299" s="1055"/>
      <c r="E299" s="1000"/>
      <c r="F299" s="880"/>
      <c r="G299" s="880"/>
      <c r="H299" s="880"/>
      <c r="I299" s="882"/>
    </row>
    <row r="300" spans="2:9" outlineLevel="3" x14ac:dyDescent="0.25">
      <c r="B300" s="863"/>
      <c r="C300" s="1112"/>
      <c r="D300" s="1055"/>
      <c r="E300" s="1000"/>
      <c r="F300" s="880"/>
      <c r="G300" s="880"/>
      <c r="H300" s="880"/>
      <c r="I300" s="882"/>
    </row>
    <row r="301" spans="2:9" outlineLevel="3" x14ac:dyDescent="0.25">
      <c r="B301" s="863"/>
      <c r="C301" s="1112"/>
      <c r="D301" s="1055"/>
      <c r="E301" s="1000"/>
      <c r="F301" s="880"/>
      <c r="G301" s="880"/>
      <c r="H301" s="880"/>
      <c r="I301" s="882"/>
    </row>
    <row r="302" spans="2:9" outlineLevel="3" x14ac:dyDescent="0.25">
      <c r="B302" s="863"/>
      <c r="C302" s="1112"/>
      <c r="D302" s="1055"/>
      <c r="E302" s="1000"/>
      <c r="F302" s="880"/>
      <c r="G302" s="880"/>
      <c r="H302" s="880"/>
      <c r="I302" s="882"/>
    </row>
    <row r="303" spans="2:9" outlineLevel="3" x14ac:dyDescent="0.25">
      <c r="B303" s="863"/>
      <c r="C303" s="1112"/>
      <c r="D303" s="1055"/>
      <c r="E303" s="1000"/>
      <c r="F303" s="880"/>
      <c r="G303" s="880"/>
      <c r="H303" s="880"/>
      <c r="I303" s="882"/>
    </row>
    <row r="304" spans="2:9" outlineLevel="3" x14ac:dyDescent="0.25">
      <c r="B304" s="863"/>
      <c r="C304" s="1112"/>
      <c r="D304" s="1055"/>
      <c r="E304" s="1000"/>
      <c r="F304" s="880"/>
      <c r="G304" s="880"/>
      <c r="H304" s="880"/>
      <c r="I304" s="882"/>
    </row>
    <row r="305" spans="2:9" outlineLevel="3" x14ac:dyDescent="0.25">
      <c r="B305" s="863"/>
      <c r="C305" s="1112"/>
      <c r="D305" s="1055"/>
      <c r="E305" s="1000"/>
      <c r="F305" s="880"/>
      <c r="G305" s="880"/>
      <c r="H305" s="880"/>
      <c r="I305" s="882"/>
    </row>
    <row r="306" spans="2:9" outlineLevel="3" x14ac:dyDescent="0.25">
      <c r="B306" s="863"/>
      <c r="C306" s="1112"/>
      <c r="D306" s="1055"/>
      <c r="E306" s="1000"/>
      <c r="F306" s="880"/>
      <c r="G306" s="880"/>
      <c r="H306" s="880"/>
      <c r="I306" s="882"/>
    </row>
    <row r="307" spans="2:9" outlineLevel="3" x14ac:dyDescent="0.25">
      <c r="B307" s="863"/>
      <c r="C307" s="1112"/>
      <c r="D307" s="1055"/>
      <c r="E307" s="1000"/>
      <c r="F307" s="880"/>
      <c r="G307" s="880"/>
      <c r="H307" s="880"/>
      <c r="I307" s="882"/>
    </row>
    <row r="308" spans="2:9" outlineLevel="3" x14ac:dyDescent="0.25">
      <c r="B308" s="863"/>
      <c r="C308" s="1112"/>
      <c r="D308" s="1055"/>
      <c r="E308" s="1000"/>
      <c r="F308" s="880"/>
      <c r="G308" s="880"/>
      <c r="H308" s="880"/>
      <c r="I308" s="882"/>
    </row>
    <row r="309" spans="2:9" outlineLevel="3" x14ac:dyDescent="0.25">
      <c r="B309" s="863"/>
      <c r="C309" s="1112"/>
      <c r="D309" s="1055"/>
      <c r="E309" s="1000"/>
      <c r="F309" s="880"/>
      <c r="G309" s="880"/>
      <c r="H309" s="880"/>
      <c r="I309" s="882"/>
    </row>
    <row r="310" spans="2:9" outlineLevel="3" x14ac:dyDescent="0.25">
      <c r="B310" s="863"/>
      <c r="C310" s="1112"/>
      <c r="D310" s="1055"/>
      <c r="E310" s="1000"/>
      <c r="F310" s="880"/>
      <c r="G310" s="880"/>
      <c r="H310" s="880"/>
      <c r="I310" s="882"/>
    </row>
    <row r="311" spans="2:9" outlineLevel="3" x14ac:dyDescent="0.25">
      <c r="B311" s="863"/>
      <c r="C311" s="1112"/>
      <c r="D311" s="1055"/>
      <c r="E311" s="1000"/>
      <c r="F311" s="880"/>
      <c r="G311" s="880"/>
      <c r="H311" s="880"/>
      <c r="I311" s="882"/>
    </row>
    <row r="312" spans="2:9" outlineLevel="3" x14ac:dyDescent="0.25">
      <c r="B312" s="863"/>
      <c r="C312" s="1112"/>
      <c r="D312" s="1055"/>
      <c r="E312" s="1000"/>
      <c r="F312" s="880"/>
      <c r="G312" s="880"/>
      <c r="H312" s="880"/>
      <c r="I312" s="882"/>
    </row>
    <row r="313" spans="2:9" outlineLevel="3" x14ac:dyDescent="0.25">
      <c r="B313" s="863"/>
      <c r="C313" s="1112"/>
      <c r="D313" s="1055"/>
      <c r="E313" s="1000"/>
      <c r="F313" s="880"/>
      <c r="G313" s="880"/>
      <c r="H313" s="880"/>
      <c r="I313" s="882"/>
    </row>
    <row r="314" spans="2:9" ht="15.75" outlineLevel="3" thickBot="1" x14ac:dyDescent="0.3">
      <c r="B314" s="887"/>
      <c r="C314" s="860"/>
      <c r="D314" s="1054"/>
      <c r="E314" s="1053"/>
      <c r="F314" s="861"/>
      <c r="G314" s="861"/>
      <c r="H314" s="861"/>
      <c r="I314" s="1052"/>
    </row>
    <row r="315" spans="2:9" ht="18.75" customHeight="1" outlineLevel="2" thickBot="1" x14ac:dyDescent="0.3">
      <c r="B315" s="971" t="s">
        <v>1058</v>
      </c>
      <c r="C315" s="1062"/>
      <c r="D315" s="1062"/>
      <c r="E315" s="1062"/>
      <c r="F315" s="1061"/>
      <c r="G315" s="1061"/>
      <c r="H315" s="1063"/>
      <c r="I315" s="1062"/>
    </row>
    <row r="316" spans="2:9" outlineLevel="3" x14ac:dyDescent="0.25">
      <c r="B316" s="898" t="str">
        <f>IF(ISBLANK(B265),"",B265)</f>
        <v/>
      </c>
      <c r="C316" s="927"/>
      <c r="D316" s="1056"/>
      <c r="E316" s="995"/>
      <c r="F316" s="885"/>
      <c r="G316" s="885"/>
      <c r="H316" s="885"/>
      <c r="I316" s="886"/>
    </row>
    <row r="317" spans="2:9" outlineLevel="3" x14ac:dyDescent="0.25">
      <c r="B317" s="1002" t="str">
        <f>IF(ISBLANK(B266),"",B266)</f>
        <v/>
      </c>
      <c r="C317" s="1112"/>
      <c r="D317" s="1055"/>
      <c r="E317" s="1000"/>
      <c r="F317" s="880"/>
      <c r="G317" s="880"/>
      <c r="H317" s="880"/>
      <c r="I317" s="882"/>
    </row>
    <row r="318" spans="2:9" outlineLevel="3" x14ac:dyDescent="0.25">
      <c r="B318" s="1002" t="str">
        <f>IF(ISBLANK(B267),"",B267)</f>
        <v/>
      </c>
      <c r="C318" s="1112"/>
      <c r="D318" s="1055"/>
      <c r="E318" s="1000"/>
      <c r="F318" s="880"/>
      <c r="G318" s="880"/>
      <c r="H318" s="880"/>
      <c r="I318" s="882"/>
    </row>
    <row r="319" spans="2:9" outlineLevel="3" x14ac:dyDescent="0.25">
      <c r="B319" s="1002" t="str">
        <f>IF(ISBLANK(B268),"",B268)</f>
        <v/>
      </c>
      <c r="C319" s="1112"/>
      <c r="D319" s="1055"/>
      <c r="E319" s="1000"/>
      <c r="F319" s="880"/>
      <c r="G319" s="880"/>
      <c r="H319" s="880"/>
      <c r="I319" s="882"/>
    </row>
    <row r="320" spans="2:9" outlineLevel="3" x14ac:dyDescent="0.25">
      <c r="B320" s="1002" t="str">
        <f t="shared" ref="B320:B365" si="7">IF(ISBLANK(B269),"",B269)</f>
        <v/>
      </c>
      <c r="C320" s="1112"/>
      <c r="D320" s="1055"/>
      <c r="E320" s="1000"/>
      <c r="F320" s="880"/>
      <c r="G320" s="880"/>
      <c r="H320" s="880"/>
      <c r="I320" s="882"/>
    </row>
    <row r="321" spans="2:9" outlineLevel="3" x14ac:dyDescent="0.25">
      <c r="B321" s="1002" t="str">
        <f t="shared" si="7"/>
        <v/>
      </c>
      <c r="C321" s="1112"/>
      <c r="D321" s="1055"/>
      <c r="E321" s="1000"/>
      <c r="F321" s="880"/>
      <c r="G321" s="880"/>
      <c r="H321" s="880"/>
      <c r="I321" s="882"/>
    </row>
    <row r="322" spans="2:9" outlineLevel="3" x14ac:dyDescent="0.25">
      <c r="B322" s="1002" t="str">
        <f t="shared" si="7"/>
        <v/>
      </c>
      <c r="C322" s="1112"/>
      <c r="D322" s="1055"/>
      <c r="E322" s="1000"/>
      <c r="F322" s="880"/>
      <c r="G322" s="880"/>
      <c r="H322" s="880"/>
      <c r="I322" s="882"/>
    </row>
    <row r="323" spans="2:9" outlineLevel="3" x14ac:dyDescent="0.25">
      <c r="B323" s="1002" t="str">
        <f t="shared" si="7"/>
        <v/>
      </c>
      <c r="C323" s="1112"/>
      <c r="D323" s="1055"/>
      <c r="E323" s="1000"/>
      <c r="F323" s="880"/>
      <c r="G323" s="880"/>
      <c r="H323" s="880"/>
      <c r="I323" s="882"/>
    </row>
    <row r="324" spans="2:9" outlineLevel="3" x14ac:dyDescent="0.25">
      <c r="B324" s="1002" t="str">
        <f t="shared" si="7"/>
        <v/>
      </c>
      <c r="C324" s="1112"/>
      <c r="D324" s="1055"/>
      <c r="E324" s="1000"/>
      <c r="F324" s="880"/>
      <c r="G324" s="880"/>
      <c r="H324" s="880"/>
      <c r="I324" s="882"/>
    </row>
    <row r="325" spans="2:9" outlineLevel="3" x14ac:dyDescent="0.25">
      <c r="B325" s="1002" t="str">
        <f t="shared" si="7"/>
        <v/>
      </c>
      <c r="C325" s="1112"/>
      <c r="D325" s="1055"/>
      <c r="E325" s="1000"/>
      <c r="F325" s="880"/>
      <c r="G325" s="880"/>
      <c r="H325" s="880"/>
      <c r="I325" s="882"/>
    </row>
    <row r="326" spans="2:9" outlineLevel="3" x14ac:dyDescent="0.25">
      <c r="B326" s="1002" t="str">
        <f t="shared" si="7"/>
        <v/>
      </c>
      <c r="C326" s="1112"/>
      <c r="D326" s="1055"/>
      <c r="E326" s="1000"/>
      <c r="F326" s="880"/>
      <c r="G326" s="880"/>
      <c r="H326" s="880"/>
      <c r="I326" s="882"/>
    </row>
    <row r="327" spans="2:9" outlineLevel="3" x14ac:dyDescent="0.25">
      <c r="B327" s="1002" t="str">
        <f t="shared" si="7"/>
        <v/>
      </c>
      <c r="C327" s="1112"/>
      <c r="D327" s="1055"/>
      <c r="E327" s="1000"/>
      <c r="F327" s="880"/>
      <c r="G327" s="880"/>
      <c r="H327" s="880"/>
      <c r="I327" s="882"/>
    </row>
    <row r="328" spans="2:9" outlineLevel="3" x14ac:dyDescent="0.25">
      <c r="B328" s="1002" t="str">
        <f t="shared" si="7"/>
        <v/>
      </c>
      <c r="C328" s="1112"/>
      <c r="D328" s="1055"/>
      <c r="E328" s="1000"/>
      <c r="F328" s="880"/>
      <c r="G328" s="880"/>
      <c r="H328" s="880"/>
      <c r="I328" s="882"/>
    </row>
    <row r="329" spans="2:9" outlineLevel="3" x14ac:dyDescent="0.25">
      <c r="B329" s="1002" t="str">
        <f t="shared" si="7"/>
        <v/>
      </c>
      <c r="C329" s="1112"/>
      <c r="D329" s="1055"/>
      <c r="E329" s="1000"/>
      <c r="F329" s="880"/>
      <c r="G329" s="880"/>
      <c r="H329" s="880"/>
      <c r="I329" s="882"/>
    </row>
    <row r="330" spans="2:9" outlineLevel="3" x14ac:dyDescent="0.25">
      <c r="B330" s="1002" t="str">
        <f t="shared" si="7"/>
        <v/>
      </c>
      <c r="C330" s="1112"/>
      <c r="D330" s="1055"/>
      <c r="E330" s="1000"/>
      <c r="F330" s="880"/>
      <c r="G330" s="880"/>
      <c r="H330" s="880"/>
      <c r="I330" s="882"/>
    </row>
    <row r="331" spans="2:9" outlineLevel="3" x14ac:dyDescent="0.25">
      <c r="B331" s="1002" t="str">
        <f t="shared" si="7"/>
        <v/>
      </c>
      <c r="C331" s="1112"/>
      <c r="D331" s="1055"/>
      <c r="E331" s="1000"/>
      <c r="F331" s="880"/>
      <c r="G331" s="880"/>
      <c r="H331" s="880"/>
      <c r="I331" s="882"/>
    </row>
    <row r="332" spans="2:9" outlineLevel="3" x14ac:dyDescent="0.25">
      <c r="B332" s="1002" t="str">
        <f t="shared" si="7"/>
        <v/>
      </c>
      <c r="C332" s="1112"/>
      <c r="D332" s="1055"/>
      <c r="E332" s="1000"/>
      <c r="F332" s="880"/>
      <c r="G332" s="880"/>
      <c r="H332" s="880"/>
      <c r="I332" s="882"/>
    </row>
    <row r="333" spans="2:9" outlineLevel="3" x14ac:dyDescent="0.25">
      <c r="B333" s="1002" t="str">
        <f t="shared" si="7"/>
        <v/>
      </c>
      <c r="C333" s="1112"/>
      <c r="D333" s="1055"/>
      <c r="E333" s="1000"/>
      <c r="F333" s="880"/>
      <c r="G333" s="880"/>
      <c r="H333" s="880"/>
      <c r="I333" s="882"/>
    </row>
    <row r="334" spans="2:9" outlineLevel="3" x14ac:dyDescent="0.25">
      <c r="B334" s="1002" t="str">
        <f t="shared" si="7"/>
        <v/>
      </c>
      <c r="C334" s="1112"/>
      <c r="D334" s="1055"/>
      <c r="E334" s="1000"/>
      <c r="F334" s="880"/>
      <c r="G334" s="880"/>
      <c r="H334" s="880"/>
      <c r="I334" s="882"/>
    </row>
    <row r="335" spans="2:9" outlineLevel="3" x14ac:dyDescent="0.25">
      <c r="B335" s="1002" t="str">
        <f t="shared" si="7"/>
        <v/>
      </c>
      <c r="C335" s="1112"/>
      <c r="D335" s="1055"/>
      <c r="E335" s="1000"/>
      <c r="F335" s="880"/>
      <c r="G335" s="880"/>
      <c r="H335" s="880"/>
      <c r="I335" s="882"/>
    </row>
    <row r="336" spans="2:9" outlineLevel="3" x14ac:dyDescent="0.25">
      <c r="B336" s="1002" t="str">
        <f t="shared" si="7"/>
        <v/>
      </c>
      <c r="C336" s="1112"/>
      <c r="D336" s="1055"/>
      <c r="E336" s="1000"/>
      <c r="F336" s="880"/>
      <c r="G336" s="880"/>
      <c r="H336" s="880"/>
      <c r="I336" s="882"/>
    </row>
    <row r="337" spans="2:9" outlineLevel="3" x14ac:dyDescent="0.25">
      <c r="B337" s="1002" t="str">
        <f t="shared" si="7"/>
        <v/>
      </c>
      <c r="C337" s="1112"/>
      <c r="D337" s="1055"/>
      <c r="E337" s="1000"/>
      <c r="F337" s="880"/>
      <c r="G337" s="880"/>
      <c r="H337" s="880"/>
      <c r="I337" s="882"/>
    </row>
    <row r="338" spans="2:9" outlineLevel="3" x14ac:dyDescent="0.25">
      <c r="B338" s="1002" t="str">
        <f t="shared" si="7"/>
        <v/>
      </c>
      <c r="C338" s="1112"/>
      <c r="D338" s="1055"/>
      <c r="E338" s="1000"/>
      <c r="F338" s="880"/>
      <c r="G338" s="880"/>
      <c r="H338" s="880"/>
      <c r="I338" s="882"/>
    </row>
    <row r="339" spans="2:9" outlineLevel="3" x14ac:dyDescent="0.25">
      <c r="B339" s="1002" t="str">
        <f t="shared" si="7"/>
        <v/>
      </c>
      <c r="C339" s="1112"/>
      <c r="D339" s="1055"/>
      <c r="E339" s="1000"/>
      <c r="F339" s="880"/>
      <c r="G339" s="880"/>
      <c r="H339" s="880"/>
      <c r="I339" s="882"/>
    </row>
    <row r="340" spans="2:9" outlineLevel="3" x14ac:dyDescent="0.25">
      <c r="B340" s="1002" t="str">
        <f t="shared" si="7"/>
        <v/>
      </c>
      <c r="C340" s="1112"/>
      <c r="D340" s="1055"/>
      <c r="E340" s="1000"/>
      <c r="F340" s="880"/>
      <c r="G340" s="880"/>
      <c r="H340" s="880"/>
      <c r="I340" s="882"/>
    </row>
    <row r="341" spans="2:9" outlineLevel="3" x14ac:dyDescent="0.25">
      <c r="B341" s="1002" t="str">
        <f t="shared" si="7"/>
        <v/>
      </c>
      <c r="C341" s="1112"/>
      <c r="D341" s="1055"/>
      <c r="E341" s="1000"/>
      <c r="F341" s="880"/>
      <c r="G341" s="880"/>
      <c r="H341" s="880"/>
      <c r="I341" s="882"/>
    </row>
    <row r="342" spans="2:9" outlineLevel="3" x14ac:dyDescent="0.25">
      <c r="B342" s="1002" t="str">
        <f t="shared" si="7"/>
        <v/>
      </c>
      <c r="C342" s="1112"/>
      <c r="D342" s="1055"/>
      <c r="E342" s="1000"/>
      <c r="F342" s="880"/>
      <c r="G342" s="880"/>
      <c r="H342" s="880"/>
      <c r="I342" s="882"/>
    </row>
    <row r="343" spans="2:9" outlineLevel="3" x14ac:dyDescent="0.25">
      <c r="B343" s="1002" t="str">
        <f t="shared" si="7"/>
        <v/>
      </c>
      <c r="C343" s="1112"/>
      <c r="D343" s="1055"/>
      <c r="E343" s="1000"/>
      <c r="F343" s="880"/>
      <c r="G343" s="880"/>
      <c r="H343" s="880"/>
      <c r="I343" s="882"/>
    </row>
    <row r="344" spans="2:9" outlineLevel="3" x14ac:dyDescent="0.25">
      <c r="B344" s="1002" t="str">
        <f t="shared" si="7"/>
        <v/>
      </c>
      <c r="C344" s="1112"/>
      <c r="D344" s="1055"/>
      <c r="E344" s="1000"/>
      <c r="F344" s="880"/>
      <c r="G344" s="880"/>
      <c r="H344" s="880"/>
      <c r="I344" s="882"/>
    </row>
    <row r="345" spans="2:9" outlineLevel="3" x14ac:dyDescent="0.25">
      <c r="B345" s="1002" t="str">
        <f t="shared" si="7"/>
        <v/>
      </c>
      <c r="C345" s="1112"/>
      <c r="D345" s="1055"/>
      <c r="E345" s="1000"/>
      <c r="F345" s="880"/>
      <c r="G345" s="880"/>
      <c r="H345" s="880"/>
      <c r="I345" s="882"/>
    </row>
    <row r="346" spans="2:9" outlineLevel="3" x14ac:dyDescent="0.25">
      <c r="B346" s="1002" t="str">
        <f t="shared" si="7"/>
        <v/>
      </c>
      <c r="C346" s="1112"/>
      <c r="D346" s="1055"/>
      <c r="E346" s="1000"/>
      <c r="F346" s="880"/>
      <c r="G346" s="880"/>
      <c r="H346" s="880"/>
      <c r="I346" s="882"/>
    </row>
    <row r="347" spans="2:9" outlineLevel="3" x14ac:dyDescent="0.25">
      <c r="B347" s="1002" t="str">
        <f t="shared" si="7"/>
        <v/>
      </c>
      <c r="C347" s="1112"/>
      <c r="D347" s="1055"/>
      <c r="E347" s="1000"/>
      <c r="F347" s="880"/>
      <c r="G347" s="880"/>
      <c r="H347" s="880"/>
      <c r="I347" s="882"/>
    </row>
    <row r="348" spans="2:9" outlineLevel="3" x14ac:dyDescent="0.25">
      <c r="B348" s="1002" t="str">
        <f t="shared" si="7"/>
        <v/>
      </c>
      <c r="C348" s="1112"/>
      <c r="D348" s="1055"/>
      <c r="E348" s="1000"/>
      <c r="F348" s="880"/>
      <c r="G348" s="880"/>
      <c r="H348" s="880"/>
      <c r="I348" s="882"/>
    </row>
    <row r="349" spans="2:9" outlineLevel="3" x14ac:dyDescent="0.25">
      <c r="B349" s="1002" t="str">
        <f t="shared" si="7"/>
        <v/>
      </c>
      <c r="C349" s="1112"/>
      <c r="D349" s="1055"/>
      <c r="E349" s="1000"/>
      <c r="F349" s="880"/>
      <c r="G349" s="880"/>
      <c r="H349" s="880"/>
      <c r="I349" s="882"/>
    </row>
    <row r="350" spans="2:9" outlineLevel="3" x14ac:dyDescent="0.25">
      <c r="B350" s="1002" t="str">
        <f t="shared" si="7"/>
        <v/>
      </c>
      <c r="C350" s="1112"/>
      <c r="D350" s="1055"/>
      <c r="E350" s="1000"/>
      <c r="F350" s="880"/>
      <c r="G350" s="880"/>
      <c r="H350" s="880"/>
      <c r="I350" s="882"/>
    </row>
    <row r="351" spans="2:9" outlineLevel="3" x14ac:dyDescent="0.25">
      <c r="B351" s="1002" t="str">
        <f t="shared" si="7"/>
        <v/>
      </c>
      <c r="C351" s="1112"/>
      <c r="D351" s="1055"/>
      <c r="E351" s="1000"/>
      <c r="F351" s="880"/>
      <c r="G351" s="880"/>
      <c r="H351" s="880"/>
      <c r="I351" s="882"/>
    </row>
    <row r="352" spans="2:9" outlineLevel="3" x14ac:dyDescent="0.25">
      <c r="B352" s="1002" t="str">
        <f t="shared" si="7"/>
        <v/>
      </c>
      <c r="C352" s="1112"/>
      <c r="D352" s="1055"/>
      <c r="E352" s="1000"/>
      <c r="F352" s="880"/>
      <c r="G352" s="880"/>
      <c r="H352" s="880"/>
      <c r="I352" s="882"/>
    </row>
    <row r="353" spans="2:9" outlineLevel="3" x14ac:dyDescent="0.25">
      <c r="B353" s="1002" t="str">
        <f t="shared" si="7"/>
        <v/>
      </c>
      <c r="C353" s="1112"/>
      <c r="D353" s="1055"/>
      <c r="E353" s="1000"/>
      <c r="F353" s="880"/>
      <c r="G353" s="880"/>
      <c r="H353" s="880"/>
      <c r="I353" s="882"/>
    </row>
    <row r="354" spans="2:9" outlineLevel="3" x14ac:dyDescent="0.25">
      <c r="B354" s="1002" t="str">
        <f t="shared" si="7"/>
        <v/>
      </c>
      <c r="C354" s="1112"/>
      <c r="D354" s="1055"/>
      <c r="E354" s="1000"/>
      <c r="F354" s="880"/>
      <c r="G354" s="880"/>
      <c r="H354" s="880"/>
      <c r="I354" s="882"/>
    </row>
    <row r="355" spans="2:9" outlineLevel="3" x14ac:dyDescent="0.25">
      <c r="B355" s="1002" t="str">
        <f t="shared" si="7"/>
        <v/>
      </c>
      <c r="C355" s="1112"/>
      <c r="D355" s="1055"/>
      <c r="E355" s="1000"/>
      <c r="F355" s="880"/>
      <c r="G355" s="880"/>
      <c r="H355" s="880"/>
      <c r="I355" s="882"/>
    </row>
    <row r="356" spans="2:9" outlineLevel="3" x14ac:dyDescent="0.25">
      <c r="B356" s="1002" t="str">
        <f t="shared" si="7"/>
        <v/>
      </c>
      <c r="C356" s="1112"/>
      <c r="D356" s="1055"/>
      <c r="E356" s="1000"/>
      <c r="F356" s="880"/>
      <c r="G356" s="880"/>
      <c r="H356" s="880"/>
      <c r="I356" s="882"/>
    </row>
    <row r="357" spans="2:9" outlineLevel="3" x14ac:dyDescent="0.25">
      <c r="B357" s="1002" t="str">
        <f t="shared" si="7"/>
        <v/>
      </c>
      <c r="C357" s="1112"/>
      <c r="D357" s="1055"/>
      <c r="E357" s="1000"/>
      <c r="F357" s="880"/>
      <c r="G357" s="880"/>
      <c r="H357" s="880"/>
      <c r="I357" s="882"/>
    </row>
    <row r="358" spans="2:9" outlineLevel="3" x14ac:dyDescent="0.25">
      <c r="B358" s="1002" t="str">
        <f t="shared" si="7"/>
        <v/>
      </c>
      <c r="C358" s="1112"/>
      <c r="D358" s="1055"/>
      <c r="E358" s="1000"/>
      <c r="F358" s="880"/>
      <c r="G358" s="880"/>
      <c r="H358" s="880"/>
      <c r="I358" s="882"/>
    </row>
    <row r="359" spans="2:9" outlineLevel="3" x14ac:dyDescent="0.25">
      <c r="B359" s="1002" t="str">
        <f t="shared" si="7"/>
        <v/>
      </c>
      <c r="C359" s="1112"/>
      <c r="D359" s="1055"/>
      <c r="E359" s="1000"/>
      <c r="F359" s="880"/>
      <c r="G359" s="880"/>
      <c r="H359" s="880"/>
      <c r="I359" s="882"/>
    </row>
    <row r="360" spans="2:9" outlineLevel="3" x14ac:dyDescent="0.25">
      <c r="B360" s="1002" t="str">
        <f t="shared" si="7"/>
        <v/>
      </c>
      <c r="C360" s="1112"/>
      <c r="D360" s="1055"/>
      <c r="E360" s="1000"/>
      <c r="F360" s="880"/>
      <c r="G360" s="880"/>
      <c r="H360" s="880"/>
      <c r="I360" s="882"/>
    </row>
    <row r="361" spans="2:9" outlineLevel="3" x14ac:dyDescent="0.25">
      <c r="B361" s="1002" t="str">
        <f t="shared" si="7"/>
        <v/>
      </c>
      <c r="C361" s="1112"/>
      <c r="D361" s="1055"/>
      <c r="E361" s="1000"/>
      <c r="F361" s="880"/>
      <c r="G361" s="880"/>
      <c r="H361" s="880"/>
      <c r="I361" s="882"/>
    </row>
    <row r="362" spans="2:9" outlineLevel="3" x14ac:dyDescent="0.25">
      <c r="B362" s="1002" t="str">
        <f t="shared" si="7"/>
        <v/>
      </c>
      <c r="C362" s="1112"/>
      <c r="D362" s="1055"/>
      <c r="E362" s="1000"/>
      <c r="F362" s="880"/>
      <c r="G362" s="880"/>
      <c r="H362" s="880"/>
      <c r="I362" s="882"/>
    </row>
    <row r="363" spans="2:9" outlineLevel="3" x14ac:dyDescent="0.25">
      <c r="B363" s="1002" t="str">
        <f t="shared" si="7"/>
        <v/>
      </c>
      <c r="C363" s="1112"/>
      <c r="D363" s="1055"/>
      <c r="E363" s="1000"/>
      <c r="F363" s="880"/>
      <c r="G363" s="880"/>
      <c r="H363" s="880"/>
      <c r="I363" s="882"/>
    </row>
    <row r="364" spans="2:9" outlineLevel="3" x14ac:dyDescent="0.25">
      <c r="B364" s="1002" t="str">
        <f t="shared" si="7"/>
        <v/>
      </c>
      <c r="C364" s="1112"/>
      <c r="D364" s="1055"/>
      <c r="E364" s="1000"/>
      <c r="F364" s="880"/>
      <c r="G364" s="880"/>
      <c r="H364" s="880"/>
      <c r="I364" s="882"/>
    </row>
    <row r="365" spans="2:9" ht="15.75" outlineLevel="3" thickBot="1" x14ac:dyDescent="0.3">
      <c r="B365" s="1002" t="str">
        <f t="shared" si="7"/>
        <v/>
      </c>
      <c r="C365" s="860"/>
      <c r="D365" s="1054"/>
      <c r="E365" s="1053"/>
      <c r="F365" s="861"/>
      <c r="G365" s="861"/>
      <c r="H365" s="861"/>
      <c r="I365" s="1052"/>
    </row>
    <row r="366" spans="2:9" ht="18.75" customHeight="1" outlineLevel="2" thickBot="1" x14ac:dyDescent="0.3">
      <c r="B366" s="971" t="s">
        <v>1059</v>
      </c>
      <c r="C366" s="1059"/>
      <c r="D366" s="1059"/>
      <c r="E366" s="1059"/>
      <c r="F366" s="1058"/>
      <c r="G366" s="1058"/>
      <c r="H366" s="1060"/>
      <c r="I366" s="1059"/>
    </row>
    <row r="367" spans="2:9" outlineLevel="3" x14ac:dyDescent="0.25">
      <c r="B367" s="898" t="str">
        <f>IF(ISBLANK(B265),"",B265)</f>
        <v/>
      </c>
      <c r="C367" s="927"/>
      <c r="D367" s="1056"/>
      <c r="E367" s="995"/>
      <c r="F367" s="885"/>
      <c r="G367" s="885"/>
      <c r="H367" s="885"/>
      <c r="I367" s="886"/>
    </row>
    <row r="368" spans="2:9" outlineLevel="3" x14ac:dyDescent="0.25">
      <c r="B368" s="1002" t="str">
        <f>IF(ISBLANK(B266),"",B266)</f>
        <v/>
      </c>
      <c r="C368" s="1112"/>
      <c r="D368" s="1055"/>
      <c r="E368" s="1000"/>
      <c r="F368" s="880"/>
      <c r="G368" s="880"/>
      <c r="H368" s="880"/>
      <c r="I368" s="882"/>
    </row>
    <row r="369" spans="2:9" outlineLevel="3" x14ac:dyDescent="0.25">
      <c r="B369" s="1002" t="str">
        <f t="shared" ref="B369:B391" si="8">IF(ISBLANK(B267),"",B267)</f>
        <v/>
      </c>
      <c r="C369" s="1112"/>
      <c r="D369" s="1055"/>
      <c r="E369" s="1000"/>
      <c r="F369" s="880"/>
      <c r="G369" s="880"/>
      <c r="H369" s="880"/>
      <c r="I369" s="882"/>
    </row>
    <row r="370" spans="2:9" outlineLevel="3" x14ac:dyDescent="0.25">
      <c r="B370" s="1002" t="str">
        <f t="shared" si="8"/>
        <v/>
      </c>
      <c r="C370" s="1112"/>
      <c r="D370" s="1055"/>
      <c r="E370" s="1000"/>
      <c r="F370" s="880"/>
      <c r="G370" s="880"/>
      <c r="H370" s="880"/>
      <c r="I370" s="882"/>
    </row>
    <row r="371" spans="2:9" outlineLevel="3" x14ac:dyDescent="0.25">
      <c r="B371" s="1002" t="str">
        <f t="shared" si="8"/>
        <v/>
      </c>
      <c r="C371" s="1112"/>
      <c r="D371" s="1055"/>
      <c r="E371" s="1000"/>
      <c r="F371" s="880"/>
      <c r="G371" s="880"/>
      <c r="H371" s="880"/>
      <c r="I371" s="882"/>
    </row>
    <row r="372" spans="2:9" outlineLevel="3" x14ac:dyDescent="0.25">
      <c r="B372" s="1002" t="str">
        <f t="shared" si="8"/>
        <v/>
      </c>
      <c r="C372" s="1112"/>
      <c r="D372" s="1055"/>
      <c r="E372" s="1000"/>
      <c r="F372" s="880"/>
      <c r="G372" s="880"/>
      <c r="H372" s="880"/>
      <c r="I372" s="882"/>
    </row>
    <row r="373" spans="2:9" outlineLevel="3" x14ac:dyDescent="0.25">
      <c r="B373" s="1002" t="str">
        <f t="shared" si="8"/>
        <v/>
      </c>
      <c r="C373" s="1112"/>
      <c r="D373" s="1055"/>
      <c r="E373" s="1000"/>
      <c r="F373" s="880"/>
      <c r="G373" s="880"/>
      <c r="H373" s="880"/>
      <c r="I373" s="882"/>
    </row>
    <row r="374" spans="2:9" outlineLevel="3" x14ac:dyDescent="0.25">
      <c r="B374" s="1002" t="str">
        <f t="shared" si="8"/>
        <v/>
      </c>
      <c r="C374" s="1112"/>
      <c r="D374" s="1055"/>
      <c r="E374" s="1000"/>
      <c r="F374" s="880"/>
      <c r="G374" s="880"/>
      <c r="H374" s="880"/>
      <c r="I374" s="882"/>
    </row>
    <row r="375" spans="2:9" outlineLevel="3" x14ac:dyDescent="0.25">
      <c r="B375" s="1002" t="str">
        <f t="shared" si="8"/>
        <v/>
      </c>
      <c r="C375" s="1112"/>
      <c r="D375" s="1055"/>
      <c r="E375" s="1000"/>
      <c r="F375" s="880"/>
      <c r="G375" s="880"/>
      <c r="H375" s="880"/>
      <c r="I375" s="882"/>
    </row>
    <row r="376" spans="2:9" outlineLevel="3" x14ac:dyDescent="0.25">
      <c r="B376" s="1002" t="str">
        <f t="shared" si="8"/>
        <v/>
      </c>
      <c r="C376" s="1112"/>
      <c r="D376" s="1055"/>
      <c r="E376" s="1000"/>
      <c r="F376" s="880"/>
      <c r="G376" s="880"/>
      <c r="H376" s="880"/>
      <c r="I376" s="882"/>
    </row>
    <row r="377" spans="2:9" outlineLevel="3" x14ac:dyDescent="0.25">
      <c r="B377" s="1002" t="str">
        <f t="shared" si="8"/>
        <v/>
      </c>
      <c r="C377" s="1112"/>
      <c r="D377" s="1055"/>
      <c r="E377" s="1000"/>
      <c r="F377" s="880"/>
      <c r="G377" s="880"/>
      <c r="H377" s="880"/>
      <c r="I377" s="882"/>
    </row>
    <row r="378" spans="2:9" outlineLevel="3" x14ac:dyDescent="0.25">
      <c r="B378" s="1002" t="str">
        <f t="shared" si="8"/>
        <v/>
      </c>
      <c r="C378" s="1112"/>
      <c r="D378" s="1055"/>
      <c r="E378" s="1000"/>
      <c r="F378" s="880"/>
      <c r="G378" s="880"/>
      <c r="H378" s="880"/>
      <c r="I378" s="882"/>
    </row>
    <row r="379" spans="2:9" outlineLevel="3" x14ac:dyDescent="0.25">
      <c r="B379" s="1002" t="str">
        <f t="shared" si="8"/>
        <v/>
      </c>
      <c r="C379" s="1112"/>
      <c r="D379" s="1055"/>
      <c r="E379" s="1000"/>
      <c r="F379" s="880"/>
      <c r="G379" s="880"/>
      <c r="H379" s="880"/>
      <c r="I379" s="882"/>
    </row>
    <row r="380" spans="2:9" outlineLevel="3" x14ac:dyDescent="0.25">
      <c r="B380" s="1002" t="str">
        <f t="shared" si="8"/>
        <v/>
      </c>
      <c r="C380" s="1112"/>
      <c r="D380" s="1055"/>
      <c r="E380" s="1000"/>
      <c r="F380" s="880"/>
      <c r="G380" s="880"/>
      <c r="H380" s="880"/>
      <c r="I380" s="882"/>
    </row>
    <row r="381" spans="2:9" outlineLevel="3" x14ac:dyDescent="0.25">
      <c r="B381" s="1002" t="str">
        <f t="shared" si="8"/>
        <v/>
      </c>
      <c r="C381" s="1112"/>
      <c r="D381" s="1055"/>
      <c r="E381" s="1000"/>
      <c r="F381" s="880"/>
      <c r="G381" s="880"/>
      <c r="H381" s="880"/>
      <c r="I381" s="882"/>
    </row>
    <row r="382" spans="2:9" outlineLevel="3" x14ac:dyDescent="0.25">
      <c r="B382" s="1002" t="str">
        <f t="shared" si="8"/>
        <v/>
      </c>
      <c r="C382" s="1112"/>
      <c r="D382" s="1055"/>
      <c r="E382" s="1000"/>
      <c r="F382" s="880"/>
      <c r="G382" s="880"/>
      <c r="H382" s="880"/>
      <c r="I382" s="882"/>
    </row>
    <row r="383" spans="2:9" outlineLevel="3" x14ac:dyDescent="0.25">
      <c r="B383" s="1002" t="str">
        <f t="shared" si="8"/>
        <v/>
      </c>
      <c r="C383" s="1112"/>
      <c r="D383" s="1055"/>
      <c r="E383" s="1000"/>
      <c r="F383" s="880"/>
      <c r="G383" s="880"/>
      <c r="H383" s="880"/>
      <c r="I383" s="882"/>
    </row>
    <row r="384" spans="2:9" outlineLevel="3" x14ac:dyDescent="0.25">
      <c r="B384" s="1002" t="str">
        <f t="shared" si="8"/>
        <v/>
      </c>
      <c r="C384" s="1112"/>
      <c r="D384" s="1055"/>
      <c r="E384" s="1000"/>
      <c r="F384" s="880"/>
      <c r="G384" s="880"/>
      <c r="H384" s="880"/>
      <c r="I384" s="882"/>
    </row>
    <row r="385" spans="2:9" outlineLevel="3" x14ac:dyDescent="0.25">
      <c r="B385" s="1002" t="str">
        <f t="shared" si="8"/>
        <v/>
      </c>
      <c r="C385" s="1112"/>
      <c r="D385" s="1055"/>
      <c r="E385" s="1000"/>
      <c r="F385" s="880"/>
      <c r="G385" s="880"/>
      <c r="H385" s="880"/>
      <c r="I385" s="882"/>
    </row>
    <row r="386" spans="2:9" outlineLevel="3" x14ac:dyDescent="0.25">
      <c r="B386" s="1002" t="str">
        <f t="shared" si="8"/>
        <v/>
      </c>
      <c r="C386" s="1112"/>
      <c r="D386" s="1055"/>
      <c r="E386" s="1000"/>
      <c r="F386" s="880"/>
      <c r="G386" s="880"/>
      <c r="H386" s="880"/>
      <c r="I386" s="882"/>
    </row>
    <row r="387" spans="2:9" outlineLevel="3" x14ac:dyDescent="0.25">
      <c r="B387" s="1002" t="str">
        <f t="shared" si="8"/>
        <v/>
      </c>
      <c r="C387" s="1112"/>
      <c r="D387" s="1055"/>
      <c r="E387" s="1000"/>
      <c r="F387" s="880"/>
      <c r="G387" s="880"/>
      <c r="H387" s="880"/>
      <c r="I387" s="882"/>
    </row>
    <row r="388" spans="2:9" outlineLevel="3" x14ac:dyDescent="0.25">
      <c r="B388" s="1002" t="str">
        <f t="shared" si="8"/>
        <v/>
      </c>
      <c r="C388" s="1112"/>
      <c r="D388" s="1055"/>
      <c r="E388" s="1000"/>
      <c r="F388" s="880"/>
      <c r="G388" s="880"/>
      <c r="H388" s="880"/>
      <c r="I388" s="882"/>
    </row>
    <row r="389" spans="2:9" outlineLevel="3" x14ac:dyDescent="0.25">
      <c r="B389" s="1002" t="str">
        <f t="shared" si="8"/>
        <v/>
      </c>
      <c r="C389" s="1112"/>
      <c r="D389" s="1055"/>
      <c r="E389" s="1000"/>
      <c r="F389" s="880"/>
      <c r="G389" s="880"/>
      <c r="H389" s="880"/>
      <c r="I389" s="882"/>
    </row>
    <row r="390" spans="2:9" outlineLevel="3" x14ac:dyDescent="0.25">
      <c r="B390" s="1002" t="str">
        <f t="shared" si="8"/>
        <v/>
      </c>
      <c r="C390" s="1112"/>
      <c r="D390" s="1055"/>
      <c r="E390" s="1000"/>
      <c r="F390" s="880"/>
      <c r="G390" s="880"/>
      <c r="H390" s="880"/>
      <c r="I390" s="882"/>
    </row>
    <row r="391" spans="2:9" outlineLevel="3" x14ac:dyDescent="0.25">
      <c r="B391" s="1002" t="str">
        <f t="shared" si="8"/>
        <v/>
      </c>
      <c r="C391" s="1112"/>
      <c r="D391" s="1055"/>
      <c r="E391" s="1000"/>
      <c r="F391" s="880"/>
      <c r="G391" s="880"/>
      <c r="H391" s="880"/>
      <c r="I391" s="882"/>
    </row>
    <row r="392" spans="2:9" outlineLevel="3" x14ac:dyDescent="0.25">
      <c r="B392" s="1002" t="str">
        <f t="shared" ref="B392:B416" si="9">IF(ISBLANK(B290),"",B290)</f>
        <v/>
      </c>
      <c r="C392" s="1112"/>
      <c r="D392" s="1055"/>
      <c r="E392" s="1000"/>
      <c r="F392" s="880"/>
      <c r="G392" s="880"/>
      <c r="H392" s="880"/>
      <c r="I392" s="882"/>
    </row>
    <row r="393" spans="2:9" outlineLevel="3" x14ac:dyDescent="0.25">
      <c r="B393" s="1002" t="str">
        <f t="shared" si="9"/>
        <v/>
      </c>
      <c r="C393" s="1112"/>
      <c r="D393" s="1055"/>
      <c r="E393" s="1000"/>
      <c r="F393" s="880"/>
      <c r="G393" s="880"/>
      <c r="H393" s="880"/>
      <c r="I393" s="882"/>
    </row>
    <row r="394" spans="2:9" outlineLevel="3" x14ac:dyDescent="0.25">
      <c r="B394" s="1002" t="str">
        <f t="shared" si="9"/>
        <v/>
      </c>
      <c r="C394" s="1112"/>
      <c r="D394" s="1055"/>
      <c r="E394" s="1000"/>
      <c r="F394" s="880"/>
      <c r="G394" s="880"/>
      <c r="H394" s="880"/>
      <c r="I394" s="882"/>
    </row>
    <row r="395" spans="2:9" outlineLevel="3" x14ac:dyDescent="0.25">
      <c r="B395" s="1002" t="str">
        <f t="shared" si="9"/>
        <v/>
      </c>
      <c r="C395" s="1112"/>
      <c r="D395" s="1055"/>
      <c r="E395" s="1000"/>
      <c r="F395" s="880"/>
      <c r="G395" s="880"/>
      <c r="H395" s="880"/>
      <c r="I395" s="882"/>
    </row>
    <row r="396" spans="2:9" outlineLevel="3" x14ac:dyDescent="0.25">
      <c r="B396" s="1002" t="str">
        <f t="shared" si="9"/>
        <v/>
      </c>
      <c r="C396" s="1112"/>
      <c r="D396" s="1055"/>
      <c r="E396" s="1000"/>
      <c r="F396" s="880"/>
      <c r="G396" s="880"/>
      <c r="H396" s="880"/>
      <c r="I396" s="882"/>
    </row>
    <row r="397" spans="2:9" outlineLevel="3" x14ac:dyDescent="0.25">
      <c r="B397" s="1002" t="str">
        <f t="shared" si="9"/>
        <v/>
      </c>
      <c r="C397" s="1112"/>
      <c r="D397" s="1055"/>
      <c r="E397" s="1000"/>
      <c r="F397" s="880"/>
      <c r="G397" s="880"/>
      <c r="H397" s="880"/>
      <c r="I397" s="882"/>
    </row>
    <row r="398" spans="2:9" outlineLevel="3" x14ac:dyDescent="0.25">
      <c r="B398" s="1002" t="str">
        <f t="shared" si="9"/>
        <v/>
      </c>
      <c r="C398" s="1112"/>
      <c r="D398" s="1055"/>
      <c r="E398" s="1000"/>
      <c r="F398" s="880"/>
      <c r="G398" s="880"/>
      <c r="H398" s="880"/>
      <c r="I398" s="882"/>
    </row>
    <row r="399" spans="2:9" outlineLevel="3" x14ac:dyDescent="0.25">
      <c r="B399" s="1002" t="str">
        <f t="shared" si="9"/>
        <v/>
      </c>
      <c r="C399" s="1112"/>
      <c r="D399" s="1055"/>
      <c r="E399" s="1000"/>
      <c r="F399" s="880"/>
      <c r="G399" s="880"/>
      <c r="H399" s="880"/>
      <c r="I399" s="882"/>
    </row>
    <row r="400" spans="2:9" outlineLevel="3" x14ac:dyDescent="0.25">
      <c r="B400" s="1002" t="str">
        <f t="shared" si="9"/>
        <v/>
      </c>
      <c r="C400" s="1112"/>
      <c r="D400" s="1055"/>
      <c r="E400" s="1000"/>
      <c r="F400" s="880"/>
      <c r="G400" s="880"/>
      <c r="H400" s="880"/>
      <c r="I400" s="882"/>
    </row>
    <row r="401" spans="2:9" outlineLevel="3" x14ac:dyDescent="0.25">
      <c r="B401" s="1002" t="str">
        <f t="shared" si="9"/>
        <v/>
      </c>
      <c r="C401" s="1112"/>
      <c r="D401" s="1055"/>
      <c r="E401" s="1000"/>
      <c r="F401" s="880"/>
      <c r="G401" s="880"/>
      <c r="H401" s="880"/>
      <c r="I401" s="882"/>
    </row>
    <row r="402" spans="2:9" outlineLevel="3" x14ac:dyDescent="0.25">
      <c r="B402" s="1002" t="str">
        <f t="shared" si="9"/>
        <v/>
      </c>
      <c r="C402" s="1112"/>
      <c r="D402" s="1055"/>
      <c r="E402" s="1000"/>
      <c r="F402" s="880"/>
      <c r="G402" s="880"/>
      <c r="H402" s="880"/>
      <c r="I402" s="882"/>
    </row>
    <row r="403" spans="2:9" outlineLevel="3" x14ac:dyDescent="0.25">
      <c r="B403" s="1002" t="str">
        <f t="shared" si="9"/>
        <v/>
      </c>
      <c r="C403" s="1112"/>
      <c r="D403" s="1055"/>
      <c r="E403" s="1000"/>
      <c r="F403" s="880"/>
      <c r="G403" s="880"/>
      <c r="H403" s="880"/>
      <c r="I403" s="882"/>
    </row>
    <row r="404" spans="2:9" outlineLevel="3" x14ac:dyDescent="0.25">
      <c r="B404" s="1002" t="str">
        <f t="shared" si="9"/>
        <v/>
      </c>
      <c r="C404" s="1112"/>
      <c r="D404" s="1055"/>
      <c r="E404" s="1000"/>
      <c r="F404" s="880"/>
      <c r="G404" s="880"/>
      <c r="H404" s="880"/>
      <c r="I404" s="882"/>
    </row>
    <row r="405" spans="2:9" outlineLevel="3" x14ac:dyDescent="0.25">
      <c r="B405" s="1002" t="str">
        <f t="shared" si="9"/>
        <v/>
      </c>
      <c r="C405" s="1112"/>
      <c r="D405" s="1055"/>
      <c r="E405" s="1000"/>
      <c r="F405" s="880"/>
      <c r="G405" s="880"/>
      <c r="H405" s="880"/>
      <c r="I405" s="882"/>
    </row>
    <row r="406" spans="2:9" outlineLevel="3" x14ac:dyDescent="0.25">
      <c r="B406" s="1002" t="str">
        <f t="shared" si="9"/>
        <v/>
      </c>
      <c r="C406" s="1112"/>
      <c r="D406" s="1055"/>
      <c r="E406" s="1000"/>
      <c r="F406" s="880"/>
      <c r="G406" s="880"/>
      <c r="H406" s="880"/>
      <c r="I406" s="882"/>
    </row>
    <row r="407" spans="2:9" outlineLevel="3" x14ac:dyDescent="0.25">
      <c r="B407" s="1002" t="str">
        <f t="shared" si="9"/>
        <v/>
      </c>
      <c r="C407" s="1112"/>
      <c r="D407" s="1055"/>
      <c r="E407" s="1000"/>
      <c r="F407" s="880"/>
      <c r="G407" s="880"/>
      <c r="H407" s="880"/>
      <c r="I407" s="882"/>
    </row>
    <row r="408" spans="2:9" outlineLevel="3" x14ac:dyDescent="0.25">
      <c r="B408" s="1002" t="str">
        <f t="shared" si="9"/>
        <v/>
      </c>
      <c r="C408" s="1112"/>
      <c r="D408" s="1055"/>
      <c r="E408" s="1000"/>
      <c r="F408" s="880"/>
      <c r="G408" s="880"/>
      <c r="H408" s="880"/>
      <c r="I408" s="882"/>
    </row>
    <row r="409" spans="2:9" outlineLevel="3" x14ac:dyDescent="0.25">
      <c r="B409" s="1002" t="str">
        <f t="shared" si="9"/>
        <v/>
      </c>
      <c r="C409" s="1112"/>
      <c r="D409" s="1055"/>
      <c r="E409" s="1000"/>
      <c r="F409" s="880"/>
      <c r="G409" s="880"/>
      <c r="H409" s="880"/>
      <c r="I409" s="882"/>
    </row>
    <row r="410" spans="2:9" outlineLevel="3" x14ac:dyDescent="0.25">
      <c r="B410" s="1002" t="str">
        <f t="shared" si="9"/>
        <v/>
      </c>
      <c r="C410" s="1112"/>
      <c r="D410" s="1055"/>
      <c r="E410" s="1000"/>
      <c r="F410" s="880"/>
      <c r="G410" s="880"/>
      <c r="H410" s="880"/>
      <c r="I410" s="882"/>
    </row>
    <row r="411" spans="2:9" outlineLevel="3" x14ac:dyDescent="0.25">
      <c r="B411" s="1002" t="str">
        <f t="shared" si="9"/>
        <v/>
      </c>
      <c r="C411" s="1112"/>
      <c r="D411" s="1055"/>
      <c r="E411" s="1000"/>
      <c r="F411" s="880"/>
      <c r="G411" s="880"/>
      <c r="H411" s="880"/>
      <c r="I411" s="882"/>
    </row>
    <row r="412" spans="2:9" outlineLevel="3" x14ac:dyDescent="0.25">
      <c r="B412" s="1002" t="str">
        <f t="shared" si="9"/>
        <v/>
      </c>
      <c r="C412" s="1112"/>
      <c r="D412" s="1055"/>
      <c r="E412" s="1000"/>
      <c r="F412" s="880"/>
      <c r="G412" s="880"/>
      <c r="H412" s="880"/>
      <c r="I412" s="882"/>
    </row>
    <row r="413" spans="2:9" outlineLevel="3" x14ac:dyDescent="0.25">
      <c r="B413" s="1002" t="str">
        <f t="shared" si="9"/>
        <v/>
      </c>
      <c r="C413" s="1112"/>
      <c r="D413" s="1055"/>
      <c r="E413" s="1000"/>
      <c r="F413" s="880"/>
      <c r="G413" s="880"/>
      <c r="H413" s="880"/>
      <c r="I413" s="882"/>
    </row>
    <row r="414" spans="2:9" outlineLevel="3" x14ac:dyDescent="0.25">
      <c r="B414" s="1002" t="str">
        <f t="shared" si="9"/>
        <v/>
      </c>
      <c r="C414" s="1112"/>
      <c r="D414" s="1055"/>
      <c r="E414" s="1000"/>
      <c r="F414" s="880"/>
      <c r="G414" s="880"/>
      <c r="H414" s="880"/>
      <c r="I414" s="882"/>
    </row>
    <row r="415" spans="2:9" outlineLevel="3" x14ac:dyDescent="0.25">
      <c r="B415" s="1002" t="str">
        <f t="shared" si="9"/>
        <v/>
      </c>
      <c r="C415" s="1112"/>
      <c r="D415" s="1055"/>
      <c r="E415" s="1000"/>
      <c r="F415" s="880"/>
      <c r="G415" s="880"/>
      <c r="H415" s="880"/>
      <c r="I415" s="882"/>
    </row>
    <row r="416" spans="2:9" ht="15.75" outlineLevel="3" thickBot="1" x14ac:dyDescent="0.3">
      <c r="B416" s="929" t="str">
        <f t="shared" si="9"/>
        <v/>
      </c>
      <c r="C416" s="860"/>
      <c r="D416" s="1054"/>
      <c r="E416" s="1053"/>
      <c r="F416" s="861"/>
      <c r="G416" s="861"/>
      <c r="H416" s="861"/>
      <c r="I416" s="1052"/>
    </row>
    <row r="417" spans="1:17" outlineLevel="2" x14ac:dyDescent="0.25"/>
    <row r="418" spans="1:17" ht="15.75" outlineLevel="1" thickBot="1" x14ac:dyDescent="0.3"/>
    <row r="419" spans="1:17" ht="25.5" customHeight="1" outlineLevel="1" thickBot="1" x14ac:dyDescent="0.3">
      <c r="B419" s="998" t="s">
        <v>1028</v>
      </c>
      <c r="C419" s="899"/>
      <c r="D419" s="899"/>
      <c r="E419" s="899"/>
      <c r="F419" s="899"/>
      <c r="G419" s="899"/>
      <c r="H419" s="899"/>
      <c r="I419" s="899"/>
    </row>
    <row r="420" spans="1:17" s="42" customFormat="1" ht="27.95" customHeight="1" outlineLevel="2" x14ac:dyDescent="0.25">
      <c r="A420"/>
      <c r="B420"/>
      <c r="C420" s="1516" t="s">
        <v>951</v>
      </c>
      <c r="D420" s="1517"/>
      <c r="E420" s="1518"/>
      <c r="F420" s="1518"/>
      <c r="G420" s="1518"/>
      <c r="H420" s="1518"/>
      <c r="I420" s="1518"/>
      <c r="J420"/>
      <c r="K420"/>
      <c r="L420"/>
      <c r="M420"/>
      <c r="N420"/>
      <c r="O420"/>
      <c r="P420"/>
      <c r="Q420"/>
    </row>
    <row r="421" spans="1:17" s="42" customFormat="1" outlineLevel="2" x14ac:dyDescent="0.25">
      <c r="A421"/>
      <c r="B421" s="1057"/>
      <c r="C421" s="1513" t="s">
        <v>1081</v>
      </c>
      <c r="D421" s="1514"/>
      <c r="E421" s="1515"/>
      <c r="F421" s="1515"/>
      <c r="G421" s="1515"/>
      <c r="H421" s="1515"/>
      <c r="I421" s="1515"/>
      <c r="J421"/>
      <c r="K421"/>
      <c r="L421"/>
      <c r="M421"/>
      <c r="N421"/>
      <c r="O421"/>
      <c r="P421"/>
    </row>
    <row r="422" spans="1:17" ht="18.75" customHeight="1" outlineLevel="2" thickBot="1" x14ac:dyDescent="0.3">
      <c r="B422" s="1089" t="s">
        <v>1015</v>
      </c>
      <c r="C422" s="1113" t="str">
        <f ca="1">CRCP_y4</f>
        <v>2025-26</v>
      </c>
      <c r="D422" s="1114" t="str">
        <f ca="1">CRCP_y5</f>
        <v>2026-27</v>
      </c>
      <c r="E422" s="1115" t="str">
        <f>FRCP_y1</f>
        <v>2027-28</v>
      </c>
      <c r="F422" s="1115" t="str">
        <f ca="1">FRCP_y2</f>
        <v>2028-29</v>
      </c>
      <c r="G422" s="1115" t="str">
        <f ca="1">FRCP_y3</f>
        <v>2029-30</v>
      </c>
      <c r="H422" s="1115" t="str">
        <f ca="1">FRCP_y4</f>
        <v>2030-31</v>
      </c>
      <c r="I422" s="1116" t="str">
        <f ca="1">FRCP_y5</f>
        <v>2031-32</v>
      </c>
    </row>
    <row r="423" spans="1:17" outlineLevel="3" x14ac:dyDescent="0.25">
      <c r="B423" s="1001" t="str">
        <f>IF(ISBLANK(B265),"",B265)</f>
        <v/>
      </c>
      <c r="C423" s="927"/>
      <c r="D423" s="1056"/>
      <c r="E423" s="995"/>
      <c r="F423" s="885"/>
      <c r="G423" s="885"/>
      <c r="H423" s="885"/>
      <c r="I423" s="886"/>
    </row>
    <row r="424" spans="1:17" outlineLevel="3" x14ac:dyDescent="0.25">
      <c r="B424" s="1069" t="str">
        <f>IF(ISBLANK(B266),"",B266)</f>
        <v/>
      </c>
      <c r="C424" s="1112"/>
      <c r="D424" s="1055"/>
      <c r="E424" s="1000"/>
      <c r="F424" s="880"/>
      <c r="G424" s="880"/>
      <c r="H424" s="880"/>
      <c r="I424" s="882"/>
    </row>
    <row r="425" spans="1:17" outlineLevel="3" x14ac:dyDescent="0.25">
      <c r="B425" s="1069" t="str">
        <f t="shared" ref="B425:B472" si="10">IF(ISBLANK(B267),"",B267)</f>
        <v/>
      </c>
      <c r="C425" s="1112"/>
      <c r="D425" s="1055"/>
      <c r="E425" s="1000"/>
      <c r="F425" s="880"/>
      <c r="G425" s="880"/>
      <c r="H425" s="880"/>
      <c r="I425" s="882"/>
    </row>
    <row r="426" spans="1:17" outlineLevel="3" x14ac:dyDescent="0.25">
      <c r="B426" s="1069" t="str">
        <f t="shared" si="10"/>
        <v/>
      </c>
      <c r="C426" s="1112"/>
      <c r="D426" s="1055"/>
      <c r="E426" s="1000"/>
      <c r="F426" s="880"/>
      <c r="G426" s="880"/>
      <c r="H426" s="880"/>
      <c r="I426" s="882"/>
    </row>
    <row r="427" spans="1:17" outlineLevel="3" x14ac:dyDescent="0.25">
      <c r="B427" s="1069" t="str">
        <f t="shared" si="10"/>
        <v/>
      </c>
      <c r="C427" s="1112"/>
      <c r="D427" s="1055"/>
      <c r="E427" s="1000"/>
      <c r="F427" s="880"/>
      <c r="G427" s="880"/>
      <c r="H427" s="880"/>
      <c r="I427" s="882"/>
    </row>
    <row r="428" spans="1:17" outlineLevel="3" x14ac:dyDescent="0.25">
      <c r="B428" s="1069" t="str">
        <f t="shared" si="10"/>
        <v/>
      </c>
      <c r="C428" s="1112"/>
      <c r="D428" s="1055"/>
      <c r="E428" s="1000"/>
      <c r="F428" s="880"/>
      <c r="G428" s="880"/>
      <c r="H428" s="880"/>
      <c r="I428" s="882"/>
    </row>
    <row r="429" spans="1:17" outlineLevel="3" x14ac:dyDescent="0.25">
      <c r="B429" s="1069" t="str">
        <f t="shared" si="10"/>
        <v/>
      </c>
      <c r="C429" s="1112"/>
      <c r="D429" s="1055"/>
      <c r="E429" s="1000"/>
      <c r="F429" s="880"/>
      <c r="G429" s="880"/>
      <c r="H429" s="880"/>
      <c r="I429" s="882"/>
    </row>
    <row r="430" spans="1:17" outlineLevel="3" x14ac:dyDescent="0.25">
      <c r="B430" s="1069" t="str">
        <f t="shared" si="10"/>
        <v/>
      </c>
      <c r="C430" s="1112"/>
      <c r="D430" s="1055"/>
      <c r="E430" s="1000"/>
      <c r="F430" s="880"/>
      <c r="G430" s="880"/>
      <c r="H430" s="880"/>
      <c r="I430" s="882"/>
    </row>
    <row r="431" spans="1:17" outlineLevel="3" x14ac:dyDescent="0.25">
      <c r="B431" s="1069" t="str">
        <f t="shared" si="10"/>
        <v/>
      </c>
      <c r="C431" s="1112"/>
      <c r="D431" s="1055"/>
      <c r="E431" s="1000"/>
      <c r="F431" s="880"/>
      <c r="G431" s="880"/>
      <c r="H431" s="880"/>
      <c r="I431" s="882"/>
    </row>
    <row r="432" spans="1:17" outlineLevel="3" x14ac:dyDescent="0.25">
      <c r="B432" s="1069" t="str">
        <f t="shared" si="10"/>
        <v/>
      </c>
      <c r="C432" s="1112"/>
      <c r="D432" s="1055"/>
      <c r="E432" s="1000"/>
      <c r="F432" s="880"/>
      <c r="G432" s="880"/>
      <c r="H432" s="880"/>
      <c r="I432" s="882"/>
    </row>
    <row r="433" spans="2:9" outlineLevel="3" x14ac:dyDescent="0.25">
      <c r="B433" s="1069" t="str">
        <f t="shared" si="10"/>
        <v/>
      </c>
      <c r="C433" s="1112"/>
      <c r="D433" s="1055"/>
      <c r="E433" s="1000"/>
      <c r="F433" s="880"/>
      <c r="G433" s="880"/>
      <c r="H433" s="880"/>
      <c r="I433" s="882"/>
    </row>
    <row r="434" spans="2:9" outlineLevel="3" x14ac:dyDescent="0.25">
      <c r="B434" s="1069" t="str">
        <f t="shared" si="10"/>
        <v/>
      </c>
      <c r="C434" s="1112"/>
      <c r="D434" s="1055"/>
      <c r="E434" s="1000"/>
      <c r="F434" s="880"/>
      <c r="G434" s="880"/>
      <c r="H434" s="880"/>
      <c r="I434" s="882"/>
    </row>
    <row r="435" spans="2:9" outlineLevel="3" x14ac:dyDescent="0.25">
      <c r="B435" s="1069" t="str">
        <f t="shared" si="10"/>
        <v/>
      </c>
      <c r="C435" s="1112"/>
      <c r="D435" s="1055"/>
      <c r="E435" s="1000"/>
      <c r="F435" s="880"/>
      <c r="G435" s="880"/>
      <c r="H435" s="880"/>
      <c r="I435" s="882"/>
    </row>
    <row r="436" spans="2:9" outlineLevel="3" x14ac:dyDescent="0.25">
      <c r="B436" s="1069" t="str">
        <f t="shared" si="10"/>
        <v/>
      </c>
      <c r="C436" s="1112"/>
      <c r="D436" s="1055"/>
      <c r="E436" s="1000"/>
      <c r="F436" s="880"/>
      <c r="G436" s="880"/>
      <c r="H436" s="880"/>
      <c r="I436" s="882"/>
    </row>
    <row r="437" spans="2:9" outlineLevel="3" x14ac:dyDescent="0.25">
      <c r="B437" s="1069" t="str">
        <f t="shared" si="10"/>
        <v/>
      </c>
      <c r="C437" s="1112"/>
      <c r="D437" s="1055"/>
      <c r="E437" s="1000"/>
      <c r="F437" s="880"/>
      <c r="G437" s="880"/>
      <c r="H437" s="880"/>
      <c r="I437" s="882"/>
    </row>
    <row r="438" spans="2:9" outlineLevel="3" x14ac:dyDescent="0.25">
      <c r="B438" s="1069" t="str">
        <f t="shared" si="10"/>
        <v/>
      </c>
      <c r="C438" s="1112"/>
      <c r="D438" s="1055"/>
      <c r="E438" s="1000"/>
      <c r="F438" s="880"/>
      <c r="G438" s="880"/>
      <c r="H438" s="880"/>
      <c r="I438" s="882"/>
    </row>
    <row r="439" spans="2:9" outlineLevel="3" x14ac:dyDescent="0.25">
      <c r="B439" s="1069" t="str">
        <f t="shared" si="10"/>
        <v/>
      </c>
      <c r="C439" s="1112"/>
      <c r="D439" s="1055"/>
      <c r="E439" s="1000"/>
      <c r="F439" s="880"/>
      <c r="G439" s="880"/>
      <c r="H439" s="880"/>
      <c r="I439" s="882"/>
    </row>
    <row r="440" spans="2:9" outlineLevel="3" x14ac:dyDescent="0.25">
      <c r="B440" s="1069" t="str">
        <f t="shared" si="10"/>
        <v/>
      </c>
      <c r="C440" s="1112"/>
      <c r="D440" s="1055"/>
      <c r="E440" s="1000"/>
      <c r="F440" s="880"/>
      <c r="G440" s="880"/>
      <c r="H440" s="880"/>
      <c r="I440" s="882"/>
    </row>
    <row r="441" spans="2:9" outlineLevel="3" x14ac:dyDescent="0.25">
      <c r="B441" s="1069" t="str">
        <f t="shared" si="10"/>
        <v/>
      </c>
      <c r="C441" s="1112"/>
      <c r="D441" s="1055"/>
      <c r="E441" s="1000"/>
      <c r="F441" s="880"/>
      <c r="G441" s="880"/>
      <c r="H441" s="880"/>
      <c r="I441" s="882"/>
    </row>
    <row r="442" spans="2:9" outlineLevel="3" x14ac:dyDescent="0.25">
      <c r="B442" s="1069" t="str">
        <f t="shared" si="10"/>
        <v/>
      </c>
      <c r="C442" s="1112"/>
      <c r="D442" s="1055"/>
      <c r="E442" s="1000"/>
      <c r="F442" s="880"/>
      <c r="G442" s="880"/>
      <c r="H442" s="880"/>
      <c r="I442" s="882"/>
    </row>
    <row r="443" spans="2:9" outlineLevel="3" x14ac:dyDescent="0.25">
      <c r="B443" s="1069" t="str">
        <f t="shared" si="10"/>
        <v/>
      </c>
      <c r="C443" s="1112"/>
      <c r="D443" s="1055"/>
      <c r="E443" s="1000"/>
      <c r="F443" s="880"/>
      <c r="G443" s="880"/>
      <c r="H443" s="880"/>
      <c r="I443" s="882"/>
    </row>
    <row r="444" spans="2:9" outlineLevel="3" x14ac:dyDescent="0.25">
      <c r="B444" s="1069" t="str">
        <f t="shared" si="10"/>
        <v/>
      </c>
      <c r="C444" s="1112"/>
      <c r="D444" s="1055"/>
      <c r="E444" s="1000"/>
      <c r="F444" s="880"/>
      <c r="G444" s="880"/>
      <c r="H444" s="880"/>
      <c r="I444" s="882"/>
    </row>
    <row r="445" spans="2:9" outlineLevel="3" x14ac:dyDescent="0.25">
      <c r="B445" s="1069" t="str">
        <f t="shared" si="10"/>
        <v/>
      </c>
      <c r="C445" s="1112"/>
      <c r="D445" s="1055"/>
      <c r="E445" s="1000"/>
      <c r="F445" s="880"/>
      <c r="G445" s="880"/>
      <c r="H445" s="880"/>
      <c r="I445" s="882"/>
    </row>
    <row r="446" spans="2:9" outlineLevel="3" x14ac:dyDescent="0.25">
      <c r="B446" s="1069" t="str">
        <f t="shared" si="10"/>
        <v/>
      </c>
      <c r="C446" s="1112"/>
      <c r="D446" s="1055"/>
      <c r="E446" s="1000"/>
      <c r="F446" s="880"/>
      <c r="G446" s="880"/>
      <c r="H446" s="880"/>
      <c r="I446" s="882"/>
    </row>
    <row r="447" spans="2:9" outlineLevel="3" x14ac:dyDescent="0.25">
      <c r="B447" s="1069" t="str">
        <f t="shared" si="10"/>
        <v/>
      </c>
      <c r="C447" s="1112"/>
      <c r="D447" s="1055"/>
      <c r="E447" s="1000"/>
      <c r="F447" s="880"/>
      <c r="G447" s="880"/>
      <c r="H447" s="880"/>
      <c r="I447" s="882"/>
    </row>
    <row r="448" spans="2:9" outlineLevel="3" x14ac:dyDescent="0.25">
      <c r="B448" s="1069" t="str">
        <f t="shared" si="10"/>
        <v/>
      </c>
      <c r="C448" s="1112"/>
      <c r="D448" s="1055"/>
      <c r="E448" s="1000"/>
      <c r="F448" s="880"/>
      <c r="G448" s="880"/>
      <c r="H448" s="880"/>
      <c r="I448" s="882"/>
    </row>
    <row r="449" spans="2:9" outlineLevel="3" x14ac:dyDescent="0.25">
      <c r="B449" s="1069" t="str">
        <f t="shared" si="10"/>
        <v/>
      </c>
      <c r="C449" s="1112"/>
      <c r="D449" s="1055"/>
      <c r="E449" s="1000"/>
      <c r="F449" s="880"/>
      <c r="G449" s="880"/>
      <c r="H449" s="880"/>
      <c r="I449" s="882"/>
    </row>
    <row r="450" spans="2:9" outlineLevel="3" x14ac:dyDescent="0.25">
      <c r="B450" s="1069" t="str">
        <f t="shared" si="10"/>
        <v/>
      </c>
      <c r="C450" s="1112"/>
      <c r="D450" s="1055"/>
      <c r="E450" s="1000"/>
      <c r="F450" s="880"/>
      <c r="G450" s="880"/>
      <c r="H450" s="880"/>
      <c r="I450" s="882"/>
    </row>
    <row r="451" spans="2:9" outlineLevel="3" x14ac:dyDescent="0.25">
      <c r="B451" s="1069" t="str">
        <f t="shared" si="10"/>
        <v/>
      </c>
      <c r="C451" s="1112"/>
      <c r="D451" s="1055"/>
      <c r="E451" s="1000"/>
      <c r="F451" s="880"/>
      <c r="G451" s="880"/>
      <c r="H451" s="880"/>
      <c r="I451" s="882"/>
    </row>
    <row r="452" spans="2:9" outlineLevel="3" x14ac:dyDescent="0.25">
      <c r="B452" s="1069" t="str">
        <f t="shared" si="10"/>
        <v/>
      </c>
      <c r="C452" s="1112"/>
      <c r="D452" s="1055"/>
      <c r="E452" s="1000"/>
      <c r="F452" s="880"/>
      <c r="G452" s="880"/>
      <c r="H452" s="880"/>
      <c r="I452" s="882"/>
    </row>
    <row r="453" spans="2:9" outlineLevel="3" x14ac:dyDescent="0.25">
      <c r="B453" s="1069" t="str">
        <f t="shared" si="10"/>
        <v/>
      </c>
      <c r="C453" s="1112"/>
      <c r="D453" s="1055"/>
      <c r="E453" s="1000"/>
      <c r="F453" s="880"/>
      <c r="G453" s="880"/>
      <c r="H453" s="880"/>
      <c r="I453" s="882"/>
    </row>
    <row r="454" spans="2:9" outlineLevel="3" x14ac:dyDescent="0.25">
      <c r="B454" s="1069" t="str">
        <f t="shared" si="10"/>
        <v/>
      </c>
      <c r="C454" s="1112"/>
      <c r="D454" s="1055"/>
      <c r="E454" s="1000"/>
      <c r="F454" s="880"/>
      <c r="G454" s="880"/>
      <c r="H454" s="880"/>
      <c r="I454" s="882"/>
    </row>
    <row r="455" spans="2:9" outlineLevel="3" x14ac:dyDescent="0.25">
      <c r="B455" s="1069" t="str">
        <f t="shared" si="10"/>
        <v/>
      </c>
      <c r="C455" s="1112"/>
      <c r="D455" s="1055"/>
      <c r="E455" s="1000"/>
      <c r="F455" s="880"/>
      <c r="G455" s="880"/>
      <c r="H455" s="880"/>
      <c r="I455" s="882"/>
    </row>
    <row r="456" spans="2:9" outlineLevel="3" x14ac:dyDescent="0.25">
      <c r="B456" s="1069" t="str">
        <f t="shared" si="10"/>
        <v/>
      </c>
      <c r="C456" s="1112"/>
      <c r="D456" s="1055"/>
      <c r="E456" s="1000"/>
      <c r="F456" s="880"/>
      <c r="G456" s="880"/>
      <c r="H456" s="880"/>
      <c r="I456" s="882"/>
    </row>
    <row r="457" spans="2:9" outlineLevel="3" x14ac:dyDescent="0.25">
      <c r="B457" s="1069" t="str">
        <f t="shared" si="10"/>
        <v/>
      </c>
      <c r="C457" s="1112"/>
      <c r="D457" s="1055"/>
      <c r="E457" s="1000"/>
      <c r="F457" s="880"/>
      <c r="G457" s="880"/>
      <c r="H457" s="880"/>
      <c r="I457" s="882"/>
    </row>
    <row r="458" spans="2:9" outlineLevel="3" x14ac:dyDescent="0.25">
      <c r="B458" s="1069" t="str">
        <f t="shared" si="10"/>
        <v/>
      </c>
      <c r="C458" s="1112"/>
      <c r="D458" s="1055"/>
      <c r="E458" s="1000"/>
      <c r="F458" s="880"/>
      <c r="G458" s="880"/>
      <c r="H458" s="880"/>
      <c r="I458" s="882"/>
    </row>
    <row r="459" spans="2:9" outlineLevel="3" x14ac:dyDescent="0.25">
      <c r="B459" s="1069" t="str">
        <f t="shared" si="10"/>
        <v/>
      </c>
      <c r="C459" s="1112"/>
      <c r="D459" s="1055"/>
      <c r="E459" s="1000"/>
      <c r="F459" s="880"/>
      <c r="G459" s="880"/>
      <c r="H459" s="880"/>
      <c r="I459" s="882"/>
    </row>
    <row r="460" spans="2:9" outlineLevel="3" x14ac:dyDescent="0.25">
      <c r="B460" s="1069" t="str">
        <f t="shared" si="10"/>
        <v/>
      </c>
      <c r="C460" s="1112"/>
      <c r="D460" s="1055"/>
      <c r="E460" s="1000"/>
      <c r="F460" s="880"/>
      <c r="G460" s="880"/>
      <c r="H460" s="880"/>
      <c r="I460" s="882"/>
    </row>
    <row r="461" spans="2:9" outlineLevel="3" x14ac:dyDescent="0.25">
      <c r="B461" s="1069" t="str">
        <f t="shared" si="10"/>
        <v/>
      </c>
      <c r="C461" s="1112"/>
      <c r="D461" s="1055"/>
      <c r="E461" s="1000"/>
      <c r="F461" s="880"/>
      <c r="G461" s="880"/>
      <c r="H461" s="880"/>
      <c r="I461" s="882"/>
    </row>
    <row r="462" spans="2:9" outlineLevel="3" x14ac:dyDescent="0.25">
      <c r="B462" s="1069" t="str">
        <f t="shared" si="10"/>
        <v/>
      </c>
      <c r="C462" s="1112"/>
      <c r="D462" s="1055"/>
      <c r="E462" s="1000"/>
      <c r="F462" s="880"/>
      <c r="G462" s="880"/>
      <c r="H462" s="880"/>
      <c r="I462" s="882"/>
    </row>
    <row r="463" spans="2:9" outlineLevel="3" x14ac:dyDescent="0.25">
      <c r="B463" s="1069" t="str">
        <f t="shared" si="10"/>
        <v/>
      </c>
      <c r="C463" s="1112"/>
      <c r="D463" s="1055"/>
      <c r="E463" s="1000"/>
      <c r="F463" s="880"/>
      <c r="G463" s="880"/>
      <c r="H463" s="880"/>
      <c r="I463" s="882"/>
    </row>
    <row r="464" spans="2:9" outlineLevel="3" x14ac:dyDescent="0.25">
      <c r="B464" s="1069" t="str">
        <f t="shared" si="10"/>
        <v/>
      </c>
      <c r="C464" s="1112"/>
      <c r="D464" s="1055"/>
      <c r="E464" s="1000"/>
      <c r="F464" s="880"/>
      <c r="G464" s="880"/>
      <c r="H464" s="880"/>
      <c r="I464" s="882"/>
    </row>
    <row r="465" spans="2:9" outlineLevel="3" x14ac:dyDescent="0.25">
      <c r="B465" s="1069" t="str">
        <f t="shared" si="10"/>
        <v/>
      </c>
      <c r="C465" s="1112"/>
      <c r="D465" s="1055"/>
      <c r="E465" s="1000"/>
      <c r="F465" s="880"/>
      <c r="G465" s="880"/>
      <c r="H465" s="880"/>
      <c r="I465" s="882"/>
    </row>
    <row r="466" spans="2:9" outlineLevel="3" x14ac:dyDescent="0.25">
      <c r="B466" s="1069" t="str">
        <f t="shared" si="10"/>
        <v/>
      </c>
      <c r="C466" s="1112"/>
      <c r="D466" s="1055"/>
      <c r="E466" s="1000"/>
      <c r="F466" s="880"/>
      <c r="G466" s="880"/>
      <c r="H466" s="880"/>
      <c r="I466" s="882"/>
    </row>
    <row r="467" spans="2:9" outlineLevel="3" x14ac:dyDescent="0.25">
      <c r="B467" s="1069" t="str">
        <f t="shared" si="10"/>
        <v/>
      </c>
      <c r="C467" s="1112"/>
      <c r="D467" s="1055"/>
      <c r="E467" s="1000"/>
      <c r="F467" s="880"/>
      <c r="G467" s="880"/>
      <c r="H467" s="880"/>
      <c r="I467" s="882"/>
    </row>
    <row r="468" spans="2:9" outlineLevel="3" x14ac:dyDescent="0.25">
      <c r="B468" s="1069" t="str">
        <f t="shared" si="10"/>
        <v/>
      </c>
      <c r="C468" s="1112"/>
      <c r="D468" s="1055"/>
      <c r="E468" s="1000"/>
      <c r="F468" s="880"/>
      <c r="G468" s="880"/>
      <c r="H468" s="880"/>
      <c r="I468" s="882"/>
    </row>
    <row r="469" spans="2:9" outlineLevel="3" x14ac:dyDescent="0.25">
      <c r="B469" s="1069" t="str">
        <f t="shared" si="10"/>
        <v/>
      </c>
      <c r="C469" s="1112"/>
      <c r="D469" s="1055"/>
      <c r="E469" s="1000"/>
      <c r="F469" s="880"/>
      <c r="G469" s="880"/>
      <c r="H469" s="880"/>
      <c r="I469" s="882"/>
    </row>
    <row r="470" spans="2:9" outlineLevel="3" x14ac:dyDescent="0.25">
      <c r="B470" s="1069" t="str">
        <f t="shared" si="10"/>
        <v/>
      </c>
      <c r="C470" s="1112"/>
      <c r="D470" s="1055"/>
      <c r="E470" s="1000"/>
      <c r="F470" s="880"/>
      <c r="G470" s="880"/>
      <c r="H470" s="880"/>
      <c r="I470" s="882"/>
    </row>
    <row r="471" spans="2:9" outlineLevel="3" x14ac:dyDescent="0.25">
      <c r="B471" s="1069" t="str">
        <f t="shared" si="10"/>
        <v/>
      </c>
      <c r="C471" s="1112"/>
      <c r="D471" s="1055"/>
      <c r="E471" s="1000"/>
      <c r="F471" s="880"/>
      <c r="G471" s="880"/>
      <c r="H471" s="880"/>
      <c r="I471" s="882"/>
    </row>
    <row r="472" spans="2:9" ht="15.75" outlineLevel="3" thickBot="1" x14ac:dyDescent="0.3">
      <c r="B472" s="929" t="str">
        <f t="shared" si="10"/>
        <v/>
      </c>
      <c r="C472" s="860"/>
      <c r="D472" s="1054"/>
      <c r="E472" s="1053"/>
      <c r="F472" s="861"/>
      <c r="G472" s="861"/>
      <c r="H472" s="861"/>
      <c r="I472" s="1052"/>
    </row>
    <row r="473" spans="2:9" outlineLevel="2" x14ac:dyDescent="0.25"/>
    <row r="474" spans="2:9" outlineLevel="1" x14ac:dyDescent="0.25"/>
  </sheetData>
  <sheetProtection algorithmName="SHA-256" hashValue="qDZyanRnFbz7Gu6LudpSFOL8TUBuodnKPFZE8t2q5Eo=" saltValue="vG+c2dZSUlgoDkOst8oKLg==" spinCount="100000" sheet="1" objects="1" scenarios="1" formatCells="0" insertRows="0" deleteRows="0"/>
  <mergeCells count="12">
    <mergeCell ref="C7:I7"/>
    <mergeCell ref="C8:I8"/>
    <mergeCell ref="C15:I15"/>
    <mergeCell ref="C16:I16"/>
    <mergeCell ref="C420:I420"/>
    <mergeCell ref="C421:I421"/>
    <mergeCell ref="C43:I43"/>
    <mergeCell ref="C44:I44"/>
    <mergeCell ref="C202:I202"/>
    <mergeCell ref="C203:I203"/>
    <mergeCell ref="C261:I261"/>
    <mergeCell ref="C262:I262"/>
  </mergeCells>
  <dataValidations count="3">
    <dataValidation allowBlank="1" showInputMessage="1" showErrorMessage="1" promptTitle="Tariff" prompt="Enter pipeline name or identifier here" sqref="B316:B365 B205:B254 B149:B198 B367:B416 B265:B314 B98:B147 B423:B472" xr:uid="{00000000-0002-0000-0D00-000000000000}"/>
    <dataValidation allowBlank="1" showInputMessage="1" showErrorMessage="1" sqref="C45:I45 C204:I204 C263:I263 C422:I422 C17:I17 C9:I9" xr:uid="{00000000-0002-0000-0D00-000001000000}"/>
    <dataValidation allowBlank="1" showInputMessage="1" showErrorMessage="1" promptTitle="Tariff" prompt="Enter relevant tariff names here" sqref="B10" xr:uid="{00000000-0002-0000-0D00-000002000000}"/>
  </dataValidations>
  <pageMargins left="0.7" right="0.7" top="0.75" bottom="0.75" header="0.3" footer="0.3"/>
  <pageSetup paperSize="9" orientation="portrait" r:id="rId1"/>
  <headerFooter>
    <oddFooter>&amp;C_x000D_&amp;1#&amp;"Aptos"&amp;10&amp;K008000 APA-INTERNAL</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22">
    <tabColor theme="6" tint="-0.249977111117893"/>
  </sheetPr>
  <dimension ref="A1:V91"/>
  <sheetViews>
    <sheetView showGridLines="0" topLeftCell="B56" zoomScale="85" zoomScaleNormal="85" workbookViewId="0">
      <selection activeCell="T74" sqref="T74"/>
    </sheetView>
  </sheetViews>
  <sheetFormatPr defaultColWidth="9.140625" defaultRowHeight="15" outlineLevelRow="1" x14ac:dyDescent="0.25"/>
  <cols>
    <col min="1" max="1" width="22.7109375" customWidth="1"/>
    <col min="2" max="2" width="77.5703125" customWidth="1"/>
    <col min="3" max="9" width="20.7109375" customWidth="1"/>
  </cols>
  <sheetData>
    <row r="1" spans="1:22" ht="30.2" customHeight="1" x14ac:dyDescent="0.25">
      <c r="B1" s="281" t="str">
        <f>IF(dms_MultiYear_ResponseFlag="Yes","REGULATORY REPORTING STATEMENT - HISTORICAL INFORMATION",INDEX(dms_Worksheet_List,MATCH(dms_Model,dms_Model_List)))</f>
        <v>REGULATORY REPORTING STATEMENT</v>
      </c>
      <c r="C1" s="280"/>
      <c r="D1" s="280"/>
      <c r="E1" s="280"/>
      <c r="F1" s="280"/>
      <c r="G1" s="1342" t="s">
        <v>1162</v>
      </c>
      <c r="H1" s="1343" t="s">
        <v>1163</v>
      </c>
      <c r="I1" s="936"/>
    </row>
    <row r="2" spans="1:22" ht="30.2" customHeight="1" x14ac:dyDescent="0.25">
      <c r="B2" s="281" t="str">
        <f>INDEX(dms_TradingNameFull_List,MATCH(dms_TradingName,dms_TradingName_List))</f>
        <v>APT Petroleum Pipelines Limited t/a Roma to Brisbane Pipeline</v>
      </c>
      <c r="C2" s="280"/>
      <c r="D2" s="280"/>
      <c r="E2" s="280"/>
      <c r="F2" s="280"/>
      <c r="G2" s="1344" t="s">
        <v>1164</v>
      </c>
      <c r="H2" s="1345" t="s">
        <v>647</v>
      </c>
      <c r="I2" s="936"/>
    </row>
    <row r="3" spans="1:22" ht="30.2" customHeight="1" x14ac:dyDescent="0.25">
      <c r="B3" s="937" t="str">
        <f ca="1">dms_Header_Span</f>
        <v>Data Span 2025-26 - 2031-32</v>
      </c>
      <c r="C3" s="280"/>
      <c r="D3" s="280"/>
      <c r="E3" s="280"/>
      <c r="F3" s="280"/>
      <c r="G3" s="1346" t="s">
        <v>1165</v>
      </c>
      <c r="H3" s="1347" t="s">
        <v>830</v>
      </c>
      <c r="I3" s="938"/>
    </row>
    <row r="4" spans="1:22" ht="30.2" customHeight="1" x14ac:dyDescent="0.25">
      <c r="B4" s="263" t="s">
        <v>953</v>
      </c>
      <c r="C4" s="934"/>
      <c r="D4" s="934"/>
      <c r="E4" s="934"/>
      <c r="F4" s="934"/>
      <c r="G4" s="1348" t="s">
        <v>1166</v>
      </c>
      <c r="H4" s="1349" t="s">
        <v>1167</v>
      </c>
      <c r="I4" s="263"/>
    </row>
    <row r="5" spans="1:22" ht="30.2" customHeight="1" thickBot="1" x14ac:dyDescent="0.3"/>
    <row r="6" spans="1:22" ht="24.95" customHeight="1" thickBot="1" x14ac:dyDescent="0.3">
      <c r="A6" s="297"/>
      <c r="B6" s="264" t="s">
        <v>1019</v>
      </c>
      <c r="C6" s="264"/>
      <c r="D6" s="264"/>
      <c r="E6" s="264"/>
      <c r="F6" s="264"/>
      <c r="G6" s="264"/>
      <c r="H6" s="264"/>
      <c r="I6" s="264"/>
    </row>
    <row r="7" spans="1:22" s="238" customFormat="1" ht="15" customHeight="1" outlineLevel="1" x14ac:dyDescent="0.25">
      <c r="A7"/>
      <c r="B7"/>
      <c r="C7" s="1519" t="s">
        <v>951</v>
      </c>
      <c r="D7" s="1520"/>
      <c r="E7" s="1520"/>
      <c r="F7" s="1521"/>
      <c r="G7" s="1521"/>
      <c r="H7" s="1521"/>
      <c r="I7" s="1521"/>
      <c r="J7"/>
      <c r="K7"/>
      <c r="L7"/>
      <c r="M7"/>
      <c r="N7"/>
      <c r="O7"/>
      <c r="P7"/>
      <c r="Q7"/>
      <c r="R7"/>
      <c r="S7"/>
      <c r="T7"/>
      <c r="U7"/>
      <c r="V7"/>
    </row>
    <row r="8" spans="1:22" s="238" customFormat="1" ht="16.5" customHeight="1" outlineLevel="1" x14ac:dyDescent="0.25">
      <c r="A8"/>
      <c r="B8"/>
      <c r="C8" s="1513" t="s">
        <v>1014</v>
      </c>
      <c r="D8" s="1514"/>
      <c r="E8" s="1514"/>
      <c r="F8" s="1515"/>
      <c r="G8" s="1515"/>
      <c r="H8" s="1515"/>
      <c r="I8" s="1515"/>
      <c r="J8"/>
      <c r="K8"/>
      <c r="L8"/>
      <c r="M8"/>
      <c r="N8"/>
      <c r="O8"/>
      <c r="P8"/>
      <c r="Q8"/>
      <c r="R8"/>
      <c r="S8"/>
      <c r="T8"/>
      <c r="U8"/>
      <c r="V8"/>
    </row>
    <row r="9" spans="1:22" s="238" customFormat="1" ht="21.75" customHeight="1" outlineLevel="1" thickBot="1" x14ac:dyDescent="0.3">
      <c r="A9"/>
      <c r="B9" s="1161" t="s">
        <v>1068</v>
      </c>
      <c r="C9" s="1113" t="str">
        <f ca="1">CRCP_y4</f>
        <v>2025-26</v>
      </c>
      <c r="D9" s="1114" t="str">
        <f ca="1">CRCP_y5</f>
        <v>2026-27</v>
      </c>
      <c r="E9" s="1115" t="str">
        <f>FRCP_y1</f>
        <v>2027-28</v>
      </c>
      <c r="F9" s="1115" t="str">
        <f ca="1">FRCP_y2</f>
        <v>2028-29</v>
      </c>
      <c r="G9" s="1115" t="str">
        <f ca="1">FRCP_y3</f>
        <v>2029-30</v>
      </c>
      <c r="H9" s="1115" t="str">
        <f ca="1">FRCP_y4</f>
        <v>2030-31</v>
      </c>
      <c r="I9" s="1116" t="str">
        <f ca="1">FRCP_y5</f>
        <v>2031-32</v>
      </c>
      <c r="J9"/>
      <c r="K9"/>
      <c r="L9"/>
      <c r="M9"/>
      <c r="N9"/>
      <c r="O9"/>
      <c r="P9"/>
      <c r="Q9"/>
      <c r="R9"/>
      <c r="S9"/>
      <c r="T9"/>
      <c r="U9"/>
      <c r="V9"/>
    </row>
    <row r="10" spans="1:22" s="432" customFormat="1" outlineLevel="1" x14ac:dyDescent="0.25">
      <c r="A10" s="1074"/>
      <c r="B10" s="994" t="s">
        <v>1215</v>
      </c>
      <c r="C10" s="927">
        <v>397</v>
      </c>
      <c r="D10" s="1056">
        <v>397</v>
      </c>
      <c r="E10" s="995">
        <v>397</v>
      </c>
      <c r="F10" s="885">
        <v>397</v>
      </c>
      <c r="G10" s="885">
        <f>F10</f>
        <v>397</v>
      </c>
      <c r="H10" s="885">
        <f t="shared" ref="H10:I10" si="0">G10</f>
        <v>397</v>
      </c>
      <c r="I10" s="886">
        <f t="shared" si="0"/>
        <v>397</v>
      </c>
      <c r="J10"/>
      <c r="K10"/>
      <c r="L10"/>
      <c r="M10"/>
      <c r="N10"/>
      <c r="O10"/>
      <c r="P10"/>
      <c r="Q10"/>
      <c r="R10"/>
      <c r="S10"/>
      <c r="T10"/>
      <c r="U10"/>
      <c r="V10"/>
    </row>
    <row r="11" spans="1:22" s="432" customFormat="1" outlineLevel="1" x14ac:dyDescent="0.25">
      <c r="A11" s="1074"/>
      <c r="B11" s="987" t="s">
        <v>1216</v>
      </c>
      <c r="C11" s="1112">
        <v>414</v>
      </c>
      <c r="D11" s="1055">
        <v>414</v>
      </c>
      <c r="E11" s="1000">
        <v>414</v>
      </c>
      <c r="F11" s="880">
        <v>414</v>
      </c>
      <c r="G11" s="880">
        <v>414</v>
      </c>
      <c r="H11" s="880">
        <v>414</v>
      </c>
      <c r="I11" s="882">
        <v>414</v>
      </c>
      <c r="J11"/>
      <c r="K11"/>
      <c r="L11"/>
      <c r="M11"/>
      <c r="N11"/>
      <c r="O11"/>
      <c r="P11"/>
      <c r="Q11"/>
      <c r="R11"/>
      <c r="S11"/>
      <c r="T11"/>
      <c r="U11"/>
      <c r="V11"/>
    </row>
    <row r="12" spans="1:22" s="432" customFormat="1" outlineLevel="1" x14ac:dyDescent="0.25">
      <c r="A12" s="1074"/>
      <c r="B12" s="987" t="s">
        <v>1217</v>
      </c>
      <c r="C12" s="1112">
        <v>46</v>
      </c>
      <c r="D12" s="1055">
        <v>46</v>
      </c>
      <c r="E12" s="1000">
        <v>46</v>
      </c>
      <c r="F12" s="880">
        <v>46</v>
      </c>
      <c r="G12" s="880">
        <v>46</v>
      </c>
      <c r="H12" s="880">
        <v>46</v>
      </c>
      <c r="I12" s="882">
        <v>46</v>
      </c>
      <c r="J12"/>
      <c r="K12"/>
      <c r="L12"/>
      <c r="M12"/>
      <c r="N12"/>
      <c r="O12"/>
      <c r="P12"/>
      <c r="Q12"/>
      <c r="R12"/>
      <c r="S12"/>
      <c r="T12"/>
      <c r="U12"/>
      <c r="V12"/>
    </row>
    <row r="13" spans="1:22" s="432" customFormat="1" outlineLevel="1" x14ac:dyDescent="0.25">
      <c r="A13" s="1074"/>
      <c r="B13" s="987" t="s">
        <v>1218</v>
      </c>
      <c r="C13" s="1112">
        <v>6</v>
      </c>
      <c r="D13" s="1055">
        <v>6</v>
      </c>
      <c r="E13" s="1000">
        <v>6</v>
      </c>
      <c r="F13" s="880">
        <v>6</v>
      </c>
      <c r="G13" s="880">
        <v>6</v>
      </c>
      <c r="H13" s="880">
        <v>6</v>
      </c>
      <c r="I13" s="882">
        <v>6</v>
      </c>
      <c r="J13"/>
      <c r="K13"/>
      <c r="L13"/>
      <c r="M13"/>
      <c r="N13"/>
      <c r="O13"/>
      <c r="P13"/>
      <c r="Q13"/>
      <c r="R13"/>
      <c r="S13"/>
      <c r="T13"/>
      <c r="U13"/>
      <c r="V13"/>
    </row>
    <row r="14" spans="1:22" s="432" customFormat="1" outlineLevel="1" x14ac:dyDescent="0.25">
      <c r="A14" s="1074"/>
      <c r="B14" s="987" t="s">
        <v>1219</v>
      </c>
      <c r="C14" s="1112">
        <v>121</v>
      </c>
      <c r="D14" s="1055">
        <v>121</v>
      </c>
      <c r="E14" s="1000">
        <v>121</v>
      </c>
      <c r="F14" s="880">
        <v>121</v>
      </c>
      <c r="G14" s="880">
        <v>121</v>
      </c>
      <c r="H14" s="880">
        <v>121</v>
      </c>
      <c r="I14" s="882">
        <v>121</v>
      </c>
      <c r="J14"/>
      <c r="K14"/>
      <c r="L14"/>
      <c r="M14"/>
      <c r="N14"/>
      <c r="O14"/>
      <c r="P14"/>
      <c r="Q14"/>
      <c r="R14"/>
      <c r="S14"/>
      <c r="T14"/>
      <c r="U14"/>
      <c r="V14"/>
    </row>
    <row r="15" spans="1:22" s="432" customFormat="1" outlineLevel="1" x14ac:dyDescent="0.25">
      <c r="A15" s="1074"/>
      <c r="B15" s="987" t="s">
        <v>1171</v>
      </c>
      <c r="C15" s="1112"/>
      <c r="D15" s="1055"/>
      <c r="E15" s="1000"/>
      <c r="F15" s="880"/>
      <c r="G15" s="880"/>
      <c r="H15" s="880"/>
      <c r="I15" s="882"/>
      <c r="J15"/>
      <c r="K15"/>
      <c r="L15"/>
      <c r="M15"/>
      <c r="N15"/>
      <c r="O15"/>
      <c r="P15"/>
      <c r="Q15"/>
      <c r="R15"/>
      <c r="S15"/>
      <c r="T15"/>
      <c r="U15"/>
      <c r="V15"/>
    </row>
    <row r="16" spans="1:22" s="432" customFormat="1" outlineLevel="1" x14ac:dyDescent="0.25">
      <c r="A16" s="1074"/>
      <c r="B16" s="987" t="s">
        <v>1172</v>
      </c>
      <c r="C16" s="1112"/>
      <c r="D16" s="1055"/>
      <c r="E16" s="1000"/>
      <c r="F16" s="880"/>
      <c r="G16" s="880"/>
      <c r="H16" s="880"/>
      <c r="I16" s="882"/>
      <c r="J16"/>
      <c r="K16"/>
      <c r="L16"/>
      <c r="M16"/>
      <c r="N16"/>
      <c r="O16"/>
      <c r="P16"/>
      <c r="Q16"/>
      <c r="R16"/>
      <c r="S16"/>
      <c r="T16"/>
      <c r="U16"/>
      <c r="V16"/>
    </row>
    <row r="17" spans="1:22" s="432" customFormat="1" outlineLevel="1" x14ac:dyDescent="0.25">
      <c r="A17" s="1074"/>
      <c r="B17" s="987" t="s">
        <v>1173</v>
      </c>
      <c r="C17" s="1112"/>
      <c r="D17" s="1055"/>
      <c r="E17" s="1000"/>
      <c r="F17" s="880"/>
      <c r="G17" s="880"/>
      <c r="H17" s="880"/>
      <c r="I17" s="882"/>
      <c r="J17"/>
      <c r="K17"/>
      <c r="L17"/>
      <c r="M17"/>
      <c r="N17"/>
      <c r="O17"/>
      <c r="P17"/>
      <c r="Q17"/>
      <c r="R17"/>
      <c r="S17"/>
      <c r="T17"/>
      <c r="U17"/>
      <c r="V17"/>
    </row>
    <row r="18" spans="1:22" s="432" customFormat="1" outlineLevel="1" x14ac:dyDescent="0.25">
      <c r="A18" s="1074"/>
      <c r="B18" s="987"/>
      <c r="C18" s="1112"/>
      <c r="D18" s="1055"/>
      <c r="E18" s="1000"/>
      <c r="F18" s="880"/>
      <c r="G18" s="880"/>
      <c r="H18" s="880"/>
      <c r="I18" s="882"/>
      <c r="J18"/>
      <c r="K18"/>
      <c r="L18"/>
      <c r="M18"/>
      <c r="N18"/>
      <c r="O18"/>
      <c r="P18"/>
      <c r="Q18"/>
      <c r="R18"/>
      <c r="S18"/>
      <c r="T18"/>
      <c r="U18"/>
      <c r="V18"/>
    </row>
    <row r="19" spans="1:22" s="432" customFormat="1" outlineLevel="1" x14ac:dyDescent="0.25">
      <c r="A19" s="1074"/>
      <c r="B19" s="987"/>
      <c r="C19" s="1112"/>
      <c r="D19" s="1055"/>
      <c r="E19" s="1000"/>
      <c r="F19" s="880"/>
      <c r="G19" s="880"/>
      <c r="H19" s="880"/>
      <c r="I19" s="882"/>
      <c r="J19"/>
      <c r="K19"/>
      <c r="L19"/>
      <c r="M19"/>
      <c r="N19"/>
      <c r="O19"/>
      <c r="P19"/>
      <c r="Q19"/>
      <c r="R19"/>
      <c r="S19"/>
      <c r="T19"/>
      <c r="U19"/>
      <c r="V19"/>
    </row>
    <row r="20" spans="1:22" s="432" customFormat="1" outlineLevel="1" x14ac:dyDescent="0.25">
      <c r="A20" s="1074"/>
      <c r="B20" s="987"/>
      <c r="C20" s="1112"/>
      <c r="D20" s="1055"/>
      <c r="E20" s="1000"/>
      <c r="F20" s="880"/>
      <c r="G20" s="880"/>
      <c r="H20" s="880"/>
      <c r="I20" s="882"/>
      <c r="J20"/>
      <c r="K20"/>
      <c r="L20"/>
      <c r="M20"/>
      <c r="N20"/>
      <c r="O20"/>
      <c r="P20"/>
      <c r="Q20"/>
      <c r="R20"/>
      <c r="S20"/>
      <c r="T20"/>
      <c r="U20"/>
      <c r="V20"/>
    </row>
    <row r="21" spans="1:22" s="432" customFormat="1" outlineLevel="1" x14ac:dyDescent="0.25">
      <c r="A21" s="1074"/>
      <c r="B21" s="987"/>
      <c r="C21" s="1112"/>
      <c r="D21" s="1055"/>
      <c r="E21" s="1000"/>
      <c r="F21" s="880"/>
      <c r="G21" s="880"/>
      <c r="H21" s="880"/>
      <c r="I21" s="882"/>
      <c r="J21"/>
      <c r="K21"/>
      <c r="L21"/>
      <c r="M21"/>
      <c r="N21"/>
      <c r="O21"/>
      <c r="P21"/>
      <c r="Q21"/>
      <c r="R21"/>
      <c r="S21"/>
      <c r="T21"/>
      <c r="U21"/>
      <c r="V21"/>
    </row>
    <row r="22" spans="1:22" s="432" customFormat="1" outlineLevel="1" x14ac:dyDescent="0.25">
      <c r="A22" s="1074"/>
      <c r="B22" s="987"/>
      <c r="C22" s="1112"/>
      <c r="D22" s="1055"/>
      <c r="E22" s="1000"/>
      <c r="F22" s="880"/>
      <c r="G22" s="880"/>
      <c r="H22" s="880"/>
      <c r="I22" s="882"/>
      <c r="J22"/>
      <c r="K22"/>
      <c r="L22"/>
      <c r="M22"/>
      <c r="N22"/>
      <c r="O22"/>
      <c r="P22"/>
      <c r="Q22"/>
      <c r="R22"/>
      <c r="S22"/>
      <c r="T22"/>
      <c r="U22"/>
      <c r="V22"/>
    </row>
    <row r="23" spans="1:22" s="432" customFormat="1" outlineLevel="1" x14ac:dyDescent="0.25">
      <c r="A23" s="1074"/>
      <c r="B23" s="987"/>
      <c r="C23" s="1112"/>
      <c r="D23" s="1055"/>
      <c r="E23" s="1000"/>
      <c r="F23" s="880"/>
      <c r="G23" s="880"/>
      <c r="H23" s="880"/>
      <c r="I23" s="882"/>
      <c r="J23"/>
      <c r="K23"/>
      <c r="L23"/>
      <c r="M23"/>
      <c r="N23"/>
      <c r="O23"/>
      <c r="P23"/>
      <c r="Q23"/>
      <c r="R23"/>
      <c r="S23"/>
      <c r="T23"/>
      <c r="U23"/>
      <c r="V23"/>
    </row>
    <row r="24" spans="1:22" s="432" customFormat="1" ht="15.75" outlineLevel="1" thickBot="1" x14ac:dyDescent="0.3">
      <c r="A24" s="1074"/>
      <c r="B24" s="987"/>
      <c r="C24" s="1112"/>
      <c r="D24" s="1055"/>
      <c r="E24" s="1000"/>
      <c r="F24" s="880"/>
      <c r="G24" s="880"/>
      <c r="H24" s="880"/>
      <c r="I24" s="882"/>
      <c r="J24"/>
      <c r="K24"/>
      <c r="L24"/>
      <c r="M24"/>
      <c r="N24"/>
      <c r="O24"/>
      <c r="P24"/>
      <c r="Q24"/>
      <c r="R24"/>
      <c r="S24"/>
      <c r="T24"/>
      <c r="U24"/>
      <c r="V24"/>
    </row>
    <row r="25" spans="1:22" s="432" customFormat="1" ht="19.5" customHeight="1" outlineLevel="1" thickBot="1" x14ac:dyDescent="0.3">
      <c r="A25" s="1074"/>
      <c r="B25" s="1225" t="s">
        <v>965</v>
      </c>
      <c r="C25" s="1226">
        <f t="shared" ref="C25:I25" si="1">SUM(C10:C24)</f>
        <v>984</v>
      </c>
      <c r="D25" s="1226">
        <f t="shared" si="1"/>
        <v>984</v>
      </c>
      <c r="E25" s="1226">
        <f t="shared" si="1"/>
        <v>984</v>
      </c>
      <c r="F25" s="1226">
        <f t="shared" si="1"/>
        <v>984</v>
      </c>
      <c r="G25" s="1226">
        <f t="shared" si="1"/>
        <v>984</v>
      </c>
      <c r="H25" s="1226">
        <f t="shared" si="1"/>
        <v>984</v>
      </c>
      <c r="I25" s="1227">
        <f t="shared" si="1"/>
        <v>984</v>
      </c>
      <c r="J25"/>
      <c r="K25"/>
      <c r="L25"/>
      <c r="M25"/>
      <c r="N25"/>
      <c r="O25"/>
      <c r="P25"/>
      <c r="Q25"/>
      <c r="R25"/>
      <c r="S25"/>
      <c r="T25"/>
      <c r="U25"/>
      <c r="V25"/>
    </row>
    <row r="26" spans="1:22" x14ac:dyDescent="0.25">
      <c r="B26" s="1073"/>
      <c r="C26" s="1072"/>
      <c r="D26" s="1072"/>
      <c r="E26" s="1072"/>
      <c r="F26" s="1071"/>
      <c r="G26" s="1071"/>
      <c r="H26" s="1071"/>
      <c r="I26" s="1071"/>
    </row>
    <row r="27" spans="1:22" ht="15.75" thickBot="1" x14ac:dyDescent="0.3">
      <c r="B27" s="1073"/>
      <c r="C27" s="1072"/>
      <c r="D27" s="1072"/>
      <c r="E27" s="1072"/>
      <c r="F27" s="1071"/>
      <c r="G27" s="1071"/>
      <c r="H27" s="1071"/>
      <c r="I27" s="1071"/>
    </row>
    <row r="28" spans="1:22" ht="24.95" customHeight="1" thickBot="1" x14ac:dyDescent="0.3">
      <c r="A28" s="297"/>
      <c r="B28" s="264" t="s">
        <v>1018</v>
      </c>
      <c r="C28" s="264"/>
      <c r="D28" s="264"/>
      <c r="E28" s="264"/>
      <c r="F28" s="264"/>
      <c r="G28" s="264"/>
      <c r="H28" s="264"/>
      <c r="I28" s="264"/>
    </row>
    <row r="29" spans="1:22" s="238" customFormat="1" ht="15" customHeight="1" outlineLevel="1" x14ac:dyDescent="0.25">
      <c r="A29"/>
      <c r="B29"/>
      <c r="C29" s="1519" t="s">
        <v>951</v>
      </c>
      <c r="D29" s="1520"/>
      <c r="E29" s="1520"/>
      <c r="F29" s="1521"/>
      <c r="G29" s="1521"/>
      <c r="H29" s="1521"/>
      <c r="I29" s="1521"/>
      <c r="J29"/>
      <c r="K29"/>
      <c r="L29"/>
      <c r="M29"/>
      <c r="N29"/>
      <c r="O29"/>
      <c r="P29"/>
      <c r="Q29"/>
      <c r="R29"/>
      <c r="S29"/>
      <c r="T29"/>
      <c r="U29"/>
      <c r="V29"/>
    </row>
    <row r="30" spans="1:22" s="238" customFormat="1" ht="16.5" customHeight="1" outlineLevel="1" x14ac:dyDescent="0.25">
      <c r="A30"/>
      <c r="B30"/>
      <c r="C30" s="1513" t="s">
        <v>1082</v>
      </c>
      <c r="D30" s="1514"/>
      <c r="E30" s="1514"/>
      <c r="F30" s="1515"/>
      <c r="G30" s="1515"/>
      <c r="H30" s="1515"/>
      <c r="I30" s="1515"/>
      <c r="J30"/>
      <c r="K30"/>
      <c r="L30"/>
      <c r="M30"/>
      <c r="N30"/>
      <c r="O30"/>
      <c r="P30"/>
      <c r="Q30"/>
      <c r="R30"/>
      <c r="S30"/>
      <c r="T30"/>
      <c r="U30"/>
      <c r="V30"/>
    </row>
    <row r="31" spans="1:22" s="238" customFormat="1" ht="21.75" customHeight="1" outlineLevel="1" thickBot="1" x14ac:dyDescent="0.3">
      <c r="A31"/>
      <c r="B31" s="1161" t="s">
        <v>1068</v>
      </c>
      <c r="C31" s="893" t="str">
        <f ca="1">CRCP_y4</f>
        <v>2025-26</v>
      </c>
      <c r="D31" s="892" t="str">
        <f ca="1">CRCP_y5</f>
        <v>2026-27</v>
      </c>
      <c r="E31" s="890" t="str">
        <f>FRCP_y1</f>
        <v>2027-28</v>
      </c>
      <c r="F31" s="890" t="str">
        <f ca="1">FRCP_y2</f>
        <v>2028-29</v>
      </c>
      <c r="G31" s="890" t="str">
        <f ca="1">FRCP_y3</f>
        <v>2029-30</v>
      </c>
      <c r="H31" s="890" t="str">
        <f ca="1">FRCP_y4</f>
        <v>2030-31</v>
      </c>
      <c r="I31" s="891" t="str">
        <f ca="1">FRCP_y5</f>
        <v>2031-32</v>
      </c>
      <c r="J31"/>
      <c r="K31"/>
      <c r="L31"/>
      <c r="M31"/>
      <c r="N31"/>
      <c r="O31"/>
      <c r="P31"/>
      <c r="Q31"/>
      <c r="R31"/>
      <c r="S31"/>
      <c r="T31"/>
      <c r="U31"/>
      <c r="V31"/>
    </row>
    <row r="32" spans="1:22" s="432" customFormat="1" outlineLevel="1" x14ac:dyDescent="0.25">
      <c r="A32" s="1074"/>
      <c r="B32" s="277" t="str">
        <f t="shared" ref="B32:B46" si="2">IF(ISBLANK(B10),"",B10)</f>
        <v xml:space="preserve">Mainline </v>
      </c>
      <c r="C32" s="927"/>
      <c r="D32" s="1056"/>
      <c r="E32" s="995"/>
      <c r="F32" s="885"/>
      <c r="G32" s="885"/>
      <c r="H32" s="885"/>
      <c r="I32" s="886"/>
      <c r="J32"/>
      <c r="K32"/>
      <c r="L32"/>
      <c r="M32"/>
      <c r="N32"/>
      <c r="O32"/>
      <c r="P32"/>
      <c r="Q32"/>
      <c r="R32"/>
      <c r="S32"/>
      <c r="T32"/>
      <c r="U32"/>
      <c r="V32"/>
    </row>
    <row r="33" spans="1:22" s="432" customFormat="1" outlineLevel="1" x14ac:dyDescent="0.25">
      <c r="A33" s="1074"/>
      <c r="B33" s="277" t="str">
        <f t="shared" si="2"/>
        <v>Loopline</v>
      </c>
      <c r="C33" s="1112"/>
      <c r="D33" s="1055"/>
      <c r="E33" s="1000"/>
      <c r="F33" s="880"/>
      <c r="G33" s="880"/>
      <c r="H33" s="880"/>
      <c r="I33" s="882"/>
      <c r="J33"/>
      <c r="K33"/>
      <c r="L33"/>
      <c r="M33"/>
      <c r="N33"/>
      <c r="O33"/>
      <c r="P33"/>
      <c r="Q33"/>
      <c r="R33"/>
      <c r="S33"/>
      <c r="T33"/>
      <c r="U33"/>
      <c r="V33"/>
    </row>
    <row r="34" spans="1:22" s="432" customFormat="1" outlineLevel="1" x14ac:dyDescent="0.25">
      <c r="A34" s="1074"/>
      <c r="B34" s="1069" t="str">
        <f t="shared" si="2"/>
        <v>Metro</v>
      </c>
      <c r="C34" s="1112"/>
      <c r="D34" s="1055"/>
      <c r="E34" s="1000"/>
      <c r="F34" s="880"/>
      <c r="G34" s="880"/>
      <c r="H34" s="880"/>
      <c r="I34" s="882"/>
      <c r="J34"/>
      <c r="K34"/>
      <c r="L34"/>
      <c r="M34"/>
      <c r="N34"/>
      <c r="O34"/>
      <c r="P34"/>
      <c r="Q34"/>
      <c r="R34"/>
      <c r="S34"/>
      <c r="T34"/>
      <c r="U34"/>
      <c r="V34"/>
    </row>
    <row r="35" spans="1:22" s="432" customFormat="1" outlineLevel="1" x14ac:dyDescent="0.25">
      <c r="A35" s="1074"/>
      <c r="B35" s="1069" t="str">
        <f t="shared" si="2"/>
        <v>Lytton Lateral</v>
      </c>
      <c r="C35" s="1112"/>
      <c r="D35" s="1055"/>
      <c r="E35" s="1000"/>
      <c r="F35" s="880"/>
      <c r="G35" s="880"/>
      <c r="H35" s="880"/>
      <c r="I35" s="882"/>
      <c r="J35"/>
      <c r="K35"/>
      <c r="L35"/>
      <c r="M35"/>
      <c r="N35"/>
      <c r="O35"/>
      <c r="P35"/>
      <c r="Q35"/>
      <c r="R35"/>
      <c r="S35"/>
      <c r="T35"/>
      <c r="U35"/>
      <c r="V35"/>
    </row>
    <row r="36" spans="1:22" s="432" customFormat="1" outlineLevel="1" x14ac:dyDescent="0.25">
      <c r="A36" s="1074"/>
      <c r="B36" s="1069" t="str">
        <f t="shared" si="2"/>
        <v>Peat Lateral</v>
      </c>
      <c r="C36" s="1112"/>
      <c r="D36" s="1055"/>
      <c r="E36" s="1000"/>
      <c r="F36" s="880"/>
      <c r="G36" s="880"/>
      <c r="H36" s="880"/>
      <c r="I36" s="882"/>
      <c r="J36"/>
      <c r="K36"/>
      <c r="L36"/>
      <c r="M36"/>
      <c r="N36"/>
      <c r="O36"/>
      <c r="P36"/>
      <c r="Q36"/>
      <c r="R36"/>
      <c r="S36"/>
      <c r="T36"/>
      <c r="U36"/>
      <c r="V36"/>
    </row>
    <row r="37" spans="1:22" s="432" customFormat="1" outlineLevel="1" x14ac:dyDescent="0.25">
      <c r="A37" s="1074"/>
      <c r="B37" s="1069" t="str">
        <f t="shared" si="2"/>
        <v>Long Term Firm Service</v>
      </c>
      <c r="C37" s="1112"/>
      <c r="D37" s="1055"/>
      <c r="E37" s="1000">
        <f>D38+D39</f>
        <v>292000</v>
      </c>
      <c r="F37" s="880">
        <f>E37</f>
        <v>292000</v>
      </c>
      <c r="G37" s="880">
        <f>F37</f>
        <v>292000</v>
      </c>
      <c r="H37" s="880">
        <f>G37</f>
        <v>292000</v>
      </c>
      <c r="I37" s="882">
        <f>H37</f>
        <v>292000</v>
      </c>
      <c r="J37"/>
      <c r="K37"/>
      <c r="L37"/>
      <c r="M37"/>
      <c r="N37"/>
      <c r="O37"/>
      <c r="P37"/>
      <c r="Q37"/>
      <c r="R37"/>
      <c r="S37"/>
      <c r="T37"/>
      <c r="U37"/>
      <c r="V37"/>
    </row>
    <row r="38" spans="1:22" s="432" customFormat="1" outlineLevel="1" x14ac:dyDescent="0.25">
      <c r="A38" s="1074"/>
      <c r="B38" s="1069" t="str">
        <f t="shared" si="2"/>
        <v>Eastbound Long Term Firm Reference Service</v>
      </c>
      <c r="C38" s="1112">
        <v>167000</v>
      </c>
      <c r="D38" s="1055">
        <v>167000</v>
      </c>
      <c r="E38" s="1000"/>
      <c r="F38" s="880"/>
      <c r="G38" s="880"/>
      <c r="H38" s="880"/>
      <c r="I38" s="882"/>
      <c r="J38"/>
      <c r="K38"/>
      <c r="L38"/>
      <c r="M38"/>
      <c r="N38"/>
      <c r="O38"/>
      <c r="P38"/>
      <c r="Q38"/>
      <c r="R38"/>
      <c r="S38"/>
      <c r="T38"/>
      <c r="U38"/>
      <c r="V38"/>
    </row>
    <row r="39" spans="1:22" s="432" customFormat="1" outlineLevel="1" x14ac:dyDescent="0.25">
      <c r="A39" s="1074"/>
      <c r="B39" s="1069" t="str">
        <f t="shared" si="2"/>
        <v>Westbound Long Term Firm Reference Service</v>
      </c>
      <c r="C39" s="1112">
        <v>125000</v>
      </c>
      <c r="D39" s="1055">
        <v>125000</v>
      </c>
      <c r="E39" s="1000"/>
      <c r="F39" s="880"/>
      <c r="G39" s="880"/>
      <c r="H39" s="880"/>
      <c r="I39" s="882"/>
      <c r="J39"/>
      <c r="K39"/>
      <c r="L39"/>
      <c r="M39"/>
      <c r="N39"/>
      <c r="O39"/>
      <c r="P39"/>
      <c r="Q39"/>
      <c r="R39"/>
      <c r="S39"/>
      <c r="T39"/>
      <c r="U39"/>
      <c r="V39"/>
    </row>
    <row r="40" spans="1:22" s="432" customFormat="1" outlineLevel="1" x14ac:dyDescent="0.25">
      <c r="A40" s="1074"/>
      <c r="B40" s="1069" t="str">
        <f t="shared" si="2"/>
        <v/>
      </c>
      <c r="C40" s="1112"/>
      <c r="D40" s="1055"/>
      <c r="E40" s="1000"/>
      <c r="F40" s="880"/>
      <c r="G40" s="880"/>
      <c r="H40" s="880"/>
      <c r="I40" s="882"/>
      <c r="J40"/>
      <c r="K40"/>
      <c r="L40"/>
      <c r="M40"/>
      <c r="N40"/>
      <c r="O40"/>
      <c r="P40"/>
      <c r="Q40"/>
      <c r="R40"/>
      <c r="S40"/>
      <c r="T40"/>
      <c r="U40"/>
      <c r="V40"/>
    </row>
    <row r="41" spans="1:22" s="432" customFormat="1" outlineLevel="1" x14ac:dyDescent="0.25">
      <c r="A41" s="1074"/>
      <c r="B41" s="1069" t="str">
        <f t="shared" si="2"/>
        <v/>
      </c>
      <c r="C41" s="1112"/>
      <c r="D41" s="1055"/>
      <c r="E41" s="1000"/>
      <c r="F41" s="880"/>
      <c r="G41" s="880"/>
      <c r="H41" s="880"/>
      <c r="I41" s="882"/>
      <c r="J41"/>
      <c r="K41"/>
      <c r="L41"/>
      <c r="M41"/>
      <c r="N41"/>
      <c r="O41"/>
      <c r="P41"/>
      <c r="Q41"/>
      <c r="R41"/>
      <c r="S41"/>
      <c r="T41"/>
      <c r="U41"/>
      <c r="V41"/>
    </row>
    <row r="42" spans="1:22" s="432" customFormat="1" outlineLevel="1" x14ac:dyDescent="0.25">
      <c r="A42" s="1074"/>
      <c r="B42" s="1069" t="str">
        <f t="shared" si="2"/>
        <v/>
      </c>
      <c r="C42" s="1112"/>
      <c r="D42" s="1055"/>
      <c r="E42" s="1000"/>
      <c r="F42" s="880"/>
      <c r="G42" s="880"/>
      <c r="H42" s="880"/>
      <c r="I42" s="882"/>
      <c r="J42"/>
      <c r="K42"/>
      <c r="L42"/>
      <c r="M42"/>
      <c r="N42"/>
      <c r="O42"/>
      <c r="P42"/>
      <c r="Q42"/>
      <c r="R42"/>
      <c r="S42"/>
      <c r="T42"/>
      <c r="U42"/>
      <c r="V42"/>
    </row>
    <row r="43" spans="1:22" s="432" customFormat="1" outlineLevel="1" x14ac:dyDescent="0.25">
      <c r="A43" s="1074"/>
      <c r="B43" s="1069" t="str">
        <f t="shared" si="2"/>
        <v/>
      </c>
      <c r="C43" s="1112"/>
      <c r="D43" s="1055"/>
      <c r="E43" s="1000"/>
      <c r="F43" s="880"/>
      <c r="G43" s="880"/>
      <c r="H43" s="880"/>
      <c r="I43" s="882"/>
      <c r="J43"/>
      <c r="K43"/>
      <c r="L43"/>
      <c r="M43"/>
      <c r="N43"/>
      <c r="O43"/>
      <c r="P43"/>
      <c r="Q43"/>
      <c r="R43"/>
      <c r="S43"/>
      <c r="T43"/>
      <c r="U43"/>
      <c r="V43"/>
    </row>
    <row r="44" spans="1:22" s="432" customFormat="1" outlineLevel="1" x14ac:dyDescent="0.25">
      <c r="A44" s="1074"/>
      <c r="B44" s="1069" t="str">
        <f t="shared" si="2"/>
        <v/>
      </c>
      <c r="C44" s="1112"/>
      <c r="D44" s="1055"/>
      <c r="E44" s="1000"/>
      <c r="F44" s="880"/>
      <c r="G44" s="880"/>
      <c r="H44" s="880"/>
      <c r="I44" s="882"/>
      <c r="J44"/>
      <c r="K44"/>
      <c r="L44"/>
      <c r="M44"/>
      <c r="N44"/>
      <c r="O44"/>
      <c r="P44"/>
      <c r="Q44"/>
      <c r="R44"/>
      <c r="S44"/>
      <c r="T44"/>
      <c r="U44"/>
      <c r="V44"/>
    </row>
    <row r="45" spans="1:22" s="432" customFormat="1" outlineLevel="1" x14ac:dyDescent="0.25">
      <c r="A45" s="1074"/>
      <c r="B45" s="1069" t="str">
        <f t="shared" si="2"/>
        <v/>
      </c>
      <c r="C45" s="1112"/>
      <c r="D45" s="1055"/>
      <c r="E45" s="1000"/>
      <c r="F45" s="880"/>
      <c r="G45" s="880"/>
      <c r="H45" s="880"/>
      <c r="I45" s="882"/>
      <c r="J45"/>
      <c r="K45"/>
      <c r="L45"/>
      <c r="M45"/>
      <c r="N45"/>
      <c r="O45"/>
      <c r="P45"/>
      <c r="Q45"/>
      <c r="R45"/>
      <c r="S45"/>
      <c r="T45"/>
      <c r="U45"/>
      <c r="V45"/>
    </row>
    <row r="46" spans="1:22" s="432" customFormat="1" ht="15.75" outlineLevel="1" thickBot="1" x14ac:dyDescent="0.3">
      <c r="A46" s="1074"/>
      <c r="B46" s="1231" t="str">
        <f t="shared" si="2"/>
        <v/>
      </c>
      <c r="C46" s="1232"/>
      <c r="D46" s="1233"/>
      <c r="E46" s="1234"/>
      <c r="F46" s="1235"/>
      <c r="G46" s="1235"/>
      <c r="H46" s="1235"/>
      <c r="I46" s="1236"/>
      <c r="J46"/>
      <c r="K46"/>
      <c r="L46"/>
      <c r="M46"/>
      <c r="N46"/>
      <c r="O46"/>
      <c r="P46"/>
      <c r="Q46"/>
      <c r="R46"/>
      <c r="S46"/>
      <c r="T46"/>
      <c r="U46"/>
      <c r="V46"/>
    </row>
    <row r="47" spans="1:22" s="432" customFormat="1" ht="19.5" customHeight="1" outlineLevel="1" thickBot="1" x14ac:dyDescent="0.3">
      <c r="A47" s="1074"/>
      <c r="B47" s="1225" t="s">
        <v>965</v>
      </c>
      <c r="C47" s="1226">
        <f t="shared" ref="C47:I47" si="3">SUM(C32:C46)</f>
        <v>292000</v>
      </c>
      <c r="D47" s="1226">
        <f t="shared" si="3"/>
        <v>292000</v>
      </c>
      <c r="E47" s="1226">
        <f t="shared" si="3"/>
        <v>292000</v>
      </c>
      <c r="F47" s="1226">
        <f t="shared" si="3"/>
        <v>292000</v>
      </c>
      <c r="G47" s="1226">
        <f t="shared" si="3"/>
        <v>292000</v>
      </c>
      <c r="H47" s="1226">
        <f t="shared" si="3"/>
        <v>292000</v>
      </c>
      <c r="I47" s="1227">
        <f t="shared" si="3"/>
        <v>292000</v>
      </c>
      <c r="J47"/>
      <c r="K47"/>
      <c r="L47"/>
      <c r="M47"/>
      <c r="N47"/>
      <c r="O47"/>
      <c r="P47"/>
      <c r="Q47"/>
      <c r="R47"/>
      <c r="S47"/>
      <c r="T47"/>
      <c r="U47"/>
      <c r="V47"/>
    </row>
    <row r="48" spans="1:22" x14ac:dyDescent="0.25">
      <c r="B48" s="1073"/>
      <c r="C48" s="1072"/>
      <c r="D48" s="1072"/>
      <c r="E48" s="1072"/>
      <c r="F48" s="1071"/>
      <c r="G48" s="1071"/>
      <c r="H48" s="1071"/>
      <c r="I48" s="1071"/>
    </row>
    <row r="49" spans="1:20" x14ac:dyDescent="0.25">
      <c r="B49" s="1073"/>
      <c r="C49" s="1072"/>
      <c r="D49" s="1072"/>
      <c r="E49" s="1072"/>
      <c r="F49" s="1071"/>
      <c r="G49" s="1071"/>
      <c r="H49" s="1071"/>
      <c r="I49" s="1071"/>
    </row>
    <row r="50" spans="1:20" ht="15.75" thickBot="1" x14ac:dyDescent="0.3">
      <c r="B50" s="1073"/>
      <c r="C50" s="1072"/>
      <c r="D50" s="1072"/>
      <c r="E50" s="1072"/>
      <c r="F50" s="1071"/>
      <c r="G50" s="1071"/>
      <c r="H50" s="1071"/>
      <c r="I50" s="1071"/>
    </row>
    <row r="51" spans="1:20" ht="25.5" customHeight="1" thickBot="1" x14ac:dyDescent="0.3">
      <c r="B51" s="264" t="s">
        <v>1017</v>
      </c>
      <c r="C51" s="264"/>
      <c r="D51" s="264"/>
      <c r="E51" s="264"/>
      <c r="F51" s="264"/>
      <c r="G51" s="264"/>
      <c r="H51" s="264"/>
      <c r="I51" s="264"/>
    </row>
    <row r="52" spans="1:20" s="42" customFormat="1" ht="27.95" customHeight="1" outlineLevel="1" x14ac:dyDescent="0.25">
      <c r="A52"/>
      <c r="B52"/>
      <c r="C52" s="1516" t="s">
        <v>951</v>
      </c>
      <c r="D52" s="1517"/>
      <c r="E52" s="1518"/>
      <c r="F52" s="1518"/>
      <c r="G52" s="1518"/>
      <c r="H52" s="1518"/>
      <c r="I52" s="1518"/>
      <c r="J52"/>
      <c r="K52"/>
      <c r="L52"/>
      <c r="M52"/>
      <c r="N52"/>
      <c r="O52"/>
      <c r="P52"/>
      <c r="Q52"/>
      <c r="R52"/>
      <c r="S52"/>
      <c r="T52"/>
    </row>
    <row r="53" spans="1:20" s="42" customFormat="1" outlineLevel="1" x14ac:dyDescent="0.25">
      <c r="A53"/>
      <c r="B53" s="1057"/>
      <c r="C53" s="1513" t="s">
        <v>130</v>
      </c>
      <c r="D53" s="1514"/>
      <c r="E53" s="1515"/>
      <c r="F53" s="1515"/>
      <c r="G53" s="1515"/>
      <c r="H53" s="1515"/>
      <c r="I53" s="1515"/>
      <c r="J53"/>
      <c r="K53"/>
      <c r="L53"/>
      <c r="M53"/>
      <c r="N53"/>
      <c r="O53"/>
      <c r="P53"/>
      <c r="Q53"/>
      <c r="R53"/>
      <c r="S53"/>
    </row>
    <row r="54" spans="1:20" ht="18.75" customHeight="1" outlineLevel="1" thickBot="1" x14ac:dyDescent="0.3">
      <c r="B54" s="1161" t="s">
        <v>1068</v>
      </c>
      <c r="C54" s="893" t="str">
        <f ca="1">CRCP_y4</f>
        <v>2025-26</v>
      </c>
      <c r="D54" s="892" t="str">
        <f ca="1">CRCP_y5</f>
        <v>2026-27</v>
      </c>
      <c r="E54" s="890" t="str">
        <f>FRCP_y1</f>
        <v>2027-28</v>
      </c>
      <c r="F54" s="890" t="str">
        <f ca="1">FRCP_y2</f>
        <v>2028-29</v>
      </c>
      <c r="G54" s="890" t="str">
        <f ca="1">FRCP_y3</f>
        <v>2029-30</v>
      </c>
      <c r="H54" s="890" t="str">
        <f ca="1">FRCP_y4</f>
        <v>2030-31</v>
      </c>
      <c r="I54" s="891" t="str">
        <f ca="1">FRCP_y5</f>
        <v>2031-32</v>
      </c>
    </row>
    <row r="55" spans="1:20" outlineLevel="1" x14ac:dyDescent="0.25">
      <c r="B55" s="277" t="str">
        <f t="shared" ref="B55:B69" si="4">IF(ISBLANK(B10),"",B10)</f>
        <v xml:space="preserve">Mainline </v>
      </c>
      <c r="C55" s="1193"/>
      <c r="D55" s="1194"/>
      <c r="E55" s="1195"/>
      <c r="F55" s="1196"/>
      <c r="G55" s="1196"/>
      <c r="H55" s="1196"/>
      <c r="I55" s="1197"/>
    </row>
    <row r="56" spans="1:20" outlineLevel="1" x14ac:dyDescent="0.25">
      <c r="B56" s="277" t="str">
        <f t="shared" si="4"/>
        <v>Loopline</v>
      </c>
      <c r="C56" s="1198"/>
      <c r="D56" s="1199"/>
      <c r="E56" s="1200"/>
      <c r="F56" s="1201"/>
      <c r="G56" s="1201"/>
      <c r="H56" s="1201"/>
      <c r="I56" s="1202"/>
    </row>
    <row r="57" spans="1:20" outlineLevel="1" x14ac:dyDescent="0.25">
      <c r="B57" s="1069" t="str">
        <f t="shared" si="4"/>
        <v>Metro</v>
      </c>
      <c r="C57" s="1198"/>
      <c r="D57" s="1199"/>
      <c r="E57" s="1200"/>
      <c r="F57" s="1201"/>
      <c r="G57" s="1201"/>
      <c r="H57" s="1201"/>
      <c r="I57" s="1202"/>
    </row>
    <row r="58" spans="1:20" outlineLevel="1" x14ac:dyDescent="0.25">
      <c r="B58" s="1069" t="str">
        <f t="shared" si="4"/>
        <v>Lytton Lateral</v>
      </c>
      <c r="C58" s="1198"/>
      <c r="D58" s="1199"/>
      <c r="E58" s="1200"/>
      <c r="F58" s="1201"/>
      <c r="G58" s="1201"/>
      <c r="H58" s="1201"/>
      <c r="I58" s="1202"/>
    </row>
    <row r="59" spans="1:20" outlineLevel="1" x14ac:dyDescent="0.25">
      <c r="B59" s="1069" t="str">
        <f t="shared" si="4"/>
        <v>Peat Lateral</v>
      </c>
      <c r="C59" s="1198"/>
      <c r="D59" s="1199"/>
      <c r="E59" s="1200"/>
      <c r="F59" s="1201"/>
      <c r="G59" s="1201"/>
      <c r="H59" s="1201"/>
      <c r="I59" s="1202"/>
    </row>
    <row r="60" spans="1:20" outlineLevel="1" x14ac:dyDescent="0.25">
      <c r="B60" s="1069" t="str">
        <f t="shared" si="4"/>
        <v>Long Term Firm Service</v>
      </c>
      <c r="C60" s="1198"/>
      <c r="D60" s="1199"/>
      <c r="E60" s="1200"/>
      <c r="F60" s="1201"/>
      <c r="G60" s="1201"/>
      <c r="H60" s="1201"/>
      <c r="I60" s="1202"/>
    </row>
    <row r="61" spans="1:20" outlineLevel="1" x14ac:dyDescent="0.25">
      <c r="B61" s="1069" t="str">
        <f t="shared" si="4"/>
        <v>Eastbound Long Term Firm Reference Service</v>
      </c>
      <c r="C61" s="1198"/>
      <c r="D61" s="1199"/>
      <c r="E61" s="1200"/>
      <c r="F61" s="1201"/>
      <c r="G61" s="1201"/>
      <c r="H61" s="1201"/>
      <c r="I61" s="1202"/>
    </row>
    <row r="62" spans="1:20" outlineLevel="1" x14ac:dyDescent="0.25">
      <c r="B62" s="1069" t="str">
        <f t="shared" si="4"/>
        <v>Westbound Long Term Firm Reference Service</v>
      </c>
      <c r="C62" s="1198"/>
      <c r="D62" s="1199"/>
      <c r="E62" s="1200"/>
      <c r="F62" s="1201"/>
      <c r="G62" s="1201"/>
      <c r="H62" s="1201"/>
      <c r="I62" s="1202"/>
    </row>
    <row r="63" spans="1:20" outlineLevel="1" x14ac:dyDescent="0.25">
      <c r="B63" s="1069" t="str">
        <f t="shared" si="4"/>
        <v/>
      </c>
      <c r="C63" s="1198"/>
      <c r="D63" s="1199"/>
      <c r="E63" s="1200"/>
      <c r="F63" s="1201"/>
      <c r="G63" s="1201"/>
      <c r="H63" s="1201"/>
      <c r="I63" s="1202"/>
    </row>
    <row r="64" spans="1:20" outlineLevel="1" x14ac:dyDescent="0.25">
      <c r="B64" s="1069" t="str">
        <f t="shared" si="4"/>
        <v/>
      </c>
      <c r="C64" s="1198"/>
      <c r="D64" s="1199"/>
      <c r="E64" s="1200"/>
      <c r="F64" s="1201"/>
      <c r="G64" s="1201"/>
      <c r="H64" s="1201"/>
      <c r="I64" s="1202"/>
    </row>
    <row r="65" spans="1:9" outlineLevel="1" x14ac:dyDescent="0.25">
      <c r="B65" s="1069" t="str">
        <f t="shared" si="4"/>
        <v/>
      </c>
      <c r="C65" s="1198"/>
      <c r="D65" s="1199"/>
      <c r="E65" s="1200"/>
      <c r="F65" s="1201"/>
      <c r="G65" s="1201"/>
      <c r="H65" s="1201"/>
      <c r="I65" s="1202"/>
    </row>
    <row r="66" spans="1:9" outlineLevel="1" x14ac:dyDescent="0.25">
      <c r="B66" s="1069" t="str">
        <f t="shared" si="4"/>
        <v/>
      </c>
      <c r="C66" s="1198"/>
      <c r="D66" s="1199"/>
      <c r="E66" s="1200"/>
      <c r="F66" s="1201"/>
      <c r="G66" s="1201"/>
      <c r="H66" s="1201"/>
      <c r="I66" s="1202"/>
    </row>
    <row r="67" spans="1:9" outlineLevel="1" x14ac:dyDescent="0.25">
      <c r="B67" s="1069" t="str">
        <f t="shared" si="4"/>
        <v/>
      </c>
      <c r="C67" s="1198"/>
      <c r="D67" s="1199"/>
      <c r="E67" s="1200"/>
      <c r="F67" s="1201"/>
      <c r="G67" s="1201"/>
      <c r="H67" s="1201"/>
      <c r="I67" s="1202"/>
    </row>
    <row r="68" spans="1:9" outlineLevel="1" x14ac:dyDescent="0.25">
      <c r="B68" s="1069" t="str">
        <f t="shared" si="4"/>
        <v/>
      </c>
      <c r="C68" s="1198"/>
      <c r="D68" s="1199"/>
      <c r="E68" s="1200"/>
      <c r="F68" s="1201"/>
      <c r="G68" s="1201"/>
      <c r="H68" s="1201"/>
      <c r="I68" s="1202"/>
    </row>
    <row r="69" spans="1:9" ht="15.75" outlineLevel="1" thickBot="1" x14ac:dyDescent="0.3">
      <c r="B69" s="929" t="str">
        <f t="shared" si="4"/>
        <v/>
      </c>
      <c r="C69" s="1203"/>
      <c r="D69" s="1204"/>
      <c r="E69" s="1205"/>
      <c r="F69" s="1206"/>
      <c r="G69" s="1206"/>
      <c r="H69" s="1206"/>
      <c r="I69" s="1207"/>
    </row>
    <row r="71" spans="1:9" ht="15.75" thickBot="1" x14ac:dyDescent="0.3"/>
    <row r="72" spans="1:9" ht="25.5" customHeight="1" thickBot="1" x14ac:dyDescent="0.3">
      <c r="B72" s="264" t="s">
        <v>1084</v>
      </c>
      <c r="C72" s="264"/>
      <c r="D72" s="264"/>
      <c r="E72" s="264"/>
      <c r="F72" s="264"/>
      <c r="G72" s="264"/>
      <c r="H72" s="264"/>
      <c r="I72" s="264"/>
    </row>
    <row r="73" spans="1:9" s="1065" customFormat="1" outlineLevel="1" x14ac:dyDescent="0.25">
      <c r="A73"/>
      <c r="B73" s="1070"/>
      <c r="C73" s="1519" t="s">
        <v>951</v>
      </c>
      <c r="D73" s="1520"/>
      <c r="E73" s="1521"/>
      <c r="F73" s="1521"/>
      <c r="G73" s="1521"/>
      <c r="H73" s="1521"/>
      <c r="I73" s="1521"/>
    </row>
    <row r="74" spans="1:9" s="1065" customFormat="1" outlineLevel="1" x14ac:dyDescent="0.25">
      <c r="A74"/>
      <c r="C74" s="1513" t="s">
        <v>130</v>
      </c>
      <c r="D74" s="1514"/>
      <c r="E74" s="1515"/>
      <c r="F74" s="1515"/>
      <c r="G74" s="1515"/>
      <c r="H74" s="1515"/>
      <c r="I74" s="1515"/>
    </row>
    <row r="75" spans="1:9" s="1065" customFormat="1" ht="15.75" outlineLevel="1" thickBot="1" x14ac:dyDescent="0.25">
      <c r="B75" s="1161" t="s">
        <v>1068</v>
      </c>
      <c r="C75" s="893" t="str">
        <f ca="1">CRCP_y4</f>
        <v>2025-26</v>
      </c>
      <c r="D75" s="892" t="str">
        <f ca="1">CRCP_y5</f>
        <v>2026-27</v>
      </c>
      <c r="E75" s="890" t="str">
        <f>FRCP_y1</f>
        <v>2027-28</v>
      </c>
      <c r="F75" s="890" t="str">
        <f ca="1">FRCP_y2</f>
        <v>2028-29</v>
      </c>
      <c r="G75" s="890" t="str">
        <f ca="1">FRCP_y3</f>
        <v>2029-30</v>
      </c>
      <c r="H75" s="890" t="str">
        <f ca="1">FRCP_y4</f>
        <v>2030-31</v>
      </c>
      <c r="I75" s="891" t="str">
        <f ca="1">FRCP_y5</f>
        <v>2031-32</v>
      </c>
    </row>
    <row r="76" spans="1:9" s="1065" customFormat="1" outlineLevel="1" x14ac:dyDescent="0.25">
      <c r="B76" s="277" t="str">
        <f t="shared" ref="B76:B90" si="5">IF(ISBLANK(B10),"",B10)</f>
        <v xml:space="preserve">Mainline </v>
      </c>
      <c r="C76" s="1193"/>
      <c r="D76" s="1194"/>
      <c r="E76" s="1195"/>
      <c r="F76" s="1196"/>
      <c r="G76" s="1196"/>
      <c r="H76" s="1196"/>
      <c r="I76" s="1197"/>
    </row>
    <row r="77" spans="1:9" s="1065" customFormat="1" outlineLevel="1" x14ac:dyDescent="0.25">
      <c r="B77" s="277" t="str">
        <f t="shared" si="5"/>
        <v>Loopline</v>
      </c>
      <c r="C77" s="1198"/>
      <c r="D77" s="1199"/>
      <c r="E77" s="1200"/>
      <c r="F77" s="1201"/>
      <c r="G77" s="1201"/>
      <c r="H77" s="1201"/>
      <c r="I77" s="1202"/>
    </row>
    <row r="78" spans="1:9" s="1065" customFormat="1" outlineLevel="1" x14ac:dyDescent="0.25">
      <c r="B78" s="1069" t="str">
        <f t="shared" si="5"/>
        <v>Metro</v>
      </c>
      <c r="C78" s="1198"/>
      <c r="D78" s="1199"/>
      <c r="E78" s="1200"/>
      <c r="F78" s="1201"/>
      <c r="G78" s="1201"/>
      <c r="H78" s="1201"/>
      <c r="I78" s="1202"/>
    </row>
    <row r="79" spans="1:9" s="1065" customFormat="1" outlineLevel="1" x14ac:dyDescent="0.25">
      <c r="B79" s="1069" t="str">
        <f t="shared" si="5"/>
        <v>Lytton Lateral</v>
      </c>
      <c r="C79" s="1198"/>
      <c r="D79" s="1199"/>
      <c r="E79" s="1200"/>
      <c r="F79" s="1201"/>
      <c r="G79" s="1201"/>
      <c r="H79" s="1201"/>
      <c r="I79" s="1202"/>
    </row>
    <row r="80" spans="1:9" s="1065" customFormat="1" outlineLevel="1" x14ac:dyDescent="0.25">
      <c r="B80" s="1069" t="str">
        <f t="shared" si="5"/>
        <v>Peat Lateral</v>
      </c>
      <c r="C80" s="1198"/>
      <c r="D80" s="1199"/>
      <c r="E80" s="1200"/>
      <c r="F80" s="1201"/>
      <c r="G80" s="1201"/>
      <c r="H80" s="1201"/>
      <c r="I80" s="1202"/>
    </row>
    <row r="81" spans="2:9" s="1065" customFormat="1" outlineLevel="1" x14ac:dyDescent="0.25">
      <c r="B81" s="1069" t="str">
        <f t="shared" si="5"/>
        <v>Long Term Firm Service</v>
      </c>
      <c r="C81" s="1198"/>
      <c r="D81" s="1199"/>
      <c r="E81" s="1200">
        <v>0.61061643835616441</v>
      </c>
      <c r="F81" s="1201">
        <v>0.58595890410958906</v>
      </c>
      <c r="G81" s="1201">
        <v>0.58595890410958906</v>
      </c>
      <c r="H81" s="1201">
        <v>0.58595890410958906</v>
      </c>
      <c r="I81" s="1202">
        <v>0.58595890410958906</v>
      </c>
    </row>
    <row r="82" spans="2:9" s="1065" customFormat="1" outlineLevel="1" x14ac:dyDescent="0.25">
      <c r="B82" s="1069" t="str">
        <f t="shared" si="5"/>
        <v>Eastbound Long Term Firm Reference Service</v>
      </c>
      <c r="C82" s="1198">
        <v>0.62417061611374403</v>
      </c>
      <c r="D82" s="1199">
        <v>0.63364928909952611</v>
      </c>
      <c r="E82" s="1200"/>
      <c r="F82" s="1201"/>
      <c r="G82" s="1201"/>
      <c r="H82" s="1201"/>
      <c r="I82" s="1202"/>
    </row>
    <row r="83" spans="2:9" s="1065" customFormat="1" outlineLevel="1" x14ac:dyDescent="0.25">
      <c r="B83" s="1069" t="str">
        <f t="shared" si="5"/>
        <v>Westbound Long Term Firm Reference Service</v>
      </c>
      <c r="C83" s="1198">
        <v>0.52</v>
      </c>
      <c r="D83" s="1199">
        <v>0.52</v>
      </c>
      <c r="E83" s="1200"/>
      <c r="F83" s="1201"/>
      <c r="G83" s="1201"/>
      <c r="H83" s="1201"/>
      <c r="I83" s="1202"/>
    </row>
    <row r="84" spans="2:9" s="1065" customFormat="1" outlineLevel="1" x14ac:dyDescent="0.25">
      <c r="B84" s="1069" t="str">
        <f t="shared" si="5"/>
        <v/>
      </c>
      <c r="C84" s="1198"/>
      <c r="D84" s="1199"/>
      <c r="E84" s="1200"/>
      <c r="F84" s="1201"/>
      <c r="G84" s="1201"/>
      <c r="H84" s="1201"/>
      <c r="I84" s="1202"/>
    </row>
    <row r="85" spans="2:9" s="1065" customFormat="1" outlineLevel="1" x14ac:dyDescent="0.25">
      <c r="B85" s="1069" t="str">
        <f t="shared" si="5"/>
        <v/>
      </c>
      <c r="C85" s="1198"/>
      <c r="D85" s="1199"/>
      <c r="E85" s="1200"/>
      <c r="F85" s="1201"/>
      <c r="G85" s="1201"/>
      <c r="H85" s="1201"/>
      <c r="I85" s="1202"/>
    </row>
    <row r="86" spans="2:9" s="1065" customFormat="1" outlineLevel="1" x14ac:dyDescent="0.25">
      <c r="B86" s="1069" t="str">
        <f t="shared" si="5"/>
        <v/>
      </c>
      <c r="C86" s="1198"/>
      <c r="D86" s="1199"/>
      <c r="E86" s="1200"/>
      <c r="F86" s="1201"/>
      <c r="G86" s="1201"/>
      <c r="H86" s="1201"/>
      <c r="I86" s="1202"/>
    </row>
    <row r="87" spans="2:9" s="1065" customFormat="1" outlineLevel="1" x14ac:dyDescent="0.25">
      <c r="B87" s="1069" t="str">
        <f t="shared" si="5"/>
        <v/>
      </c>
      <c r="C87" s="1198"/>
      <c r="D87" s="1199"/>
      <c r="E87" s="1200"/>
      <c r="F87" s="1201"/>
      <c r="G87" s="1201"/>
      <c r="H87" s="1201"/>
      <c r="I87" s="1202"/>
    </row>
    <row r="88" spans="2:9" s="1065" customFormat="1" outlineLevel="1" x14ac:dyDescent="0.25">
      <c r="B88" s="1069" t="str">
        <f t="shared" si="5"/>
        <v/>
      </c>
      <c r="C88" s="1198"/>
      <c r="D88" s="1199"/>
      <c r="E88" s="1200"/>
      <c r="F88" s="1201"/>
      <c r="G88" s="1201"/>
      <c r="H88" s="1201"/>
      <c r="I88" s="1202"/>
    </row>
    <row r="89" spans="2:9" s="1065" customFormat="1" outlineLevel="1" x14ac:dyDescent="0.25">
      <c r="B89" s="1069" t="str">
        <f t="shared" si="5"/>
        <v/>
      </c>
      <c r="C89" s="1198"/>
      <c r="D89" s="1199"/>
      <c r="E89" s="1200"/>
      <c r="F89" s="1201"/>
      <c r="G89" s="1201"/>
      <c r="H89" s="1201"/>
      <c r="I89" s="1202"/>
    </row>
    <row r="90" spans="2:9" s="1065" customFormat="1" ht="15.75" outlineLevel="1" thickBot="1" x14ac:dyDescent="0.3">
      <c r="B90" s="929" t="str">
        <f t="shared" si="5"/>
        <v/>
      </c>
      <c r="C90" s="1203"/>
      <c r="D90" s="1204"/>
      <c r="E90" s="1205"/>
      <c r="F90" s="1206"/>
      <c r="G90" s="1206"/>
      <c r="H90" s="1206"/>
      <c r="I90" s="1207"/>
    </row>
    <row r="91" spans="2:9" s="1065" customFormat="1" ht="14.25" x14ac:dyDescent="0.2">
      <c r="B91" s="1068"/>
      <c r="C91" s="1067"/>
      <c r="D91" s="1067"/>
      <c r="E91" s="1066"/>
      <c r="F91" s="1066"/>
      <c r="G91" s="1066"/>
      <c r="H91" s="1066"/>
      <c r="I91" s="1066"/>
    </row>
  </sheetData>
  <sheetProtection algorithmName="SHA-256" hashValue="Pao6Qf3Ewdb437U+VvPajqfvF2wDPeNVUrO1Vk0yxV8=" saltValue="147fjjJ/PZxJj3+aW4pZ2w==" spinCount="100000" sheet="1" objects="1" scenarios="1" formatCells="0" insertRows="0" deleteRows="0"/>
  <mergeCells count="8">
    <mergeCell ref="C73:I73"/>
    <mergeCell ref="C74:I74"/>
    <mergeCell ref="C7:I7"/>
    <mergeCell ref="C8:I8"/>
    <mergeCell ref="C29:I29"/>
    <mergeCell ref="C30:I30"/>
    <mergeCell ref="C52:I52"/>
    <mergeCell ref="C53:I53"/>
  </mergeCells>
  <dataValidations disablePrompts="1" count="1">
    <dataValidation allowBlank="1" showInputMessage="1" showErrorMessage="1" sqref="C9:I9 C31:I31 C54:I54 C75:I75" xr:uid="{00000000-0002-0000-0E00-000000000000}"/>
  </dataValidations>
  <pageMargins left="0.7" right="0.7" top="0.75" bottom="0.75" header="0.3" footer="0.3"/>
  <pageSetup paperSize="9" orientation="portrait" r:id="rId1"/>
  <headerFooter>
    <oddFooter>&amp;C_x000D_&amp;1#&amp;"Aptos"&amp;10&amp;K008000 APA-INTERNAL</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0">
    <tabColor theme="9" tint="-0.249977111117893"/>
  </sheetPr>
  <dimension ref="A1:DP69"/>
  <sheetViews>
    <sheetView showGridLines="0" topLeftCell="A40" zoomScaleNormal="100" workbookViewId="0">
      <selection activeCell="I52" sqref="I52"/>
    </sheetView>
  </sheetViews>
  <sheetFormatPr defaultColWidth="9.140625" defaultRowHeight="15" outlineLevelRow="2" x14ac:dyDescent="0.25"/>
  <cols>
    <col min="1" max="1" width="22.7109375" customWidth="1"/>
    <col min="2" max="2" width="52" customWidth="1"/>
    <col min="3" max="9" width="20.7109375" customWidth="1"/>
  </cols>
  <sheetData>
    <row r="1" spans="2:9" ht="30.2" customHeight="1" x14ac:dyDescent="0.25">
      <c r="B1" s="422" t="str">
        <f>IF(dms_MultiYear_ResponseFlag="Yes","REGULATORY REPORTING STATEMENT - HISTORICAL INFORMATION",INDEX(dms_Worksheet_List,MATCH(dms_Model,dms_Model_List)))</f>
        <v>REGULATORY REPORTING STATEMENT</v>
      </c>
      <c r="C1" s="280"/>
      <c r="D1" s="280"/>
      <c r="E1" s="280"/>
      <c r="F1" s="280"/>
      <c r="G1" s="1342" t="s">
        <v>1162</v>
      </c>
      <c r="H1" s="1343" t="s">
        <v>1163</v>
      </c>
      <c r="I1" s="936"/>
    </row>
    <row r="2" spans="2:9" ht="30.2" customHeight="1" x14ac:dyDescent="0.25">
      <c r="B2" s="424" t="str">
        <f>INDEX(dms_TradingNameFull_List,MATCH(dms_TradingName,dms_TradingName_List))</f>
        <v>APT Petroleum Pipelines Limited t/a Roma to Brisbane Pipeline</v>
      </c>
      <c r="C2" s="280"/>
      <c r="D2" s="280"/>
      <c r="E2" s="280"/>
      <c r="F2" s="280"/>
      <c r="G2" s="1344" t="s">
        <v>1164</v>
      </c>
      <c r="H2" s="1345" t="s">
        <v>647</v>
      </c>
      <c r="I2" s="936"/>
    </row>
    <row r="3" spans="2:9" ht="30.2" customHeight="1" x14ac:dyDescent="0.25">
      <c r="B3" s="423" t="str">
        <f ca="1">dms_Header_Span</f>
        <v>Data Span 2025-26 - 2031-32</v>
      </c>
      <c r="C3" s="280"/>
      <c r="D3" s="280"/>
      <c r="E3" s="280"/>
      <c r="F3" s="280"/>
      <c r="G3" s="1346" t="s">
        <v>1165</v>
      </c>
      <c r="H3" s="1347" t="s">
        <v>830</v>
      </c>
      <c r="I3" s="938"/>
    </row>
    <row r="4" spans="2:9" ht="30.2" customHeight="1" x14ac:dyDescent="0.25">
      <c r="B4" s="263" t="s">
        <v>1087</v>
      </c>
      <c r="C4" s="263"/>
      <c r="D4" s="263"/>
      <c r="E4" s="263"/>
      <c r="F4" s="263"/>
      <c r="G4" s="1348" t="s">
        <v>1166</v>
      </c>
      <c r="H4" s="1349" t="s">
        <v>1167</v>
      </c>
      <c r="I4" s="263"/>
    </row>
    <row r="5" spans="2:9" ht="25.5" customHeight="1" thickBot="1" x14ac:dyDescent="0.3"/>
    <row r="6" spans="2:9" ht="16.5" thickBot="1" x14ac:dyDescent="0.3">
      <c r="B6" s="264" t="s">
        <v>1086</v>
      </c>
      <c r="C6" s="264"/>
      <c r="D6" s="264"/>
      <c r="E6" s="264"/>
      <c r="F6" s="264"/>
      <c r="G6" s="264"/>
      <c r="H6" s="264"/>
      <c r="I6" s="264"/>
    </row>
    <row r="7" spans="2:9" outlineLevel="1" x14ac:dyDescent="0.25">
      <c r="C7" s="1530" t="s">
        <v>951</v>
      </c>
      <c r="D7" s="1531"/>
      <c r="E7" s="1531"/>
      <c r="F7" s="1531"/>
      <c r="G7" s="1531"/>
      <c r="H7" s="1531"/>
      <c r="I7" s="1532"/>
    </row>
    <row r="8" spans="2:9" ht="15.75" outlineLevel="1" thickBot="1" x14ac:dyDescent="0.3">
      <c r="C8" s="1533" t="s">
        <v>125</v>
      </c>
      <c r="D8" s="1534"/>
      <c r="E8" s="1534"/>
      <c r="F8" s="1534"/>
      <c r="G8" s="1534"/>
      <c r="H8" s="1534"/>
      <c r="I8" s="1535"/>
    </row>
    <row r="9" spans="2:9" ht="15.75" outlineLevel="1" thickBot="1" x14ac:dyDescent="0.3">
      <c r="C9" s="893" t="str">
        <f ca="1">CRCP_y4</f>
        <v>2025-26</v>
      </c>
      <c r="D9" s="892" t="str">
        <f ca="1">CRCP_y5</f>
        <v>2026-27</v>
      </c>
      <c r="E9" s="890" t="str">
        <f>FRCP_y1</f>
        <v>2027-28</v>
      </c>
      <c r="F9" s="890" t="str">
        <f ca="1">FRCP_y2</f>
        <v>2028-29</v>
      </c>
      <c r="G9" s="890" t="str">
        <f ca="1">FRCP_y3</f>
        <v>2029-30</v>
      </c>
      <c r="H9" s="890" t="str">
        <f ca="1">FRCP_y4</f>
        <v>2030-31</v>
      </c>
      <c r="I9" s="891" t="str">
        <f ca="1">FRCP_y5</f>
        <v>2031-32</v>
      </c>
    </row>
    <row r="10" spans="2:9" ht="15.75" outlineLevel="1" thickBot="1" x14ac:dyDescent="0.3">
      <c r="B10" s="971" t="s">
        <v>1088</v>
      </c>
      <c r="C10" s="1010"/>
      <c r="D10" s="1010"/>
      <c r="E10" s="1010"/>
      <c r="F10" s="1010"/>
      <c r="G10" s="1010"/>
      <c r="H10" s="1010"/>
      <c r="I10" s="1011"/>
    </row>
    <row r="11" spans="2:9" outlineLevel="2" x14ac:dyDescent="0.25">
      <c r="B11" s="277" t="s">
        <v>1094</v>
      </c>
      <c r="C11" s="1000">
        <v>2</v>
      </c>
      <c r="D11" s="880">
        <v>2</v>
      </c>
      <c r="E11" s="880">
        <f>D11</f>
        <v>2</v>
      </c>
      <c r="F11" s="880">
        <f>E12</f>
        <v>3</v>
      </c>
      <c r="G11" s="880">
        <f t="shared" ref="G11:I11" si="0">F12</f>
        <v>3</v>
      </c>
      <c r="H11" s="880">
        <f t="shared" si="0"/>
        <v>3</v>
      </c>
      <c r="I11" s="882">
        <f t="shared" si="0"/>
        <v>3</v>
      </c>
    </row>
    <row r="12" spans="2:9" outlineLevel="2" x14ac:dyDescent="0.25">
      <c r="B12" s="277" t="s">
        <v>1095</v>
      </c>
      <c r="C12" s="996">
        <v>2</v>
      </c>
      <c r="D12" s="862">
        <v>2</v>
      </c>
      <c r="E12" s="862">
        <v>3</v>
      </c>
      <c r="F12" s="862">
        <f>F11</f>
        <v>3</v>
      </c>
      <c r="G12" s="862">
        <f t="shared" ref="G12:I12" si="1">G11</f>
        <v>3</v>
      </c>
      <c r="H12" s="862">
        <f t="shared" si="1"/>
        <v>3</v>
      </c>
      <c r="I12" s="864">
        <f t="shared" si="1"/>
        <v>3</v>
      </c>
    </row>
    <row r="13" spans="2:9" outlineLevel="2" x14ac:dyDescent="0.25">
      <c r="B13" s="277" t="s">
        <v>1096</v>
      </c>
      <c r="C13" s="996"/>
      <c r="D13" s="862"/>
      <c r="E13" s="862"/>
      <c r="F13" s="862"/>
      <c r="G13" s="862"/>
      <c r="H13" s="862"/>
      <c r="I13" s="864"/>
    </row>
    <row r="14" spans="2:9" ht="15.75" outlineLevel="2" thickBot="1" x14ac:dyDescent="0.3">
      <c r="B14" s="1252" t="s">
        <v>1097</v>
      </c>
      <c r="C14" s="997"/>
      <c r="D14" s="888"/>
      <c r="E14" s="888"/>
      <c r="F14" s="888"/>
      <c r="G14" s="888"/>
      <c r="H14" s="888"/>
      <c r="I14" s="889"/>
    </row>
    <row r="15" spans="2:9" outlineLevel="1" x14ac:dyDescent="0.25"/>
    <row r="16" spans="2:9" ht="15.75" thickBot="1" x14ac:dyDescent="0.3"/>
    <row r="17" spans="1:120" s="42" customFormat="1" ht="20.100000000000001" customHeight="1" thickBot="1" x14ac:dyDescent="0.3">
      <c r="A17" s="49"/>
      <c r="B17" s="1117" t="s">
        <v>1107</v>
      </c>
      <c r="C17" s="1117"/>
      <c r="D17" s="1117"/>
      <c r="E17" s="1117"/>
      <c r="F17" s="1117"/>
      <c r="G17" s="1117"/>
      <c r="H17" s="1117"/>
      <c r="I17" s="1117"/>
      <c r="J17" s="1004"/>
      <c r="K17" s="1004"/>
      <c r="L17" s="1004"/>
      <c r="N17" s="1004"/>
      <c r="O17" s="1004"/>
      <c r="P17" s="1004"/>
      <c r="Q17" s="1004"/>
      <c r="R17" s="1004"/>
      <c r="S17" s="1004"/>
      <c r="T17" s="1004"/>
      <c r="U17" s="1004"/>
      <c r="V17" s="1004"/>
      <c r="W17" s="49"/>
      <c r="X17" s="49"/>
      <c r="Y17" s="49"/>
      <c r="Z17" s="49"/>
      <c r="AA17" s="49"/>
      <c r="AB17" s="49"/>
      <c r="AC17" s="49"/>
      <c r="AD17" s="49"/>
      <c r="AE17" s="49"/>
      <c r="AF17" s="49"/>
      <c r="AG17" s="49"/>
      <c r="AH17" s="49"/>
      <c r="AI17" s="49"/>
      <c r="AJ17" s="49"/>
      <c r="AK17" s="49"/>
      <c r="AL17" s="49"/>
      <c r="AM17" s="49"/>
      <c r="AN17" s="49"/>
      <c r="AO17" s="49"/>
      <c r="AP17" s="49"/>
      <c r="AQ17" s="49"/>
      <c r="AR17" s="49"/>
      <c r="AS17" s="49"/>
      <c r="AT17" s="49"/>
      <c r="AU17" s="49"/>
      <c r="AV17" s="49"/>
      <c r="AW17" s="49"/>
      <c r="AX17" s="49"/>
      <c r="AY17" s="49"/>
      <c r="AZ17" s="49"/>
      <c r="BA17" s="49"/>
      <c r="BB17" s="49"/>
      <c r="BC17" s="49"/>
      <c r="BD17" s="49"/>
      <c r="BE17" s="49"/>
      <c r="BF17" s="49"/>
      <c r="BG17" s="49"/>
      <c r="BH17" s="49"/>
      <c r="BI17" s="49"/>
      <c r="BJ17" s="49"/>
      <c r="BK17" s="49"/>
      <c r="BL17" s="49"/>
      <c r="BM17" s="49"/>
      <c r="BN17" s="49"/>
      <c r="BO17" s="49"/>
      <c r="BP17" s="49"/>
      <c r="BQ17" s="49"/>
      <c r="BR17" s="49"/>
      <c r="BS17" s="49"/>
      <c r="BT17" s="49"/>
      <c r="BU17" s="49"/>
      <c r="BV17" s="49"/>
      <c r="BW17" s="49"/>
      <c r="BX17" s="49"/>
      <c r="BY17" s="49"/>
      <c r="BZ17" s="49"/>
      <c r="CA17" s="49"/>
      <c r="CB17" s="49"/>
      <c r="CC17" s="49"/>
      <c r="CD17" s="49"/>
      <c r="CE17" s="49"/>
      <c r="CF17" s="49"/>
      <c r="CG17" s="49"/>
      <c r="CH17" s="49"/>
      <c r="CI17" s="49"/>
      <c r="CJ17" s="49"/>
      <c r="CK17" s="49"/>
      <c r="CL17" s="49"/>
      <c r="CM17" s="49"/>
      <c r="CN17" s="49"/>
      <c r="CO17" s="49"/>
      <c r="CP17" s="49"/>
      <c r="CQ17" s="1004"/>
      <c r="CR17" s="1004"/>
      <c r="CS17" s="1004"/>
      <c r="CT17" s="1004"/>
      <c r="CU17" s="1004"/>
      <c r="CV17" s="1004"/>
      <c r="CW17" s="1004"/>
      <c r="CX17" s="1004"/>
      <c r="CY17" s="1004"/>
      <c r="CZ17" s="1004"/>
      <c r="DA17" s="1004"/>
      <c r="DB17" s="1004"/>
      <c r="DC17" s="1004"/>
      <c r="DD17" s="1004"/>
      <c r="DE17" s="1004"/>
      <c r="DF17" s="1004"/>
      <c r="DG17" s="1004"/>
      <c r="DH17" s="1004"/>
      <c r="DI17" s="1004"/>
      <c r="DJ17" s="1004"/>
      <c r="DK17" s="1004"/>
      <c r="DL17" s="1004"/>
      <c r="DM17" s="1004"/>
      <c r="DN17" s="1004"/>
      <c r="DO17" s="1004"/>
      <c r="DP17" s="1004"/>
    </row>
    <row r="18" spans="1:120" s="42" customFormat="1" ht="20.100000000000001" customHeight="1" outlineLevel="1" thickBot="1" x14ac:dyDescent="0.3">
      <c r="A18" s="49"/>
      <c r="B18" s="971" t="s">
        <v>1108</v>
      </c>
      <c r="C18" s="1010"/>
      <c r="D18" s="1010"/>
      <c r="E18" s="1010"/>
      <c r="F18" s="1010"/>
      <c r="G18" s="1010"/>
      <c r="H18" s="1010"/>
      <c r="I18" s="1011"/>
      <c r="J18" s="1004"/>
      <c r="K18" s="1004"/>
      <c r="L18" s="1004"/>
      <c r="N18" s="1004"/>
      <c r="O18" s="1004"/>
      <c r="P18" s="1004"/>
      <c r="Q18" s="1004"/>
      <c r="R18" s="1004"/>
      <c r="S18" s="1004"/>
      <c r="T18" s="1004"/>
      <c r="U18" s="1004"/>
      <c r="V18" s="1004"/>
      <c r="W18" s="49"/>
      <c r="X18" s="49"/>
      <c r="Y18" s="49"/>
      <c r="Z18" s="49"/>
      <c r="AA18" s="49"/>
      <c r="AB18" s="49"/>
      <c r="AC18" s="49"/>
      <c r="AD18" s="49"/>
      <c r="AE18" s="49"/>
      <c r="AF18" s="49"/>
      <c r="AG18" s="49"/>
      <c r="AH18" s="49"/>
      <c r="AI18" s="49"/>
      <c r="AJ18" s="49"/>
      <c r="AK18" s="49"/>
      <c r="AL18" s="49"/>
      <c r="AM18" s="49"/>
      <c r="AN18" s="49"/>
      <c r="AO18" s="49"/>
      <c r="AP18" s="49"/>
      <c r="AQ18" s="49"/>
      <c r="AR18" s="49"/>
      <c r="AS18" s="49"/>
      <c r="AT18" s="49"/>
      <c r="AU18" s="49"/>
      <c r="AV18" s="49"/>
      <c r="AW18" s="49"/>
      <c r="AX18" s="49"/>
      <c r="AY18" s="49"/>
      <c r="AZ18" s="49"/>
      <c r="BA18" s="49"/>
      <c r="BB18" s="49"/>
      <c r="BC18" s="49"/>
      <c r="BD18" s="49"/>
      <c r="BE18" s="49"/>
      <c r="BF18" s="49"/>
      <c r="BG18" s="49"/>
      <c r="BH18" s="49"/>
      <c r="BI18" s="49"/>
      <c r="BJ18" s="49"/>
      <c r="BK18" s="49"/>
      <c r="BL18" s="49"/>
      <c r="BM18" s="49"/>
      <c r="BN18" s="49"/>
      <c r="BO18" s="49"/>
      <c r="BP18" s="49"/>
      <c r="BQ18" s="49"/>
      <c r="BR18" s="49"/>
      <c r="BS18" s="49"/>
      <c r="BT18" s="49"/>
      <c r="BU18" s="49"/>
      <c r="BV18" s="49"/>
      <c r="BW18" s="49"/>
      <c r="BX18" s="49"/>
      <c r="BY18" s="49"/>
      <c r="BZ18" s="49"/>
      <c r="CA18" s="49"/>
      <c r="CB18" s="49"/>
      <c r="CC18" s="49"/>
      <c r="CD18" s="49"/>
      <c r="CE18" s="49"/>
      <c r="CF18" s="49"/>
      <c r="CG18" s="49"/>
      <c r="CH18" s="49"/>
      <c r="CI18" s="49"/>
      <c r="CJ18" s="49"/>
      <c r="CK18" s="49"/>
      <c r="CL18" s="49"/>
      <c r="CM18" s="49"/>
      <c r="CN18" s="49"/>
      <c r="CO18" s="49"/>
      <c r="CP18" s="49"/>
      <c r="CQ18" s="1004"/>
      <c r="CR18" s="1004"/>
      <c r="CS18" s="1004"/>
      <c r="CT18" s="1004"/>
      <c r="CU18" s="1004"/>
      <c r="CV18" s="1004"/>
      <c r="CW18" s="1004"/>
      <c r="CX18" s="1004"/>
      <c r="CY18" s="1004"/>
      <c r="CZ18" s="1004"/>
      <c r="DA18" s="1004"/>
      <c r="DB18" s="1004"/>
      <c r="DC18" s="1004"/>
      <c r="DD18" s="1004"/>
      <c r="DE18" s="1004"/>
      <c r="DF18" s="1004"/>
      <c r="DG18" s="1004"/>
      <c r="DH18" s="1004"/>
      <c r="DI18" s="1004"/>
      <c r="DJ18" s="1004"/>
      <c r="DK18" s="1004"/>
      <c r="DL18" s="1004"/>
      <c r="DM18" s="1004"/>
      <c r="DN18" s="1004"/>
      <c r="DO18" s="1004"/>
      <c r="DP18" s="1004"/>
    </row>
    <row r="19" spans="1:120" s="49" customFormat="1" outlineLevel="2" x14ac:dyDescent="0.25">
      <c r="B19" s="1004"/>
      <c r="C19" s="1524" t="s">
        <v>951</v>
      </c>
      <c r="D19" s="1525"/>
      <c r="E19" s="1525"/>
      <c r="F19" s="1525"/>
      <c r="G19" s="1525"/>
      <c r="H19" s="1525"/>
      <c r="I19" s="1526"/>
      <c r="J19" s="1004"/>
      <c r="L19" s="1004"/>
      <c r="M19" s="1004"/>
      <c r="N19" s="1004"/>
      <c r="O19" s="1004"/>
      <c r="P19" s="1004"/>
      <c r="Q19" s="1004"/>
      <c r="R19" s="1004"/>
      <c r="S19" s="1004"/>
      <c r="T19" s="1004"/>
      <c r="U19" s="1004"/>
      <c r="V19" s="1004"/>
    </row>
    <row r="20" spans="1:120" s="49" customFormat="1" outlineLevel="2" x14ac:dyDescent="0.25">
      <c r="B20" s="1004"/>
      <c r="C20" s="1527" t="s">
        <v>125</v>
      </c>
      <c r="D20" s="1528"/>
      <c r="E20" s="1528"/>
      <c r="F20" s="1528"/>
      <c r="G20" s="1528"/>
      <c r="H20" s="1528"/>
      <c r="I20" s="1529"/>
      <c r="J20" s="1004"/>
      <c r="K20" s="1004"/>
      <c r="L20" s="1004"/>
      <c r="M20" s="1004"/>
      <c r="N20" s="1004"/>
      <c r="O20" s="1004"/>
      <c r="P20" s="1004"/>
      <c r="Q20" s="1004"/>
      <c r="R20" s="1004"/>
      <c r="S20" s="1004"/>
      <c r="T20" s="1004"/>
      <c r="U20" s="1004"/>
      <c r="V20" s="1004"/>
    </row>
    <row r="21" spans="1:120" s="49" customFormat="1" ht="15.75" outlineLevel="2" thickBot="1" x14ac:dyDescent="0.3">
      <c r="B21" s="1030" t="s">
        <v>1022</v>
      </c>
      <c r="C21" s="1118" t="str">
        <f ca="1">CRCP_y4</f>
        <v>2025-26</v>
      </c>
      <c r="D21" s="1119" t="str">
        <f ca="1">CRCP_y5</f>
        <v>2026-27</v>
      </c>
      <c r="E21" s="1120" t="str">
        <f>FRCP_y1</f>
        <v>2027-28</v>
      </c>
      <c r="F21" s="1120" t="str">
        <f ca="1">FRCP_y2</f>
        <v>2028-29</v>
      </c>
      <c r="G21" s="1120" t="str">
        <f ca="1">FRCP_y3</f>
        <v>2029-30</v>
      </c>
      <c r="H21" s="1120" t="str">
        <f ca="1">FRCP_y4</f>
        <v>2030-31</v>
      </c>
      <c r="I21" s="1121" t="str">
        <f ca="1">FRCP_y5</f>
        <v>2031-32</v>
      </c>
      <c r="J21" s="1004"/>
      <c r="K21" s="1004"/>
      <c r="L21" s="1004"/>
      <c r="M21" s="1004"/>
      <c r="N21" s="1004"/>
      <c r="O21" s="1004"/>
      <c r="P21" s="1004"/>
      <c r="Q21" s="1004"/>
      <c r="R21" s="1004"/>
      <c r="S21" s="1004"/>
      <c r="T21" s="1004"/>
      <c r="U21" s="1004"/>
      <c r="V21" s="1004"/>
    </row>
    <row r="22" spans="1:120" s="1004" customFormat="1" outlineLevel="2" x14ac:dyDescent="0.25">
      <c r="B22" s="994" t="s">
        <v>1220</v>
      </c>
      <c r="C22" s="923">
        <v>2</v>
      </c>
      <c r="D22" s="1123"/>
      <c r="E22" s="1124"/>
      <c r="F22" s="1122"/>
      <c r="G22" s="1122"/>
      <c r="H22" s="1122"/>
      <c r="I22" s="1130"/>
    </row>
    <row r="23" spans="1:120" s="1004" customFormat="1" outlineLevel="2" x14ac:dyDescent="0.25">
      <c r="B23" s="987" t="s">
        <v>1221</v>
      </c>
      <c r="C23" s="921"/>
      <c r="D23" s="1126"/>
      <c r="E23" s="1127"/>
      <c r="F23" s="1125"/>
      <c r="G23" s="1125"/>
      <c r="H23" s="1125"/>
      <c r="I23" s="1131"/>
    </row>
    <row r="24" spans="1:120" s="1004" customFormat="1" outlineLevel="2" x14ac:dyDescent="0.25">
      <c r="B24" s="987" t="s">
        <v>1174</v>
      </c>
      <c r="C24" s="921"/>
      <c r="D24" s="1126"/>
      <c r="E24" s="1127"/>
      <c r="F24" s="1125"/>
      <c r="G24" s="1125"/>
      <c r="H24" s="1125"/>
      <c r="I24" s="1131"/>
    </row>
    <row r="25" spans="1:120" s="1004" customFormat="1" outlineLevel="2" x14ac:dyDescent="0.25">
      <c r="B25" s="987"/>
      <c r="C25" s="921"/>
      <c r="D25" s="1126"/>
      <c r="E25" s="1127"/>
      <c r="F25" s="1125"/>
      <c r="G25" s="1125"/>
      <c r="H25" s="1125"/>
      <c r="I25" s="1131"/>
    </row>
    <row r="26" spans="1:120" s="1004" customFormat="1" outlineLevel="2" x14ac:dyDescent="0.25">
      <c r="B26" s="987"/>
      <c r="C26" s="921"/>
      <c r="D26" s="1126"/>
      <c r="E26" s="1127"/>
      <c r="F26" s="1125"/>
      <c r="G26" s="1125"/>
      <c r="H26" s="1125"/>
      <c r="I26" s="1131"/>
    </row>
    <row r="27" spans="1:120" s="1004" customFormat="1" outlineLevel="2" x14ac:dyDescent="0.25">
      <c r="B27" s="987"/>
      <c r="C27" s="921"/>
      <c r="D27" s="1126"/>
      <c r="E27" s="1127"/>
      <c r="F27" s="1125"/>
      <c r="G27" s="1125"/>
      <c r="H27" s="1125"/>
      <c r="I27" s="1131"/>
    </row>
    <row r="28" spans="1:120" s="1004" customFormat="1" outlineLevel="2" x14ac:dyDescent="0.25">
      <c r="B28" s="987"/>
      <c r="C28" s="921"/>
      <c r="D28" s="1126"/>
      <c r="E28" s="1127"/>
      <c r="F28" s="1125"/>
      <c r="G28" s="1125"/>
      <c r="H28" s="1125"/>
      <c r="I28" s="1131"/>
    </row>
    <row r="29" spans="1:120" s="1004" customFormat="1" outlineLevel="2" x14ac:dyDescent="0.25">
      <c r="B29" s="987"/>
      <c r="C29" s="921"/>
      <c r="D29" s="1126"/>
      <c r="E29" s="1127"/>
      <c r="F29" s="1125"/>
      <c r="G29" s="1125"/>
      <c r="H29" s="1125"/>
      <c r="I29" s="1131"/>
    </row>
    <row r="30" spans="1:120" s="1004" customFormat="1" outlineLevel="2" x14ac:dyDescent="0.25">
      <c r="B30" s="987"/>
      <c r="C30" s="921"/>
      <c r="D30" s="1126"/>
      <c r="E30" s="1127"/>
      <c r="F30" s="1125"/>
      <c r="G30" s="1125"/>
      <c r="H30" s="1125"/>
      <c r="I30" s="1131"/>
    </row>
    <row r="31" spans="1:120" s="1004" customFormat="1" outlineLevel="2" x14ac:dyDescent="0.25">
      <c r="B31" s="987"/>
      <c r="C31" s="921"/>
      <c r="D31" s="1126"/>
      <c r="E31" s="1127"/>
      <c r="F31" s="1125"/>
      <c r="G31" s="1125"/>
      <c r="H31" s="1125"/>
      <c r="I31" s="1131"/>
    </row>
    <row r="32" spans="1:120" s="1004" customFormat="1" outlineLevel="2" x14ac:dyDescent="0.25">
      <c r="B32" s="987"/>
      <c r="C32" s="921"/>
      <c r="D32" s="1126"/>
      <c r="E32" s="1127"/>
      <c r="F32" s="1125"/>
      <c r="G32" s="1125"/>
      <c r="H32" s="1125"/>
      <c r="I32" s="1131"/>
    </row>
    <row r="33" spans="1:120" s="1004" customFormat="1" outlineLevel="2" x14ac:dyDescent="0.25">
      <c r="B33" s="987"/>
      <c r="C33" s="921"/>
      <c r="D33" s="1126"/>
      <c r="E33" s="1127"/>
      <c r="F33" s="1125"/>
      <c r="G33" s="1125"/>
      <c r="H33" s="1125"/>
      <c r="I33" s="1131"/>
    </row>
    <row r="34" spans="1:120" s="1004" customFormat="1" outlineLevel="2" x14ac:dyDescent="0.25">
      <c r="B34" s="987"/>
      <c r="C34" s="921"/>
      <c r="D34" s="1126"/>
      <c r="E34" s="1127"/>
      <c r="F34" s="1125"/>
      <c r="G34" s="1125"/>
      <c r="H34" s="1125"/>
      <c r="I34" s="1131"/>
    </row>
    <row r="35" spans="1:120" s="1004" customFormat="1" outlineLevel="2" x14ac:dyDescent="0.25">
      <c r="B35" s="987"/>
      <c r="C35" s="921"/>
      <c r="D35" s="1126"/>
      <c r="E35" s="1127"/>
      <c r="F35" s="1125"/>
      <c r="G35" s="1125"/>
      <c r="H35" s="1125"/>
      <c r="I35" s="1131"/>
    </row>
    <row r="36" spans="1:120" s="1004" customFormat="1" outlineLevel="2" x14ac:dyDescent="0.25">
      <c r="B36" s="987"/>
      <c r="C36" s="921"/>
      <c r="D36" s="1126"/>
      <c r="E36" s="1127"/>
      <c r="F36" s="1125"/>
      <c r="G36" s="1125"/>
      <c r="H36" s="1125"/>
      <c r="I36" s="1131"/>
    </row>
    <row r="37" spans="1:120" s="1004" customFormat="1" outlineLevel="2" x14ac:dyDescent="0.25">
      <c r="B37" s="987"/>
      <c r="C37" s="921"/>
      <c r="D37" s="1126"/>
      <c r="E37" s="1127"/>
      <c r="F37" s="1125"/>
      <c r="G37" s="1125"/>
      <c r="H37" s="1125"/>
      <c r="I37" s="1131"/>
    </row>
    <row r="38" spans="1:120" s="1004" customFormat="1" outlineLevel="2" x14ac:dyDescent="0.25">
      <c r="B38" s="987"/>
      <c r="C38" s="921"/>
      <c r="D38" s="1126"/>
      <c r="E38" s="1127"/>
      <c r="F38" s="1125"/>
      <c r="G38" s="1125"/>
      <c r="H38" s="1125"/>
      <c r="I38" s="1131"/>
    </row>
    <row r="39" spans="1:120" s="1004" customFormat="1" outlineLevel="2" x14ac:dyDescent="0.25">
      <c r="B39" s="987"/>
      <c r="C39" s="921"/>
      <c r="D39" s="1126"/>
      <c r="E39" s="1127"/>
      <c r="F39" s="1125"/>
      <c r="G39" s="1125"/>
      <c r="H39" s="1125"/>
      <c r="I39" s="1131"/>
    </row>
    <row r="40" spans="1:120" s="1004" customFormat="1" outlineLevel="2" x14ac:dyDescent="0.25">
      <c r="B40" s="987"/>
      <c r="C40" s="921"/>
      <c r="D40" s="1126"/>
      <c r="E40" s="1127"/>
      <c r="F40" s="1125"/>
      <c r="G40" s="1125"/>
      <c r="H40" s="1125"/>
      <c r="I40" s="1131"/>
    </row>
    <row r="41" spans="1:120" s="1004" customFormat="1" ht="15.75" outlineLevel="2" thickBot="1" x14ac:dyDescent="0.3">
      <c r="B41" s="993"/>
      <c r="C41" s="928"/>
      <c r="D41" s="1132"/>
      <c r="E41" s="1133"/>
      <c r="F41" s="1134"/>
      <c r="G41" s="1134"/>
      <c r="H41" s="1134"/>
      <c r="I41" s="1135"/>
    </row>
    <row r="42" spans="1:120" s="1004" customFormat="1" ht="15.75" outlineLevel="2" thickBot="1" x14ac:dyDescent="0.3">
      <c r="B42" s="1136" t="s">
        <v>965</v>
      </c>
      <c r="C42" s="1128">
        <f t="shared" ref="C42:I42" si="2">SUM(C22:C41)</f>
        <v>2</v>
      </c>
      <c r="D42" s="1128">
        <f t="shared" si="2"/>
        <v>0</v>
      </c>
      <c r="E42" s="1128">
        <f t="shared" si="2"/>
        <v>0</v>
      </c>
      <c r="F42" s="1128">
        <f t="shared" si="2"/>
        <v>0</v>
      </c>
      <c r="G42" s="1128">
        <f t="shared" si="2"/>
        <v>0</v>
      </c>
      <c r="H42" s="1128">
        <f t="shared" si="2"/>
        <v>0</v>
      </c>
      <c r="I42" s="1129">
        <f t="shared" si="2"/>
        <v>0</v>
      </c>
    </row>
    <row r="43" spans="1:120" ht="15.75" outlineLevel="1" thickBot="1" x14ac:dyDescent="0.3"/>
    <row r="44" spans="1:120" s="42" customFormat="1" ht="20.100000000000001" customHeight="1" outlineLevel="1" thickBot="1" x14ac:dyDescent="0.3">
      <c r="A44" s="49"/>
      <c r="B44" s="971" t="s">
        <v>1109</v>
      </c>
      <c r="C44" s="1010"/>
      <c r="D44" s="1010"/>
      <c r="E44" s="1010"/>
      <c r="F44" s="1010"/>
      <c r="G44" s="1010"/>
      <c r="H44" s="1010"/>
      <c r="I44" s="1011"/>
      <c r="J44" s="1004"/>
      <c r="K44" s="1004"/>
      <c r="L44" s="1004"/>
      <c r="N44" s="1004"/>
      <c r="O44" s="1004"/>
      <c r="P44" s="1004"/>
      <c r="Q44" s="1004"/>
      <c r="R44" s="1004"/>
      <c r="S44" s="1004"/>
      <c r="T44" s="1004"/>
      <c r="U44" s="1004"/>
      <c r="V44" s="1004"/>
      <c r="W44" s="49"/>
      <c r="X44" s="49"/>
      <c r="Y44" s="49"/>
      <c r="Z44" s="49"/>
      <c r="AA44" s="49"/>
      <c r="AB44" s="49"/>
      <c r="AC44" s="49"/>
      <c r="AD44" s="49"/>
      <c r="AE44" s="49"/>
      <c r="AF44" s="49"/>
      <c r="AG44" s="49"/>
      <c r="AH44" s="49"/>
      <c r="AI44" s="49"/>
      <c r="AJ44" s="49"/>
      <c r="AK44" s="49"/>
      <c r="AL44" s="49"/>
      <c r="AM44" s="49"/>
      <c r="AN44" s="49"/>
      <c r="AO44" s="49"/>
      <c r="AP44" s="49"/>
      <c r="AQ44" s="49"/>
      <c r="AR44" s="49"/>
      <c r="AS44" s="49"/>
      <c r="AT44" s="49"/>
      <c r="AU44" s="49"/>
      <c r="AV44" s="49"/>
      <c r="AW44" s="49"/>
      <c r="AX44" s="49"/>
      <c r="AY44" s="49"/>
      <c r="AZ44" s="49"/>
      <c r="BA44" s="49"/>
      <c r="BB44" s="49"/>
      <c r="BC44" s="49"/>
      <c r="BD44" s="49"/>
      <c r="BE44" s="49"/>
      <c r="BF44" s="49"/>
      <c r="BG44" s="49"/>
      <c r="BH44" s="49"/>
      <c r="BI44" s="49"/>
      <c r="BJ44" s="49"/>
      <c r="BK44" s="49"/>
      <c r="BL44" s="49"/>
      <c r="BM44" s="49"/>
      <c r="BN44" s="49"/>
      <c r="BO44" s="49"/>
      <c r="BP44" s="49"/>
      <c r="BQ44" s="49"/>
      <c r="BR44" s="49"/>
      <c r="BS44" s="49"/>
      <c r="BT44" s="49"/>
      <c r="BU44" s="49"/>
      <c r="BV44" s="49"/>
      <c r="BW44" s="49"/>
      <c r="BX44" s="49"/>
      <c r="BY44" s="49"/>
      <c r="BZ44" s="49"/>
      <c r="CA44" s="49"/>
      <c r="CB44" s="49"/>
      <c r="CC44" s="49"/>
      <c r="CD44" s="49"/>
      <c r="CE44" s="49"/>
      <c r="CF44" s="49"/>
      <c r="CG44" s="49"/>
      <c r="CH44" s="49"/>
      <c r="CI44" s="49"/>
      <c r="CJ44" s="49"/>
      <c r="CK44" s="49"/>
      <c r="CL44" s="49"/>
      <c r="CM44" s="49"/>
      <c r="CN44" s="49"/>
      <c r="CO44" s="49"/>
      <c r="CP44" s="49"/>
      <c r="CQ44" s="1004"/>
      <c r="CR44" s="1004"/>
      <c r="CS44" s="1004"/>
      <c r="CT44" s="1004"/>
      <c r="CU44" s="1004"/>
      <c r="CV44" s="1004"/>
      <c r="CW44" s="1004"/>
      <c r="CX44" s="1004"/>
      <c r="CY44" s="1004"/>
      <c r="CZ44" s="1004"/>
      <c r="DA44" s="1004"/>
      <c r="DB44" s="1004"/>
      <c r="DC44" s="1004"/>
      <c r="DD44" s="1004"/>
      <c r="DE44" s="1004"/>
      <c r="DF44" s="1004"/>
      <c r="DG44" s="1004"/>
      <c r="DH44" s="1004"/>
      <c r="DI44" s="1004"/>
      <c r="DJ44" s="1004"/>
      <c r="DK44" s="1004"/>
      <c r="DL44" s="1004"/>
      <c r="DM44" s="1004"/>
      <c r="DN44" s="1004"/>
      <c r="DO44" s="1004"/>
      <c r="DP44" s="1004"/>
    </row>
    <row r="45" spans="1:120" s="49" customFormat="1" outlineLevel="2" x14ac:dyDescent="0.25">
      <c r="B45" s="1004"/>
      <c r="C45" s="1524" t="s">
        <v>951</v>
      </c>
      <c r="D45" s="1525"/>
      <c r="E45" s="1525"/>
      <c r="F45" s="1525"/>
      <c r="G45" s="1525"/>
      <c r="H45" s="1525"/>
      <c r="I45" s="1526"/>
      <c r="J45" s="1004"/>
      <c r="L45" s="1004"/>
      <c r="M45" s="1004"/>
      <c r="N45" s="1004"/>
      <c r="O45" s="1004"/>
      <c r="P45" s="1004"/>
      <c r="Q45" s="1004"/>
      <c r="R45" s="1004"/>
      <c r="S45" s="1004"/>
      <c r="T45" s="1004"/>
      <c r="U45" s="1004"/>
      <c r="V45" s="1004"/>
    </row>
    <row r="46" spans="1:120" s="49" customFormat="1" outlineLevel="2" x14ac:dyDescent="0.25">
      <c r="B46" s="1004"/>
      <c r="C46" s="1527" t="s">
        <v>125</v>
      </c>
      <c r="D46" s="1528"/>
      <c r="E46" s="1528"/>
      <c r="F46" s="1528"/>
      <c r="G46" s="1528"/>
      <c r="H46" s="1528"/>
      <c r="I46" s="1529"/>
      <c r="J46" s="1004"/>
      <c r="K46" s="1004"/>
      <c r="L46" s="1004"/>
      <c r="M46" s="1004"/>
      <c r="N46" s="1004"/>
      <c r="O46" s="1004"/>
      <c r="P46" s="1004"/>
      <c r="Q46" s="1004"/>
      <c r="R46" s="1004"/>
      <c r="S46" s="1004"/>
      <c r="T46" s="1004"/>
      <c r="U46" s="1004"/>
      <c r="V46" s="1004"/>
    </row>
    <row r="47" spans="1:120" s="49" customFormat="1" ht="15.75" outlineLevel="2" thickBot="1" x14ac:dyDescent="0.3">
      <c r="B47" s="1030" t="s">
        <v>1022</v>
      </c>
      <c r="C47" s="1118" t="str">
        <f ca="1">CRCP_y4</f>
        <v>2025-26</v>
      </c>
      <c r="D47" s="1119" t="str">
        <f ca="1">CRCP_y5</f>
        <v>2026-27</v>
      </c>
      <c r="E47" s="1120" t="str">
        <f>FRCP_y1</f>
        <v>2027-28</v>
      </c>
      <c r="F47" s="1120" t="str">
        <f ca="1">FRCP_y2</f>
        <v>2028-29</v>
      </c>
      <c r="G47" s="1120" t="str">
        <f ca="1">FRCP_y3</f>
        <v>2029-30</v>
      </c>
      <c r="H47" s="1120" t="str">
        <f ca="1">FRCP_y4</f>
        <v>2030-31</v>
      </c>
      <c r="I47" s="1121" t="str">
        <f ca="1">FRCP_y5</f>
        <v>2031-32</v>
      </c>
      <c r="J47" s="1004"/>
      <c r="K47" s="1004"/>
      <c r="L47" s="1004"/>
      <c r="M47" s="1004"/>
      <c r="N47" s="1004"/>
      <c r="O47" s="1004"/>
      <c r="P47" s="1004"/>
      <c r="Q47" s="1004"/>
      <c r="R47" s="1004"/>
      <c r="S47" s="1004"/>
      <c r="T47" s="1004"/>
      <c r="U47" s="1004"/>
      <c r="V47" s="1004"/>
    </row>
    <row r="48" spans="1:120" s="1004" customFormat="1" outlineLevel="2" x14ac:dyDescent="0.25">
      <c r="B48" s="277" t="str">
        <f>IF(ISBLANK(B22),"",B22)</f>
        <v>Eastbound Long Term Firm Service</v>
      </c>
      <c r="C48" s="923">
        <v>2</v>
      </c>
      <c r="D48" s="991">
        <v>2</v>
      </c>
      <c r="E48" s="930"/>
      <c r="F48" s="924"/>
      <c r="G48" s="924"/>
      <c r="H48" s="924"/>
      <c r="I48" s="925"/>
    </row>
    <row r="49" spans="2:9" s="1004" customFormat="1" outlineLevel="2" x14ac:dyDescent="0.25">
      <c r="B49" s="277" t="str">
        <f>IF(ISBLANK(B23),"",B23)</f>
        <v>Westbound Long Term Firm Service</v>
      </c>
      <c r="C49" s="921"/>
      <c r="D49" s="990"/>
      <c r="E49" s="967"/>
      <c r="F49" s="966"/>
      <c r="G49" s="966"/>
      <c r="H49" s="966"/>
      <c r="I49" s="965"/>
    </row>
    <row r="50" spans="2:9" s="1004" customFormat="1" outlineLevel="2" x14ac:dyDescent="0.25">
      <c r="B50" s="277" t="str">
        <f t="shared" ref="B50:B67" si="3">IF(ISBLANK(B24),"",B24)</f>
        <v>Firm Transportation</v>
      </c>
      <c r="C50" s="921"/>
      <c r="D50" s="990"/>
      <c r="E50" s="967">
        <v>2</v>
      </c>
      <c r="F50" s="966">
        <v>2</v>
      </c>
      <c r="G50" s="966">
        <v>2</v>
      </c>
      <c r="H50" s="966">
        <v>2</v>
      </c>
      <c r="I50" s="965">
        <v>2</v>
      </c>
    </row>
    <row r="51" spans="2:9" s="1004" customFormat="1" outlineLevel="2" x14ac:dyDescent="0.25">
      <c r="B51" s="277" t="str">
        <f t="shared" si="3"/>
        <v/>
      </c>
      <c r="C51" s="921"/>
      <c r="D51" s="990"/>
      <c r="E51" s="967"/>
      <c r="F51" s="966"/>
      <c r="G51" s="966"/>
      <c r="H51" s="966"/>
      <c r="I51" s="965"/>
    </row>
    <row r="52" spans="2:9" s="1004" customFormat="1" outlineLevel="2" x14ac:dyDescent="0.25">
      <c r="B52" s="277" t="str">
        <f t="shared" si="3"/>
        <v/>
      </c>
      <c r="C52" s="921"/>
      <c r="D52" s="990"/>
      <c r="E52" s="967"/>
      <c r="F52" s="966"/>
      <c r="G52" s="966"/>
      <c r="H52" s="966"/>
      <c r="I52" s="965"/>
    </row>
    <row r="53" spans="2:9" s="1004" customFormat="1" outlineLevel="2" x14ac:dyDescent="0.25">
      <c r="B53" s="277" t="str">
        <f t="shared" si="3"/>
        <v/>
      </c>
      <c r="C53" s="921"/>
      <c r="D53" s="990"/>
      <c r="E53" s="967"/>
      <c r="F53" s="966"/>
      <c r="G53" s="966"/>
      <c r="H53" s="966"/>
      <c r="I53" s="965"/>
    </row>
    <row r="54" spans="2:9" s="1004" customFormat="1" outlineLevel="2" x14ac:dyDescent="0.25">
      <c r="B54" s="277" t="str">
        <f t="shared" si="3"/>
        <v/>
      </c>
      <c r="C54" s="921"/>
      <c r="D54" s="990"/>
      <c r="E54" s="967"/>
      <c r="F54" s="966"/>
      <c r="G54" s="966"/>
      <c r="H54" s="966"/>
      <c r="I54" s="965"/>
    </row>
    <row r="55" spans="2:9" s="1004" customFormat="1" outlineLevel="2" x14ac:dyDescent="0.25">
      <c r="B55" s="277" t="str">
        <f t="shared" si="3"/>
        <v/>
      </c>
      <c r="C55" s="921"/>
      <c r="D55" s="990"/>
      <c r="E55" s="967"/>
      <c r="F55" s="966"/>
      <c r="G55" s="966"/>
      <c r="H55" s="966"/>
      <c r="I55" s="965"/>
    </row>
    <row r="56" spans="2:9" s="1004" customFormat="1" outlineLevel="2" x14ac:dyDescent="0.25">
      <c r="B56" s="277" t="str">
        <f t="shared" si="3"/>
        <v/>
      </c>
      <c r="C56" s="921"/>
      <c r="D56" s="990"/>
      <c r="E56" s="967"/>
      <c r="F56" s="966"/>
      <c r="G56" s="966"/>
      <c r="H56" s="966"/>
      <c r="I56" s="965"/>
    </row>
    <row r="57" spans="2:9" s="1004" customFormat="1" outlineLevel="2" x14ac:dyDescent="0.25">
      <c r="B57" s="277" t="str">
        <f t="shared" si="3"/>
        <v/>
      </c>
      <c r="C57" s="921"/>
      <c r="D57" s="990"/>
      <c r="E57" s="967"/>
      <c r="F57" s="966"/>
      <c r="G57" s="966"/>
      <c r="H57" s="966"/>
      <c r="I57" s="965"/>
    </row>
    <row r="58" spans="2:9" s="1004" customFormat="1" outlineLevel="2" x14ac:dyDescent="0.25">
      <c r="B58" s="277" t="str">
        <f t="shared" si="3"/>
        <v/>
      </c>
      <c r="C58" s="921"/>
      <c r="D58" s="990"/>
      <c r="E58" s="967"/>
      <c r="F58" s="966"/>
      <c r="G58" s="966"/>
      <c r="H58" s="966"/>
      <c r="I58" s="965"/>
    </row>
    <row r="59" spans="2:9" s="1004" customFormat="1" outlineLevel="2" x14ac:dyDescent="0.25">
      <c r="B59" s="277" t="str">
        <f t="shared" si="3"/>
        <v/>
      </c>
      <c r="C59" s="921"/>
      <c r="D59" s="990"/>
      <c r="E59" s="967"/>
      <c r="F59" s="966"/>
      <c r="G59" s="966"/>
      <c r="H59" s="966"/>
      <c r="I59" s="965"/>
    </row>
    <row r="60" spans="2:9" s="1004" customFormat="1" outlineLevel="2" x14ac:dyDescent="0.25">
      <c r="B60" s="277" t="str">
        <f t="shared" si="3"/>
        <v/>
      </c>
      <c r="C60" s="921"/>
      <c r="D60" s="990"/>
      <c r="E60" s="967"/>
      <c r="F60" s="966"/>
      <c r="G60" s="966"/>
      <c r="H60" s="966"/>
      <c r="I60" s="965"/>
    </row>
    <row r="61" spans="2:9" s="1004" customFormat="1" outlineLevel="2" x14ac:dyDescent="0.25">
      <c r="B61" s="277" t="str">
        <f t="shared" si="3"/>
        <v/>
      </c>
      <c r="C61" s="921"/>
      <c r="D61" s="990"/>
      <c r="E61" s="967"/>
      <c r="F61" s="966"/>
      <c r="G61" s="966"/>
      <c r="H61" s="966"/>
      <c r="I61" s="965"/>
    </row>
    <row r="62" spans="2:9" s="1004" customFormat="1" outlineLevel="2" x14ac:dyDescent="0.25">
      <c r="B62" s="277" t="str">
        <f t="shared" si="3"/>
        <v/>
      </c>
      <c r="C62" s="921"/>
      <c r="D62" s="990"/>
      <c r="E62" s="967"/>
      <c r="F62" s="966"/>
      <c r="G62" s="966"/>
      <c r="H62" s="966"/>
      <c r="I62" s="965"/>
    </row>
    <row r="63" spans="2:9" s="1004" customFormat="1" outlineLevel="2" x14ac:dyDescent="0.25">
      <c r="B63" s="277" t="str">
        <f t="shared" si="3"/>
        <v/>
      </c>
      <c r="C63" s="921"/>
      <c r="D63" s="990"/>
      <c r="E63" s="967"/>
      <c r="F63" s="966"/>
      <c r="G63" s="966"/>
      <c r="H63" s="966"/>
      <c r="I63" s="965"/>
    </row>
    <row r="64" spans="2:9" s="1004" customFormat="1" outlineLevel="2" x14ac:dyDescent="0.25">
      <c r="B64" s="277" t="str">
        <f t="shared" si="3"/>
        <v/>
      </c>
      <c r="C64" s="921"/>
      <c r="D64" s="990"/>
      <c r="E64" s="967"/>
      <c r="F64" s="966"/>
      <c r="G64" s="966"/>
      <c r="H64" s="966"/>
      <c r="I64" s="965"/>
    </row>
    <row r="65" spans="2:9" s="1004" customFormat="1" outlineLevel="2" x14ac:dyDescent="0.25">
      <c r="B65" s="277" t="str">
        <f t="shared" si="3"/>
        <v/>
      </c>
      <c r="C65" s="921"/>
      <c r="D65" s="990"/>
      <c r="E65" s="967"/>
      <c r="F65" s="966"/>
      <c r="G65" s="966"/>
      <c r="H65" s="966"/>
      <c r="I65" s="965"/>
    </row>
    <row r="66" spans="2:9" s="1004" customFormat="1" outlineLevel="2" x14ac:dyDescent="0.25">
      <c r="B66" s="277" t="str">
        <f t="shared" si="3"/>
        <v/>
      </c>
      <c r="C66" s="921"/>
      <c r="D66" s="990"/>
      <c r="E66" s="967"/>
      <c r="F66" s="966"/>
      <c r="G66" s="966"/>
      <c r="H66" s="966"/>
      <c r="I66" s="965"/>
    </row>
    <row r="67" spans="2:9" s="1004" customFormat="1" ht="15.75" outlineLevel="2" thickBot="1" x14ac:dyDescent="0.3">
      <c r="B67" s="929" t="str">
        <f t="shared" si="3"/>
        <v/>
      </c>
      <c r="C67" s="928"/>
      <c r="D67" s="1"/>
      <c r="E67" s="1137"/>
      <c r="F67" s="1138"/>
      <c r="G67" s="1138"/>
      <c r="H67" s="1138"/>
      <c r="I67" s="1139"/>
    </row>
    <row r="68" spans="2:9" s="1004" customFormat="1" ht="15.75" outlineLevel="2" thickBot="1" x14ac:dyDescent="0.3">
      <c r="B68" s="1136" t="s">
        <v>965</v>
      </c>
      <c r="C68" s="1128">
        <f t="shared" ref="C68:I68" si="4">SUM(C48:C67)</f>
        <v>2</v>
      </c>
      <c r="D68" s="1128">
        <f t="shared" si="4"/>
        <v>2</v>
      </c>
      <c r="E68" s="1128">
        <f t="shared" si="4"/>
        <v>2</v>
      </c>
      <c r="F68" s="1128">
        <f t="shared" si="4"/>
        <v>2</v>
      </c>
      <c r="G68" s="1128">
        <f t="shared" si="4"/>
        <v>2</v>
      </c>
      <c r="H68" s="1128">
        <f t="shared" si="4"/>
        <v>2</v>
      </c>
      <c r="I68" s="1129">
        <f t="shared" si="4"/>
        <v>2</v>
      </c>
    </row>
    <row r="69" spans="2:9" outlineLevel="1" x14ac:dyDescent="0.25"/>
  </sheetData>
  <sheetProtection algorithmName="SHA-256" hashValue="cBsIOgGgBgz0UlK/TDSiksSaT1fQJSggFPJmdH5k8Ps=" saltValue="TDz5ALDokCRts9knHQu46Q==" spinCount="100000" sheet="1" objects="1" scenarios="1" formatCells="0" insertRows="0" deleteRows="0"/>
  <mergeCells count="6">
    <mergeCell ref="C45:I45"/>
    <mergeCell ref="C46:I46"/>
    <mergeCell ref="C7:I7"/>
    <mergeCell ref="C8:I8"/>
    <mergeCell ref="C19:I19"/>
    <mergeCell ref="C20:I20"/>
  </mergeCells>
  <dataValidations count="1">
    <dataValidation allowBlank="1" showInputMessage="1" showErrorMessage="1" sqref="C7:I9 C21:I21 C47:I47" xr:uid="{00000000-0002-0000-0F00-000000000000}"/>
  </dataValidations>
  <pageMargins left="0.7" right="0.7" top="0.75" bottom="0.75" header="0.3" footer="0.3"/>
  <pageSetup paperSize="9" orientation="portrait" r:id="rId1"/>
  <headerFooter>
    <oddFooter>&amp;C_x000D_&amp;1#&amp;"Aptos"&amp;10&amp;K008000 APA-INTERNAL</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29">
    <tabColor theme="9" tint="-0.249977111117893"/>
  </sheetPr>
  <dimension ref="A1:K18"/>
  <sheetViews>
    <sheetView showGridLines="0" zoomScale="85" zoomScaleNormal="85" workbookViewId="0">
      <selection activeCell="H28" sqref="H28"/>
    </sheetView>
  </sheetViews>
  <sheetFormatPr defaultColWidth="9.140625" defaultRowHeight="15" x14ac:dyDescent="0.25"/>
  <cols>
    <col min="1" max="1" width="21" customWidth="1"/>
    <col min="2" max="2" width="52" customWidth="1"/>
    <col min="3" max="11" width="20.7109375" customWidth="1"/>
  </cols>
  <sheetData>
    <row r="1" spans="1:11" ht="30.2" customHeight="1" x14ac:dyDescent="0.25">
      <c r="B1" s="1096" t="str">
        <f>IF(dms_MultiYear_ResponseFlag="Yes","REGULATORY REPORTING STATEMENT - HISTORICAL INFORMATION",INDEX(dms_Worksheet_List,MATCH(dms_Model,dms_Model_List)))</f>
        <v>REGULATORY REPORTING STATEMENT</v>
      </c>
      <c r="C1" s="280"/>
      <c r="D1" s="280"/>
      <c r="E1" s="280"/>
      <c r="F1" s="280"/>
      <c r="G1" s="280"/>
      <c r="H1" s="280"/>
      <c r="I1" s="1342" t="s">
        <v>1162</v>
      </c>
      <c r="J1" s="1343" t="s">
        <v>1163</v>
      </c>
      <c r="K1" s="936"/>
    </row>
    <row r="2" spans="1:11" ht="30.2" customHeight="1" x14ac:dyDescent="0.25">
      <c r="B2" s="1096" t="str">
        <f>INDEX(dms_TradingNameFull_List,MATCH(dms_TradingName,dms_TradingName_List))</f>
        <v>APT Petroleum Pipelines Limited t/a Roma to Brisbane Pipeline</v>
      </c>
      <c r="C2" s="280"/>
      <c r="D2" s="280"/>
      <c r="E2" s="280"/>
      <c r="F2" s="280"/>
      <c r="G2" s="280"/>
      <c r="H2" s="280"/>
      <c r="I2" s="1344" t="s">
        <v>1164</v>
      </c>
      <c r="J2" s="1345" t="s">
        <v>647</v>
      </c>
      <c r="K2" s="936"/>
    </row>
    <row r="3" spans="1:11" ht="30.2" customHeight="1" x14ac:dyDescent="0.25">
      <c r="B3" s="423" t="str">
        <f ca="1">dms_Header_Span</f>
        <v>Data Span 2025-26 - 2031-32</v>
      </c>
      <c r="C3" s="280"/>
      <c r="D3" s="280"/>
      <c r="E3" s="280"/>
      <c r="F3" s="280"/>
      <c r="G3" s="280"/>
      <c r="H3" s="280"/>
      <c r="I3" s="1346" t="s">
        <v>1165</v>
      </c>
      <c r="J3" s="1347" t="s">
        <v>830</v>
      </c>
      <c r="K3" s="938"/>
    </row>
    <row r="4" spans="1:11" ht="30.2" customHeight="1" x14ac:dyDescent="0.25">
      <c r="B4" s="263" t="s">
        <v>1072</v>
      </c>
      <c r="C4" s="934"/>
      <c r="D4" s="934"/>
      <c r="E4" s="934"/>
      <c r="F4" s="263"/>
      <c r="G4" s="263"/>
      <c r="H4" s="263"/>
      <c r="I4" s="1348" t="s">
        <v>1166</v>
      </c>
      <c r="J4" s="1349" t="s">
        <v>1167</v>
      </c>
      <c r="K4" s="263"/>
    </row>
    <row r="6" spans="1:11" ht="15.75" thickBot="1" x14ac:dyDescent="0.3"/>
    <row r="7" spans="1:11" s="1164" customFormat="1" ht="36" customHeight="1" thickBot="1" x14ac:dyDescent="0.3">
      <c r="A7"/>
      <c r="B7" s="264" t="s">
        <v>1071</v>
      </c>
      <c r="C7" s="264"/>
      <c r="D7" s="264"/>
      <c r="E7" s="264"/>
      <c r="F7" s="264"/>
      <c r="G7" s="264"/>
      <c r="H7" s="264"/>
      <c r="I7" s="264"/>
      <c r="J7" s="264"/>
      <c r="K7" s="264"/>
    </row>
    <row r="8" spans="1:11" s="1164" customFormat="1" x14ac:dyDescent="0.25">
      <c r="A8"/>
      <c r="B8"/>
      <c r="C8" s="1519" t="s">
        <v>951</v>
      </c>
      <c r="D8" s="1520"/>
      <c r="E8" s="1520"/>
      <c r="F8" s="1521"/>
      <c r="G8" s="1521"/>
      <c r="H8" s="1521"/>
      <c r="I8" s="1521"/>
      <c r="J8" s="1521"/>
      <c r="K8" s="1522"/>
    </row>
    <row r="9" spans="1:11" s="1164" customFormat="1" x14ac:dyDescent="0.25">
      <c r="A9"/>
      <c r="B9"/>
      <c r="C9" s="1513" t="s">
        <v>125</v>
      </c>
      <c r="D9" s="1514"/>
      <c r="E9" s="1514"/>
      <c r="F9" s="1515"/>
      <c r="G9" s="1515"/>
      <c r="H9" s="1515"/>
      <c r="I9" s="1515"/>
      <c r="J9" s="1515"/>
      <c r="K9" s="1523"/>
    </row>
    <row r="10" spans="1:11" s="1164" customFormat="1" ht="15.75" thickBot="1" x14ac:dyDescent="0.3">
      <c r="A10"/>
      <c r="B10"/>
      <c r="C10" s="1220" t="str">
        <f ca="1">dms_y1</f>
        <v>2025-26</v>
      </c>
      <c r="D10" s="1221" t="str">
        <f ca="1">dms_y2</f>
        <v>2026-27</v>
      </c>
      <c r="E10" s="1221" t="str">
        <f ca="1">dms_y3</f>
        <v>2027-28</v>
      </c>
      <c r="F10" s="1222" t="str">
        <f ca="1">dms_y4</f>
        <v>2028-29</v>
      </c>
      <c r="G10" s="1222" t="str">
        <f ca="1">dms_y5</f>
        <v>2029-30</v>
      </c>
      <c r="H10" s="1222" t="str">
        <f ca="1">dms_y6</f>
        <v>2030-31</v>
      </c>
      <c r="I10" s="1223" t="str">
        <f ca="1">dms_y7</f>
        <v>2031-32</v>
      </c>
      <c r="J10" s="1223" t="str">
        <f ca="1">dms_y8</f>
        <v>2032-33</v>
      </c>
      <c r="K10" s="1224" t="str">
        <f ca="1">dms_y9</f>
        <v>2033-34</v>
      </c>
    </row>
    <row r="11" spans="1:11" s="1164" customFormat="1" ht="16.5" thickBot="1" x14ac:dyDescent="0.25">
      <c r="B11" s="998" t="s">
        <v>1092</v>
      </c>
      <c r="C11" s="899"/>
      <c r="D11" s="899"/>
      <c r="E11" s="899"/>
      <c r="F11" s="899"/>
      <c r="G11" s="899"/>
      <c r="H11" s="899"/>
      <c r="I11" s="899"/>
      <c r="J11" s="899"/>
      <c r="K11" s="999"/>
    </row>
    <row r="12" spans="1:11" s="1164" customFormat="1" x14ac:dyDescent="0.25">
      <c r="B12" s="1228" t="s">
        <v>1093</v>
      </c>
      <c r="C12" s="995">
        <v>0</v>
      </c>
      <c r="D12" s="995">
        <v>0</v>
      </c>
      <c r="E12" s="995">
        <v>0</v>
      </c>
      <c r="F12" s="885">
        <v>0</v>
      </c>
      <c r="G12" s="885">
        <v>0</v>
      </c>
      <c r="H12" s="1167">
        <v>0</v>
      </c>
      <c r="I12" s="988">
        <v>0</v>
      </c>
      <c r="J12" s="1296"/>
      <c r="K12" s="1296"/>
    </row>
    <row r="13" spans="1:11" s="1164" customFormat="1" ht="15.75" thickBot="1" x14ac:dyDescent="0.3">
      <c r="B13" s="1229" t="s">
        <v>1070</v>
      </c>
      <c r="C13" s="997">
        <v>0</v>
      </c>
      <c r="D13" s="997">
        <v>0</v>
      </c>
      <c r="E13" s="997">
        <v>0</v>
      </c>
      <c r="F13" s="888">
        <v>0</v>
      </c>
      <c r="G13" s="888">
        <v>0</v>
      </c>
      <c r="H13" s="1166">
        <v>0</v>
      </c>
      <c r="I13" s="989">
        <v>0</v>
      </c>
      <c r="J13" s="1296"/>
      <c r="K13" s="1296"/>
    </row>
    <row r="14" spans="1:11" s="1164" customFormat="1" ht="13.5" thickBot="1" x14ac:dyDescent="0.25">
      <c r="F14" s="1165"/>
      <c r="G14" s="1165"/>
      <c r="H14" s="1165"/>
      <c r="I14" s="1165"/>
      <c r="J14" s="1165"/>
      <c r="K14" s="1165"/>
    </row>
    <row r="15" spans="1:11" ht="16.5" thickBot="1" x14ac:dyDescent="0.3">
      <c r="B15" s="998" t="s">
        <v>1089</v>
      </c>
      <c r="C15" s="899"/>
      <c r="D15" s="899"/>
      <c r="E15" s="899"/>
      <c r="F15" s="899"/>
      <c r="G15" s="899"/>
      <c r="H15" s="899"/>
      <c r="I15" s="899"/>
      <c r="J15" s="899"/>
      <c r="K15" s="999"/>
    </row>
    <row r="16" spans="1:11" x14ac:dyDescent="0.25">
      <c r="B16" s="1001" t="s">
        <v>1090</v>
      </c>
      <c r="C16" s="995">
        <v>0</v>
      </c>
      <c r="D16" s="995">
        <v>0</v>
      </c>
      <c r="E16" s="995">
        <v>0</v>
      </c>
      <c r="F16" s="885">
        <v>0</v>
      </c>
      <c r="G16" s="885">
        <v>0</v>
      </c>
      <c r="H16" s="1167">
        <v>0</v>
      </c>
      <c r="I16" s="988">
        <v>0</v>
      </c>
      <c r="J16" s="1296"/>
      <c r="K16" s="1296"/>
    </row>
    <row r="17" spans="2:11" ht="15.75" thickBot="1" x14ac:dyDescent="0.3">
      <c r="B17" s="1003" t="s">
        <v>1091</v>
      </c>
      <c r="C17" s="997">
        <v>0</v>
      </c>
      <c r="D17" s="997">
        <v>0</v>
      </c>
      <c r="E17" s="997">
        <v>0</v>
      </c>
      <c r="F17" s="888">
        <v>0</v>
      </c>
      <c r="G17" s="888">
        <v>0</v>
      </c>
      <c r="H17" s="1166">
        <v>0</v>
      </c>
      <c r="I17" s="989">
        <v>0</v>
      </c>
      <c r="J17" s="1296"/>
      <c r="K17" s="1296"/>
    </row>
    <row r="18" spans="2:11" ht="15.75" thickBot="1" x14ac:dyDescent="0.3">
      <c r="B18" s="1225" t="s">
        <v>965</v>
      </c>
      <c r="C18" s="1226">
        <f>SUM(C16:C17)</f>
        <v>0</v>
      </c>
      <c r="D18" s="1226">
        <f t="shared" ref="D18:K18" si="0">SUM(D16:D17)</f>
        <v>0</v>
      </c>
      <c r="E18" s="1226">
        <f t="shared" si="0"/>
        <v>0</v>
      </c>
      <c r="F18" s="1226">
        <f t="shared" si="0"/>
        <v>0</v>
      </c>
      <c r="G18" s="1226">
        <f t="shared" si="0"/>
        <v>0</v>
      </c>
      <c r="H18" s="1226">
        <f t="shared" si="0"/>
        <v>0</v>
      </c>
      <c r="I18" s="1226">
        <f t="shared" si="0"/>
        <v>0</v>
      </c>
      <c r="J18" s="1226">
        <f t="shared" si="0"/>
        <v>0</v>
      </c>
      <c r="K18" s="1227">
        <f t="shared" si="0"/>
        <v>0</v>
      </c>
    </row>
  </sheetData>
  <sheetProtection algorithmName="SHA-256" hashValue="dmZqdEb+UFQLHEImVXVZ5ZEbHa6GJIfuxbsGfhbTeHg=" saltValue="aM9W4oX2k5F6RVPde+Hobw==" spinCount="100000" sheet="1" objects="1" scenarios="1" formatCells="0" insertRows="0" deleteRows="0"/>
  <mergeCells count="2">
    <mergeCell ref="C8:K8"/>
    <mergeCell ref="C9:K9"/>
  </mergeCells>
  <pageMargins left="0.7" right="0.7" top="0.75" bottom="0.75" header="0.3" footer="0.3"/>
  <pageSetup paperSize="0" orientation="portrait" horizontalDpi="0" verticalDpi="0" copies="0" r:id="rId1"/>
  <headerFooter>
    <oddFooter>&amp;C_x000D_&amp;1#&amp;"Aptos"&amp;10&amp;K008000 APA-INTERNAL</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4">
    <tabColor theme="4" tint="0.39997558519241921"/>
  </sheetPr>
  <dimension ref="A1:M42"/>
  <sheetViews>
    <sheetView showGridLines="0" topLeftCell="A2" zoomScale="85" zoomScaleNormal="85" workbookViewId="0">
      <selection activeCell="D31" sqref="D31"/>
    </sheetView>
  </sheetViews>
  <sheetFormatPr defaultColWidth="9.140625" defaultRowHeight="15" outlineLevelRow="2" x14ac:dyDescent="0.25"/>
  <cols>
    <col min="1" max="1" width="22.7109375" customWidth="1"/>
    <col min="2" max="2" width="81" customWidth="1"/>
    <col min="3" max="4" width="38.42578125" customWidth="1"/>
    <col min="5" max="5" width="17.42578125" bestFit="1" customWidth="1"/>
    <col min="6" max="6" width="18.7109375" bestFit="1" customWidth="1"/>
  </cols>
  <sheetData>
    <row r="1" spans="1:13" ht="30.2" customHeight="1" x14ac:dyDescent="0.25">
      <c r="B1" s="422" t="str">
        <f>IF(dms_MultiYear_ResponseFlag="Yes","REGULATORY REPORTING STATEMENT - HISTORICAL INFORMATION",INDEX(dms_Worksheet_List,MATCH(dms_Model,dms_Model_List)))</f>
        <v>REGULATORY REPORTING STATEMENT</v>
      </c>
      <c r="C1" s="280"/>
      <c r="D1" s="1342" t="s">
        <v>1162</v>
      </c>
      <c r="E1" s="1343" t="s">
        <v>1163</v>
      </c>
      <c r="F1" s="936"/>
    </row>
    <row r="2" spans="1:13" ht="30.2" customHeight="1" x14ac:dyDescent="0.25">
      <c r="B2" s="424" t="str">
        <f>INDEX(dms_TradingNameFull_List,MATCH(dms_TradingName,dms_TradingName_List))</f>
        <v>APT Petroleum Pipelines Limited t/a Roma to Brisbane Pipeline</v>
      </c>
      <c r="C2" s="280"/>
      <c r="D2" s="1344" t="s">
        <v>1164</v>
      </c>
      <c r="E2" s="1345" t="s">
        <v>647</v>
      </c>
      <c r="F2" s="936"/>
    </row>
    <row r="3" spans="1:13" ht="30.2" customHeight="1" x14ac:dyDescent="0.25">
      <c r="B3" s="423"/>
      <c r="C3" s="280"/>
      <c r="D3" s="1346" t="s">
        <v>1165</v>
      </c>
      <c r="E3" s="1347" t="s">
        <v>830</v>
      </c>
      <c r="F3" s="938"/>
    </row>
    <row r="4" spans="1:13" ht="30.2" customHeight="1" x14ac:dyDescent="0.25">
      <c r="B4" s="263" t="s">
        <v>1102</v>
      </c>
      <c r="C4" s="263"/>
      <c r="D4" s="1348" t="s">
        <v>1166</v>
      </c>
      <c r="E4" s="1349" t="s">
        <v>1167</v>
      </c>
      <c r="F4" s="263"/>
    </row>
    <row r="6" spans="1:13" ht="15.75" thickBot="1" x14ac:dyDescent="0.3"/>
    <row r="7" spans="1:13" ht="23.25" customHeight="1" thickBot="1" x14ac:dyDescent="0.3">
      <c r="A7" s="958"/>
      <c r="B7" s="264" t="s">
        <v>1100</v>
      </c>
      <c r="C7" s="264"/>
      <c r="D7" s="264"/>
      <c r="F7" s="42"/>
      <c r="G7" s="42"/>
      <c r="H7" s="42"/>
      <c r="I7" s="42"/>
      <c r="J7" s="42"/>
      <c r="K7" s="42"/>
      <c r="L7" s="42"/>
      <c r="M7" s="42"/>
    </row>
    <row r="8" spans="1:13" s="42" customFormat="1" ht="26.25" customHeight="1" outlineLevel="1" thickBot="1" x14ac:dyDescent="0.3">
      <c r="A8" s="958"/>
      <c r="B8" s="998" t="s">
        <v>1130</v>
      </c>
      <c r="C8" s="899"/>
      <c r="D8" s="899"/>
      <c r="E8"/>
    </row>
    <row r="9" spans="1:13" ht="15" customHeight="1" outlineLevel="2" x14ac:dyDescent="0.25">
      <c r="A9" s="1238"/>
      <c r="B9" s="1239"/>
      <c r="C9" s="1482" t="s">
        <v>936</v>
      </c>
      <c r="D9" s="1482"/>
      <c r="E9" s="1238"/>
      <c r="F9" s="1238"/>
      <c r="G9" s="1238"/>
      <c r="H9" s="1238"/>
      <c r="I9" s="1238"/>
      <c r="J9" s="1238"/>
      <c r="K9" s="1238"/>
      <c r="L9" s="1238"/>
      <c r="M9" s="1238"/>
    </row>
    <row r="10" spans="1:13" ht="15.75" customHeight="1" outlineLevel="2" thickBot="1" x14ac:dyDescent="0.3">
      <c r="C10" s="1536" t="str">
        <f ca="1">CONCATENATE("Forecast ($0's, real ",dms_DollarReal,")")</f>
        <v>Forecast ($0's, real June 2027)</v>
      </c>
      <c r="D10" s="1537"/>
    </row>
    <row r="11" spans="1:13" ht="15" customHeight="1" outlineLevel="2" thickBot="1" x14ac:dyDescent="0.3">
      <c r="B11" s="1240" t="s">
        <v>1101</v>
      </c>
      <c r="C11" s="1140" t="str">
        <f ca="1">CRCP_y4</f>
        <v>2025-26</v>
      </c>
      <c r="D11" s="1141" t="str">
        <f ca="1">CRCP_y5</f>
        <v>2026-27</v>
      </c>
    </row>
    <row r="12" spans="1:13" ht="15" customHeight="1" outlineLevel="2" x14ac:dyDescent="0.25">
      <c r="B12" s="994" t="s">
        <v>1175</v>
      </c>
      <c r="C12" s="992">
        <v>153485.48725328522</v>
      </c>
      <c r="D12" s="992">
        <v>159624.90674341662</v>
      </c>
    </row>
    <row r="13" spans="1:13" ht="15" customHeight="1" outlineLevel="2" x14ac:dyDescent="0.25">
      <c r="B13" s="987"/>
      <c r="C13" s="1241"/>
      <c r="D13" s="967"/>
    </row>
    <row r="14" spans="1:13" ht="15" customHeight="1" outlineLevel="2" x14ac:dyDescent="0.25">
      <c r="B14" s="987"/>
      <c r="C14" s="1241"/>
      <c r="D14" s="967"/>
    </row>
    <row r="15" spans="1:13" ht="15" customHeight="1" outlineLevel="2" x14ac:dyDescent="0.25">
      <c r="B15" s="987"/>
      <c r="C15" s="1253"/>
      <c r="D15" s="967"/>
    </row>
    <row r="16" spans="1:13" ht="15" customHeight="1" outlineLevel="2" x14ac:dyDescent="0.25">
      <c r="B16" s="987"/>
      <c r="C16" s="1241"/>
      <c r="D16" s="967"/>
    </row>
    <row r="17" spans="2:4" ht="15" customHeight="1" outlineLevel="2" x14ac:dyDescent="0.25">
      <c r="B17" s="987"/>
      <c r="C17" s="1241"/>
      <c r="D17" s="967"/>
    </row>
    <row r="18" spans="2:4" ht="15" customHeight="1" outlineLevel="2" x14ac:dyDescent="0.25">
      <c r="B18" s="987"/>
      <c r="C18" s="1241"/>
      <c r="D18" s="967"/>
    </row>
    <row r="19" spans="2:4" ht="15" customHeight="1" outlineLevel="2" x14ac:dyDescent="0.25">
      <c r="B19" s="987"/>
      <c r="C19" s="1241"/>
      <c r="D19" s="967"/>
    </row>
    <row r="20" spans="2:4" ht="15" customHeight="1" outlineLevel="2" x14ac:dyDescent="0.25">
      <c r="B20" s="987"/>
      <c r="C20" s="1241"/>
      <c r="D20" s="967"/>
    </row>
    <row r="21" spans="2:4" ht="15" customHeight="1" outlineLevel="2" x14ac:dyDescent="0.25">
      <c r="B21" s="987"/>
      <c r="C21" s="1241"/>
      <c r="D21" s="967"/>
    </row>
    <row r="22" spans="2:4" ht="15" customHeight="1" outlineLevel="2" x14ac:dyDescent="0.25">
      <c r="B22" s="987"/>
      <c r="C22" s="1241"/>
      <c r="D22" s="967"/>
    </row>
    <row r="23" spans="2:4" ht="15" customHeight="1" outlineLevel="2" x14ac:dyDescent="0.25">
      <c r="B23" s="987"/>
      <c r="C23" s="1241"/>
      <c r="D23" s="967"/>
    </row>
    <row r="24" spans="2:4" ht="15" customHeight="1" outlineLevel="2" x14ac:dyDescent="0.25">
      <c r="B24" s="987"/>
      <c r="C24" s="1241"/>
      <c r="D24" s="967"/>
    </row>
    <row r="25" spans="2:4" ht="15" customHeight="1" outlineLevel="2" x14ac:dyDescent="0.25">
      <c r="B25" s="987"/>
      <c r="C25" s="1241"/>
      <c r="D25" s="967"/>
    </row>
    <row r="26" spans="2:4" ht="15" customHeight="1" outlineLevel="2" x14ac:dyDescent="0.25">
      <c r="B26" s="987"/>
      <c r="C26" s="1241"/>
      <c r="D26" s="967"/>
    </row>
    <row r="27" spans="2:4" ht="15" customHeight="1" outlineLevel="2" x14ac:dyDescent="0.25">
      <c r="B27" s="987"/>
      <c r="C27" s="1241"/>
      <c r="D27" s="967"/>
    </row>
    <row r="28" spans="2:4" ht="15" customHeight="1" outlineLevel="2" x14ac:dyDescent="0.25">
      <c r="B28" s="987"/>
      <c r="C28" s="1241"/>
      <c r="D28" s="967"/>
    </row>
    <row r="29" spans="2:4" ht="15" customHeight="1" outlineLevel="2" x14ac:dyDescent="0.25">
      <c r="B29" s="987"/>
      <c r="C29" s="1241"/>
      <c r="D29" s="967"/>
    </row>
    <row r="30" spans="2:4" ht="15" customHeight="1" outlineLevel="2" x14ac:dyDescent="0.25">
      <c r="B30" s="987"/>
      <c r="C30" s="1241"/>
      <c r="D30" s="967"/>
    </row>
    <row r="31" spans="2:4" ht="15" customHeight="1" outlineLevel="2" x14ac:dyDescent="0.25">
      <c r="B31" s="987"/>
      <c r="C31" s="1241"/>
      <c r="D31" s="967"/>
    </row>
    <row r="32" spans="2:4" ht="15" customHeight="1" outlineLevel="2" x14ac:dyDescent="0.25">
      <c r="B32" s="987"/>
      <c r="C32" s="1241"/>
      <c r="D32" s="967"/>
    </row>
    <row r="33" spans="2:4" ht="15" customHeight="1" outlineLevel="2" x14ac:dyDescent="0.25">
      <c r="B33" s="987"/>
      <c r="C33" s="1241"/>
      <c r="D33" s="967"/>
    </row>
    <row r="34" spans="2:4" ht="15" customHeight="1" outlineLevel="2" x14ac:dyDescent="0.25">
      <c r="B34" s="987"/>
      <c r="C34" s="1241"/>
      <c r="D34" s="967"/>
    </row>
    <row r="35" spans="2:4" ht="15" customHeight="1" outlineLevel="2" x14ac:dyDescent="0.25">
      <c r="B35" s="987"/>
      <c r="C35" s="1241"/>
      <c r="D35" s="967"/>
    </row>
    <row r="36" spans="2:4" ht="15" customHeight="1" outlineLevel="2" x14ac:dyDescent="0.25">
      <c r="B36" s="987"/>
      <c r="C36" s="1241"/>
      <c r="D36" s="967"/>
    </row>
    <row r="37" spans="2:4" ht="15" customHeight="1" outlineLevel="2" x14ac:dyDescent="0.25">
      <c r="B37" s="987"/>
      <c r="C37" s="1241"/>
      <c r="D37" s="967"/>
    </row>
    <row r="38" spans="2:4" ht="15" customHeight="1" outlineLevel="2" x14ac:dyDescent="0.25">
      <c r="B38" s="987"/>
      <c r="C38" s="1241"/>
      <c r="D38" s="967"/>
    </row>
    <row r="39" spans="2:4" ht="15" customHeight="1" outlineLevel="2" x14ac:dyDescent="0.25">
      <c r="B39" s="987"/>
      <c r="C39" s="1241"/>
      <c r="D39" s="967"/>
    </row>
    <row r="40" spans="2:4" ht="15" customHeight="1" outlineLevel="2" x14ac:dyDescent="0.25">
      <c r="B40" s="987"/>
      <c r="C40" s="1241"/>
      <c r="D40" s="967"/>
    </row>
    <row r="41" spans="2:4" ht="15.75" customHeight="1" outlineLevel="2" thickBot="1" x14ac:dyDescent="0.3">
      <c r="B41" s="987"/>
      <c r="C41" s="1241"/>
      <c r="D41" s="967"/>
    </row>
    <row r="42" spans="2:4" ht="15.75" outlineLevel="2" thickBot="1" x14ac:dyDescent="0.3">
      <c r="B42" s="1225" t="s">
        <v>965</v>
      </c>
      <c r="C42" s="1226">
        <f>SUM(C12:C41)</f>
        <v>153485.48725328522</v>
      </c>
      <c r="D42" s="1226">
        <f t="shared" ref="D42" si="0">SUM(D12:D41)</f>
        <v>159624.90674341662</v>
      </c>
    </row>
  </sheetData>
  <sheetProtection algorithmName="SHA-256" hashValue="4LAfICQDFQF1HBjX3i1Ff9I2Mycr3g+4zZj6dDPS0Og=" saltValue="u0yL6hXoCgEfcGEoJb7drg==" spinCount="100000" sheet="1" objects="1" scenarios="1" formatCells="0" insertRows="0" deleteRows="0"/>
  <mergeCells count="2">
    <mergeCell ref="C9:D9"/>
    <mergeCell ref="C10:D10"/>
  </mergeCells>
  <dataValidations count="1">
    <dataValidation allowBlank="1" showInputMessage="1" showErrorMessage="1" sqref="C11:D11" xr:uid="{A49FB8DD-8220-4BF9-B142-14F54662F458}"/>
  </dataValidations>
  <pageMargins left="0.7" right="0.7" top="0.75" bottom="0.75" header="0.3" footer="0.3"/>
  <pageSetup paperSize="9" orientation="portrait" r:id="rId1"/>
  <headerFooter>
    <oddFooter>&amp;C_x000D_&amp;1#&amp;"Aptos"&amp;10&amp;K008000 APA-INTERNAL</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9">
    <tabColor theme="4" tint="0.39997558519241921"/>
  </sheetPr>
  <dimension ref="B1:I31"/>
  <sheetViews>
    <sheetView showGridLines="0" topLeftCell="A2" zoomScaleNormal="100" workbookViewId="0">
      <selection activeCell="H16" sqref="H16"/>
    </sheetView>
  </sheetViews>
  <sheetFormatPr defaultColWidth="9.140625" defaultRowHeight="15" x14ac:dyDescent="0.25"/>
  <cols>
    <col min="1" max="1" width="22.7109375" customWidth="1"/>
    <col min="2" max="2" width="52" customWidth="1"/>
    <col min="3" max="10" width="20.7109375" customWidth="1"/>
  </cols>
  <sheetData>
    <row r="1" spans="2:9" ht="30.2" customHeight="1" x14ac:dyDescent="0.25">
      <c r="B1" s="422" t="str">
        <f>IF(dms_MultiYear_ResponseFlag="Yes","REGULATORY REPORTING STATEMENT - HISTORICAL INFORMATION",INDEX(dms_Worksheet_List,MATCH(dms_Model,dms_Model_List)))</f>
        <v>REGULATORY REPORTING STATEMENT</v>
      </c>
      <c r="C1" s="280"/>
      <c r="D1" s="280"/>
      <c r="E1" s="280"/>
      <c r="F1" s="280"/>
      <c r="G1" s="1342" t="s">
        <v>1162</v>
      </c>
      <c r="H1" s="1343" t="s">
        <v>1163</v>
      </c>
      <c r="I1" s="936"/>
    </row>
    <row r="2" spans="2:9" ht="30.2" customHeight="1" x14ac:dyDescent="0.25">
      <c r="B2" s="424" t="str">
        <f>INDEX(dms_TradingNameFull_List,MATCH(dms_TradingName,dms_TradingName_List))</f>
        <v>APT Petroleum Pipelines Limited t/a Roma to Brisbane Pipeline</v>
      </c>
      <c r="C2" s="280"/>
      <c r="D2" s="280"/>
      <c r="E2" s="280"/>
      <c r="F2" s="280"/>
      <c r="G2" s="1344" t="s">
        <v>1164</v>
      </c>
      <c r="H2" s="1345" t="s">
        <v>647</v>
      </c>
      <c r="I2" s="936"/>
    </row>
    <row r="3" spans="2:9" ht="30.2" customHeight="1" x14ac:dyDescent="0.25">
      <c r="B3" s="423" t="str">
        <f ca="1">dms_Header_Span</f>
        <v>Data Span 2025-26 - 2031-32</v>
      </c>
      <c r="C3" s="280"/>
      <c r="D3" s="280"/>
      <c r="E3" s="280"/>
      <c r="F3" s="280"/>
      <c r="G3" s="1346" t="s">
        <v>1165</v>
      </c>
      <c r="H3" s="1347" t="s">
        <v>830</v>
      </c>
      <c r="I3" s="938"/>
    </row>
    <row r="4" spans="2:9" ht="30.2" customHeight="1" x14ac:dyDescent="0.25">
      <c r="B4" s="263" t="s">
        <v>948</v>
      </c>
      <c r="C4" s="263"/>
      <c r="D4" s="263"/>
      <c r="E4" s="263"/>
      <c r="F4" s="263"/>
      <c r="G4" s="1348" t="s">
        <v>1166</v>
      </c>
      <c r="H4" s="1349" t="s">
        <v>1167</v>
      </c>
      <c r="I4" s="263"/>
    </row>
    <row r="6" spans="2:9" ht="15.75" thickBot="1" x14ac:dyDescent="0.3"/>
    <row r="7" spans="2:9" ht="16.5" thickBot="1" x14ac:dyDescent="0.3">
      <c r="B7" s="264" t="s">
        <v>949</v>
      </c>
      <c r="C7" s="264"/>
      <c r="D7" s="264"/>
      <c r="E7" s="264"/>
      <c r="F7" s="264"/>
      <c r="G7" s="264"/>
      <c r="H7" s="264"/>
      <c r="I7" s="264"/>
    </row>
    <row r="8" spans="2:9" x14ac:dyDescent="0.25">
      <c r="C8" s="1351" t="s">
        <v>1154</v>
      </c>
      <c r="D8" s="1352"/>
      <c r="E8" s="1352"/>
      <c r="F8" s="1352"/>
      <c r="G8" s="1352"/>
      <c r="H8" s="1352"/>
      <c r="I8" s="1353"/>
    </row>
    <row r="9" spans="2:9" ht="15.75" thickBot="1" x14ac:dyDescent="0.3">
      <c r="C9" s="1354" t="str">
        <f ca="1">CONCATENATE("Forecast ($0's, real ",dms_DollarReal,")")</f>
        <v>Forecast ($0's, real June 2027)</v>
      </c>
      <c r="D9" s="1355"/>
      <c r="E9" s="1355"/>
      <c r="F9" s="1355"/>
      <c r="G9" s="1355"/>
      <c r="H9" s="1355"/>
      <c r="I9" s="1356"/>
    </row>
    <row r="10" spans="2:9" ht="15.75" thickBot="1" x14ac:dyDescent="0.3">
      <c r="B10" s="943"/>
      <c r="C10" s="1140" t="str">
        <f ca="1">CRCP_y4</f>
        <v>2025-26</v>
      </c>
      <c r="D10" s="1141" t="str">
        <f ca="1">CRCP_y5</f>
        <v>2026-27</v>
      </c>
      <c r="E10" s="1142" t="str">
        <f>FRCP_y1</f>
        <v>2027-28</v>
      </c>
      <c r="F10" s="1142" t="str">
        <f ca="1">FRCP_y2</f>
        <v>2028-29</v>
      </c>
      <c r="G10" s="1142" t="str">
        <f ca="1">FRCP_y3</f>
        <v>2029-30</v>
      </c>
      <c r="H10" s="1142" t="str">
        <f ca="1">FRCP_y4</f>
        <v>2030-31</v>
      </c>
      <c r="I10" s="1143" t="str">
        <f ca="1">FRCP_y5</f>
        <v>2031-32</v>
      </c>
    </row>
    <row r="11" spans="2:9" x14ac:dyDescent="0.25">
      <c r="B11" s="919" t="s">
        <v>1176</v>
      </c>
      <c r="C11" s="988">
        <v>47.076948191487695</v>
      </c>
      <c r="D11" s="885">
        <v>43.976682511782684</v>
      </c>
      <c r="E11" s="885">
        <v>60.028733717040794</v>
      </c>
      <c r="F11" s="885">
        <v>64.472342856182038</v>
      </c>
      <c r="G11" s="885">
        <v>71.518313861162213</v>
      </c>
      <c r="H11" s="885">
        <v>78.497551667814477</v>
      </c>
      <c r="I11" s="886">
        <v>85.380888038382565</v>
      </c>
    </row>
    <row r="12" spans="2:9" x14ac:dyDescent="0.25">
      <c r="B12" s="926"/>
      <c r="C12" s="1255"/>
      <c r="D12" s="862"/>
      <c r="E12" s="862"/>
      <c r="F12" s="862"/>
      <c r="G12" s="862"/>
      <c r="H12" s="862"/>
      <c r="I12" s="864"/>
    </row>
    <row r="13" spans="2:9" x14ac:dyDescent="0.25">
      <c r="B13" s="926"/>
      <c r="C13" s="1255"/>
      <c r="D13" s="862"/>
      <c r="E13" s="862"/>
      <c r="F13" s="862"/>
      <c r="G13" s="862"/>
      <c r="H13" s="862"/>
      <c r="I13" s="864"/>
    </row>
    <row r="14" spans="2:9" x14ac:dyDescent="0.25">
      <c r="B14" s="926"/>
      <c r="C14" s="1255"/>
      <c r="D14" s="862"/>
      <c r="E14" s="1261"/>
      <c r="F14" s="862"/>
      <c r="G14" s="862"/>
      <c r="H14" s="862"/>
      <c r="I14" s="864"/>
    </row>
    <row r="15" spans="2:9" x14ac:dyDescent="0.25">
      <c r="B15" s="926"/>
      <c r="C15" s="1255"/>
      <c r="D15" s="862"/>
      <c r="E15" s="862"/>
      <c r="F15" s="862"/>
      <c r="G15" s="862"/>
      <c r="H15" s="862"/>
      <c r="I15" s="864"/>
    </row>
    <row r="16" spans="2:9" x14ac:dyDescent="0.25">
      <c r="B16" s="926"/>
      <c r="C16" s="1255"/>
      <c r="D16" s="862"/>
      <c r="E16" s="862"/>
      <c r="F16" s="862"/>
      <c r="G16" s="862"/>
      <c r="H16" s="862"/>
      <c r="I16" s="864"/>
    </row>
    <row r="17" spans="2:9" x14ac:dyDescent="0.25">
      <c r="B17" s="926"/>
      <c r="C17" s="1255"/>
      <c r="D17" s="862"/>
      <c r="E17" s="862"/>
      <c r="F17" s="862"/>
      <c r="G17" s="862"/>
      <c r="H17" s="862"/>
      <c r="I17" s="864"/>
    </row>
    <row r="18" spans="2:9" x14ac:dyDescent="0.25">
      <c r="B18" s="926"/>
      <c r="C18" s="1255"/>
      <c r="D18" s="862"/>
      <c r="E18" s="862"/>
      <c r="F18" s="862"/>
      <c r="G18" s="862"/>
      <c r="H18" s="862"/>
      <c r="I18" s="864"/>
    </row>
    <row r="19" spans="2:9" x14ac:dyDescent="0.25">
      <c r="B19" s="926"/>
      <c r="C19" s="1255"/>
      <c r="D19" s="862"/>
      <c r="E19" s="862"/>
      <c r="F19" s="862"/>
      <c r="G19" s="862"/>
      <c r="H19" s="862"/>
      <c r="I19" s="864"/>
    </row>
    <row r="20" spans="2:9" ht="15.75" thickBot="1" x14ac:dyDescent="0.3">
      <c r="B20" s="926"/>
      <c r="C20" s="989"/>
      <c r="D20" s="881"/>
      <c r="E20" s="881"/>
      <c r="F20" s="881"/>
      <c r="G20" s="881"/>
      <c r="H20" s="881"/>
      <c r="I20" s="883"/>
    </row>
    <row r="21" spans="2:9" ht="16.5" thickBot="1" x14ac:dyDescent="0.3">
      <c r="B21" s="264" t="s">
        <v>1055</v>
      </c>
      <c r="C21" s="264"/>
      <c r="D21" s="264"/>
      <c r="E21" s="264"/>
      <c r="F21" s="264"/>
      <c r="G21" s="264"/>
      <c r="H21" s="264"/>
      <c r="I21" s="1237"/>
    </row>
    <row r="22" spans="2:9" ht="20.25" customHeight="1" thickBot="1" x14ac:dyDescent="0.3">
      <c r="B22" s="1254" t="s">
        <v>965</v>
      </c>
      <c r="C22" s="1256"/>
      <c r="D22" s="862"/>
      <c r="E22" s="862"/>
      <c r="F22" s="862"/>
      <c r="G22" s="862"/>
      <c r="H22" s="862"/>
      <c r="I22" s="864"/>
    </row>
    <row r="23" spans="2:9" ht="16.5" thickBot="1" x14ac:dyDescent="0.3">
      <c r="B23" s="264" t="s">
        <v>1121</v>
      </c>
      <c r="C23" s="264"/>
      <c r="D23" s="264"/>
      <c r="E23" s="264"/>
      <c r="F23" s="264"/>
      <c r="G23" s="264"/>
      <c r="H23" s="264"/>
      <c r="I23" s="1237"/>
    </row>
    <row r="24" spans="2:9" x14ac:dyDescent="0.25">
      <c r="B24" s="926"/>
      <c r="C24" s="988"/>
      <c r="D24" s="862"/>
      <c r="E24" s="862"/>
      <c r="F24" s="862"/>
      <c r="G24" s="862"/>
      <c r="H24" s="862"/>
      <c r="I24" s="864"/>
    </row>
    <row r="25" spans="2:9" x14ac:dyDescent="0.25">
      <c r="B25" s="926"/>
      <c r="C25" s="1255"/>
      <c r="D25" s="862"/>
      <c r="E25" s="862"/>
      <c r="F25" s="862"/>
      <c r="G25" s="862"/>
      <c r="H25" s="862"/>
      <c r="I25" s="864"/>
    </row>
    <row r="26" spans="2:9" x14ac:dyDescent="0.25">
      <c r="B26" s="926"/>
      <c r="C26" s="1255"/>
      <c r="D26" s="862"/>
      <c r="E26" s="862"/>
      <c r="F26" s="862"/>
      <c r="G26" s="862"/>
      <c r="H26" s="862"/>
      <c r="I26" s="864"/>
    </row>
    <row r="27" spans="2:9" x14ac:dyDescent="0.25">
      <c r="B27" s="926"/>
      <c r="C27" s="1255"/>
      <c r="D27" s="862"/>
      <c r="E27" s="862"/>
      <c r="F27" s="862"/>
      <c r="G27" s="862"/>
      <c r="H27" s="862"/>
      <c r="I27" s="864"/>
    </row>
    <row r="28" spans="2:9" x14ac:dyDescent="0.25">
      <c r="B28" s="926"/>
      <c r="C28" s="1255"/>
      <c r="D28" s="862"/>
      <c r="E28" s="862"/>
      <c r="F28" s="862"/>
      <c r="G28" s="862"/>
      <c r="H28" s="862"/>
      <c r="I28" s="864"/>
    </row>
    <row r="29" spans="2:9" x14ac:dyDescent="0.25">
      <c r="B29" s="926"/>
      <c r="C29" s="1255"/>
      <c r="D29" s="862"/>
      <c r="E29" s="862"/>
      <c r="F29" s="862"/>
      <c r="G29" s="862"/>
      <c r="H29" s="862"/>
      <c r="I29" s="864"/>
    </row>
    <row r="30" spans="2:9" ht="15.75" thickBot="1" x14ac:dyDescent="0.3">
      <c r="B30" s="926"/>
      <c r="C30" s="989"/>
      <c r="D30" s="862"/>
      <c r="E30" s="862"/>
      <c r="F30" s="862"/>
      <c r="G30" s="862"/>
      <c r="H30" s="862"/>
      <c r="I30" s="864"/>
    </row>
    <row r="31" spans="2:9" ht="15.75" thickBot="1" x14ac:dyDescent="0.3">
      <c r="B31" s="1225" t="s">
        <v>950</v>
      </c>
      <c r="C31" s="1226">
        <f>SUM(C11:C20,C22,C24:C30)</f>
        <v>47.076948191487695</v>
      </c>
      <c r="D31" s="1226">
        <f t="shared" ref="D31:I31" si="0">SUM(D11:D20,D22,D24:D30)</f>
        <v>43.976682511782684</v>
      </c>
      <c r="E31" s="1226">
        <f t="shared" si="0"/>
        <v>60.028733717040794</v>
      </c>
      <c r="F31" s="1226">
        <f t="shared" si="0"/>
        <v>64.472342856182038</v>
      </c>
      <c r="G31" s="1226">
        <f t="shared" si="0"/>
        <v>71.518313861162213</v>
      </c>
      <c r="H31" s="1226">
        <f t="shared" si="0"/>
        <v>78.497551667814477</v>
      </c>
      <c r="I31" s="1227">
        <f t="shared" si="0"/>
        <v>85.380888038382565</v>
      </c>
    </row>
  </sheetData>
  <sheetProtection algorithmName="SHA-256" hashValue="koLBcy6Qom508MFHnGor+A1hHdtXZMpJoONZE7L2JPU=" saltValue="nedSgJcTRa0VxQj2E3/6Mw==" spinCount="100000" sheet="1" objects="1" scenarios="1" formatCells="0" insertRows="0" deleteRows="0"/>
  <mergeCells count="2">
    <mergeCell ref="C8:I8"/>
    <mergeCell ref="C9:I9"/>
  </mergeCells>
  <dataValidations count="1">
    <dataValidation allowBlank="1" showInputMessage="1" showErrorMessage="1" sqref="C8:I10" xr:uid="{00000000-0002-0000-1200-000000000000}"/>
  </dataValidations>
  <pageMargins left="0.7" right="0.7" top="0.75" bottom="0.75" header="0.3" footer="0.3"/>
  <pageSetup paperSize="9" orientation="portrait" r:id="rId1"/>
  <headerFooter>
    <oddFooter>&amp;C_x000D_&amp;1#&amp;"Aptos"&amp;10&amp;K008000 APA-INTERNAL</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1">
    <tabColor theme="9" tint="-0.249977111117893"/>
  </sheetPr>
  <dimension ref="A1:P53"/>
  <sheetViews>
    <sheetView showGridLines="0" topLeftCell="A21" zoomScale="130" zoomScaleNormal="130" workbookViewId="0">
      <selection activeCell="H21" sqref="H21"/>
    </sheetView>
  </sheetViews>
  <sheetFormatPr defaultColWidth="9.140625" defaultRowHeight="15" x14ac:dyDescent="0.25"/>
  <cols>
    <col min="1" max="1" width="36.5703125" style="900" customWidth="1"/>
    <col min="2" max="2" width="9.140625" style="900"/>
    <col min="3" max="3" width="40" style="900" customWidth="1"/>
    <col min="4" max="4" width="43" style="900" customWidth="1"/>
    <col min="5" max="16384" width="9.140625" style="900"/>
  </cols>
  <sheetData>
    <row r="1" spans="1:16" ht="20.25" x14ac:dyDescent="0.25">
      <c r="B1" s="1191" t="str">
        <f>INDEX(dms_Worksheet_List,MATCH(dms_Model,dms_Model_List))</f>
        <v>REGULATORY REPORTING STATEMENT</v>
      </c>
      <c r="C1" s="1096"/>
      <c r="D1" s="1096"/>
      <c r="E1" s="1096"/>
    </row>
    <row r="2" spans="1:16" ht="20.25" x14ac:dyDescent="0.25">
      <c r="A2"/>
      <c r="B2" s="281" t="str">
        <f>INDEX(dms_TradingNameFull_List,MATCH(dms_TradingName,dms_TradingName_List))</f>
        <v>APT Petroleum Pipelines Limited t/a Roma to Brisbane Pipeline</v>
      </c>
      <c r="C2" s="281"/>
      <c r="D2" s="281"/>
      <c r="E2" s="281"/>
      <c r="F2"/>
      <c r="G2"/>
      <c r="H2"/>
      <c r="I2"/>
      <c r="J2"/>
      <c r="K2"/>
      <c r="L2"/>
      <c r="M2"/>
      <c r="N2"/>
      <c r="O2"/>
      <c r="P2"/>
    </row>
    <row r="3" spans="1:16" ht="20.25" x14ac:dyDescent="0.25">
      <c r="A3"/>
      <c r="B3" s="1192" t="str">
        <f ca="1">dms_Header_Span</f>
        <v>Data Span 2025-26 - 2031-32</v>
      </c>
      <c r="C3" s="1192"/>
      <c r="D3" s="1192"/>
      <c r="E3" s="1192"/>
      <c r="F3"/>
      <c r="G3"/>
      <c r="H3"/>
      <c r="I3"/>
      <c r="J3"/>
      <c r="K3"/>
      <c r="L3"/>
      <c r="M3"/>
      <c r="N3"/>
      <c r="O3"/>
      <c r="P3"/>
    </row>
    <row r="4" spans="1:16" x14ac:dyDescent="0.25">
      <c r="A4"/>
      <c r="B4"/>
      <c r="C4"/>
      <c r="D4"/>
      <c r="E4"/>
      <c r="F4"/>
      <c r="G4"/>
      <c r="H4"/>
      <c r="I4"/>
      <c r="J4"/>
      <c r="K4"/>
      <c r="L4"/>
      <c r="M4"/>
      <c r="N4"/>
      <c r="O4"/>
      <c r="P4"/>
    </row>
    <row r="5" spans="1:16" ht="16.5" thickBot="1" x14ac:dyDescent="0.3">
      <c r="B5" s="904"/>
      <c r="C5" s="904"/>
      <c r="D5" s="904"/>
      <c r="E5" s="904"/>
    </row>
    <row r="6" spans="1:16" ht="15.75" x14ac:dyDescent="0.25">
      <c r="B6" s="901"/>
      <c r="C6" s="902"/>
      <c r="D6" s="902"/>
      <c r="E6" s="903"/>
    </row>
    <row r="7" spans="1:16" s="905" customFormat="1" ht="23.25" x14ac:dyDescent="0.25">
      <c r="B7" s="906"/>
      <c r="C7" s="1397" t="s">
        <v>957</v>
      </c>
      <c r="D7" s="1397" t="s">
        <v>957</v>
      </c>
      <c r="E7" s="907"/>
    </row>
    <row r="8" spans="1:16" s="905" customFormat="1" ht="15.75" x14ac:dyDescent="0.25">
      <c r="B8" s="906"/>
      <c r="C8"/>
      <c r="D8"/>
      <c r="E8" s="907"/>
    </row>
    <row r="9" spans="1:16" s="905" customFormat="1" ht="15.75" x14ac:dyDescent="0.25">
      <c r="B9" s="906"/>
      <c r="C9" s="1270" t="s">
        <v>1133</v>
      </c>
      <c r="D9" s="1305" t="s">
        <v>1141</v>
      </c>
      <c r="E9" s="907"/>
    </row>
    <row r="10" spans="1:16" s="905" customFormat="1" ht="19.5" customHeight="1" x14ac:dyDescent="0.25">
      <c r="B10" s="908"/>
      <c r="C10" s="1263"/>
      <c r="D10" s="1285"/>
      <c r="E10" s="907"/>
    </row>
    <row r="11" spans="1:16" s="905" customFormat="1" ht="19.5" customHeight="1" x14ac:dyDescent="0.25">
      <c r="B11" s="910"/>
      <c r="C11" s="1262" t="s">
        <v>958</v>
      </c>
      <c r="D11" s="911" t="s">
        <v>701</v>
      </c>
      <c r="E11" s="907"/>
    </row>
    <row r="12" spans="1:16" s="905" customFormat="1" ht="19.5" customHeight="1" x14ac:dyDescent="0.25">
      <c r="B12" s="910"/>
      <c r="C12" s="1262"/>
      <c r="D12" s="911" t="s">
        <v>983</v>
      </c>
      <c r="E12" s="907"/>
    </row>
    <row r="13" spans="1:16" s="905" customFormat="1" ht="19.5" customHeight="1" x14ac:dyDescent="0.25">
      <c r="A13" s="970"/>
      <c r="B13" s="910"/>
      <c r="C13" s="1263"/>
      <c r="D13" s="909"/>
      <c r="E13" s="907"/>
      <c r="H13" s="4"/>
      <c r="I13" s="4"/>
    </row>
    <row r="14" spans="1:16" s="905" customFormat="1" ht="19.5" customHeight="1" x14ac:dyDescent="0.25">
      <c r="B14" s="910"/>
      <c r="C14" s="1264" t="s">
        <v>936</v>
      </c>
      <c r="D14" s="912" t="s">
        <v>984</v>
      </c>
      <c r="E14" s="907"/>
      <c r="H14"/>
      <c r="I14"/>
      <c r="J14"/>
    </row>
    <row r="15" spans="1:16" s="905" customFormat="1" ht="19.5" customHeight="1" x14ac:dyDescent="0.25">
      <c r="B15" s="910"/>
      <c r="C15" s="1264"/>
      <c r="D15" s="912" t="s">
        <v>1036</v>
      </c>
      <c r="E15" s="907"/>
      <c r="H15"/>
      <c r="I15"/>
      <c r="J15"/>
    </row>
    <row r="16" spans="1:16" s="905" customFormat="1" ht="19.5" customHeight="1" x14ac:dyDescent="0.25">
      <c r="B16" s="910"/>
      <c r="C16" s="1264"/>
      <c r="D16" s="912" t="s">
        <v>1060</v>
      </c>
      <c r="E16" s="907"/>
      <c r="H16"/>
      <c r="I16"/>
      <c r="J16"/>
    </row>
    <row r="17" spans="1:12" s="905" customFormat="1" ht="19.5" customHeight="1" x14ac:dyDescent="0.25">
      <c r="B17" s="910"/>
      <c r="C17" s="1264"/>
      <c r="D17" s="912" t="s">
        <v>1037</v>
      </c>
      <c r="E17" s="907"/>
      <c r="H17"/>
      <c r="I17"/>
      <c r="J17"/>
      <c r="K17"/>
      <c r="L17"/>
    </row>
    <row r="18" spans="1:12" s="905" customFormat="1" ht="19.5" customHeight="1" x14ac:dyDescent="0.25">
      <c r="B18" s="910"/>
      <c r="C18" s="1264"/>
      <c r="D18" s="912" t="s">
        <v>1038</v>
      </c>
      <c r="E18" s="907"/>
      <c r="H18" s="4"/>
    </row>
    <row r="19" spans="1:12" s="905" customFormat="1" ht="19.5" customHeight="1" x14ac:dyDescent="0.25">
      <c r="B19" s="910"/>
      <c r="C19" s="1264"/>
      <c r="D19" s="912" t="s">
        <v>1161</v>
      </c>
      <c r="E19" s="907"/>
      <c r="H19" s="4"/>
    </row>
    <row r="20" spans="1:12" s="905" customFormat="1" ht="19.5" customHeight="1" x14ac:dyDescent="0.25">
      <c r="B20" s="910"/>
      <c r="C20" s="1264"/>
      <c r="D20" s="912" t="s">
        <v>1039</v>
      </c>
      <c r="E20" s="907"/>
      <c r="H20" s="4"/>
    </row>
    <row r="21" spans="1:12" s="905" customFormat="1" ht="19.5" customHeight="1" x14ac:dyDescent="0.25">
      <c r="B21" s="910"/>
      <c r="C21" s="1264"/>
      <c r="D21" s="912" t="s">
        <v>1040</v>
      </c>
      <c r="E21" s="907"/>
      <c r="H21" s="4"/>
    </row>
    <row r="22" spans="1:12" s="905" customFormat="1" ht="19.5" customHeight="1" x14ac:dyDescent="0.25">
      <c r="B22" s="910"/>
      <c r="C22" s="1264"/>
      <c r="D22" s="912" t="s">
        <v>1041</v>
      </c>
      <c r="E22" s="907"/>
      <c r="H22" s="4"/>
    </row>
    <row r="23" spans="1:12" s="905" customFormat="1" ht="19.5" customHeight="1" x14ac:dyDescent="0.25">
      <c r="B23" s="910"/>
      <c r="C23" s="1263"/>
      <c r="D23" s="913"/>
      <c r="E23" s="907"/>
      <c r="G23"/>
      <c r="H23"/>
    </row>
    <row r="24" spans="1:12" s="905" customFormat="1" ht="19.5" customHeight="1" x14ac:dyDescent="0.25">
      <c r="A24" s="970"/>
      <c r="B24" s="910"/>
      <c r="C24" s="1265" t="s">
        <v>959</v>
      </c>
      <c r="D24" s="914" t="s">
        <v>954</v>
      </c>
      <c r="E24" s="907"/>
      <c r="G24"/>
      <c r="H24"/>
    </row>
    <row r="25" spans="1:12" s="905" customFormat="1" ht="19.5" customHeight="1" x14ac:dyDescent="0.25">
      <c r="A25" s="970"/>
      <c r="B25" s="910"/>
      <c r="C25" s="1265"/>
      <c r="D25" s="914" t="s">
        <v>955</v>
      </c>
      <c r="E25" s="907"/>
      <c r="G25"/>
      <c r="H25"/>
      <c r="I25" s="970"/>
    </row>
    <row r="26" spans="1:12" s="905" customFormat="1" ht="19.5" customHeight="1" x14ac:dyDescent="0.25">
      <c r="A26" s="970"/>
      <c r="B26" s="910"/>
      <c r="C26" s="1263"/>
      <c r="D26" s="913"/>
      <c r="E26" s="907"/>
      <c r="G26"/>
      <c r="H26"/>
      <c r="I26" s="970"/>
    </row>
    <row r="27" spans="1:12" s="905" customFormat="1" ht="19.5" customHeight="1" x14ac:dyDescent="0.25">
      <c r="A27" s="970"/>
      <c r="B27" s="910"/>
      <c r="C27" s="1266" t="s">
        <v>961</v>
      </c>
      <c r="D27" s="915" t="s">
        <v>1098</v>
      </c>
      <c r="E27" s="907"/>
      <c r="H27" s="4"/>
      <c r="I27" s="970"/>
    </row>
    <row r="28" spans="1:12" s="905" customFormat="1" ht="19.5" customHeight="1" x14ac:dyDescent="0.25">
      <c r="A28" s="970"/>
      <c r="B28" s="910"/>
      <c r="C28" s="1266"/>
      <c r="D28" s="915" t="s">
        <v>1073</v>
      </c>
      <c r="E28" s="907"/>
      <c r="H28" s="4"/>
      <c r="I28" s="970"/>
    </row>
    <row r="29" spans="1:12" s="905" customFormat="1" ht="19.5" customHeight="1" x14ac:dyDescent="0.25">
      <c r="B29" s="910"/>
      <c r="C29" s="1263"/>
      <c r="D29" s="913"/>
      <c r="E29" s="907"/>
      <c r="H29" s="4"/>
      <c r="I29" s="970"/>
    </row>
    <row r="30" spans="1:12" s="905" customFormat="1" ht="19.5" customHeight="1" x14ac:dyDescent="0.25">
      <c r="B30" s="910"/>
      <c r="C30" s="1267" t="s">
        <v>960</v>
      </c>
      <c r="D30" s="911" t="s">
        <v>1103</v>
      </c>
      <c r="E30" s="907"/>
      <c r="H30" s="4"/>
      <c r="I30" s="970"/>
    </row>
    <row r="31" spans="1:12" s="905" customFormat="1" ht="19.5" customHeight="1" x14ac:dyDescent="0.25">
      <c r="B31" s="910"/>
      <c r="C31" s="1267"/>
      <c r="D31" s="911" t="s">
        <v>956</v>
      </c>
      <c r="E31" s="907"/>
      <c r="H31" s="4"/>
      <c r="I31" s="970"/>
    </row>
    <row r="32" spans="1:12" s="905" customFormat="1" ht="19.5" customHeight="1" x14ac:dyDescent="0.25">
      <c r="B32" s="910"/>
      <c r="C32" s="1268"/>
      <c r="D32"/>
      <c r="E32" s="907"/>
      <c r="H32" s="4"/>
      <c r="I32" s="970"/>
    </row>
    <row r="33" spans="1:16" s="905" customFormat="1" ht="19.5" customHeight="1" x14ac:dyDescent="0.25">
      <c r="B33" s="910"/>
      <c r="C33" s="1269" t="s">
        <v>1104</v>
      </c>
      <c r="D33" s="1242" t="s">
        <v>1105</v>
      </c>
      <c r="E33" s="907"/>
      <c r="H33" s="4"/>
      <c r="I33" s="970"/>
    </row>
    <row r="34" spans="1:16" s="905" customFormat="1" ht="19.5" customHeight="1" thickBot="1" x14ac:dyDescent="0.3">
      <c r="B34" s="916"/>
      <c r="C34" s="917"/>
      <c r="D34" s="917"/>
      <c r="E34" s="918"/>
      <c r="H34"/>
      <c r="I34"/>
      <c r="J34"/>
      <c r="K34"/>
      <c r="L34"/>
    </row>
    <row r="35" spans="1:16" s="905" customFormat="1" ht="15.75" x14ac:dyDescent="0.25">
      <c r="B35" s="909"/>
      <c r="C35" s="909"/>
      <c r="D35" s="909"/>
      <c r="E35" s="909"/>
      <c r="H35"/>
      <c r="I35"/>
      <c r="J35"/>
      <c r="K35"/>
      <c r="L35"/>
    </row>
    <row r="36" spans="1:16" x14ac:dyDescent="0.25">
      <c r="A36"/>
      <c r="B36"/>
      <c r="C36"/>
      <c r="D36"/>
      <c r="E36"/>
      <c r="F36"/>
      <c r="G36"/>
      <c r="H36"/>
      <c r="I36"/>
      <c r="J36"/>
      <c r="K36"/>
      <c r="L36"/>
      <c r="M36"/>
      <c r="N36"/>
      <c r="O36"/>
      <c r="P36"/>
    </row>
    <row r="37" spans="1:16" x14ac:dyDescent="0.25">
      <c r="A37"/>
      <c r="B37"/>
      <c r="C37"/>
      <c r="D37"/>
      <c r="E37"/>
      <c r="F37"/>
      <c r="G37"/>
      <c r="H37"/>
      <c r="I37"/>
      <c r="J37"/>
      <c r="K37"/>
      <c r="L37"/>
      <c r="M37"/>
      <c r="N37"/>
      <c r="O37"/>
      <c r="P37"/>
    </row>
    <row r="38" spans="1:16" x14ac:dyDescent="0.25">
      <c r="A38"/>
      <c r="B38"/>
      <c r="C38"/>
      <c r="D38"/>
      <c r="E38"/>
      <c r="F38"/>
      <c r="G38"/>
      <c r="H38"/>
      <c r="I38"/>
      <c r="J38"/>
      <c r="K38"/>
      <c r="L38"/>
      <c r="M38"/>
      <c r="N38"/>
      <c r="O38"/>
      <c r="P38"/>
    </row>
    <row r="39" spans="1:16" x14ac:dyDescent="0.25">
      <c r="A39"/>
      <c r="B39"/>
      <c r="C39"/>
      <c r="D39"/>
      <c r="E39"/>
      <c r="F39"/>
      <c r="G39"/>
      <c r="H39"/>
      <c r="I39"/>
      <c r="J39"/>
      <c r="K39"/>
      <c r="L39"/>
      <c r="M39"/>
      <c r="N39"/>
      <c r="O39"/>
      <c r="P39"/>
    </row>
    <row r="40" spans="1:16" x14ac:dyDescent="0.25">
      <c r="A40"/>
      <c r="B40"/>
      <c r="C40"/>
      <c r="D40"/>
      <c r="E40"/>
      <c r="F40"/>
      <c r="G40"/>
      <c r="H40"/>
      <c r="I40"/>
      <c r="J40"/>
      <c r="K40"/>
      <c r="L40"/>
      <c r="M40"/>
      <c r="N40"/>
      <c r="O40"/>
      <c r="P40"/>
    </row>
    <row r="41" spans="1:16" x14ac:dyDescent="0.25">
      <c r="A41"/>
      <c r="B41"/>
      <c r="C41"/>
      <c r="D41"/>
      <c r="E41"/>
      <c r="F41"/>
      <c r="G41"/>
      <c r="H41"/>
      <c r="I41"/>
      <c r="J41"/>
      <c r="K41"/>
      <c r="L41"/>
      <c r="M41"/>
      <c r="N41"/>
      <c r="O41"/>
      <c r="P41"/>
    </row>
    <row r="42" spans="1:16" x14ac:dyDescent="0.25">
      <c r="A42"/>
      <c r="B42"/>
      <c r="C42"/>
      <c r="D42"/>
      <c r="E42"/>
      <c r="F42"/>
      <c r="G42"/>
      <c r="H42"/>
      <c r="I42"/>
      <c r="J42"/>
      <c r="K42"/>
      <c r="L42"/>
      <c r="M42"/>
      <c r="N42"/>
      <c r="O42"/>
      <c r="P42"/>
    </row>
    <row r="43" spans="1:16" x14ac:dyDescent="0.25">
      <c r="A43"/>
      <c r="B43"/>
      <c r="C43"/>
      <c r="D43"/>
      <c r="E43"/>
      <c r="F43"/>
      <c r="G43"/>
      <c r="H43"/>
      <c r="I43"/>
      <c r="J43"/>
      <c r="K43"/>
      <c r="L43"/>
      <c r="M43"/>
      <c r="N43"/>
      <c r="O43"/>
      <c r="P43"/>
    </row>
    <row r="44" spans="1:16" x14ac:dyDescent="0.25">
      <c r="A44"/>
      <c r="B44"/>
      <c r="C44"/>
      <c r="D44"/>
      <c r="E44"/>
      <c r="F44"/>
      <c r="G44"/>
      <c r="H44"/>
      <c r="I44"/>
      <c r="J44"/>
      <c r="K44"/>
      <c r="L44"/>
      <c r="M44"/>
      <c r="N44"/>
      <c r="O44"/>
      <c r="P44"/>
    </row>
    <row r="45" spans="1:16" x14ac:dyDescent="0.25">
      <c r="A45"/>
      <c r="B45"/>
      <c r="C45"/>
      <c r="D45"/>
      <c r="E45"/>
      <c r="F45"/>
      <c r="G45"/>
      <c r="H45"/>
      <c r="I45"/>
      <c r="J45"/>
      <c r="K45"/>
      <c r="L45"/>
      <c r="M45"/>
      <c r="N45"/>
      <c r="O45"/>
      <c r="P45"/>
    </row>
    <row r="46" spans="1:16" x14ac:dyDescent="0.25">
      <c r="A46"/>
      <c r="B46"/>
      <c r="C46"/>
      <c r="D46"/>
      <c r="E46"/>
      <c r="F46"/>
      <c r="G46"/>
      <c r="H46"/>
      <c r="I46"/>
      <c r="J46"/>
      <c r="K46"/>
      <c r="L46"/>
      <c r="M46"/>
      <c r="N46"/>
      <c r="O46"/>
      <c r="P46"/>
    </row>
    <row r="47" spans="1:16" x14ac:dyDescent="0.25">
      <c r="A47"/>
      <c r="B47"/>
      <c r="C47"/>
      <c r="D47"/>
      <c r="E47"/>
      <c r="F47"/>
      <c r="G47"/>
      <c r="H47"/>
      <c r="I47"/>
      <c r="J47"/>
      <c r="K47"/>
      <c r="L47"/>
      <c r="M47"/>
      <c r="N47"/>
      <c r="O47"/>
      <c r="P47"/>
    </row>
    <row r="48" spans="1:16" x14ac:dyDescent="0.25">
      <c r="A48"/>
      <c r="B48"/>
      <c r="C48"/>
      <c r="D48"/>
      <c r="E48"/>
      <c r="F48"/>
      <c r="G48"/>
      <c r="H48"/>
      <c r="I48"/>
      <c r="J48"/>
      <c r="K48"/>
      <c r="L48"/>
      <c r="M48"/>
      <c r="N48"/>
      <c r="O48"/>
      <c r="P48"/>
    </row>
    <row r="49" spans="1:16" x14ac:dyDescent="0.25">
      <c r="A49"/>
      <c r="B49"/>
      <c r="C49"/>
      <c r="D49"/>
      <c r="E49"/>
      <c r="F49"/>
      <c r="G49"/>
      <c r="H49"/>
      <c r="I49"/>
      <c r="J49"/>
      <c r="K49"/>
      <c r="L49"/>
      <c r="M49"/>
      <c r="N49"/>
      <c r="O49"/>
      <c r="P49"/>
    </row>
    <row r="50" spans="1:16" x14ac:dyDescent="0.25">
      <c r="A50"/>
      <c r="B50"/>
      <c r="C50"/>
      <c r="D50"/>
      <c r="E50"/>
      <c r="F50"/>
      <c r="G50"/>
      <c r="H50"/>
      <c r="I50"/>
      <c r="J50"/>
      <c r="K50"/>
      <c r="L50"/>
      <c r="M50"/>
      <c r="N50"/>
      <c r="O50"/>
      <c r="P50"/>
    </row>
    <row r="51" spans="1:16" x14ac:dyDescent="0.25">
      <c r="A51"/>
      <c r="B51"/>
      <c r="C51"/>
      <c r="D51"/>
      <c r="E51"/>
      <c r="F51"/>
      <c r="G51"/>
      <c r="H51"/>
      <c r="I51"/>
      <c r="J51"/>
      <c r="K51"/>
      <c r="L51"/>
      <c r="M51"/>
      <c r="N51"/>
      <c r="O51"/>
      <c r="P51"/>
    </row>
    <row r="52" spans="1:16" x14ac:dyDescent="0.25">
      <c r="A52"/>
      <c r="B52"/>
      <c r="C52"/>
      <c r="D52"/>
      <c r="E52"/>
      <c r="F52"/>
      <c r="G52"/>
      <c r="H52"/>
      <c r="I52"/>
      <c r="J52"/>
      <c r="K52"/>
      <c r="L52"/>
      <c r="M52"/>
      <c r="N52"/>
      <c r="O52"/>
      <c r="P52"/>
    </row>
    <row r="53" spans="1:16" x14ac:dyDescent="0.25">
      <c r="A53"/>
      <c r="B53"/>
      <c r="C53"/>
      <c r="D53"/>
      <c r="E53"/>
      <c r="F53"/>
      <c r="G53"/>
      <c r="H53"/>
      <c r="I53"/>
      <c r="J53"/>
      <c r="K53"/>
      <c r="L53"/>
      <c r="M53"/>
      <c r="N53"/>
      <c r="O53"/>
      <c r="P53"/>
    </row>
  </sheetData>
  <sheetProtection algorithmName="SHA-256" hashValue="u3hNsJYMksuPnZUDKSkZsAfQ7C5s+nXRVmE+M5HzwpU=" saltValue="a15fYSFN5ZwMBvvr4cVSsQ==" spinCount="100000" sheet="1" objects="1" scenarios="1" formatCells="0" insertRows="0" deleteRows="0"/>
  <sortState xmlns:xlrd2="http://schemas.microsoft.com/office/spreadsheetml/2017/richdata2" ref="C2:E16">
    <sortCondition ref="C2"/>
  </sortState>
  <mergeCells count="1">
    <mergeCell ref="C7:D7"/>
  </mergeCells>
  <hyperlinks>
    <hyperlink ref="D11" location="'Business &amp; other details'!A1" display="'Business &amp; other details'!A1" xr:uid="{00000000-0004-0000-0100-000000000000}"/>
    <hyperlink ref="D27" location="'S1. User Numbers'!A1" display="S1. User Numbers" xr:uid="{00000000-0004-0000-0100-000001000000}"/>
    <hyperlink ref="D24" location="'N1. Demand'!A1" display="'N1. Demand'!A1" xr:uid="{00000000-0004-0000-0100-000002000000}"/>
    <hyperlink ref="D25" location="'N2. Network Characteristics'!A1" display="'N2. Network Characteristics'!A1" xr:uid="{00000000-0004-0000-0100-000003000000}"/>
    <hyperlink ref="D31" location="'F3. Revenue'!A1" display="'F3. Revenue'!A1" xr:uid="{00000000-0004-0000-0100-000004000000}"/>
    <hyperlink ref="D12" location="'CPI series'!A1" display="'CPI series'!A1" xr:uid="{00000000-0004-0000-0100-000005000000}"/>
    <hyperlink ref="D14" location="'E1. Expenditure Summary'!A1" display="'E1. Expenditure Summary'!A1" xr:uid="{00000000-0004-0000-0100-000006000000}"/>
    <hyperlink ref="D15" location="'E2. Repex'!A1" display="'E2. Repex'!A1" xr:uid="{00000000-0004-0000-0100-000007000000}"/>
    <hyperlink ref="D16" location="'E3. Expansion'!A1" display="E3. Expansion" xr:uid="{00000000-0004-0000-0100-000008000000}"/>
    <hyperlink ref="D17" location="'E6. Non-network'!A1" display="'E6. Non-network'!A1" xr:uid="{00000000-0004-0000-0100-000009000000}"/>
    <hyperlink ref="D18" location="'E10. Overheads'!A1" display="'E10. Overheads'!A1" xr:uid="{00000000-0004-0000-0100-00000A000000}"/>
    <hyperlink ref="D20" location="'E13. Other capex'!A1" display="'E13. Other capex'!A1" xr:uid="{00000000-0004-0000-0100-00000B000000}"/>
    <hyperlink ref="D21" location="'E17. Step changes'!A1" display="'E17. Step changes'!A1" xr:uid="{00000000-0004-0000-0100-00000C000000}"/>
    <hyperlink ref="D22" location="'E20. Opex'!A1" display="'E20. Opex'!A1" xr:uid="{00000000-0004-0000-0100-00000D000000}"/>
    <hyperlink ref="D28" location="'S10. Supply quality'!A1" display="S10. Supply Quality" xr:uid="{00000000-0004-0000-0100-00000E000000}"/>
    <hyperlink ref="D30" location="'F2. Capex'!A1" display="F2. Capex" xr:uid="{00000000-0004-0000-0100-00000F000000}"/>
    <hyperlink ref="D33" location="'additional disclosures'!A1" display="Additional disclsoures" xr:uid="{00000000-0004-0000-0100-000010000000}"/>
    <hyperlink ref="D19" location="'E11. Labour'!A1" display="E11. Labour" xr:uid="{94165F39-0D1E-4D4E-9B05-0D0E4F98D364}"/>
  </hyperlinks>
  <pageMargins left="0.7" right="0.7" top="0.75" bottom="0.75" header="0.3" footer="0.3"/>
  <pageSetup paperSize="9" orientation="portrait" r:id="rId1"/>
  <headerFooter>
    <oddFooter>&amp;C_x000D_&amp;1#&amp;"Aptos"&amp;10&amp;K008000 APA-INTERNAL</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5"/>
  <dimension ref="A1:O59"/>
  <sheetViews>
    <sheetView showGridLines="0" zoomScaleNormal="100" workbookViewId="0">
      <selection activeCell="E32" sqref="E32"/>
    </sheetView>
  </sheetViews>
  <sheetFormatPr defaultColWidth="9.140625" defaultRowHeight="15" x14ac:dyDescent="0.25"/>
  <cols>
    <col min="1" max="1" width="9.140625" style="869"/>
    <col min="2" max="8" width="43" style="869" customWidth="1"/>
    <col min="9" max="16384" width="9.140625" style="869"/>
  </cols>
  <sheetData>
    <row r="1" spans="1:15" x14ac:dyDescent="0.25">
      <c r="A1" s="1287"/>
      <c r="B1" s="1288"/>
      <c r="C1" s="1288"/>
      <c r="D1" s="1288"/>
      <c r="E1" s="1288"/>
      <c r="F1" s="1288"/>
      <c r="G1" s="1288"/>
      <c r="H1" s="1288"/>
      <c r="I1" s="1288"/>
      <c r="J1" s="1288"/>
      <c r="K1" s="1288"/>
      <c r="L1" s="1288"/>
      <c r="M1" s="1288"/>
      <c r="N1" s="1288"/>
      <c r="O1" s="1289"/>
    </row>
    <row r="2" spans="1:15" x14ac:dyDescent="0.25">
      <c r="A2" s="1290"/>
      <c r="B2" s="1291"/>
      <c r="C2" s="1291"/>
      <c r="D2" s="1291"/>
      <c r="E2" s="1291"/>
      <c r="F2" s="1291"/>
      <c r="G2" s="1291"/>
      <c r="H2" s="1291"/>
      <c r="I2" s="1291"/>
      <c r="J2" s="1291"/>
      <c r="K2" s="1291"/>
      <c r="L2" s="1291"/>
      <c r="M2" s="1291"/>
      <c r="N2" s="1291"/>
      <c r="O2" s="1292"/>
    </row>
    <row r="3" spans="1:15" x14ac:dyDescent="0.25">
      <c r="A3" s="1290"/>
      <c r="B3" s="1291"/>
      <c r="C3" s="1291"/>
      <c r="D3" s="1291"/>
      <c r="E3" s="1291"/>
      <c r="F3" s="1291"/>
      <c r="G3" s="1291"/>
      <c r="H3" s="1291"/>
      <c r="I3" s="1291"/>
      <c r="J3" s="1291"/>
      <c r="K3" s="1291"/>
      <c r="L3" s="1291"/>
      <c r="M3" s="1291"/>
      <c r="N3" s="1291"/>
      <c r="O3" s="1292"/>
    </row>
    <row r="4" spans="1:15" x14ac:dyDescent="0.25">
      <c r="A4" s="1290"/>
      <c r="B4" s="1291"/>
      <c r="C4" s="1291"/>
      <c r="D4" s="1291"/>
      <c r="E4" s="1291"/>
      <c r="F4" s="1291"/>
      <c r="G4" s="1291"/>
      <c r="H4" s="1291"/>
      <c r="I4" s="1291"/>
      <c r="J4" s="1291"/>
      <c r="K4" s="1291"/>
      <c r="L4" s="1291"/>
      <c r="M4" s="1291"/>
      <c r="N4" s="1291"/>
      <c r="O4" s="1292"/>
    </row>
    <row r="5" spans="1:15" x14ac:dyDescent="0.25">
      <c r="A5" s="1290"/>
      <c r="B5" s="1291"/>
      <c r="C5" s="1291"/>
      <c r="D5" s="1291"/>
      <c r="E5" s="1291"/>
      <c r="F5" s="1291"/>
      <c r="G5" s="1291"/>
      <c r="H5" s="1291"/>
      <c r="I5" s="1291"/>
      <c r="J5" s="1291"/>
      <c r="K5" s="1291"/>
      <c r="L5" s="1291"/>
      <c r="M5" s="1291"/>
      <c r="N5" s="1291"/>
      <c r="O5" s="1292"/>
    </row>
    <row r="6" spans="1:15" x14ac:dyDescent="0.25">
      <c r="A6" s="1290"/>
      <c r="B6" s="1291"/>
      <c r="C6" s="1291"/>
      <c r="D6" s="1291"/>
      <c r="E6" s="1291"/>
      <c r="F6" s="1291"/>
      <c r="G6" s="1291"/>
      <c r="H6" s="1291"/>
      <c r="I6" s="1291"/>
      <c r="J6" s="1291"/>
      <c r="K6" s="1291"/>
      <c r="L6" s="1291"/>
      <c r="M6" s="1291"/>
      <c r="N6" s="1291"/>
      <c r="O6" s="1292"/>
    </row>
    <row r="7" spans="1:15" x14ac:dyDescent="0.25">
      <c r="A7" s="1290"/>
      <c r="B7" s="1291"/>
      <c r="C7" s="1291"/>
      <c r="D7" s="1291"/>
      <c r="E7" s="1291"/>
      <c r="F7" s="1291"/>
      <c r="G7" s="1291"/>
      <c r="H7" s="1291"/>
      <c r="I7" s="1291"/>
      <c r="J7" s="1291"/>
      <c r="K7" s="1291"/>
      <c r="L7" s="1291"/>
      <c r="M7" s="1291"/>
      <c r="N7" s="1291"/>
      <c r="O7" s="1292"/>
    </row>
    <row r="8" spans="1:15" x14ac:dyDescent="0.25">
      <c r="A8" s="1290"/>
      <c r="B8" s="1291"/>
      <c r="C8" s="1291"/>
      <c r="D8" s="1291"/>
      <c r="E8" s="1291"/>
      <c r="F8" s="1291"/>
      <c r="G8" s="1291"/>
      <c r="H8" s="1291"/>
      <c r="I8" s="1291"/>
      <c r="J8" s="1291"/>
      <c r="K8" s="1291"/>
      <c r="L8" s="1291"/>
      <c r="M8" s="1291"/>
      <c r="N8" s="1291"/>
      <c r="O8" s="1292"/>
    </row>
    <row r="9" spans="1:15" x14ac:dyDescent="0.25">
      <c r="A9" s="1290"/>
      <c r="B9" s="1291"/>
      <c r="C9" s="1291"/>
      <c r="D9" s="1291"/>
      <c r="E9" s="1291"/>
      <c r="F9" s="1291"/>
      <c r="G9" s="1291"/>
      <c r="H9" s="1291"/>
      <c r="I9" s="1291"/>
      <c r="J9" s="1291"/>
      <c r="K9" s="1291"/>
      <c r="L9" s="1291"/>
      <c r="M9" s="1291"/>
      <c r="N9" s="1291"/>
      <c r="O9" s="1292"/>
    </row>
    <row r="10" spans="1:15" x14ac:dyDescent="0.25">
      <c r="A10" s="1290"/>
      <c r="B10" s="1291"/>
      <c r="C10" s="1291"/>
      <c r="D10" s="1291"/>
      <c r="E10" s="1291"/>
      <c r="F10" s="1291"/>
      <c r="G10" s="1291"/>
      <c r="H10" s="1291"/>
      <c r="I10" s="1291"/>
      <c r="J10" s="1291"/>
      <c r="K10" s="1291"/>
      <c r="L10" s="1291"/>
      <c r="M10" s="1291"/>
      <c r="N10" s="1291"/>
      <c r="O10" s="1292"/>
    </row>
    <row r="11" spans="1:15" x14ac:dyDescent="0.25">
      <c r="A11" s="1290"/>
      <c r="B11" s="1291"/>
      <c r="C11" s="1291"/>
      <c r="D11" s="1291"/>
      <c r="E11" s="1291"/>
      <c r="F11" s="1291"/>
      <c r="G11" s="1291"/>
      <c r="H11" s="1291"/>
      <c r="I11" s="1291"/>
      <c r="J11" s="1291"/>
      <c r="K11" s="1291"/>
      <c r="L11" s="1291"/>
      <c r="M11" s="1291"/>
      <c r="N11" s="1291"/>
      <c r="O11" s="1292"/>
    </row>
    <row r="12" spans="1:15" x14ac:dyDescent="0.25">
      <c r="A12" s="1290"/>
      <c r="B12" s="1291"/>
      <c r="C12" s="1291"/>
      <c r="D12" s="1291"/>
      <c r="E12" s="1291"/>
      <c r="F12" s="1291"/>
      <c r="G12" s="1291"/>
      <c r="H12" s="1291"/>
      <c r="I12" s="1291"/>
      <c r="J12" s="1291"/>
      <c r="K12" s="1291"/>
      <c r="L12" s="1291"/>
      <c r="M12" s="1291"/>
      <c r="N12" s="1291"/>
      <c r="O12" s="1292"/>
    </row>
    <row r="13" spans="1:15" x14ac:dyDescent="0.25">
      <c r="A13" s="1290"/>
      <c r="B13" s="1291"/>
      <c r="C13" s="1291"/>
      <c r="D13" s="1291"/>
      <c r="E13" s="1291"/>
      <c r="F13" s="1291"/>
      <c r="G13" s="1291"/>
      <c r="H13" s="1291"/>
      <c r="I13" s="1291"/>
      <c r="J13" s="1291"/>
      <c r="K13" s="1291"/>
      <c r="L13" s="1291"/>
      <c r="M13" s="1291"/>
      <c r="N13" s="1291"/>
      <c r="O13" s="1292"/>
    </row>
    <row r="14" spans="1:15" x14ac:dyDescent="0.25">
      <c r="A14" s="1290"/>
      <c r="B14" s="1291"/>
      <c r="C14" s="1291"/>
      <c r="D14" s="1291"/>
      <c r="E14" s="1291"/>
      <c r="F14" s="1291"/>
      <c r="G14" s="1291"/>
      <c r="H14" s="1291"/>
      <c r="I14" s="1291"/>
      <c r="J14" s="1291"/>
      <c r="K14" s="1291"/>
      <c r="L14" s="1291"/>
      <c r="M14" s="1291"/>
      <c r="N14" s="1291"/>
      <c r="O14" s="1292"/>
    </row>
    <row r="15" spans="1:15" x14ac:dyDescent="0.25">
      <c r="A15" s="1290"/>
      <c r="B15" s="1291"/>
      <c r="C15" s="1291"/>
      <c r="D15" s="1291"/>
      <c r="E15" s="1291"/>
      <c r="F15" s="1291"/>
      <c r="G15" s="1291"/>
      <c r="H15" s="1291"/>
      <c r="I15" s="1291"/>
      <c r="J15" s="1291"/>
      <c r="K15" s="1291"/>
      <c r="L15" s="1291"/>
      <c r="M15" s="1291"/>
      <c r="N15" s="1291"/>
      <c r="O15" s="1292"/>
    </row>
    <row r="16" spans="1:15" x14ac:dyDescent="0.25">
      <c r="A16" s="1290"/>
      <c r="B16" s="1291"/>
      <c r="C16" s="1291"/>
      <c r="D16" s="1291"/>
      <c r="E16" s="1291"/>
      <c r="F16" s="1291"/>
      <c r="G16" s="1291"/>
      <c r="H16" s="1291"/>
      <c r="I16" s="1291"/>
      <c r="J16" s="1291"/>
      <c r="K16" s="1291"/>
      <c r="L16" s="1291"/>
      <c r="M16" s="1291"/>
      <c r="N16" s="1291"/>
      <c r="O16" s="1292"/>
    </row>
    <row r="17" spans="1:15" x14ac:dyDescent="0.25">
      <c r="A17" s="1290"/>
      <c r="B17" s="1291"/>
      <c r="C17" s="1291"/>
      <c r="D17" s="1291"/>
      <c r="E17" s="1291"/>
      <c r="F17" s="1291"/>
      <c r="G17" s="1291"/>
      <c r="H17" s="1291"/>
      <c r="I17" s="1291"/>
      <c r="J17" s="1291"/>
      <c r="K17" s="1291"/>
      <c r="L17" s="1291"/>
      <c r="M17" s="1291"/>
      <c r="N17" s="1291"/>
      <c r="O17" s="1292"/>
    </row>
    <row r="18" spans="1:15" x14ac:dyDescent="0.25">
      <c r="A18" s="1290"/>
      <c r="B18" s="1291"/>
      <c r="C18" s="1291"/>
      <c r="D18" s="1291"/>
      <c r="E18" s="1291"/>
      <c r="F18" s="1291"/>
      <c r="G18" s="1291"/>
      <c r="H18" s="1291"/>
      <c r="I18" s="1291"/>
      <c r="J18" s="1291"/>
      <c r="K18" s="1291"/>
      <c r="L18" s="1291"/>
      <c r="M18" s="1291"/>
      <c r="N18" s="1291"/>
      <c r="O18" s="1292"/>
    </row>
    <row r="19" spans="1:15" x14ac:dyDescent="0.25">
      <c r="A19" s="1290"/>
      <c r="B19" s="1291"/>
      <c r="C19" s="1291"/>
      <c r="D19" s="1291"/>
      <c r="E19" s="1291"/>
      <c r="F19" s="1291"/>
      <c r="G19" s="1291"/>
      <c r="H19" s="1291"/>
      <c r="I19" s="1291"/>
      <c r="J19" s="1291"/>
      <c r="K19" s="1291"/>
      <c r="L19" s="1291"/>
      <c r="M19" s="1291"/>
      <c r="N19" s="1291"/>
      <c r="O19" s="1292"/>
    </row>
    <row r="20" spans="1:15" x14ac:dyDescent="0.25">
      <c r="A20" s="1290"/>
      <c r="B20" s="1291"/>
      <c r="C20" s="1291"/>
      <c r="D20" s="1291"/>
      <c r="E20" s="1291"/>
      <c r="F20" s="1291"/>
      <c r="G20" s="1291"/>
      <c r="H20" s="1291"/>
      <c r="I20" s="1291"/>
      <c r="J20" s="1291"/>
      <c r="K20" s="1291"/>
      <c r="L20" s="1291"/>
      <c r="M20" s="1291"/>
      <c r="N20" s="1291"/>
      <c r="O20" s="1292"/>
    </row>
    <row r="21" spans="1:15" x14ac:dyDescent="0.25">
      <c r="A21" s="1290"/>
      <c r="B21" s="1291"/>
      <c r="C21" s="1291"/>
      <c r="D21" s="1291"/>
      <c r="E21" s="1291"/>
      <c r="F21" s="1291"/>
      <c r="G21" s="1291"/>
      <c r="H21" s="1291"/>
      <c r="I21" s="1291"/>
      <c r="J21" s="1291"/>
      <c r="K21" s="1291"/>
      <c r="L21" s="1291"/>
      <c r="M21" s="1291"/>
      <c r="N21" s="1291"/>
      <c r="O21" s="1292"/>
    </row>
    <row r="22" spans="1:15" x14ac:dyDescent="0.25">
      <c r="A22" s="1290"/>
      <c r="B22" s="1291"/>
      <c r="C22" s="1291"/>
      <c r="D22" s="1291"/>
      <c r="E22" s="1291"/>
      <c r="F22" s="1291"/>
      <c r="G22" s="1291"/>
      <c r="H22" s="1291"/>
      <c r="I22" s="1291"/>
      <c r="J22" s="1291"/>
      <c r="K22" s="1291"/>
      <c r="L22" s="1291"/>
      <c r="M22" s="1291"/>
      <c r="N22" s="1291"/>
      <c r="O22" s="1292"/>
    </row>
    <row r="23" spans="1:15" x14ac:dyDescent="0.25">
      <c r="A23" s="1290"/>
      <c r="B23" s="1291"/>
      <c r="C23" s="1291"/>
      <c r="D23" s="1291"/>
      <c r="E23" s="1291"/>
      <c r="F23" s="1291"/>
      <c r="G23" s="1291"/>
      <c r="H23" s="1291"/>
      <c r="I23" s="1291"/>
      <c r="J23" s="1291"/>
      <c r="K23" s="1291"/>
      <c r="L23" s="1291"/>
      <c r="M23" s="1291"/>
      <c r="N23" s="1291"/>
      <c r="O23" s="1292"/>
    </row>
    <row r="24" spans="1:15" x14ac:dyDescent="0.25">
      <c r="A24" s="1290"/>
      <c r="B24" s="1291"/>
      <c r="C24" s="1291"/>
      <c r="D24" s="1291"/>
      <c r="E24" s="1291"/>
      <c r="F24" s="1291"/>
      <c r="G24" s="1291"/>
      <c r="H24" s="1291"/>
      <c r="I24" s="1291"/>
      <c r="J24" s="1291"/>
      <c r="K24" s="1291"/>
      <c r="L24" s="1291"/>
      <c r="M24" s="1291"/>
      <c r="N24" s="1291"/>
      <c r="O24" s="1292"/>
    </row>
    <row r="25" spans="1:15" x14ac:dyDescent="0.25">
      <c r="A25" s="1290"/>
      <c r="B25" s="1291"/>
      <c r="C25" s="1291"/>
      <c r="D25" s="1291"/>
      <c r="E25" s="1291"/>
      <c r="F25" s="1291"/>
      <c r="G25" s="1291"/>
      <c r="H25" s="1291"/>
      <c r="I25" s="1291"/>
      <c r="J25" s="1291"/>
      <c r="K25" s="1291"/>
      <c r="L25" s="1291"/>
      <c r="M25" s="1291"/>
      <c r="N25" s="1291"/>
      <c r="O25" s="1292"/>
    </row>
    <row r="26" spans="1:15" x14ac:dyDescent="0.25">
      <c r="A26" s="1290"/>
      <c r="B26" s="1291"/>
      <c r="C26" s="1291"/>
      <c r="D26" s="1291"/>
      <c r="E26" s="1291"/>
      <c r="F26" s="1291"/>
      <c r="G26" s="1291"/>
      <c r="H26" s="1291"/>
      <c r="I26" s="1291"/>
      <c r="J26" s="1291"/>
      <c r="K26" s="1291"/>
      <c r="L26" s="1291"/>
      <c r="M26" s="1291"/>
      <c r="N26" s="1291"/>
      <c r="O26" s="1292"/>
    </row>
    <row r="27" spans="1:15" x14ac:dyDescent="0.25">
      <c r="A27" s="1290"/>
      <c r="B27" s="1291"/>
      <c r="C27" s="1291"/>
      <c r="D27" s="1291"/>
      <c r="E27" s="1291"/>
      <c r="F27" s="1291"/>
      <c r="G27" s="1291"/>
      <c r="H27" s="1291"/>
      <c r="I27" s="1291"/>
      <c r="J27" s="1291"/>
      <c r="K27" s="1291"/>
      <c r="L27" s="1291"/>
      <c r="M27" s="1291"/>
      <c r="N27" s="1291"/>
      <c r="O27" s="1292"/>
    </row>
    <row r="28" spans="1:15" x14ac:dyDescent="0.25">
      <c r="A28" s="1290"/>
      <c r="B28" s="1291"/>
      <c r="C28" s="1291"/>
      <c r="D28" s="1291"/>
      <c r="E28" s="1291"/>
      <c r="F28" s="1291"/>
      <c r="G28" s="1291"/>
      <c r="H28" s="1291"/>
      <c r="I28" s="1291"/>
      <c r="J28" s="1291"/>
      <c r="K28" s="1291"/>
      <c r="L28" s="1291"/>
      <c r="M28" s="1291"/>
      <c r="N28" s="1291"/>
      <c r="O28" s="1292"/>
    </row>
    <row r="29" spans="1:15" x14ac:dyDescent="0.25">
      <c r="A29" s="1290"/>
      <c r="B29" s="1291"/>
      <c r="C29" s="1291"/>
      <c r="D29" s="1291"/>
      <c r="E29" s="1291"/>
      <c r="F29" s="1291"/>
      <c r="G29" s="1291"/>
      <c r="H29" s="1291"/>
      <c r="I29" s="1291"/>
      <c r="J29" s="1291"/>
      <c r="K29" s="1291"/>
      <c r="L29" s="1291"/>
      <c r="M29" s="1291"/>
      <c r="N29" s="1291"/>
      <c r="O29" s="1292"/>
    </row>
    <row r="30" spans="1:15" x14ac:dyDescent="0.25">
      <c r="A30" s="1290"/>
      <c r="B30" s="1291"/>
      <c r="C30" s="1291"/>
      <c r="D30" s="1291"/>
      <c r="E30" s="1291"/>
      <c r="F30" s="1291"/>
      <c r="G30" s="1291"/>
      <c r="H30" s="1291"/>
      <c r="I30" s="1291"/>
      <c r="J30" s="1291"/>
      <c r="K30" s="1291"/>
      <c r="L30" s="1291"/>
      <c r="M30" s="1291"/>
      <c r="N30" s="1291"/>
      <c r="O30" s="1292"/>
    </row>
    <row r="31" spans="1:15" x14ac:dyDescent="0.25">
      <c r="A31" s="1290"/>
      <c r="B31" s="1291"/>
      <c r="C31" s="1291"/>
      <c r="D31" s="1291"/>
      <c r="E31" s="1291"/>
      <c r="F31" s="1291"/>
      <c r="G31" s="1291"/>
      <c r="H31" s="1291"/>
      <c r="I31" s="1291"/>
      <c r="J31" s="1291"/>
      <c r="K31" s="1291"/>
      <c r="L31" s="1291"/>
      <c r="M31" s="1291"/>
      <c r="N31" s="1291"/>
      <c r="O31" s="1292"/>
    </row>
    <row r="32" spans="1:15" x14ac:dyDescent="0.25">
      <c r="A32" s="1290"/>
      <c r="B32" s="1291"/>
      <c r="C32" s="1291"/>
      <c r="D32" s="1291"/>
      <c r="E32" s="1291"/>
      <c r="F32" s="1291"/>
      <c r="G32" s="1291"/>
      <c r="H32" s="1291"/>
      <c r="I32" s="1291"/>
      <c r="J32" s="1291"/>
      <c r="K32" s="1291"/>
      <c r="L32" s="1291"/>
      <c r="M32" s="1291"/>
      <c r="N32" s="1291"/>
      <c r="O32" s="1292"/>
    </row>
    <row r="33" spans="1:15" x14ac:dyDescent="0.25">
      <c r="A33" s="1290"/>
      <c r="B33" s="1291"/>
      <c r="C33" s="1291"/>
      <c r="D33" s="1291"/>
      <c r="E33" s="1291"/>
      <c r="F33" s="1291"/>
      <c r="G33" s="1291"/>
      <c r="H33" s="1291"/>
      <c r="I33" s="1291"/>
      <c r="J33" s="1291"/>
      <c r="K33" s="1291"/>
      <c r="L33" s="1291"/>
      <c r="M33" s="1291"/>
      <c r="N33" s="1291"/>
      <c r="O33" s="1292"/>
    </row>
    <row r="34" spans="1:15" x14ac:dyDescent="0.25">
      <c r="A34" s="1290"/>
      <c r="B34" s="1291"/>
      <c r="C34" s="1291"/>
      <c r="D34" s="1291"/>
      <c r="E34" s="1291"/>
      <c r="F34" s="1291"/>
      <c r="G34" s="1291"/>
      <c r="H34" s="1291"/>
      <c r="I34" s="1291"/>
      <c r="J34" s="1291"/>
      <c r="K34" s="1291"/>
      <c r="L34" s="1291"/>
      <c r="M34" s="1291"/>
      <c r="N34" s="1291"/>
      <c r="O34" s="1292"/>
    </row>
    <row r="35" spans="1:15" x14ac:dyDescent="0.25">
      <c r="A35" s="1290"/>
      <c r="B35" s="1291"/>
      <c r="C35" s="1291"/>
      <c r="D35" s="1291"/>
      <c r="E35" s="1291"/>
      <c r="F35" s="1291"/>
      <c r="G35" s="1291"/>
      <c r="H35" s="1291"/>
      <c r="I35" s="1291"/>
      <c r="J35" s="1291"/>
      <c r="K35" s="1291"/>
      <c r="L35" s="1291"/>
      <c r="M35" s="1291"/>
      <c r="N35" s="1291"/>
      <c r="O35" s="1292"/>
    </row>
    <row r="36" spans="1:15" x14ac:dyDescent="0.25">
      <c r="A36" s="1290"/>
      <c r="B36" s="1291"/>
      <c r="C36" s="1291"/>
      <c r="D36" s="1291"/>
      <c r="E36" s="1291"/>
      <c r="F36" s="1291"/>
      <c r="G36" s="1291"/>
      <c r="H36" s="1291"/>
      <c r="I36" s="1291"/>
      <c r="J36" s="1291"/>
      <c r="K36" s="1291"/>
      <c r="L36" s="1291"/>
      <c r="M36" s="1291"/>
      <c r="N36" s="1291"/>
      <c r="O36" s="1292"/>
    </row>
    <row r="37" spans="1:15" x14ac:dyDescent="0.25">
      <c r="A37" s="1290"/>
      <c r="B37" s="1291"/>
      <c r="C37" s="1291"/>
      <c r="D37" s="1291"/>
      <c r="E37" s="1291"/>
      <c r="F37" s="1291"/>
      <c r="G37" s="1291"/>
      <c r="H37" s="1291"/>
      <c r="I37" s="1291"/>
      <c r="J37" s="1291"/>
      <c r="K37" s="1291"/>
      <c r="L37" s="1291"/>
      <c r="M37" s="1291"/>
      <c r="N37" s="1291"/>
      <c r="O37" s="1292"/>
    </row>
    <row r="38" spans="1:15" x14ac:dyDescent="0.25">
      <c r="A38" s="1290"/>
      <c r="B38" s="1291"/>
      <c r="C38" s="1291"/>
      <c r="D38" s="1291"/>
      <c r="E38" s="1291"/>
      <c r="F38" s="1291"/>
      <c r="G38" s="1291"/>
      <c r="H38" s="1291"/>
      <c r="I38" s="1291"/>
      <c r="J38" s="1291"/>
      <c r="K38" s="1291"/>
      <c r="L38" s="1291"/>
      <c r="M38" s="1291"/>
      <c r="N38" s="1291"/>
      <c r="O38" s="1292"/>
    </row>
    <row r="39" spans="1:15" x14ac:dyDescent="0.25">
      <c r="A39" s="1290"/>
      <c r="B39" s="1291"/>
      <c r="C39" s="1291"/>
      <c r="D39" s="1291"/>
      <c r="E39" s="1291"/>
      <c r="F39" s="1291"/>
      <c r="G39" s="1291"/>
      <c r="H39" s="1291"/>
      <c r="I39" s="1291"/>
      <c r="J39" s="1291"/>
      <c r="K39" s="1291"/>
      <c r="L39" s="1291"/>
      <c r="M39" s="1291"/>
      <c r="N39" s="1291"/>
      <c r="O39" s="1292"/>
    </row>
    <row r="40" spans="1:15" x14ac:dyDescent="0.25">
      <c r="A40" s="1290"/>
      <c r="B40" s="1291"/>
      <c r="C40" s="1291"/>
      <c r="D40" s="1291"/>
      <c r="E40" s="1291"/>
      <c r="F40" s="1291"/>
      <c r="G40" s="1291"/>
      <c r="H40" s="1291"/>
      <c r="I40" s="1291"/>
      <c r="J40" s="1291"/>
      <c r="K40" s="1291"/>
      <c r="L40" s="1291"/>
      <c r="M40" s="1291"/>
      <c r="N40" s="1291"/>
      <c r="O40" s="1292"/>
    </row>
    <row r="41" spans="1:15" x14ac:dyDescent="0.25">
      <c r="A41" s="1290"/>
      <c r="B41" s="1291"/>
      <c r="C41" s="1291"/>
      <c r="D41" s="1291"/>
      <c r="E41" s="1291"/>
      <c r="F41" s="1291"/>
      <c r="G41" s="1291"/>
      <c r="H41" s="1291"/>
      <c r="I41" s="1291"/>
      <c r="J41" s="1291"/>
      <c r="K41" s="1291"/>
      <c r="L41" s="1291"/>
      <c r="M41" s="1291"/>
      <c r="N41" s="1291"/>
      <c r="O41" s="1292"/>
    </row>
    <row r="42" spans="1:15" x14ac:dyDescent="0.25">
      <c r="A42" s="1290"/>
      <c r="B42" s="1291"/>
      <c r="C42" s="1291"/>
      <c r="D42" s="1291"/>
      <c r="E42" s="1291"/>
      <c r="F42" s="1291"/>
      <c r="G42" s="1291"/>
      <c r="H42" s="1291"/>
      <c r="I42" s="1291"/>
      <c r="J42" s="1291"/>
      <c r="K42" s="1291"/>
      <c r="L42" s="1291"/>
      <c r="M42" s="1291"/>
      <c r="N42" s="1291"/>
      <c r="O42" s="1292"/>
    </row>
    <row r="43" spans="1:15" x14ac:dyDescent="0.25">
      <c r="A43" s="1290"/>
      <c r="B43" s="1291"/>
      <c r="C43" s="1291"/>
      <c r="D43" s="1291"/>
      <c r="E43" s="1291"/>
      <c r="F43" s="1291"/>
      <c r="G43" s="1291"/>
      <c r="H43" s="1291"/>
      <c r="I43" s="1291"/>
      <c r="J43" s="1291"/>
      <c r="K43" s="1291"/>
      <c r="L43" s="1291"/>
      <c r="M43" s="1291"/>
      <c r="N43" s="1291"/>
      <c r="O43" s="1292"/>
    </row>
    <row r="44" spans="1:15" x14ac:dyDescent="0.25">
      <c r="A44" s="1290"/>
      <c r="B44" s="1291"/>
      <c r="C44" s="1291"/>
      <c r="D44" s="1291"/>
      <c r="E44" s="1291"/>
      <c r="F44" s="1291"/>
      <c r="G44" s="1291"/>
      <c r="H44" s="1291"/>
      <c r="I44" s="1291"/>
      <c r="J44" s="1291"/>
      <c r="K44" s="1291"/>
      <c r="L44" s="1291"/>
      <c r="M44" s="1291"/>
      <c r="N44" s="1291"/>
      <c r="O44" s="1292"/>
    </row>
    <row r="45" spans="1:15" x14ac:dyDescent="0.25">
      <c r="A45" s="1290"/>
      <c r="B45" s="1291"/>
      <c r="C45" s="1291"/>
      <c r="D45" s="1291"/>
      <c r="E45" s="1291"/>
      <c r="F45" s="1291"/>
      <c r="G45" s="1291"/>
      <c r="H45" s="1291"/>
      <c r="I45" s="1291"/>
      <c r="J45" s="1291"/>
      <c r="K45" s="1291"/>
      <c r="L45" s="1291"/>
      <c r="M45" s="1291"/>
      <c r="N45" s="1291"/>
      <c r="O45" s="1292"/>
    </row>
    <row r="46" spans="1:15" x14ac:dyDescent="0.25">
      <c r="A46" s="1290"/>
      <c r="B46" s="1291"/>
      <c r="C46" s="1291"/>
      <c r="D46" s="1291"/>
      <c r="E46" s="1291"/>
      <c r="F46" s="1291"/>
      <c r="G46" s="1291"/>
      <c r="H46" s="1291"/>
      <c r="I46" s="1291"/>
      <c r="J46" s="1291"/>
      <c r="K46" s="1291"/>
      <c r="L46" s="1291"/>
      <c r="M46" s="1291"/>
      <c r="N46" s="1291"/>
      <c r="O46" s="1292"/>
    </row>
    <row r="47" spans="1:15" x14ac:dyDescent="0.25">
      <c r="A47" s="1290"/>
      <c r="B47" s="1291"/>
      <c r="C47" s="1291"/>
      <c r="D47" s="1291"/>
      <c r="E47" s="1291"/>
      <c r="F47" s="1291"/>
      <c r="G47" s="1291"/>
      <c r="H47" s="1291"/>
      <c r="I47" s="1291"/>
      <c r="J47" s="1291"/>
      <c r="K47" s="1291"/>
      <c r="L47" s="1291"/>
      <c r="M47" s="1291"/>
      <c r="N47" s="1291"/>
      <c r="O47" s="1292"/>
    </row>
    <row r="48" spans="1:15" x14ac:dyDescent="0.25">
      <c r="A48" s="1290"/>
      <c r="B48" s="1291"/>
      <c r="C48" s="1291"/>
      <c r="D48" s="1291"/>
      <c r="E48" s="1291"/>
      <c r="F48" s="1291"/>
      <c r="G48" s="1291"/>
      <c r="H48" s="1291"/>
      <c r="I48" s="1291"/>
      <c r="J48" s="1291"/>
      <c r="K48" s="1291"/>
      <c r="L48" s="1291"/>
      <c r="M48" s="1291"/>
      <c r="N48" s="1291"/>
      <c r="O48" s="1292"/>
    </row>
    <row r="49" spans="1:15" x14ac:dyDescent="0.25">
      <c r="A49" s="1290"/>
      <c r="B49" s="1291"/>
      <c r="C49" s="1291"/>
      <c r="D49" s="1291"/>
      <c r="E49" s="1291"/>
      <c r="F49" s="1291"/>
      <c r="G49" s="1291"/>
      <c r="H49" s="1291"/>
      <c r="I49" s="1291"/>
      <c r="J49" s="1291"/>
      <c r="K49" s="1291"/>
      <c r="L49" s="1291"/>
      <c r="M49" s="1291"/>
      <c r="N49" s="1291"/>
      <c r="O49" s="1292"/>
    </row>
    <row r="50" spans="1:15" x14ac:dyDescent="0.25">
      <c r="A50" s="1290"/>
      <c r="B50" s="1291"/>
      <c r="C50" s="1291"/>
      <c r="D50" s="1291"/>
      <c r="E50" s="1291"/>
      <c r="F50" s="1291"/>
      <c r="G50" s="1291"/>
      <c r="H50" s="1291"/>
      <c r="I50" s="1291"/>
      <c r="J50" s="1291"/>
      <c r="K50" s="1291"/>
      <c r="L50" s="1291"/>
      <c r="M50" s="1291"/>
      <c r="N50" s="1291"/>
      <c r="O50" s="1292"/>
    </row>
    <row r="51" spans="1:15" x14ac:dyDescent="0.25">
      <c r="A51" s="1290"/>
      <c r="B51" s="1291"/>
      <c r="C51" s="1291"/>
      <c r="D51" s="1291"/>
      <c r="E51" s="1291"/>
      <c r="F51" s="1291"/>
      <c r="G51" s="1291"/>
      <c r="H51" s="1291"/>
      <c r="I51" s="1291"/>
      <c r="J51" s="1291"/>
      <c r="K51" s="1291"/>
      <c r="L51" s="1291"/>
      <c r="M51" s="1291"/>
      <c r="N51" s="1291"/>
      <c r="O51" s="1292"/>
    </row>
    <row r="52" spans="1:15" x14ac:dyDescent="0.25">
      <c r="A52" s="1290"/>
      <c r="B52" s="1291"/>
      <c r="C52" s="1291"/>
      <c r="D52" s="1291"/>
      <c r="E52" s="1291"/>
      <c r="F52" s="1291"/>
      <c r="G52" s="1291"/>
      <c r="H52" s="1291"/>
      <c r="I52" s="1291"/>
      <c r="J52" s="1291"/>
      <c r="K52" s="1291"/>
      <c r="L52" s="1291"/>
      <c r="M52" s="1291"/>
      <c r="N52" s="1291"/>
      <c r="O52" s="1292"/>
    </row>
    <row r="53" spans="1:15" x14ac:dyDescent="0.25">
      <c r="A53" s="1290"/>
      <c r="B53" s="1291"/>
      <c r="C53" s="1291"/>
      <c r="D53" s="1291"/>
      <c r="E53" s="1291"/>
      <c r="F53" s="1291"/>
      <c r="G53" s="1291"/>
      <c r="H53" s="1291"/>
      <c r="I53" s="1291"/>
      <c r="J53" s="1291"/>
      <c r="K53" s="1291"/>
      <c r="L53" s="1291"/>
      <c r="M53" s="1291"/>
      <c r="N53" s="1291"/>
      <c r="O53" s="1292"/>
    </row>
    <row r="54" spans="1:15" x14ac:dyDescent="0.25">
      <c r="A54" s="1290"/>
      <c r="B54" s="1291"/>
      <c r="C54" s="1291"/>
      <c r="D54" s="1291"/>
      <c r="E54" s="1291"/>
      <c r="F54" s="1291"/>
      <c r="G54" s="1291"/>
      <c r="H54" s="1291"/>
      <c r="I54" s="1291"/>
      <c r="J54" s="1291"/>
      <c r="K54" s="1291"/>
      <c r="L54" s="1291"/>
      <c r="M54" s="1291"/>
      <c r="N54" s="1291"/>
      <c r="O54" s="1292"/>
    </row>
    <row r="55" spans="1:15" x14ac:dyDescent="0.25">
      <c r="A55" s="1290"/>
      <c r="B55" s="1291"/>
      <c r="C55" s="1291"/>
      <c r="D55" s="1291"/>
      <c r="E55" s="1291"/>
      <c r="F55" s="1291"/>
      <c r="G55" s="1291"/>
      <c r="H55" s="1291"/>
      <c r="I55" s="1291"/>
      <c r="J55" s="1291"/>
      <c r="K55" s="1291"/>
      <c r="L55" s="1291"/>
      <c r="M55" s="1291"/>
      <c r="N55" s="1291"/>
      <c r="O55" s="1292"/>
    </row>
    <row r="56" spans="1:15" x14ac:dyDescent="0.25">
      <c r="A56" s="1290"/>
      <c r="B56" s="1291"/>
      <c r="C56" s="1291"/>
      <c r="D56" s="1291"/>
      <c r="E56" s="1291"/>
      <c r="F56" s="1291"/>
      <c r="G56" s="1291"/>
      <c r="H56" s="1291"/>
      <c r="I56" s="1291"/>
      <c r="J56" s="1291"/>
      <c r="K56" s="1291"/>
      <c r="L56" s="1291"/>
      <c r="M56" s="1291"/>
      <c r="N56" s="1291"/>
      <c r="O56" s="1292"/>
    </row>
    <row r="57" spans="1:15" x14ac:dyDescent="0.25">
      <c r="A57" s="1290"/>
      <c r="B57" s="1291"/>
      <c r="C57" s="1291"/>
      <c r="D57" s="1291"/>
      <c r="E57" s="1291"/>
      <c r="F57" s="1291"/>
      <c r="G57" s="1291"/>
      <c r="H57" s="1291"/>
      <c r="I57" s="1291"/>
      <c r="J57" s="1291"/>
      <c r="K57" s="1291"/>
      <c r="L57" s="1291"/>
      <c r="M57" s="1291"/>
      <c r="N57" s="1291"/>
      <c r="O57" s="1292"/>
    </row>
    <row r="58" spans="1:15" x14ac:dyDescent="0.25">
      <c r="A58" s="1290"/>
      <c r="B58" s="1291"/>
      <c r="C58" s="1291"/>
      <c r="D58" s="1291"/>
      <c r="E58" s="1291"/>
      <c r="F58" s="1291"/>
      <c r="G58" s="1291"/>
      <c r="H58" s="1291"/>
      <c r="I58" s="1291"/>
      <c r="J58" s="1291"/>
      <c r="K58" s="1291"/>
      <c r="L58" s="1291"/>
      <c r="M58" s="1291"/>
      <c r="N58" s="1291"/>
      <c r="O58" s="1292"/>
    </row>
    <row r="59" spans="1:15" ht="15.75" thickBot="1" x14ac:dyDescent="0.3">
      <c r="A59" s="1293"/>
      <c r="B59" s="1294"/>
      <c r="C59" s="1294"/>
      <c r="D59" s="1294"/>
      <c r="E59" s="1294"/>
      <c r="F59" s="1294"/>
      <c r="G59" s="1294"/>
      <c r="H59" s="1294"/>
      <c r="I59" s="1294"/>
      <c r="J59" s="1294"/>
      <c r="K59" s="1294"/>
      <c r="L59" s="1294"/>
      <c r="M59" s="1294"/>
      <c r="N59" s="1294"/>
      <c r="O59" s="1295"/>
    </row>
  </sheetData>
  <sheetProtection algorithmName="SHA-256" hashValue="cwEM05CQ/sXo00BjHcq5a7t2n4baN3VMte4WcPs6q6s=" saltValue="sJ6V1p1g3ai2xfAowpKJlQ==" spinCount="100000" sheet="1" objects="1" scenarios="1" formatCells="0" insertRows="0" deleteRows="0"/>
  <pageMargins left="0.7" right="0.7" top="0.75" bottom="0.75" header="0.3" footer="0.3"/>
  <headerFooter>
    <oddFooter>&amp;C_x000D_&amp;1#&amp;"Aptos"&amp;10&amp;K008000 APA-INTERNAL</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
    <tabColor theme="1"/>
  </sheetPr>
  <dimension ref="B1:CL127"/>
  <sheetViews>
    <sheetView showGridLines="0" zoomScaleNormal="100" workbookViewId="0">
      <selection activeCell="L33" sqref="L33"/>
    </sheetView>
  </sheetViews>
  <sheetFormatPr defaultColWidth="9.140625" defaultRowHeight="15" x14ac:dyDescent="0.25"/>
  <cols>
    <col min="2" max="2" width="43.5703125" customWidth="1"/>
    <col min="3" max="3" width="16.7109375" customWidth="1"/>
    <col min="4" max="5" width="15.5703125" customWidth="1"/>
    <col min="6" max="8" width="15.140625" customWidth="1"/>
    <col min="9" max="12" width="16.7109375" customWidth="1"/>
    <col min="13" max="13" width="15.140625" customWidth="1"/>
    <col min="14" max="14" width="13.5703125" customWidth="1"/>
    <col min="15" max="15" width="15.140625" customWidth="1"/>
    <col min="16" max="16" width="13.5703125" customWidth="1"/>
    <col min="17" max="17" width="14.85546875" customWidth="1"/>
    <col min="18" max="19" width="16.140625" customWidth="1"/>
    <col min="20" max="20" width="18.42578125" customWidth="1"/>
    <col min="21" max="21" width="15.42578125" customWidth="1"/>
    <col min="22" max="22" width="20.85546875" customWidth="1"/>
    <col min="23" max="23" width="11.140625" customWidth="1"/>
    <col min="24" max="24" width="9.5703125" customWidth="1"/>
  </cols>
  <sheetData>
    <row r="1" spans="2:24" ht="51" customHeight="1" x14ac:dyDescent="0.25">
      <c r="B1" s="629" t="s">
        <v>873</v>
      </c>
      <c r="C1" s="628"/>
      <c r="D1" s="628"/>
      <c r="E1" s="628"/>
      <c r="F1" s="628"/>
      <c r="G1" s="628"/>
      <c r="H1" s="628"/>
      <c r="I1" s="628"/>
      <c r="J1" s="628"/>
      <c r="K1" s="628"/>
      <c r="L1" s="628"/>
      <c r="M1" s="628"/>
    </row>
    <row r="2" spans="2:24" ht="30.2" customHeight="1" x14ac:dyDescent="0.25"/>
    <row r="3" spans="2:24" x14ac:dyDescent="0.25">
      <c r="B3" s="239"/>
    </row>
    <row r="4" spans="2:24" ht="19.5" customHeight="1" x14ac:dyDescent="0.25">
      <c r="B4" s="1538" t="s">
        <v>557</v>
      </c>
      <c r="C4" s="1539"/>
      <c r="D4" s="1539"/>
      <c r="E4" s="1539"/>
      <c r="F4" s="1539"/>
      <c r="G4" s="1539"/>
      <c r="H4" s="1539"/>
      <c r="I4" s="1539"/>
      <c r="J4" s="1539"/>
      <c r="K4" s="1539"/>
      <c r="L4" s="1539"/>
      <c r="M4" s="1539"/>
      <c r="N4" s="1539"/>
      <c r="O4" s="1539"/>
      <c r="P4" s="1539"/>
      <c r="Q4" s="1539"/>
      <c r="R4" s="1539"/>
      <c r="S4" s="1539"/>
      <c r="T4" s="1539"/>
      <c r="U4" s="1539"/>
      <c r="V4" s="1539"/>
    </row>
    <row r="5" spans="2:24" ht="19.5" customHeight="1" thickBot="1" x14ac:dyDescent="0.3">
      <c r="B5" s="252"/>
      <c r="C5" s="253"/>
      <c r="D5" s="253"/>
      <c r="E5" s="253"/>
      <c r="F5" s="283" t="s">
        <v>624</v>
      </c>
      <c r="G5" s="284" t="s">
        <v>574</v>
      </c>
      <c r="H5" s="293" t="s">
        <v>627</v>
      </c>
      <c r="I5" s="284" t="s">
        <v>575</v>
      </c>
      <c r="J5" s="284" t="s">
        <v>576</v>
      </c>
      <c r="K5" s="284" t="s">
        <v>577</v>
      </c>
      <c r="L5" s="284" t="s">
        <v>578</v>
      </c>
      <c r="M5" s="285" t="s">
        <v>625</v>
      </c>
      <c r="N5" s="283" t="s">
        <v>591</v>
      </c>
      <c r="O5" s="284" t="s">
        <v>579</v>
      </c>
      <c r="P5" s="284" t="s">
        <v>580</v>
      </c>
      <c r="Q5" s="284" t="s">
        <v>581</v>
      </c>
      <c r="R5" s="284" t="s">
        <v>582</v>
      </c>
      <c r="S5" s="284" t="s">
        <v>583</v>
      </c>
      <c r="T5" s="284" t="s">
        <v>584</v>
      </c>
      <c r="U5" s="283" t="s">
        <v>612</v>
      </c>
      <c r="V5" s="286"/>
      <c r="W5" s="241"/>
      <c r="X5" s="241"/>
    </row>
    <row r="6" spans="2:24" s="240" customFormat="1" ht="30.75" customHeight="1" thickBot="1" x14ac:dyDescent="0.3">
      <c r="B6" s="823" t="s">
        <v>558</v>
      </c>
      <c r="C6" s="824" t="s">
        <v>559</v>
      </c>
      <c r="D6" s="825" t="s">
        <v>325</v>
      </c>
      <c r="E6" s="825" t="s">
        <v>328</v>
      </c>
      <c r="F6" s="826" t="s">
        <v>585</v>
      </c>
      <c r="G6" s="826" t="s">
        <v>560</v>
      </c>
      <c r="H6" s="826" t="s">
        <v>586</v>
      </c>
      <c r="I6" s="826" t="s">
        <v>561</v>
      </c>
      <c r="J6" s="826" t="s">
        <v>562</v>
      </c>
      <c r="K6" s="826" t="s">
        <v>563</v>
      </c>
      <c r="L6" s="826" t="s">
        <v>564</v>
      </c>
      <c r="M6" s="826" t="s">
        <v>626</v>
      </c>
      <c r="N6" s="826" t="s">
        <v>590</v>
      </c>
      <c r="O6" s="836" t="s">
        <v>565</v>
      </c>
      <c r="P6" s="837" t="s">
        <v>569</v>
      </c>
      <c r="Q6" s="827" t="s">
        <v>566</v>
      </c>
      <c r="R6" s="828" t="s">
        <v>570</v>
      </c>
      <c r="S6" s="828" t="s">
        <v>571</v>
      </c>
      <c r="T6" s="828" t="s">
        <v>572</v>
      </c>
      <c r="U6" s="829" t="s">
        <v>611</v>
      </c>
      <c r="V6" s="830" t="s">
        <v>643</v>
      </c>
      <c r="W6" s="831" t="s">
        <v>644</v>
      </c>
      <c r="X6" s="832" t="s">
        <v>573</v>
      </c>
    </row>
    <row r="7" spans="2:24" x14ac:dyDescent="0.25">
      <c r="B7" s="242" t="s">
        <v>44</v>
      </c>
      <c r="C7" s="243" t="s">
        <v>45</v>
      </c>
      <c r="D7" s="243" t="s">
        <v>46</v>
      </c>
      <c r="E7" s="243" t="s">
        <v>47</v>
      </c>
      <c r="F7" s="287"/>
      <c r="G7" s="288" t="s">
        <v>567</v>
      </c>
      <c r="H7" s="288"/>
      <c r="I7" s="288" t="s">
        <v>567</v>
      </c>
      <c r="J7" s="288" t="s">
        <v>567</v>
      </c>
      <c r="K7" s="288" t="s">
        <v>568</v>
      </c>
      <c r="L7" s="288" t="s">
        <v>567</v>
      </c>
      <c r="M7" s="288" t="s">
        <v>568</v>
      </c>
      <c r="N7" s="287" t="s">
        <v>568</v>
      </c>
      <c r="O7" s="287" t="s">
        <v>568</v>
      </c>
      <c r="P7" s="288" t="s">
        <v>567</v>
      </c>
      <c r="Q7" s="287" t="s">
        <v>567</v>
      </c>
      <c r="R7" s="287" t="s">
        <v>568</v>
      </c>
      <c r="S7" s="288" t="s">
        <v>567</v>
      </c>
      <c r="T7" s="288" t="s">
        <v>567</v>
      </c>
      <c r="U7" s="287" t="s">
        <v>568</v>
      </c>
      <c r="V7" s="288" t="s">
        <v>568</v>
      </c>
      <c r="W7" s="287" t="s">
        <v>568</v>
      </c>
      <c r="X7" s="833" t="s">
        <v>568</v>
      </c>
    </row>
    <row r="8" spans="2:24" x14ac:dyDescent="0.25">
      <c r="B8" s="244" t="s">
        <v>70</v>
      </c>
      <c r="C8" s="245" t="s">
        <v>66</v>
      </c>
      <c r="D8" s="245" t="s">
        <v>46</v>
      </c>
      <c r="E8" s="245" t="s">
        <v>47</v>
      </c>
      <c r="F8" s="289"/>
      <c r="G8" s="290" t="s">
        <v>567</v>
      </c>
      <c r="H8" s="290"/>
      <c r="I8" s="290" t="s">
        <v>568</v>
      </c>
      <c r="J8" s="290" t="s">
        <v>568</v>
      </c>
      <c r="K8" s="290" t="s">
        <v>568</v>
      </c>
      <c r="L8" s="290" t="s">
        <v>567</v>
      </c>
      <c r="M8" s="290" t="s">
        <v>568</v>
      </c>
      <c r="N8" s="289" t="s">
        <v>568</v>
      </c>
      <c r="O8" s="289" t="s">
        <v>568</v>
      </c>
      <c r="P8" s="290" t="s">
        <v>567</v>
      </c>
      <c r="Q8" s="289" t="s">
        <v>567</v>
      </c>
      <c r="R8" s="289" t="s">
        <v>568</v>
      </c>
      <c r="S8" s="290" t="s">
        <v>567</v>
      </c>
      <c r="T8" s="290" t="s">
        <v>567</v>
      </c>
      <c r="U8" s="289" t="s">
        <v>568</v>
      </c>
      <c r="V8" s="290" t="s">
        <v>568</v>
      </c>
      <c r="W8" s="289" t="s">
        <v>568</v>
      </c>
      <c r="X8" s="834" t="s">
        <v>568</v>
      </c>
    </row>
    <row r="9" spans="2:24" x14ac:dyDescent="0.25">
      <c r="B9" s="244" t="s">
        <v>71</v>
      </c>
      <c r="C9" s="245" t="s">
        <v>56</v>
      </c>
      <c r="D9" s="245" t="s">
        <v>46</v>
      </c>
      <c r="E9" s="245" t="s">
        <v>47</v>
      </c>
      <c r="F9" s="289"/>
      <c r="G9" s="290" t="s">
        <v>568</v>
      </c>
      <c r="H9" s="290"/>
      <c r="I9" s="290" t="s">
        <v>568</v>
      </c>
      <c r="J9" s="290" t="s">
        <v>568</v>
      </c>
      <c r="K9" s="290" t="s">
        <v>568</v>
      </c>
      <c r="L9" s="290" t="s">
        <v>568</v>
      </c>
      <c r="M9" s="290" t="s">
        <v>568</v>
      </c>
      <c r="N9" s="289" t="s">
        <v>567</v>
      </c>
      <c r="O9" s="289" t="s">
        <v>568</v>
      </c>
      <c r="P9" s="290" t="s">
        <v>567</v>
      </c>
      <c r="Q9" s="289" t="s">
        <v>568</v>
      </c>
      <c r="R9" s="289" t="s">
        <v>568</v>
      </c>
      <c r="S9" s="290" t="s">
        <v>568</v>
      </c>
      <c r="T9" s="290" t="s">
        <v>567</v>
      </c>
      <c r="U9" s="289" t="s">
        <v>568</v>
      </c>
      <c r="V9" s="290" t="s">
        <v>568</v>
      </c>
      <c r="W9" s="289" t="s">
        <v>568</v>
      </c>
      <c r="X9" s="834" t="s">
        <v>568</v>
      </c>
    </row>
    <row r="10" spans="2:24" x14ac:dyDescent="0.25">
      <c r="B10" s="246" t="s">
        <v>72</v>
      </c>
      <c r="C10" s="247" t="s">
        <v>56</v>
      </c>
      <c r="D10" s="247" t="s">
        <v>46</v>
      </c>
      <c r="E10" s="247" t="s">
        <v>57</v>
      </c>
      <c r="F10" s="289"/>
      <c r="G10" s="290" t="s">
        <v>568</v>
      </c>
      <c r="H10" s="290"/>
      <c r="I10" s="290" t="s">
        <v>568</v>
      </c>
      <c r="J10" s="290" t="s">
        <v>568</v>
      </c>
      <c r="K10" s="290" t="s">
        <v>568</v>
      </c>
      <c r="L10" s="290" t="s">
        <v>568</v>
      </c>
      <c r="M10" s="290" t="s">
        <v>568</v>
      </c>
      <c r="N10" s="289" t="s">
        <v>567</v>
      </c>
      <c r="O10" s="289" t="s">
        <v>568</v>
      </c>
      <c r="P10" s="290" t="s">
        <v>567</v>
      </c>
      <c r="Q10" s="289" t="s">
        <v>568</v>
      </c>
      <c r="R10" s="289" t="s">
        <v>568</v>
      </c>
      <c r="S10" s="290" t="s">
        <v>568</v>
      </c>
      <c r="T10" s="290" t="s">
        <v>567</v>
      </c>
      <c r="U10" s="289" t="s">
        <v>568</v>
      </c>
      <c r="V10" s="290" t="s">
        <v>568</v>
      </c>
      <c r="W10" s="289" t="s">
        <v>568</v>
      </c>
      <c r="X10" s="834" t="s">
        <v>568</v>
      </c>
    </row>
    <row r="11" spans="2:24" x14ac:dyDescent="0.25">
      <c r="B11" s="244" t="s">
        <v>75</v>
      </c>
      <c r="C11" s="245" t="s">
        <v>56</v>
      </c>
      <c r="D11" s="245" t="s">
        <v>46</v>
      </c>
      <c r="E11" s="245" t="s">
        <v>47</v>
      </c>
      <c r="F11" s="289"/>
      <c r="G11" s="290" t="s">
        <v>568</v>
      </c>
      <c r="H11" s="290"/>
      <c r="I11" s="290" t="s">
        <v>568</v>
      </c>
      <c r="J11" s="290" t="s">
        <v>568</v>
      </c>
      <c r="K11" s="290" t="s">
        <v>568</v>
      </c>
      <c r="L11" s="290" t="s">
        <v>568</v>
      </c>
      <c r="M11" s="290" t="s">
        <v>568</v>
      </c>
      <c r="N11" s="289" t="s">
        <v>567</v>
      </c>
      <c r="O11" s="289" t="s">
        <v>568</v>
      </c>
      <c r="P11" s="290" t="s">
        <v>567</v>
      </c>
      <c r="Q11" s="289" t="s">
        <v>568</v>
      </c>
      <c r="R11" s="289" t="s">
        <v>568</v>
      </c>
      <c r="S11" s="290" t="s">
        <v>568</v>
      </c>
      <c r="T11" s="290" t="s">
        <v>567</v>
      </c>
      <c r="U11" s="289" t="s">
        <v>568</v>
      </c>
      <c r="V11" s="290" t="s">
        <v>568</v>
      </c>
      <c r="W11" s="289" t="s">
        <v>568</v>
      </c>
      <c r="X11" s="834" t="s">
        <v>568</v>
      </c>
    </row>
    <row r="12" spans="2:24" x14ac:dyDescent="0.25">
      <c r="B12" s="246" t="s">
        <v>76</v>
      </c>
      <c r="C12" s="248" t="s">
        <v>77</v>
      </c>
      <c r="D12" s="248" t="s">
        <v>46</v>
      </c>
      <c r="E12" s="248" t="s">
        <v>57</v>
      </c>
      <c r="F12" s="289"/>
      <c r="G12" s="290" t="s">
        <v>568</v>
      </c>
      <c r="H12" s="290"/>
      <c r="I12" s="290" t="s">
        <v>568</v>
      </c>
      <c r="J12" s="290" t="s">
        <v>568</v>
      </c>
      <c r="K12" s="290" t="s">
        <v>568</v>
      </c>
      <c r="L12" s="290" t="s">
        <v>568</v>
      </c>
      <c r="M12" s="290" t="s">
        <v>568</v>
      </c>
      <c r="N12" s="289" t="s">
        <v>567</v>
      </c>
      <c r="O12" s="289" t="s">
        <v>568</v>
      </c>
      <c r="P12" s="290" t="s">
        <v>567</v>
      </c>
      <c r="Q12" s="289" t="s">
        <v>568</v>
      </c>
      <c r="R12" s="289" t="s">
        <v>568</v>
      </c>
      <c r="S12" s="290" t="s">
        <v>567</v>
      </c>
      <c r="T12" s="290" t="s">
        <v>567</v>
      </c>
      <c r="U12" s="289" t="s">
        <v>568</v>
      </c>
      <c r="V12" s="290" t="s">
        <v>568</v>
      </c>
      <c r="W12" s="289" t="s">
        <v>568</v>
      </c>
      <c r="X12" s="834" t="s">
        <v>568</v>
      </c>
    </row>
    <row r="13" spans="2:24" x14ac:dyDescent="0.25">
      <c r="B13" s="246" t="s">
        <v>78</v>
      </c>
      <c r="C13" s="247" t="s">
        <v>60</v>
      </c>
      <c r="D13" s="247" t="s">
        <v>46</v>
      </c>
      <c r="E13" s="247" t="s">
        <v>57</v>
      </c>
      <c r="F13" s="289"/>
      <c r="G13" s="290" t="s">
        <v>568</v>
      </c>
      <c r="H13" s="290"/>
      <c r="I13" s="290" t="s">
        <v>568</v>
      </c>
      <c r="J13" s="290" t="s">
        <v>568</v>
      </c>
      <c r="K13" s="290" t="s">
        <v>568</v>
      </c>
      <c r="L13" s="290" t="s">
        <v>568</v>
      </c>
      <c r="M13" s="290" t="s">
        <v>568</v>
      </c>
      <c r="N13" s="289" t="s">
        <v>567</v>
      </c>
      <c r="O13" s="289" t="s">
        <v>568</v>
      </c>
      <c r="P13" s="290" t="s">
        <v>567</v>
      </c>
      <c r="Q13" s="289" t="s">
        <v>568</v>
      </c>
      <c r="R13" s="289" t="s">
        <v>568</v>
      </c>
      <c r="S13" s="290" t="s">
        <v>567</v>
      </c>
      <c r="T13" s="290" t="s">
        <v>567</v>
      </c>
      <c r="U13" s="289" t="s">
        <v>568</v>
      </c>
      <c r="V13" s="290" t="s">
        <v>568</v>
      </c>
      <c r="W13" s="289" t="s">
        <v>568</v>
      </c>
      <c r="X13" s="834" t="s">
        <v>568</v>
      </c>
    </row>
    <row r="14" spans="2:24" x14ac:dyDescent="0.25">
      <c r="B14" s="244" t="s">
        <v>79</v>
      </c>
      <c r="C14" s="249" t="s">
        <v>66</v>
      </c>
      <c r="D14" s="249" t="s">
        <v>46</v>
      </c>
      <c r="E14" s="249" t="s">
        <v>47</v>
      </c>
      <c r="F14" s="289"/>
      <c r="G14" s="290" t="s">
        <v>567</v>
      </c>
      <c r="H14" s="290"/>
      <c r="I14" s="290" t="s">
        <v>568</v>
      </c>
      <c r="J14" s="290" t="s">
        <v>568</v>
      </c>
      <c r="K14" s="290" t="s">
        <v>568</v>
      </c>
      <c r="L14" s="290" t="s">
        <v>567</v>
      </c>
      <c r="M14" s="290" t="s">
        <v>568</v>
      </c>
      <c r="N14" s="289" t="s">
        <v>568</v>
      </c>
      <c r="O14" s="289" t="s">
        <v>568</v>
      </c>
      <c r="P14" s="290" t="s">
        <v>567</v>
      </c>
      <c r="Q14" s="289" t="s">
        <v>567</v>
      </c>
      <c r="R14" s="289" t="s">
        <v>568</v>
      </c>
      <c r="S14" s="290" t="s">
        <v>567</v>
      </c>
      <c r="T14" s="290" t="s">
        <v>567</v>
      </c>
      <c r="U14" s="289" t="s">
        <v>567</v>
      </c>
      <c r="V14" s="290" t="s">
        <v>568</v>
      </c>
      <c r="W14" s="289" t="s">
        <v>568</v>
      </c>
      <c r="X14" s="834" t="s">
        <v>568</v>
      </c>
    </row>
    <row r="15" spans="2:24" x14ac:dyDescent="0.25">
      <c r="B15" s="244" t="s">
        <v>80</v>
      </c>
      <c r="C15" s="245" t="s">
        <v>77</v>
      </c>
      <c r="D15" s="245" t="s">
        <v>46</v>
      </c>
      <c r="E15" s="245" t="s">
        <v>47</v>
      </c>
      <c r="F15" s="289"/>
      <c r="G15" s="290" t="s">
        <v>567</v>
      </c>
      <c r="H15" s="290"/>
      <c r="I15" s="290" t="s">
        <v>568</v>
      </c>
      <c r="J15" s="290" t="s">
        <v>568</v>
      </c>
      <c r="K15" s="290" t="s">
        <v>568</v>
      </c>
      <c r="L15" s="290" t="s">
        <v>568</v>
      </c>
      <c r="M15" s="290" t="s">
        <v>568</v>
      </c>
      <c r="N15" s="289" t="s">
        <v>568</v>
      </c>
      <c r="O15" s="289" t="s">
        <v>568</v>
      </c>
      <c r="P15" s="290" t="s">
        <v>567</v>
      </c>
      <c r="Q15" s="289" t="s">
        <v>567</v>
      </c>
      <c r="R15" s="289" t="s">
        <v>568</v>
      </c>
      <c r="S15" s="290" t="s">
        <v>567</v>
      </c>
      <c r="T15" s="290" t="s">
        <v>567</v>
      </c>
      <c r="U15" s="289" t="s">
        <v>567</v>
      </c>
      <c r="V15" s="290" t="s">
        <v>568</v>
      </c>
      <c r="W15" s="289" t="s">
        <v>568</v>
      </c>
      <c r="X15" s="834" t="s">
        <v>568</v>
      </c>
    </row>
    <row r="16" spans="2:24" x14ac:dyDescent="0.25">
      <c r="B16" s="244" t="s">
        <v>81</v>
      </c>
      <c r="C16" s="249" t="s">
        <v>77</v>
      </c>
      <c r="D16" s="249" t="s">
        <v>46</v>
      </c>
      <c r="E16" s="249" t="s">
        <v>47</v>
      </c>
      <c r="F16" s="289"/>
      <c r="G16" s="290" t="s">
        <v>567</v>
      </c>
      <c r="H16" s="290"/>
      <c r="I16" s="290" t="s">
        <v>568</v>
      </c>
      <c r="J16" s="290" t="s">
        <v>568</v>
      </c>
      <c r="K16" s="290" t="s">
        <v>568</v>
      </c>
      <c r="L16" s="290" t="s">
        <v>568</v>
      </c>
      <c r="M16" s="290" t="s">
        <v>568</v>
      </c>
      <c r="N16" s="289" t="s">
        <v>568</v>
      </c>
      <c r="O16" s="289" t="s">
        <v>568</v>
      </c>
      <c r="P16" s="290" t="s">
        <v>567</v>
      </c>
      <c r="Q16" s="289" t="s">
        <v>567</v>
      </c>
      <c r="R16" s="289" t="s">
        <v>568</v>
      </c>
      <c r="S16" s="290" t="s">
        <v>567</v>
      </c>
      <c r="T16" s="290" t="s">
        <v>567</v>
      </c>
      <c r="U16" s="289" t="s">
        <v>568</v>
      </c>
      <c r="V16" s="290" t="s">
        <v>568</v>
      </c>
      <c r="W16" s="289" t="s">
        <v>568</v>
      </c>
      <c r="X16" s="834" t="s">
        <v>568</v>
      </c>
    </row>
    <row r="17" spans="2:90" x14ac:dyDescent="0.25">
      <c r="B17" s="244" t="s">
        <v>82</v>
      </c>
      <c r="C17" s="245" t="s">
        <v>66</v>
      </c>
      <c r="D17" s="245" t="s">
        <v>46</v>
      </c>
      <c r="E17" s="245" t="s">
        <v>47</v>
      </c>
      <c r="F17" s="289"/>
      <c r="G17" s="290" t="s">
        <v>567</v>
      </c>
      <c r="H17" s="290"/>
      <c r="I17" s="290" t="s">
        <v>568</v>
      </c>
      <c r="J17" s="290" t="s">
        <v>568</v>
      </c>
      <c r="K17" s="290" t="s">
        <v>568</v>
      </c>
      <c r="L17" s="290" t="s">
        <v>567</v>
      </c>
      <c r="M17" s="290" t="s">
        <v>568</v>
      </c>
      <c r="N17" s="289" t="s">
        <v>568</v>
      </c>
      <c r="O17" s="289" t="s">
        <v>568</v>
      </c>
      <c r="P17" s="290" t="s">
        <v>567</v>
      </c>
      <c r="Q17" s="289" t="s">
        <v>567</v>
      </c>
      <c r="R17" s="289" t="s">
        <v>568</v>
      </c>
      <c r="S17" s="290" t="s">
        <v>567</v>
      </c>
      <c r="T17" s="290" t="s">
        <v>567</v>
      </c>
      <c r="U17" s="289" t="s">
        <v>568</v>
      </c>
      <c r="V17" s="290" t="s">
        <v>568</v>
      </c>
      <c r="W17" s="289" t="s">
        <v>568</v>
      </c>
      <c r="X17" s="834" t="s">
        <v>568</v>
      </c>
    </row>
    <row r="18" spans="2:90" x14ac:dyDescent="0.25">
      <c r="B18" s="244" t="s">
        <v>83</v>
      </c>
      <c r="C18" s="249" t="s">
        <v>56</v>
      </c>
      <c r="D18" s="249" t="s">
        <v>46</v>
      </c>
      <c r="E18" s="249" t="s">
        <v>47</v>
      </c>
      <c r="F18" s="289"/>
      <c r="G18" s="290" t="s">
        <v>568</v>
      </c>
      <c r="H18" s="290"/>
      <c r="I18" s="290" t="s">
        <v>568</v>
      </c>
      <c r="J18" s="290" t="s">
        <v>568</v>
      </c>
      <c r="K18" s="290" t="s">
        <v>568</v>
      </c>
      <c r="L18" s="290" t="s">
        <v>568</v>
      </c>
      <c r="M18" s="290" t="s">
        <v>568</v>
      </c>
      <c r="N18" s="289" t="s">
        <v>567</v>
      </c>
      <c r="O18" s="289" t="s">
        <v>568</v>
      </c>
      <c r="P18" s="290" t="s">
        <v>567</v>
      </c>
      <c r="Q18" s="289" t="s">
        <v>568</v>
      </c>
      <c r="R18" s="289" t="s">
        <v>568</v>
      </c>
      <c r="S18" s="290" t="s">
        <v>568</v>
      </c>
      <c r="T18" s="290" t="s">
        <v>567</v>
      </c>
      <c r="U18" s="289" t="s">
        <v>568</v>
      </c>
      <c r="V18" s="290" t="s">
        <v>568</v>
      </c>
      <c r="W18" s="289" t="s">
        <v>568</v>
      </c>
      <c r="X18" s="834" t="s">
        <v>568</v>
      </c>
    </row>
    <row r="19" spans="2:90" x14ac:dyDescent="0.25">
      <c r="B19" s="246" t="s">
        <v>84</v>
      </c>
      <c r="C19" s="247" t="s">
        <v>60</v>
      </c>
      <c r="D19" s="247" t="s">
        <v>46</v>
      </c>
      <c r="E19" s="247" t="s">
        <v>57</v>
      </c>
      <c r="F19" s="289"/>
      <c r="G19" s="290" t="s">
        <v>568</v>
      </c>
      <c r="H19" s="290"/>
      <c r="I19" s="290" t="s">
        <v>568</v>
      </c>
      <c r="J19" s="290" t="s">
        <v>568</v>
      </c>
      <c r="K19" s="290" t="s">
        <v>568</v>
      </c>
      <c r="L19" s="290" t="s">
        <v>568</v>
      </c>
      <c r="M19" s="290" t="s">
        <v>568</v>
      </c>
      <c r="N19" s="289" t="s">
        <v>567</v>
      </c>
      <c r="O19" s="289" t="s">
        <v>568</v>
      </c>
      <c r="P19" s="290" t="s">
        <v>567</v>
      </c>
      <c r="Q19" s="289" t="s">
        <v>568</v>
      </c>
      <c r="R19" s="289" t="s">
        <v>568</v>
      </c>
      <c r="S19" s="290" t="s">
        <v>567</v>
      </c>
      <c r="T19" s="290" t="s">
        <v>567</v>
      </c>
      <c r="U19" s="289" t="s">
        <v>568</v>
      </c>
      <c r="V19" s="290" t="s">
        <v>568</v>
      </c>
      <c r="W19" s="289" t="s">
        <v>568</v>
      </c>
      <c r="X19" s="834" t="s">
        <v>568</v>
      </c>
    </row>
    <row r="20" spans="2:90" x14ac:dyDescent="0.25">
      <c r="B20" s="244" t="s">
        <v>85</v>
      </c>
      <c r="C20" s="245" t="s">
        <v>62</v>
      </c>
      <c r="D20" s="249" t="s">
        <v>46</v>
      </c>
      <c r="E20" s="249" t="s">
        <v>47</v>
      </c>
      <c r="F20" s="289"/>
      <c r="G20" s="290" t="s">
        <v>568</v>
      </c>
      <c r="H20" s="290"/>
      <c r="I20" s="290" t="s">
        <v>568</v>
      </c>
      <c r="J20" s="290" t="s">
        <v>567</v>
      </c>
      <c r="K20" s="290" t="s">
        <v>568</v>
      </c>
      <c r="L20" s="290" t="s">
        <v>568</v>
      </c>
      <c r="M20" s="290" t="s">
        <v>567</v>
      </c>
      <c r="N20" s="289" t="s">
        <v>567</v>
      </c>
      <c r="O20" s="289" t="s">
        <v>567</v>
      </c>
      <c r="P20" s="290" t="s">
        <v>567</v>
      </c>
      <c r="Q20" s="289" t="s">
        <v>567</v>
      </c>
      <c r="R20" s="289" t="s">
        <v>568</v>
      </c>
      <c r="S20" s="290" t="s">
        <v>567</v>
      </c>
      <c r="T20" s="290" t="s">
        <v>567</v>
      </c>
      <c r="U20" s="289" t="s">
        <v>568</v>
      </c>
      <c r="V20" s="290" t="s">
        <v>568</v>
      </c>
      <c r="W20" s="289" t="s">
        <v>568</v>
      </c>
      <c r="X20" s="834" t="s">
        <v>568</v>
      </c>
    </row>
    <row r="21" spans="2:90" x14ac:dyDescent="0.25">
      <c r="B21" s="244" t="s">
        <v>86</v>
      </c>
      <c r="C21" s="245" t="s">
        <v>56</v>
      </c>
      <c r="D21" s="245" t="s">
        <v>46</v>
      </c>
      <c r="E21" s="245" t="s">
        <v>47</v>
      </c>
      <c r="F21" s="289"/>
      <c r="G21" s="290" t="s">
        <v>568</v>
      </c>
      <c r="H21" s="290"/>
      <c r="I21" s="290" t="s">
        <v>568</v>
      </c>
      <c r="J21" s="290" t="s">
        <v>568</v>
      </c>
      <c r="K21" s="290" t="s">
        <v>568</v>
      </c>
      <c r="L21" s="290" t="s">
        <v>568</v>
      </c>
      <c r="M21" s="290" t="s">
        <v>568</v>
      </c>
      <c r="N21" s="289" t="s">
        <v>567</v>
      </c>
      <c r="O21" s="289" t="s">
        <v>568</v>
      </c>
      <c r="P21" s="290" t="s">
        <v>567</v>
      </c>
      <c r="Q21" s="289" t="s">
        <v>568</v>
      </c>
      <c r="R21" s="289" t="s">
        <v>568</v>
      </c>
      <c r="S21" s="290" t="s">
        <v>568</v>
      </c>
      <c r="T21" s="290" t="s">
        <v>567</v>
      </c>
      <c r="U21" s="289" t="s">
        <v>568</v>
      </c>
      <c r="V21" s="290" t="s">
        <v>568</v>
      </c>
      <c r="W21" s="289" t="s">
        <v>568</v>
      </c>
      <c r="X21" s="834" t="s">
        <v>568</v>
      </c>
    </row>
    <row r="22" spans="2:90" x14ac:dyDescent="0.25">
      <c r="B22" s="246" t="s">
        <v>87</v>
      </c>
      <c r="C22" s="248" t="s">
        <v>77</v>
      </c>
      <c r="D22" s="248" t="s">
        <v>46</v>
      </c>
      <c r="E22" s="248" t="s">
        <v>57</v>
      </c>
      <c r="F22" s="289"/>
      <c r="G22" s="290" t="s">
        <v>568</v>
      </c>
      <c r="H22" s="290"/>
      <c r="I22" s="290" t="s">
        <v>568</v>
      </c>
      <c r="J22" s="290" t="s">
        <v>568</v>
      </c>
      <c r="K22" s="290" t="s">
        <v>568</v>
      </c>
      <c r="L22" s="290" t="s">
        <v>568</v>
      </c>
      <c r="M22" s="290" t="s">
        <v>568</v>
      </c>
      <c r="N22" s="289" t="s">
        <v>567</v>
      </c>
      <c r="O22" s="289" t="s">
        <v>568</v>
      </c>
      <c r="P22" s="290" t="s">
        <v>567</v>
      </c>
      <c r="Q22" s="289" t="s">
        <v>568</v>
      </c>
      <c r="R22" s="289" t="s">
        <v>568</v>
      </c>
      <c r="S22" s="290" t="s">
        <v>567</v>
      </c>
      <c r="T22" s="290" t="s">
        <v>567</v>
      </c>
      <c r="U22" s="289" t="s">
        <v>568</v>
      </c>
      <c r="V22" s="290" t="s">
        <v>568</v>
      </c>
      <c r="W22" s="289" t="s">
        <v>568</v>
      </c>
      <c r="X22" s="834" t="s">
        <v>568</v>
      </c>
    </row>
    <row r="23" spans="2:90" x14ac:dyDescent="0.25">
      <c r="B23" s="244" t="s">
        <v>91</v>
      </c>
      <c r="C23" s="249" t="s">
        <v>60</v>
      </c>
      <c r="D23" s="249" t="s">
        <v>46</v>
      </c>
      <c r="E23" s="249" t="s">
        <v>47</v>
      </c>
      <c r="F23" s="289"/>
      <c r="G23" s="290" t="s">
        <v>567</v>
      </c>
      <c r="H23" s="290"/>
      <c r="I23" s="290" t="s">
        <v>568</v>
      </c>
      <c r="J23" s="290" t="s">
        <v>568</v>
      </c>
      <c r="K23" s="290" t="s">
        <v>568</v>
      </c>
      <c r="L23" s="290" t="s">
        <v>568</v>
      </c>
      <c r="M23" s="290" t="s">
        <v>568</v>
      </c>
      <c r="N23" s="289" t="s">
        <v>567</v>
      </c>
      <c r="O23" s="289" t="s">
        <v>568</v>
      </c>
      <c r="P23" s="290" t="s">
        <v>567</v>
      </c>
      <c r="Q23" s="289" t="s">
        <v>567</v>
      </c>
      <c r="R23" s="289" t="s">
        <v>567</v>
      </c>
      <c r="S23" s="290" t="s">
        <v>567</v>
      </c>
      <c r="T23" s="290" t="s">
        <v>568</v>
      </c>
      <c r="U23" s="289" t="s">
        <v>568</v>
      </c>
      <c r="V23" s="290" t="s">
        <v>568</v>
      </c>
      <c r="W23" s="289" t="s">
        <v>568</v>
      </c>
      <c r="X23" s="834" t="s">
        <v>568</v>
      </c>
    </row>
    <row r="24" spans="2:90" x14ac:dyDescent="0.25">
      <c r="B24" s="244" t="s">
        <v>6</v>
      </c>
      <c r="C24" s="245" t="s">
        <v>92</v>
      </c>
      <c r="D24" s="245" t="s">
        <v>46</v>
      </c>
      <c r="E24" s="245" t="s">
        <v>47</v>
      </c>
      <c r="F24" s="289"/>
      <c r="G24" s="290" t="s">
        <v>567</v>
      </c>
      <c r="H24" s="290"/>
      <c r="I24" s="290" t="s">
        <v>568</v>
      </c>
      <c r="J24" s="290" t="s">
        <v>568</v>
      </c>
      <c r="K24" s="290" t="s">
        <v>568</v>
      </c>
      <c r="L24" s="290" t="s">
        <v>568</v>
      </c>
      <c r="M24" s="290" t="s">
        <v>568</v>
      </c>
      <c r="N24" s="289" t="s">
        <v>568</v>
      </c>
      <c r="O24" s="289" t="s">
        <v>568</v>
      </c>
      <c r="P24" s="290" t="s">
        <v>567</v>
      </c>
      <c r="Q24" s="289" t="s">
        <v>567</v>
      </c>
      <c r="R24" s="289" t="s">
        <v>568</v>
      </c>
      <c r="S24" s="290" t="s">
        <v>567</v>
      </c>
      <c r="T24" s="290" t="s">
        <v>567</v>
      </c>
      <c r="U24" s="289" t="s">
        <v>568</v>
      </c>
      <c r="V24" s="290" t="s">
        <v>568</v>
      </c>
      <c r="W24" s="289" t="s">
        <v>568</v>
      </c>
      <c r="X24" s="834" t="s">
        <v>568</v>
      </c>
    </row>
    <row r="25" spans="2:90" x14ac:dyDescent="0.25">
      <c r="B25" s="246" t="s">
        <v>93</v>
      </c>
      <c r="C25" s="248" t="s">
        <v>92</v>
      </c>
      <c r="D25" s="248" t="s">
        <v>46</v>
      </c>
      <c r="E25" s="248" t="s">
        <v>57</v>
      </c>
      <c r="F25" s="289"/>
      <c r="G25" s="290" t="s">
        <v>568</v>
      </c>
      <c r="H25" s="290"/>
      <c r="I25" s="290" t="s">
        <v>568</v>
      </c>
      <c r="J25" s="290" t="s">
        <v>568</v>
      </c>
      <c r="K25" s="290" t="s">
        <v>568</v>
      </c>
      <c r="L25" s="290" t="s">
        <v>568</v>
      </c>
      <c r="M25" s="290" t="s">
        <v>568</v>
      </c>
      <c r="N25" s="289" t="s">
        <v>567</v>
      </c>
      <c r="O25" s="289" t="s">
        <v>568</v>
      </c>
      <c r="P25" s="290" t="s">
        <v>567</v>
      </c>
      <c r="Q25" s="289" t="s">
        <v>568</v>
      </c>
      <c r="R25" s="289" t="s">
        <v>568</v>
      </c>
      <c r="S25" s="290" t="s">
        <v>567</v>
      </c>
      <c r="T25" s="290" t="s">
        <v>567</v>
      </c>
      <c r="U25" s="289" t="s">
        <v>568</v>
      </c>
      <c r="V25" s="290" t="s">
        <v>568</v>
      </c>
      <c r="W25" s="289" t="s">
        <v>568</v>
      </c>
      <c r="X25" s="834" t="s">
        <v>568</v>
      </c>
    </row>
    <row r="26" spans="2:90" x14ac:dyDescent="0.25">
      <c r="B26" s="246" t="s">
        <v>94</v>
      </c>
      <c r="C26" s="247" t="s">
        <v>66</v>
      </c>
      <c r="D26" s="247" t="s">
        <v>46</v>
      </c>
      <c r="E26" s="247" t="s">
        <v>57</v>
      </c>
      <c r="F26" s="289"/>
      <c r="G26" s="290" t="s">
        <v>568</v>
      </c>
      <c r="H26" s="290"/>
      <c r="I26" s="290" t="s">
        <v>568</v>
      </c>
      <c r="J26" s="290" t="s">
        <v>568</v>
      </c>
      <c r="K26" s="290" t="s">
        <v>568</v>
      </c>
      <c r="L26" s="290" t="s">
        <v>568</v>
      </c>
      <c r="M26" s="290" t="s">
        <v>568</v>
      </c>
      <c r="N26" s="289" t="s">
        <v>567</v>
      </c>
      <c r="O26" s="289" t="s">
        <v>568</v>
      </c>
      <c r="P26" s="290" t="s">
        <v>567</v>
      </c>
      <c r="Q26" s="289" t="s">
        <v>568</v>
      </c>
      <c r="R26" s="289" t="s">
        <v>568</v>
      </c>
      <c r="S26" s="290" t="s">
        <v>567</v>
      </c>
      <c r="T26" s="290" t="s">
        <v>567</v>
      </c>
      <c r="U26" s="289" t="s">
        <v>568</v>
      </c>
      <c r="V26" s="290" t="s">
        <v>568</v>
      </c>
      <c r="W26" s="289" t="s">
        <v>568</v>
      </c>
      <c r="X26" s="834" t="s">
        <v>568</v>
      </c>
    </row>
    <row r="27" spans="2:90" ht="15.75" thickBot="1" x14ac:dyDescent="0.3">
      <c r="B27" s="250" t="s">
        <v>95</v>
      </c>
      <c r="C27" s="251" t="s">
        <v>56</v>
      </c>
      <c r="D27" s="251" t="s">
        <v>46</v>
      </c>
      <c r="E27" s="251" t="s">
        <v>47</v>
      </c>
      <c r="F27" s="291"/>
      <c r="G27" s="292" t="s">
        <v>568</v>
      </c>
      <c r="H27" s="292"/>
      <c r="I27" s="292" t="s">
        <v>568</v>
      </c>
      <c r="J27" s="292" t="s">
        <v>568</v>
      </c>
      <c r="K27" s="292" t="s">
        <v>568</v>
      </c>
      <c r="L27" s="292" t="s">
        <v>568</v>
      </c>
      <c r="M27" s="292" t="s">
        <v>568</v>
      </c>
      <c r="N27" s="291" t="s">
        <v>567</v>
      </c>
      <c r="O27" s="291" t="s">
        <v>568</v>
      </c>
      <c r="P27" s="292" t="s">
        <v>567</v>
      </c>
      <c r="Q27" s="291" t="s">
        <v>568</v>
      </c>
      <c r="R27" s="291" t="s">
        <v>568</v>
      </c>
      <c r="S27" s="292" t="s">
        <v>568</v>
      </c>
      <c r="T27" s="292" t="s">
        <v>567</v>
      </c>
      <c r="U27" s="291" t="s">
        <v>568</v>
      </c>
      <c r="V27" s="292" t="s">
        <v>568</v>
      </c>
      <c r="W27" s="291" t="s">
        <v>568</v>
      </c>
      <c r="X27" s="835" t="s">
        <v>568</v>
      </c>
    </row>
    <row r="30" spans="2:90" x14ac:dyDescent="0.25">
      <c r="B30" s="340" t="s">
        <v>647</v>
      </c>
    </row>
    <row r="31" spans="2:90" x14ac:dyDescent="0.25">
      <c r="B31" s="426" t="s">
        <v>830</v>
      </c>
    </row>
    <row r="32" spans="2:90" x14ac:dyDescent="0.25">
      <c r="AL32" s="1540"/>
      <c r="AM32" s="1540"/>
      <c r="AN32" s="1540"/>
      <c r="AO32" s="1540"/>
      <c r="AP32" s="1540"/>
      <c r="AQ32" s="1540"/>
      <c r="AR32" s="1540"/>
      <c r="AS32" s="1540"/>
      <c r="AT32" s="1540"/>
      <c r="AU32" s="1540"/>
      <c r="AV32" s="1540"/>
      <c r="AW32" s="1540"/>
      <c r="AX32" s="1540"/>
      <c r="AY32" s="1540"/>
      <c r="AZ32" s="1540"/>
      <c r="BA32" s="1540"/>
      <c r="BB32" s="1540"/>
      <c r="BC32" s="1540"/>
      <c r="BD32" s="1540"/>
      <c r="BE32" s="1540"/>
      <c r="BF32" s="1540"/>
      <c r="BG32" s="1540"/>
      <c r="BQ32" s="1540"/>
      <c r="BR32" s="1540"/>
      <c r="BS32" s="1540"/>
      <c r="BT32" s="1540"/>
      <c r="BU32" s="1540"/>
      <c r="BV32" s="1540"/>
      <c r="BW32" s="1540"/>
      <c r="BX32" s="1540"/>
      <c r="BY32" s="1540"/>
      <c r="BZ32" s="1540"/>
      <c r="CA32" s="1540"/>
      <c r="CB32" s="1540"/>
      <c r="CC32" s="1540"/>
      <c r="CD32" s="1540"/>
      <c r="CE32" s="1540"/>
      <c r="CF32" s="1540"/>
      <c r="CG32" s="1540"/>
      <c r="CH32" s="1540"/>
      <c r="CI32" s="1540"/>
      <c r="CJ32" s="1540"/>
      <c r="CK32" s="1540"/>
      <c r="CL32" s="1540"/>
    </row>
    <row r="33" spans="2:90" x14ac:dyDescent="0.25">
      <c r="B33" s="294" t="s">
        <v>628</v>
      </c>
      <c r="AL33" s="1540"/>
      <c r="AM33" s="1540"/>
      <c r="AN33" s="1540"/>
      <c r="AO33" s="1540"/>
      <c r="AP33" s="1540"/>
      <c r="AQ33" s="1540"/>
      <c r="AR33" s="1540"/>
      <c r="AS33" s="1540"/>
      <c r="AT33" s="1540"/>
      <c r="AU33" s="1540"/>
      <c r="AV33" s="1540"/>
      <c r="AW33" s="1540"/>
      <c r="AX33" s="1540"/>
      <c r="AY33" s="1540"/>
      <c r="AZ33" s="1540"/>
      <c r="BA33" s="1540"/>
      <c r="BB33" s="1540"/>
      <c r="BC33" s="1540"/>
      <c r="BD33" s="1540"/>
      <c r="BE33" s="1540"/>
      <c r="BF33" s="1540"/>
      <c r="BG33" s="1540"/>
      <c r="BQ33" s="1540"/>
      <c r="BR33" s="1540"/>
      <c r="BS33" s="1540"/>
      <c r="BT33" s="1540"/>
      <c r="BU33" s="1540"/>
      <c r="BV33" s="1540"/>
      <c r="BW33" s="1540"/>
      <c r="BX33" s="1540"/>
      <c r="BY33" s="1540"/>
      <c r="BZ33" s="1540"/>
      <c r="CA33" s="1540"/>
      <c r="CB33" s="1540"/>
      <c r="CC33" s="1540"/>
      <c r="CD33" s="1540"/>
      <c r="CE33" s="1540"/>
      <c r="CF33" s="1540"/>
      <c r="CG33" s="1540"/>
      <c r="CH33" s="1540"/>
      <c r="CI33" s="1540"/>
      <c r="CJ33" s="1540"/>
      <c r="CK33" s="1540"/>
      <c r="CL33" s="1540"/>
    </row>
    <row r="34" spans="2:90" x14ac:dyDescent="0.25">
      <c r="B34" s="238" t="s">
        <v>634</v>
      </c>
      <c r="C34" s="294"/>
      <c r="D34" s="238"/>
      <c r="E34" s="238"/>
      <c r="F34" s="294" t="s">
        <v>635</v>
      </c>
      <c r="G34" s="294"/>
      <c r="AL34" s="1540"/>
      <c r="AM34" s="1540"/>
      <c r="AN34" s="1540"/>
      <c r="AO34" s="1540"/>
      <c r="AP34" s="1540"/>
      <c r="AQ34" s="1540"/>
      <c r="AR34" s="1540"/>
      <c r="AS34" s="1540"/>
      <c r="AT34" s="1540"/>
      <c r="AU34" s="1540"/>
      <c r="AV34" s="1540"/>
      <c r="AW34" s="1540"/>
      <c r="AX34" s="1540"/>
      <c r="AY34" s="1540"/>
      <c r="AZ34" s="1540"/>
      <c r="BA34" s="1540"/>
      <c r="BB34" s="1540"/>
      <c r="BC34" s="1540"/>
      <c r="BD34" s="1540"/>
      <c r="BE34" s="1540"/>
      <c r="BF34" s="1540"/>
      <c r="BG34" s="1540"/>
      <c r="BQ34" s="1540"/>
      <c r="BR34" s="1540"/>
      <c r="BS34" s="1540"/>
      <c r="BT34" s="1540"/>
      <c r="BU34" s="1540"/>
      <c r="BV34" s="1540"/>
      <c r="BW34" s="1540"/>
      <c r="BX34" s="1540"/>
      <c r="BY34" s="1540"/>
      <c r="BZ34" s="1540"/>
      <c r="CA34" s="1540"/>
      <c r="CB34" s="1540"/>
      <c r="CC34" s="1540"/>
      <c r="CD34" s="1540"/>
      <c r="CE34" s="1540"/>
      <c r="CF34" s="1540"/>
      <c r="CG34" s="1540"/>
      <c r="CH34" s="1540"/>
      <c r="CI34" s="1540"/>
      <c r="CJ34" s="1540"/>
      <c r="CK34" s="1540"/>
      <c r="CL34" s="1540"/>
    </row>
    <row r="35" spans="2:90" x14ac:dyDescent="0.25">
      <c r="B35" s="50"/>
      <c r="F35" s="42"/>
    </row>
    <row r="36" spans="2:90" x14ac:dyDescent="0.25">
      <c r="B36" s="50" t="s">
        <v>629</v>
      </c>
      <c r="F36" s="50" t="s">
        <v>636</v>
      </c>
    </row>
    <row r="37" spans="2:90" x14ac:dyDescent="0.25">
      <c r="B37" s="50" t="s">
        <v>630</v>
      </c>
      <c r="F37" s="50" t="s">
        <v>637</v>
      </c>
    </row>
    <row r="38" spans="2:90" x14ac:dyDescent="0.25">
      <c r="B38" s="50" t="s">
        <v>631</v>
      </c>
      <c r="F38" s="50" t="s">
        <v>638</v>
      </c>
    </row>
    <row r="39" spans="2:90" x14ac:dyDescent="0.25">
      <c r="B39" s="50" t="s">
        <v>632</v>
      </c>
      <c r="F39" s="42" t="s">
        <v>639</v>
      </c>
    </row>
    <row r="40" spans="2:90" x14ac:dyDescent="0.25">
      <c r="B40" s="50" t="s">
        <v>633</v>
      </c>
      <c r="F40" s="50" t="s">
        <v>640</v>
      </c>
    </row>
    <row r="41" spans="2:90" x14ac:dyDescent="0.25">
      <c r="B41" s="295" t="s">
        <v>641</v>
      </c>
      <c r="F41" s="295" t="s">
        <v>642</v>
      </c>
    </row>
    <row r="42" spans="2:90" x14ac:dyDescent="0.25">
      <c r="B42" s="50"/>
    </row>
    <row r="44" spans="2:90" x14ac:dyDescent="0.25">
      <c r="B44" s="42" t="s">
        <v>701</v>
      </c>
    </row>
    <row r="45" spans="2:90" x14ac:dyDescent="0.25">
      <c r="B45" s="62" t="s">
        <v>699</v>
      </c>
    </row>
    <row r="46" spans="2:90" x14ac:dyDescent="0.25">
      <c r="B46" s="62" t="s">
        <v>700</v>
      </c>
    </row>
    <row r="49" spans="2:3" ht="21" thickBot="1" x14ac:dyDescent="0.3">
      <c r="B49" s="263" t="s">
        <v>592</v>
      </c>
      <c r="C49" s="5"/>
    </row>
    <row r="50" spans="2:3" ht="16.5" thickBot="1" x14ac:dyDescent="0.3">
      <c r="B50" s="264"/>
      <c r="C50" s="5" t="s">
        <v>594</v>
      </c>
    </row>
    <row r="51" spans="2:3" ht="15.75" x14ac:dyDescent="0.25">
      <c r="B51" s="265"/>
      <c r="C51" s="5" t="s">
        <v>595</v>
      </c>
    </row>
    <row r="52" spans="2:3" x14ac:dyDescent="0.25">
      <c r="B52" s="266"/>
      <c r="C52" s="5" t="s">
        <v>596</v>
      </c>
    </row>
    <row r="53" spans="2:3" x14ac:dyDescent="0.25">
      <c r="B53" s="267"/>
      <c r="C53" s="5" t="s">
        <v>597</v>
      </c>
    </row>
    <row r="54" spans="2:3" x14ac:dyDescent="0.25">
      <c r="B54" s="268"/>
      <c r="C54" s="5" t="s">
        <v>598</v>
      </c>
    </row>
    <row r="55" spans="2:3" x14ac:dyDescent="0.25">
      <c r="B55" s="269"/>
      <c r="C55" s="5" t="s">
        <v>599</v>
      </c>
    </row>
    <row r="56" spans="2:3" x14ac:dyDescent="0.25">
      <c r="B56" s="279"/>
      <c r="C56" s="5" t="s">
        <v>610</v>
      </c>
    </row>
    <row r="57" spans="2:3" x14ac:dyDescent="0.25">
      <c r="B57" s="277"/>
      <c r="C57" s="5" t="s">
        <v>608</v>
      </c>
    </row>
    <row r="58" spans="2:3" x14ac:dyDescent="0.25">
      <c r="B58" s="278"/>
      <c r="C58" t="s">
        <v>609</v>
      </c>
    </row>
    <row r="59" spans="2:3" ht="15.75" thickBot="1" x14ac:dyDescent="0.3">
      <c r="B59" s="276"/>
      <c r="C59" s="5" t="s">
        <v>607</v>
      </c>
    </row>
    <row r="60" spans="2:3" ht="15.75" thickBot="1" x14ac:dyDescent="0.3">
      <c r="B60" s="2"/>
      <c r="C60" s="5" t="s">
        <v>593</v>
      </c>
    </row>
    <row r="61" spans="2:3" ht="15.75" thickBot="1" x14ac:dyDescent="0.3">
      <c r="B61" s="275"/>
      <c r="C61" t="s">
        <v>606</v>
      </c>
    </row>
    <row r="62" spans="2:3" x14ac:dyDescent="0.25">
      <c r="B62" s="3"/>
      <c r="C62" t="s">
        <v>600</v>
      </c>
    </row>
    <row r="63" spans="2:3" ht="15.75" thickBot="1" x14ac:dyDescent="0.3">
      <c r="B63" s="273"/>
      <c r="C63" t="s">
        <v>604</v>
      </c>
    </row>
    <row r="64" spans="2:3" ht="15.75" thickBot="1" x14ac:dyDescent="0.3">
      <c r="B64" s="274"/>
      <c r="C64" t="s">
        <v>605</v>
      </c>
    </row>
    <row r="65" spans="2:3" x14ac:dyDescent="0.25">
      <c r="B65" s="270"/>
      <c r="C65" t="s">
        <v>601</v>
      </c>
    </row>
    <row r="66" spans="2:3" ht="15.75" thickBot="1" x14ac:dyDescent="0.3">
      <c r="B66" s="271"/>
      <c r="C66" t="s">
        <v>603</v>
      </c>
    </row>
    <row r="67" spans="2:3" ht="15.75" thickBot="1" x14ac:dyDescent="0.3">
      <c r="B67" s="272"/>
      <c r="C67" t="s">
        <v>602</v>
      </c>
    </row>
    <row r="126" spans="3:3" x14ac:dyDescent="0.25">
      <c r="C126" s="255" t="s">
        <v>652</v>
      </c>
    </row>
    <row r="127" spans="3:3" x14ac:dyDescent="0.25">
      <c r="C127" s="255" t="str">
        <f>IFERROR(IF(dms_Model="ARR",(MAX(0,dms_0608_LastRow-dms_0608_OffsetRows)),"not an ARR"),"0")</f>
        <v>not an ARR</v>
      </c>
    </row>
  </sheetData>
  <sheetProtection algorithmName="SHA-256" hashValue="c4yuzvETePOJaJGjgLDXB5vtR2P7aEEQzvAOya5xwPU=" saltValue="8tXnBUqQyzuZi9SuADh4gA==" spinCount="100000" sheet="1" objects="1" scenarios="1" formatCells="0" insertRows="0" deleteRows="0"/>
  <mergeCells count="7">
    <mergeCell ref="B4:V4"/>
    <mergeCell ref="AL32:BG32"/>
    <mergeCell ref="AL33:BG33"/>
    <mergeCell ref="AL34:BG34"/>
    <mergeCell ref="BQ32:CL32"/>
    <mergeCell ref="BQ33:CL33"/>
    <mergeCell ref="BQ34:CL34"/>
  </mergeCells>
  <conditionalFormatting sqref="F7:X27">
    <cfRule type="cellIs" dxfId="16" priority="2" operator="equal">
      <formula>"Y"</formula>
    </cfRule>
  </conditionalFormatting>
  <pageMargins left="0.7" right="0.7" top="0.75" bottom="0.75" header="0.3" footer="0.3"/>
  <pageSetup paperSize="9" orientation="portrait" r:id="rId1"/>
  <headerFooter>
    <oddFooter>&amp;C_x000D_&amp;1#&amp;"Aptos"&amp;10&amp;K008000 APA-INTERNAL</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4">
    <tabColor theme="1"/>
  </sheetPr>
  <dimension ref="B1:CK237"/>
  <sheetViews>
    <sheetView showGridLines="0" zoomScale="55" zoomScaleNormal="55" workbookViewId="0">
      <selection activeCell="L33" sqref="L33"/>
    </sheetView>
  </sheetViews>
  <sheetFormatPr defaultRowHeight="15" x14ac:dyDescent="0.25"/>
  <cols>
    <col min="2" max="2" width="47.28515625" bestFit="1" customWidth="1"/>
    <col min="3" max="3" width="40.7109375" customWidth="1"/>
    <col min="4" max="4" width="31.42578125" bestFit="1" customWidth="1"/>
    <col min="5" max="5" width="33.140625" bestFit="1" customWidth="1"/>
    <col min="6" max="6" width="43.140625" customWidth="1"/>
    <col min="7" max="7" width="38.7109375" customWidth="1"/>
    <col min="8" max="8" width="24.28515625" customWidth="1"/>
    <col min="9" max="9" width="28.140625" customWidth="1"/>
    <col min="10" max="10" width="29" customWidth="1"/>
    <col min="11" max="11" width="23.7109375" customWidth="1"/>
    <col min="12" max="13" width="28.28515625" customWidth="1"/>
    <col min="14" max="14" width="24.5703125" bestFit="1" customWidth="1"/>
    <col min="15" max="15" width="33" customWidth="1"/>
    <col min="16" max="16" width="47" customWidth="1"/>
    <col min="17" max="17" width="40.140625" customWidth="1"/>
    <col min="18" max="18" width="24.85546875" bestFit="1" customWidth="1"/>
    <col min="19" max="19" width="22.7109375" bestFit="1" customWidth="1"/>
    <col min="20" max="20" width="22" bestFit="1" customWidth="1"/>
    <col min="23" max="23" width="9.140625" customWidth="1"/>
  </cols>
  <sheetData>
    <row r="1" spans="2:28" ht="51" customHeight="1" x14ac:dyDescent="0.25">
      <c r="B1" s="629" t="s">
        <v>872</v>
      </c>
      <c r="C1" s="628"/>
      <c r="D1" s="628"/>
      <c r="E1" s="628"/>
      <c r="F1" s="628"/>
      <c r="G1" s="628"/>
      <c r="H1" s="628"/>
      <c r="I1" s="628"/>
      <c r="J1" s="628"/>
      <c r="K1" s="628"/>
      <c r="L1" s="628"/>
      <c r="M1" s="628"/>
      <c r="N1" s="628"/>
    </row>
    <row r="2" spans="2:28" ht="30.2" customHeight="1" x14ac:dyDescent="0.25"/>
    <row r="3" spans="2:28" ht="28.5" x14ac:dyDescent="0.45">
      <c r="B3" s="437" t="s">
        <v>859</v>
      </c>
      <c r="C3" s="437"/>
      <c r="D3" s="437"/>
      <c r="E3" s="437"/>
      <c r="F3" s="437"/>
      <c r="G3" s="437"/>
      <c r="H3" s="437"/>
      <c r="I3" s="437"/>
      <c r="J3" s="437"/>
      <c r="K3" s="437"/>
      <c r="L3" s="437"/>
      <c r="M3" s="437"/>
      <c r="N3" s="437"/>
    </row>
    <row r="4" spans="2:28" ht="30.2" customHeight="1" thickBot="1" x14ac:dyDescent="0.3"/>
    <row r="5" spans="2:28" ht="29.45" customHeight="1" x14ac:dyDescent="0.25">
      <c r="B5" s="1541" t="s">
        <v>834</v>
      </c>
      <c r="C5" s="436" t="s">
        <v>184</v>
      </c>
      <c r="D5" s="436" t="s">
        <v>649</v>
      </c>
      <c r="E5" s="349"/>
      <c r="F5" s="4"/>
      <c r="W5" s="4"/>
      <c r="X5" s="4"/>
      <c r="AA5" s="148"/>
      <c r="AB5" s="148"/>
    </row>
    <row r="6" spans="2:28" ht="15" customHeight="1" x14ac:dyDescent="0.25">
      <c r="B6" s="1541"/>
      <c r="C6" s="504" t="s">
        <v>677</v>
      </c>
      <c r="D6" s="504" t="s">
        <v>677</v>
      </c>
      <c r="E6" s="349"/>
      <c r="F6" s="4"/>
      <c r="W6" s="4"/>
      <c r="X6" s="4"/>
      <c r="AA6" s="148"/>
      <c r="AB6" s="148"/>
    </row>
    <row r="7" spans="2:28" ht="15" customHeight="1" x14ac:dyDescent="0.25">
      <c r="B7" s="1541"/>
      <c r="C7" s="505" t="s">
        <v>187</v>
      </c>
      <c r="D7" s="507" t="s">
        <v>199</v>
      </c>
      <c r="E7" s="345"/>
      <c r="S7" s="4"/>
      <c r="T7" s="4"/>
      <c r="U7" s="4"/>
      <c r="V7" s="4"/>
      <c r="W7" s="4"/>
      <c r="X7" s="4"/>
    </row>
    <row r="8" spans="2:28" ht="15" customHeight="1" x14ac:dyDescent="0.25">
      <c r="B8" s="1541"/>
      <c r="C8" s="506" t="s">
        <v>190</v>
      </c>
      <c r="D8" s="508" t="s">
        <v>647</v>
      </c>
      <c r="E8" s="345"/>
      <c r="S8" s="4"/>
      <c r="T8" s="4"/>
      <c r="U8" s="4"/>
      <c r="V8" s="4"/>
      <c r="W8" s="4"/>
      <c r="X8" s="4"/>
    </row>
    <row r="9" spans="2:28" ht="15" customHeight="1" x14ac:dyDescent="0.25">
      <c r="B9" s="1541"/>
      <c r="C9" s="506" t="s">
        <v>194</v>
      </c>
      <c r="D9" s="501"/>
      <c r="E9" s="345"/>
      <c r="S9" s="4"/>
      <c r="T9" s="4"/>
      <c r="U9" s="4"/>
      <c r="V9" s="4"/>
      <c r="W9" s="4"/>
      <c r="X9" s="4"/>
    </row>
    <row r="10" spans="2:28" ht="15.75" customHeight="1" thickBot="1" x14ac:dyDescent="0.3">
      <c r="B10" s="1541"/>
      <c r="C10" s="502"/>
      <c r="D10" s="503"/>
      <c r="E10" s="345"/>
      <c r="S10" s="4"/>
      <c r="T10" s="4"/>
      <c r="U10" s="4"/>
      <c r="V10" s="4"/>
      <c r="W10" s="4"/>
      <c r="X10" s="4"/>
    </row>
    <row r="11" spans="2:28" ht="15.75" thickBot="1" x14ac:dyDescent="0.3">
      <c r="B11" s="1541"/>
      <c r="C11" s="5"/>
      <c r="D11" s="8"/>
      <c r="E11" s="345"/>
      <c r="S11" s="4"/>
      <c r="T11" s="4"/>
      <c r="U11" s="4"/>
      <c r="V11" s="4"/>
      <c r="W11" s="4"/>
      <c r="X11" s="4"/>
    </row>
    <row r="12" spans="2:28" ht="86.25" thickBot="1" x14ac:dyDescent="0.3">
      <c r="B12" s="1541"/>
      <c r="C12" s="452" t="s">
        <v>203</v>
      </c>
      <c r="D12" s="452" t="s">
        <v>204</v>
      </c>
      <c r="G12" s="345"/>
      <c r="H12" s="62"/>
      <c r="S12" s="4"/>
      <c r="T12" s="4"/>
      <c r="U12" s="4"/>
      <c r="V12" s="4"/>
      <c r="W12" s="4"/>
      <c r="X12" s="4"/>
    </row>
    <row r="13" spans="2:28" ht="24" customHeight="1" thickBot="1" x14ac:dyDescent="0.3">
      <c r="B13" s="1541"/>
      <c r="C13" s="436" t="s">
        <v>206</v>
      </c>
      <c r="D13" s="436" t="s">
        <v>207</v>
      </c>
      <c r="G13" s="345"/>
      <c r="H13" s="62"/>
      <c r="S13" s="4"/>
      <c r="T13" s="4"/>
      <c r="U13" s="4"/>
      <c r="V13" s="4"/>
      <c r="W13" s="4"/>
      <c r="X13" s="4"/>
    </row>
    <row r="14" spans="2:28" x14ac:dyDescent="0.25">
      <c r="B14" s="1541"/>
      <c r="C14" s="509" t="s">
        <v>677</v>
      </c>
      <c r="D14" s="511" t="s">
        <v>48</v>
      </c>
      <c r="G14" s="345"/>
      <c r="S14" s="4"/>
      <c r="T14" s="4"/>
      <c r="U14" s="4"/>
      <c r="V14" s="4"/>
      <c r="W14" s="4"/>
      <c r="X14" s="4"/>
    </row>
    <row r="15" spans="2:28" x14ac:dyDescent="0.25">
      <c r="B15" s="1541"/>
      <c r="C15" s="508" t="s">
        <v>209</v>
      </c>
      <c r="D15" s="512" t="s">
        <v>213</v>
      </c>
      <c r="H15" s="62"/>
      <c r="S15" s="4"/>
      <c r="T15" s="4"/>
      <c r="U15" s="4"/>
      <c r="V15" s="4"/>
      <c r="W15" s="4"/>
      <c r="X15" s="4"/>
    </row>
    <row r="16" spans="2:28" ht="15.75" thickBot="1" x14ac:dyDescent="0.3">
      <c r="B16" s="1541"/>
      <c r="C16" s="508" t="s">
        <v>212</v>
      </c>
      <c r="D16" s="513" t="s">
        <v>54</v>
      </c>
      <c r="H16" s="62"/>
      <c r="S16" s="4"/>
      <c r="T16" s="4"/>
      <c r="U16" s="4"/>
      <c r="V16" s="4"/>
      <c r="W16" s="4"/>
      <c r="X16" s="4"/>
    </row>
    <row r="17" spans="2:89" x14ac:dyDescent="0.25">
      <c r="B17" s="1541"/>
      <c r="C17" s="508" t="s">
        <v>215</v>
      </c>
      <c r="H17" s="62"/>
      <c r="S17" s="4"/>
      <c r="T17" s="4"/>
      <c r="U17" s="4"/>
      <c r="V17" s="4"/>
      <c r="W17" s="4"/>
      <c r="X17" s="4"/>
    </row>
    <row r="18" spans="2:89" x14ac:dyDescent="0.25">
      <c r="B18" s="1541"/>
      <c r="C18" s="508" t="s">
        <v>217</v>
      </c>
      <c r="D18" s="5"/>
      <c r="S18" s="4"/>
      <c r="T18" s="4"/>
      <c r="U18" s="4"/>
      <c r="V18" s="4"/>
      <c r="W18" s="4"/>
      <c r="X18" s="4"/>
    </row>
    <row r="19" spans="2:89" x14ac:dyDescent="0.25">
      <c r="B19" s="1541"/>
      <c r="C19" s="508" t="s">
        <v>219</v>
      </c>
      <c r="D19" s="5"/>
      <c r="S19" s="4"/>
      <c r="T19" s="4"/>
      <c r="U19" s="4"/>
      <c r="V19" s="4"/>
      <c r="W19" s="4"/>
      <c r="X19" s="4"/>
    </row>
    <row r="20" spans="2:89" x14ac:dyDescent="0.25">
      <c r="B20" s="1541"/>
      <c r="C20" s="508" t="s">
        <v>220</v>
      </c>
      <c r="D20" s="5"/>
      <c r="J20" s="5"/>
      <c r="L20" s="7"/>
      <c r="O20" s="4"/>
      <c r="P20" s="4"/>
      <c r="Q20" s="4"/>
      <c r="R20" s="4"/>
      <c r="S20" s="4"/>
      <c r="T20" s="4"/>
      <c r="U20" s="4"/>
      <c r="V20" s="4"/>
      <c r="W20" s="4"/>
      <c r="X20" s="4"/>
    </row>
    <row r="21" spans="2:89" x14ac:dyDescent="0.25">
      <c r="B21" s="1541"/>
      <c r="C21" s="508" t="s">
        <v>221</v>
      </c>
      <c r="D21" s="5"/>
      <c r="J21" s="5"/>
      <c r="L21" s="7"/>
      <c r="O21" s="4"/>
      <c r="P21" s="4"/>
      <c r="Q21" s="4"/>
      <c r="R21" s="4"/>
      <c r="S21" s="4"/>
      <c r="T21" s="4"/>
      <c r="U21" s="4"/>
      <c r="V21" s="4"/>
      <c r="W21" s="4"/>
      <c r="X21" s="4"/>
    </row>
    <row r="22" spans="2:89" x14ac:dyDescent="0.25">
      <c r="B22" s="1541"/>
      <c r="C22" s="508" t="s">
        <v>222</v>
      </c>
      <c r="D22" s="5"/>
      <c r="J22" s="5"/>
      <c r="L22" s="7"/>
      <c r="O22" s="4"/>
      <c r="P22" s="4"/>
      <c r="Q22" s="4"/>
      <c r="R22" s="4"/>
      <c r="S22" s="4"/>
      <c r="T22" s="4"/>
      <c r="U22" s="4"/>
      <c r="V22" s="4"/>
      <c r="W22" s="4"/>
    </row>
    <row r="23" spans="2:89" x14ac:dyDescent="0.25">
      <c r="B23" s="1541"/>
      <c r="C23" s="508" t="s">
        <v>223</v>
      </c>
      <c r="D23" s="5"/>
      <c r="J23" s="5"/>
      <c r="L23" s="7"/>
      <c r="O23" s="4"/>
      <c r="P23" s="4"/>
      <c r="Q23" s="4"/>
      <c r="R23" s="4"/>
      <c r="S23" s="4"/>
      <c r="T23" s="4"/>
      <c r="U23" s="4"/>
      <c r="V23" s="4"/>
      <c r="W23" s="4"/>
    </row>
    <row r="24" spans="2:89" x14ac:dyDescent="0.25">
      <c r="B24" s="1541"/>
      <c r="C24" s="508" t="s">
        <v>224</v>
      </c>
      <c r="D24" s="5"/>
      <c r="J24" s="5"/>
      <c r="L24" s="7"/>
      <c r="O24" s="4"/>
      <c r="P24" s="4"/>
      <c r="Q24" s="4"/>
      <c r="R24" s="4"/>
      <c r="S24" s="4"/>
      <c r="T24" s="4"/>
      <c r="U24" s="4"/>
      <c r="V24" s="4"/>
      <c r="W24" s="4"/>
    </row>
    <row r="25" spans="2:89" x14ac:dyDescent="0.25">
      <c r="B25" s="1541"/>
      <c r="C25" s="508" t="s">
        <v>225</v>
      </c>
      <c r="D25" s="5"/>
      <c r="G25" s="345"/>
      <c r="J25" s="5"/>
      <c r="L25" s="7"/>
      <c r="O25" s="4"/>
      <c r="P25" s="4"/>
      <c r="Q25" s="4"/>
      <c r="R25" s="4"/>
      <c r="S25" s="4"/>
      <c r="T25" s="4"/>
      <c r="U25" s="4"/>
      <c r="V25" s="4"/>
      <c r="W25" s="4"/>
    </row>
    <row r="26" spans="2:89" x14ac:dyDescent="0.25">
      <c r="B26" s="1541"/>
      <c r="C26" s="508" t="s">
        <v>226</v>
      </c>
      <c r="D26" s="5"/>
      <c r="G26" s="345"/>
      <c r="J26" s="5"/>
      <c r="L26" s="7"/>
      <c r="O26" s="4"/>
      <c r="P26" s="4"/>
      <c r="Q26" s="4"/>
      <c r="R26" s="4"/>
      <c r="S26" s="4"/>
      <c r="T26" s="4"/>
      <c r="U26" s="4"/>
      <c r="V26" s="4"/>
      <c r="W26" s="4"/>
    </row>
    <row r="27" spans="2:89" ht="15.75" thickBot="1" x14ac:dyDescent="0.3">
      <c r="B27" s="1541"/>
      <c r="C27" s="510" t="s">
        <v>227</v>
      </c>
      <c r="D27" s="5"/>
      <c r="G27" s="345"/>
      <c r="J27" s="5"/>
      <c r="L27" s="7"/>
      <c r="O27" s="4"/>
      <c r="P27" s="4"/>
      <c r="Q27" s="4"/>
      <c r="R27" s="4"/>
      <c r="S27" s="4"/>
      <c r="T27" s="4"/>
      <c r="U27" s="4"/>
      <c r="V27" s="4"/>
      <c r="W27" s="4"/>
    </row>
    <row r="28" spans="2:89" ht="15" customHeight="1" x14ac:dyDescent="0.45">
      <c r="B28" s="438"/>
      <c r="G28" s="345"/>
      <c r="I28" s="62"/>
      <c r="J28" s="5"/>
      <c r="K28" s="62"/>
      <c r="L28" s="7"/>
      <c r="O28" s="4"/>
      <c r="P28" s="4"/>
      <c r="Q28" s="4"/>
      <c r="R28" s="4"/>
      <c r="S28" s="4"/>
      <c r="T28" s="4"/>
      <c r="U28" s="4"/>
      <c r="V28" s="4"/>
      <c r="W28" s="4"/>
    </row>
    <row r="29" spans="2:89" ht="28.5" x14ac:dyDescent="0.45">
      <c r="B29" s="438"/>
    </row>
    <row r="30" spans="2:89" ht="29.25" thickBot="1" x14ac:dyDescent="0.5">
      <c r="B30" s="438"/>
      <c r="D30" s="5"/>
      <c r="G30" s="345"/>
      <c r="K30" s="619" t="s">
        <v>871</v>
      </c>
      <c r="M30" s="7"/>
      <c r="N30" t="s">
        <v>929</v>
      </c>
      <c r="P30" s="4"/>
      <c r="Q30" s="4"/>
      <c r="R30" s="4"/>
      <c r="S30" s="4"/>
      <c r="T30" s="4"/>
      <c r="U30" s="4"/>
      <c r="V30" s="4"/>
      <c r="W30" s="4"/>
      <c r="X30" s="4"/>
    </row>
    <row r="31" spans="2:89" ht="30.75" customHeight="1" thickBot="1" x14ac:dyDescent="0.3">
      <c r="B31" s="1545" t="s">
        <v>864</v>
      </c>
      <c r="C31" s="450" t="s">
        <v>849</v>
      </c>
      <c r="D31" s="451" t="s">
        <v>851</v>
      </c>
      <c r="E31" s="450" t="s">
        <v>856</v>
      </c>
      <c r="F31" s="451" t="s">
        <v>855</v>
      </c>
      <c r="G31" s="450" t="s">
        <v>857</v>
      </c>
      <c r="H31" s="350" t="s">
        <v>100</v>
      </c>
      <c r="I31" s="203" t="s">
        <v>99</v>
      </c>
      <c r="J31" s="603" t="s">
        <v>98</v>
      </c>
      <c r="K31" s="838" t="s">
        <v>97</v>
      </c>
      <c r="L31" s="839"/>
      <c r="N31" s="203" t="s">
        <v>918</v>
      </c>
      <c r="R31" s="4"/>
      <c r="S31" s="4"/>
      <c r="T31" s="4"/>
      <c r="U31" s="4"/>
      <c r="V31" s="4"/>
      <c r="W31" s="4"/>
    </row>
    <row r="32" spans="2:89" ht="15" customHeight="1" x14ac:dyDescent="0.25">
      <c r="B32" s="1545"/>
      <c r="C32" s="514" t="s">
        <v>850</v>
      </c>
      <c r="D32" s="516" t="s">
        <v>487</v>
      </c>
      <c r="E32" s="518" t="s">
        <v>838</v>
      </c>
      <c r="F32" s="521" t="s">
        <v>123</v>
      </c>
      <c r="G32" s="593" t="s">
        <v>838</v>
      </c>
      <c r="H32" s="601" t="s">
        <v>121</v>
      </c>
      <c r="I32" s="604" t="s">
        <v>119</v>
      </c>
      <c r="J32" s="608" t="s">
        <v>120</v>
      </c>
      <c r="K32" s="1558" t="s">
        <v>119</v>
      </c>
      <c r="L32" s="596" t="s">
        <v>120</v>
      </c>
      <c r="N32" s="840" t="s">
        <v>919</v>
      </c>
      <c r="R32" s="4"/>
      <c r="S32" s="4"/>
      <c r="T32" s="4"/>
      <c r="U32" s="4"/>
      <c r="V32" s="4"/>
      <c r="W32" s="4"/>
      <c r="AK32" s="1540"/>
      <c r="AL32" s="1540"/>
      <c r="AM32" s="1540"/>
      <c r="AN32" s="1540"/>
      <c r="AO32" s="1540"/>
      <c r="AP32" s="1540"/>
      <c r="AQ32" s="1540"/>
      <c r="AR32" s="1540"/>
      <c r="AS32" s="1540"/>
      <c r="AT32" s="1540"/>
      <c r="AU32" s="1540"/>
      <c r="AV32" s="1540"/>
      <c r="AW32" s="1540"/>
      <c r="AX32" s="1540"/>
      <c r="AY32" s="1540"/>
      <c r="AZ32" s="1540"/>
      <c r="BA32" s="1540"/>
      <c r="BB32" s="1540"/>
      <c r="BC32" s="1540"/>
      <c r="BD32" s="1540"/>
      <c r="BE32" s="1540"/>
      <c r="BF32" s="1540"/>
      <c r="BP32" s="1540"/>
      <c r="BQ32" s="1540"/>
      <c r="BR32" s="1540"/>
      <c r="BS32" s="1540"/>
      <c r="BT32" s="1540"/>
      <c r="BU32" s="1540"/>
      <c r="BV32" s="1540"/>
      <c r="BW32" s="1540"/>
      <c r="BX32" s="1540"/>
      <c r="BY32" s="1540"/>
      <c r="BZ32" s="1540"/>
      <c r="CA32" s="1540"/>
      <c r="CB32" s="1540"/>
      <c r="CC32" s="1540"/>
      <c r="CD32" s="1540"/>
      <c r="CE32" s="1540"/>
      <c r="CF32" s="1540"/>
      <c r="CG32" s="1540"/>
      <c r="CH32" s="1540"/>
      <c r="CI32" s="1540"/>
      <c r="CJ32" s="1540"/>
      <c r="CK32" s="1540"/>
    </row>
    <row r="33" spans="2:89" ht="15" customHeight="1" x14ac:dyDescent="0.25">
      <c r="B33" s="1545"/>
      <c r="C33" s="515" t="s">
        <v>170</v>
      </c>
      <c r="D33" s="517" t="s">
        <v>853</v>
      </c>
      <c r="E33" s="519" t="s">
        <v>839</v>
      </c>
      <c r="F33" s="519" t="s">
        <v>136</v>
      </c>
      <c r="G33" s="594" t="s">
        <v>839</v>
      </c>
      <c r="H33" s="602" t="s">
        <v>134</v>
      </c>
      <c r="I33" s="605" t="s">
        <v>133</v>
      </c>
      <c r="J33" s="612" t="s">
        <v>132</v>
      </c>
      <c r="K33" s="1556"/>
      <c r="L33" s="597" t="s">
        <v>132</v>
      </c>
      <c r="N33" s="841" t="s">
        <v>920</v>
      </c>
      <c r="R33" s="4"/>
      <c r="S33" s="4"/>
      <c r="T33" s="4"/>
      <c r="U33" s="4"/>
      <c r="V33" s="4"/>
      <c r="W33" s="4"/>
      <c r="AK33" s="1540"/>
      <c r="AL33" s="1540"/>
      <c r="AM33" s="1540"/>
      <c r="AN33" s="1540"/>
      <c r="AO33" s="1540"/>
      <c r="AP33" s="1540"/>
      <c r="AQ33" s="1540"/>
      <c r="AR33" s="1540"/>
      <c r="AS33" s="1540"/>
      <c r="AT33" s="1540"/>
      <c r="AU33" s="1540"/>
      <c r="AV33" s="1540"/>
      <c r="AW33" s="1540"/>
      <c r="AX33" s="1540"/>
      <c r="AY33" s="1540"/>
      <c r="AZ33" s="1540"/>
      <c r="BA33" s="1540"/>
      <c r="BB33" s="1540"/>
      <c r="BC33" s="1540"/>
      <c r="BD33" s="1540"/>
      <c r="BE33" s="1540"/>
      <c r="BF33" s="1540"/>
      <c r="BP33" s="1540"/>
      <c r="BQ33" s="1540"/>
      <c r="BR33" s="1540"/>
      <c r="BS33" s="1540"/>
      <c r="BT33" s="1540"/>
      <c r="BU33" s="1540"/>
      <c r="BV33" s="1540"/>
      <c r="BW33" s="1540"/>
      <c r="BX33" s="1540"/>
      <c r="BY33" s="1540"/>
      <c r="BZ33" s="1540"/>
      <c r="CA33" s="1540"/>
      <c r="CB33" s="1540"/>
      <c r="CC33" s="1540"/>
      <c r="CD33" s="1540"/>
      <c r="CE33" s="1540"/>
      <c r="CF33" s="1540"/>
      <c r="CG33" s="1540"/>
      <c r="CH33" s="1540"/>
      <c r="CI33" s="1540"/>
      <c r="CJ33" s="1540"/>
      <c r="CK33" s="1540"/>
    </row>
    <row r="34" spans="2:89" ht="15.75" customHeight="1" x14ac:dyDescent="0.25">
      <c r="B34" s="1545"/>
      <c r="C34" s="515" t="s">
        <v>836</v>
      </c>
      <c r="D34" s="517" t="s">
        <v>852</v>
      </c>
      <c r="E34" s="520" t="s">
        <v>840</v>
      </c>
      <c r="F34" s="519" t="s">
        <v>142</v>
      </c>
      <c r="G34" s="595" t="s">
        <v>840</v>
      </c>
      <c r="H34" s="602" t="s">
        <v>140</v>
      </c>
      <c r="I34" s="605" t="s">
        <v>139</v>
      </c>
      <c r="J34" s="614" t="s">
        <v>139</v>
      </c>
      <c r="K34" s="1557"/>
      <c r="L34" s="621" t="s">
        <v>139</v>
      </c>
      <c r="N34" s="841" t="s">
        <v>921</v>
      </c>
      <c r="R34" s="4"/>
      <c r="S34" s="4"/>
      <c r="T34" s="4"/>
      <c r="U34" s="4"/>
      <c r="V34" s="4"/>
      <c r="W34" s="4"/>
      <c r="AK34" s="1540"/>
      <c r="AL34" s="1540"/>
      <c r="AM34" s="1540"/>
      <c r="AN34" s="1540"/>
      <c r="AO34" s="1540"/>
      <c r="AP34" s="1540"/>
      <c r="AQ34" s="1540"/>
      <c r="AR34" s="1540"/>
      <c r="AS34" s="1540"/>
      <c r="AT34" s="1540"/>
      <c r="AU34" s="1540"/>
      <c r="AV34" s="1540"/>
      <c r="AW34" s="1540"/>
      <c r="AX34" s="1540"/>
      <c r="AY34" s="1540"/>
      <c r="AZ34" s="1540"/>
      <c r="BA34" s="1540"/>
      <c r="BB34" s="1540"/>
      <c r="BC34" s="1540"/>
      <c r="BD34" s="1540"/>
      <c r="BE34" s="1540"/>
      <c r="BF34" s="1540"/>
      <c r="BP34" s="1540"/>
      <c r="BQ34" s="1540"/>
      <c r="BR34" s="1540"/>
      <c r="BS34" s="1540"/>
      <c r="BT34" s="1540"/>
      <c r="BU34" s="1540"/>
      <c r="BV34" s="1540"/>
      <c r="BW34" s="1540"/>
      <c r="BX34" s="1540"/>
      <c r="BY34" s="1540"/>
      <c r="BZ34" s="1540"/>
      <c r="CA34" s="1540"/>
      <c r="CB34" s="1540"/>
      <c r="CC34" s="1540"/>
      <c r="CD34" s="1540"/>
      <c r="CE34" s="1540"/>
      <c r="CF34" s="1540"/>
      <c r="CG34" s="1540"/>
      <c r="CH34" s="1540"/>
      <c r="CI34" s="1540"/>
      <c r="CJ34" s="1540"/>
      <c r="CK34" s="1540"/>
    </row>
    <row r="35" spans="2:89" ht="15.75" customHeight="1" x14ac:dyDescent="0.25">
      <c r="B35" s="1545"/>
      <c r="C35" s="515" t="s">
        <v>139</v>
      </c>
      <c r="D35" s="517" t="s">
        <v>139</v>
      </c>
      <c r="E35" s="520" t="s">
        <v>841</v>
      </c>
      <c r="F35" s="519" t="s">
        <v>151</v>
      </c>
      <c r="G35" s="595" t="s">
        <v>841</v>
      </c>
      <c r="H35" s="602" t="s">
        <v>149</v>
      </c>
      <c r="I35" s="605" t="s">
        <v>148</v>
      </c>
      <c r="J35" s="610" t="s">
        <v>147</v>
      </c>
      <c r="K35" s="1555" t="s">
        <v>133</v>
      </c>
      <c r="L35" s="622" t="s">
        <v>147</v>
      </c>
      <c r="N35" s="841" t="s">
        <v>922</v>
      </c>
      <c r="R35" s="4"/>
      <c r="S35" s="4"/>
      <c r="T35" s="4"/>
      <c r="U35" s="4"/>
      <c r="V35" s="4"/>
      <c r="W35" s="4"/>
    </row>
    <row r="36" spans="2:89" ht="15" customHeight="1" x14ac:dyDescent="0.25">
      <c r="B36" s="1545"/>
      <c r="C36" s="429"/>
      <c r="D36" s="31"/>
      <c r="E36" s="520" t="s">
        <v>843</v>
      </c>
      <c r="F36" s="519" t="s">
        <v>157</v>
      </c>
      <c r="G36" s="595" t="s">
        <v>842</v>
      </c>
      <c r="H36" s="602" t="s">
        <v>154</v>
      </c>
      <c r="I36" s="605" t="s">
        <v>153</v>
      </c>
      <c r="J36" s="609" t="s">
        <v>152</v>
      </c>
      <c r="K36" s="1556"/>
      <c r="L36" s="597" t="s">
        <v>152</v>
      </c>
      <c r="N36" s="841" t="s">
        <v>923</v>
      </c>
      <c r="R36" s="4"/>
      <c r="S36" s="4"/>
      <c r="T36" s="4"/>
      <c r="U36" s="4"/>
      <c r="V36" s="4"/>
      <c r="W36" s="4"/>
    </row>
    <row r="37" spans="2:89" ht="15" customHeight="1" x14ac:dyDescent="0.25">
      <c r="B37" s="1545"/>
      <c r="C37" s="429"/>
      <c r="D37" s="31"/>
      <c r="E37" s="520" t="s">
        <v>844</v>
      </c>
      <c r="F37" s="519" t="s">
        <v>166</v>
      </c>
      <c r="G37" s="595" t="s">
        <v>843</v>
      </c>
      <c r="H37" s="602" t="s">
        <v>163</v>
      </c>
      <c r="I37" s="605" t="s">
        <v>162</v>
      </c>
      <c r="J37" s="609" t="s">
        <v>161</v>
      </c>
      <c r="K37" s="1556"/>
      <c r="L37" s="597" t="s">
        <v>161</v>
      </c>
      <c r="N37" s="841" t="s">
        <v>924</v>
      </c>
      <c r="U37" s="4"/>
      <c r="V37" s="4"/>
      <c r="W37" s="4"/>
    </row>
    <row r="38" spans="2:89" ht="15" customHeight="1" x14ac:dyDescent="0.25">
      <c r="B38" s="1545"/>
      <c r="C38" s="429"/>
      <c r="D38" s="31"/>
      <c r="E38" s="520" t="s">
        <v>845</v>
      </c>
      <c r="F38" s="519" t="s">
        <v>175</v>
      </c>
      <c r="G38" s="595" t="s">
        <v>844</v>
      </c>
      <c r="H38" s="602" t="s">
        <v>172</v>
      </c>
      <c r="I38" s="605" t="s">
        <v>171</v>
      </c>
      <c r="J38" s="609" t="s">
        <v>170</v>
      </c>
      <c r="K38" s="1556"/>
      <c r="L38" s="597" t="s">
        <v>170</v>
      </c>
      <c r="N38" s="841" t="s">
        <v>925</v>
      </c>
      <c r="R38" s="4"/>
      <c r="S38" s="4"/>
      <c r="T38" s="4"/>
      <c r="U38" s="4"/>
      <c r="V38" s="4"/>
      <c r="W38" s="4"/>
    </row>
    <row r="39" spans="2:89" ht="15.75" customHeight="1" x14ac:dyDescent="0.25">
      <c r="B39" s="1545"/>
      <c r="C39" s="429"/>
      <c r="D39" s="31"/>
      <c r="E39" s="448"/>
      <c r="F39" s="519" t="s">
        <v>482</v>
      </c>
      <c r="G39" s="595" t="s">
        <v>845</v>
      </c>
      <c r="H39" s="602" t="s">
        <v>178</v>
      </c>
      <c r="I39" s="605" t="s">
        <v>177</v>
      </c>
      <c r="J39" s="615" t="s">
        <v>176</v>
      </c>
      <c r="K39" s="1557"/>
      <c r="L39" s="621" t="s">
        <v>176</v>
      </c>
      <c r="N39" s="841" t="s">
        <v>926</v>
      </c>
      <c r="R39" s="4"/>
      <c r="S39" s="4"/>
      <c r="T39" s="4"/>
      <c r="U39" s="4"/>
      <c r="V39" s="4"/>
      <c r="W39" s="4"/>
    </row>
    <row r="40" spans="2:89" ht="15" customHeight="1" x14ac:dyDescent="0.25">
      <c r="B40" s="1545"/>
      <c r="C40" s="429"/>
      <c r="D40" s="31"/>
      <c r="E40" s="448"/>
      <c r="F40" s="519" t="s">
        <v>483</v>
      </c>
      <c r="G40" s="282"/>
      <c r="H40" s="602" t="s">
        <v>183</v>
      </c>
      <c r="I40" s="605" t="s">
        <v>149</v>
      </c>
      <c r="J40" s="616" t="s">
        <v>182</v>
      </c>
      <c r="K40" s="558" t="s">
        <v>139</v>
      </c>
      <c r="L40" s="598" t="s">
        <v>182</v>
      </c>
      <c r="N40" s="841" t="s">
        <v>927</v>
      </c>
      <c r="R40" s="4"/>
      <c r="S40" s="4"/>
      <c r="T40" s="4"/>
      <c r="U40" s="4"/>
      <c r="V40" s="4"/>
      <c r="W40" s="4"/>
    </row>
    <row r="41" spans="2:89" ht="15.75" customHeight="1" x14ac:dyDescent="0.25">
      <c r="B41" s="1545"/>
      <c r="C41" s="429"/>
      <c r="D41" s="449"/>
      <c r="E41" s="448"/>
      <c r="F41" s="519" t="s">
        <v>484</v>
      </c>
      <c r="G41" s="282"/>
      <c r="H41" s="602" t="s">
        <v>139</v>
      </c>
      <c r="I41" s="605" t="s">
        <v>121</v>
      </c>
      <c r="J41" s="613" t="s">
        <v>188</v>
      </c>
      <c r="K41" s="556" t="s">
        <v>148</v>
      </c>
      <c r="L41" s="617"/>
      <c r="N41" s="841" t="s">
        <v>928</v>
      </c>
      <c r="R41" s="4"/>
      <c r="S41" s="4"/>
      <c r="T41" s="4"/>
      <c r="U41" s="4"/>
      <c r="V41" s="4"/>
      <c r="W41" s="4"/>
    </row>
    <row r="42" spans="2:89" ht="15.75" customHeight="1" thickBot="1" x14ac:dyDescent="0.3">
      <c r="B42" s="1545"/>
      <c r="C42" s="429"/>
      <c r="D42" s="449"/>
      <c r="E42" s="448"/>
      <c r="F42" s="519" t="s">
        <v>485</v>
      </c>
      <c r="G42" s="282"/>
      <c r="H42" s="429"/>
      <c r="I42" s="605" t="s">
        <v>186</v>
      </c>
      <c r="J42" s="612" t="s">
        <v>192</v>
      </c>
      <c r="K42" s="556" t="s">
        <v>153</v>
      </c>
      <c r="L42" s="617"/>
      <c r="N42" s="841" t="s">
        <v>139</v>
      </c>
      <c r="R42" s="4"/>
      <c r="S42" s="4"/>
      <c r="T42" s="4"/>
      <c r="U42" s="4"/>
      <c r="V42" s="4"/>
      <c r="W42" s="4"/>
    </row>
    <row r="43" spans="2:89" ht="15" customHeight="1" x14ac:dyDescent="0.25">
      <c r="B43" s="1545"/>
      <c r="C43" s="429"/>
      <c r="D43" s="449"/>
      <c r="E43" s="448"/>
      <c r="F43" s="519" t="s">
        <v>486</v>
      </c>
      <c r="G43" s="282"/>
      <c r="H43" s="429"/>
      <c r="I43" s="605" t="s">
        <v>189</v>
      </c>
      <c r="J43" s="611" t="s">
        <v>195</v>
      </c>
      <c r="K43" s="1555" t="s">
        <v>162</v>
      </c>
      <c r="L43" s="599" t="s">
        <v>188</v>
      </c>
      <c r="N43" s="31"/>
      <c r="R43" s="4"/>
      <c r="S43" s="4"/>
      <c r="T43" s="4"/>
      <c r="U43" s="4"/>
      <c r="V43" s="4"/>
      <c r="W43" s="4"/>
    </row>
    <row r="44" spans="2:89" ht="15.75" customHeight="1" x14ac:dyDescent="0.25">
      <c r="B44" s="1545"/>
      <c r="C44" s="429"/>
      <c r="D44" s="449"/>
      <c r="E44" s="448"/>
      <c r="F44" s="519" t="s">
        <v>139</v>
      </c>
      <c r="G44" s="282"/>
      <c r="H44" s="429"/>
      <c r="I44" s="605" t="s">
        <v>193</v>
      </c>
      <c r="J44" s="609" t="s">
        <v>139</v>
      </c>
      <c r="K44" s="1557"/>
      <c r="L44" s="624" t="s">
        <v>192</v>
      </c>
      <c r="N44" s="31"/>
      <c r="R44" s="4"/>
      <c r="S44" s="4"/>
      <c r="T44" s="4"/>
      <c r="U44" s="4"/>
      <c r="V44" s="4"/>
      <c r="W44" s="4"/>
    </row>
    <row r="45" spans="2:89" x14ac:dyDescent="0.25">
      <c r="B45" s="1545"/>
      <c r="C45" s="429"/>
      <c r="D45" s="31"/>
      <c r="E45" s="31"/>
      <c r="F45" s="31"/>
      <c r="G45" s="282"/>
      <c r="H45" s="429"/>
      <c r="I45" s="605" t="s">
        <v>196</v>
      </c>
      <c r="J45" s="609" t="s">
        <v>200</v>
      </c>
      <c r="K45" s="557" t="s">
        <v>171</v>
      </c>
      <c r="L45" s="620" t="s">
        <v>195</v>
      </c>
      <c r="N45" s="31"/>
    </row>
    <row r="46" spans="2:89" x14ac:dyDescent="0.25">
      <c r="B46" s="1545"/>
      <c r="C46" s="429"/>
      <c r="D46" s="31"/>
      <c r="E46" s="31"/>
      <c r="F46" s="31"/>
      <c r="G46" s="282"/>
      <c r="H46" s="429"/>
      <c r="I46" s="605" t="s">
        <v>198</v>
      </c>
      <c r="J46" s="609" t="s">
        <v>202</v>
      </c>
      <c r="K46" s="557"/>
      <c r="L46" s="600" t="s">
        <v>139</v>
      </c>
      <c r="N46" s="31"/>
    </row>
    <row r="47" spans="2:89" x14ac:dyDescent="0.25">
      <c r="B47" s="1545"/>
      <c r="C47" s="429"/>
      <c r="D47" s="31"/>
      <c r="E47" s="31"/>
      <c r="F47" s="31"/>
      <c r="G47" s="282"/>
      <c r="H47" s="429"/>
      <c r="I47" s="605" t="s">
        <v>201</v>
      </c>
      <c r="J47" s="612" t="s">
        <v>205</v>
      </c>
      <c r="K47" s="557"/>
      <c r="L47" s="600" t="s">
        <v>200</v>
      </c>
      <c r="N47" s="31"/>
    </row>
    <row r="48" spans="2:89" x14ac:dyDescent="0.25">
      <c r="B48" s="1545"/>
      <c r="C48" s="429"/>
      <c r="D48" s="31"/>
      <c r="E48" s="31"/>
      <c r="F48" s="31"/>
      <c r="G48" s="282"/>
      <c r="H48" s="429"/>
      <c r="I48" s="31"/>
      <c r="J48" s="616" t="s">
        <v>177</v>
      </c>
      <c r="K48" s="557"/>
      <c r="L48" s="600" t="s">
        <v>202</v>
      </c>
      <c r="N48" s="31"/>
    </row>
    <row r="49" spans="2:23" x14ac:dyDescent="0.25">
      <c r="B49" s="1545"/>
      <c r="C49" s="429"/>
      <c r="D49" s="31"/>
      <c r="E49" s="31"/>
      <c r="F49" s="31"/>
      <c r="G49" s="282"/>
      <c r="H49" s="429"/>
      <c r="I49" s="31"/>
      <c r="J49" s="613" t="s">
        <v>211</v>
      </c>
      <c r="K49" s="558"/>
      <c r="L49" s="624" t="s">
        <v>205</v>
      </c>
      <c r="N49" s="31"/>
    </row>
    <row r="50" spans="2:23" x14ac:dyDescent="0.25">
      <c r="B50" s="1545"/>
      <c r="C50" s="429"/>
      <c r="D50" s="31"/>
      <c r="E50" s="31"/>
      <c r="F50" s="31"/>
      <c r="G50" s="282"/>
      <c r="H50" s="429"/>
      <c r="I50" s="31"/>
      <c r="J50" s="609" t="s">
        <v>214</v>
      </c>
      <c r="K50" s="558" t="s">
        <v>177</v>
      </c>
      <c r="L50" s="625" t="s">
        <v>177</v>
      </c>
      <c r="N50" s="31"/>
    </row>
    <row r="51" spans="2:23" x14ac:dyDescent="0.25">
      <c r="B51" s="1545"/>
      <c r="C51" s="429"/>
      <c r="D51" s="31"/>
      <c r="E51" s="31"/>
      <c r="F51" s="31"/>
      <c r="G51" s="282"/>
      <c r="H51" s="429"/>
      <c r="I51" s="444"/>
      <c r="J51" s="609" t="s">
        <v>216</v>
      </c>
      <c r="K51" s="559" t="s">
        <v>149</v>
      </c>
      <c r="L51" s="623" t="s">
        <v>211</v>
      </c>
      <c r="N51" s="444"/>
      <c r="Q51" s="4"/>
      <c r="R51" s="4"/>
      <c r="S51" s="4"/>
      <c r="T51" s="4"/>
      <c r="U51" s="4"/>
      <c r="V51" s="4"/>
    </row>
    <row r="52" spans="2:23" x14ac:dyDescent="0.25">
      <c r="B52" s="1545"/>
      <c r="C52" s="429"/>
      <c r="D52" s="31"/>
      <c r="E52" s="31"/>
      <c r="F52" s="31"/>
      <c r="G52" s="282"/>
      <c r="H52" s="429"/>
      <c r="I52" s="444"/>
      <c r="J52" s="609" t="s">
        <v>218</v>
      </c>
      <c r="K52" s="559"/>
      <c r="L52" s="600" t="s">
        <v>214</v>
      </c>
      <c r="N52" s="444"/>
      <c r="Q52" s="4"/>
      <c r="R52" s="4"/>
      <c r="S52" s="4"/>
      <c r="T52" s="4"/>
      <c r="U52" s="4"/>
      <c r="V52" s="4"/>
    </row>
    <row r="53" spans="2:23" x14ac:dyDescent="0.25">
      <c r="B53" s="1545"/>
      <c r="C53" s="429"/>
      <c r="D53" s="31"/>
      <c r="E53" s="31"/>
      <c r="F53" s="31"/>
      <c r="G53" s="282"/>
      <c r="H53" s="429"/>
      <c r="I53" s="444"/>
      <c r="J53" s="606"/>
      <c r="K53" s="559"/>
      <c r="L53" s="600" t="s">
        <v>216</v>
      </c>
      <c r="N53" s="444"/>
      <c r="Q53" s="4"/>
      <c r="R53" s="4"/>
      <c r="S53" s="4"/>
      <c r="T53" s="4"/>
      <c r="U53" s="4"/>
      <c r="V53" s="4"/>
    </row>
    <row r="54" spans="2:23" ht="15.75" thickBot="1" x14ac:dyDescent="0.3">
      <c r="B54" s="1545"/>
      <c r="C54" s="430"/>
      <c r="D54" s="33"/>
      <c r="E54" s="33"/>
      <c r="F54" s="33"/>
      <c r="G54" s="443"/>
      <c r="H54" s="430"/>
      <c r="I54" s="447"/>
      <c r="J54" s="607"/>
      <c r="K54" s="626"/>
      <c r="L54" s="624" t="s">
        <v>218</v>
      </c>
      <c r="N54" s="447"/>
      <c r="Q54" s="4"/>
      <c r="R54" s="4"/>
      <c r="S54" s="4"/>
      <c r="T54" s="4"/>
      <c r="U54" s="4"/>
      <c r="V54" s="4"/>
    </row>
    <row r="55" spans="2:23" x14ac:dyDescent="0.25">
      <c r="I55" s="4"/>
      <c r="K55" s="558" t="s">
        <v>121</v>
      </c>
      <c r="L55" s="617"/>
      <c r="Q55" s="4"/>
      <c r="R55" s="4"/>
      <c r="S55" s="4"/>
      <c r="T55" s="4"/>
      <c r="U55" s="4"/>
      <c r="V55" s="4"/>
    </row>
    <row r="56" spans="2:23" x14ac:dyDescent="0.25">
      <c r="I56" s="4"/>
      <c r="K56" s="560" t="s">
        <v>186</v>
      </c>
      <c r="L56" s="617"/>
      <c r="Q56" s="4"/>
      <c r="R56" s="4"/>
      <c r="S56" s="4"/>
      <c r="T56" s="4"/>
      <c r="U56" s="4"/>
      <c r="V56" s="4"/>
    </row>
    <row r="57" spans="2:23" ht="15.75" customHeight="1" x14ac:dyDescent="0.25">
      <c r="I57" s="4"/>
      <c r="K57" s="561" t="s">
        <v>189</v>
      </c>
      <c r="L57" s="617"/>
      <c r="Q57" s="4"/>
      <c r="R57" s="4"/>
      <c r="S57" s="4"/>
      <c r="T57" s="4"/>
      <c r="U57" s="4"/>
      <c r="V57" s="4"/>
    </row>
    <row r="58" spans="2:23" x14ac:dyDescent="0.25">
      <c r="I58" s="4"/>
      <c r="K58" s="561" t="s">
        <v>193</v>
      </c>
      <c r="L58" s="617"/>
      <c r="Q58" s="4"/>
      <c r="R58" s="4"/>
      <c r="S58" s="4"/>
      <c r="T58" s="4"/>
      <c r="U58" s="4"/>
      <c r="V58" s="4"/>
    </row>
    <row r="59" spans="2:23" x14ac:dyDescent="0.25">
      <c r="I59" s="4"/>
      <c r="K59" s="561" t="s">
        <v>196</v>
      </c>
      <c r="L59" s="617"/>
      <c r="Q59" s="4"/>
      <c r="R59" s="4"/>
      <c r="S59" s="4"/>
      <c r="T59" s="4"/>
      <c r="U59" s="4"/>
      <c r="V59" s="4"/>
    </row>
    <row r="60" spans="2:23" x14ac:dyDescent="0.25">
      <c r="I60" s="4"/>
      <c r="K60" s="561" t="s">
        <v>198</v>
      </c>
      <c r="L60" s="617"/>
      <c r="Q60" s="4"/>
      <c r="R60" s="4"/>
      <c r="S60" s="4"/>
      <c r="T60" s="4"/>
      <c r="U60" s="4"/>
      <c r="V60" s="4"/>
    </row>
    <row r="61" spans="2:23" ht="15.75" thickBot="1" x14ac:dyDescent="0.3">
      <c r="I61" s="4"/>
      <c r="K61" s="562" t="s">
        <v>201</v>
      </c>
      <c r="L61" s="618"/>
      <c r="Q61" s="4"/>
      <c r="R61" s="4"/>
      <c r="S61" s="4"/>
      <c r="T61" s="4"/>
      <c r="U61" s="4"/>
      <c r="V61" s="4"/>
    </row>
    <row r="62" spans="2:23" x14ac:dyDescent="0.25">
      <c r="I62" s="4"/>
      <c r="J62" s="4"/>
      <c r="K62" s="4"/>
      <c r="R62" s="4"/>
      <c r="S62" s="4"/>
      <c r="T62" s="4"/>
      <c r="U62" s="4"/>
      <c r="V62" s="4"/>
      <c r="W62" s="4"/>
    </row>
    <row r="63" spans="2:23" ht="29.25" thickBot="1" x14ac:dyDescent="0.5">
      <c r="B63" s="438"/>
      <c r="K63" s="5"/>
      <c r="L63" s="7"/>
      <c r="O63" s="4"/>
      <c r="P63" s="4"/>
      <c r="Q63" s="4"/>
      <c r="R63" s="4"/>
      <c r="S63" s="4"/>
      <c r="T63" s="4"/>
      <c r="U63" s="4"/>
      <c r="V63" s="4"/>
      <c r="W63" s="4"/>
    </row>
    <row r="64" spans="2:23" ht="30.75" thickBot="1" x14ac:dyDescent="0.3">
      <c r="B64" s="1544" t="s">
        <v>865</v>
      </c>
      <c r="C64" s="450" t="s">
        <v>848</v>
      </c>
      <c r="D64" s="451" t="s">
        <v>847</v>
      </c>
      <c r="E64" s="450" t="s">
        <v>862</v>
      </c>
      <c r="F64" s="451" t="s">
        <v>854</v>
      </c>
      <c r="G64" s="450" t="s">
        <v>846</v>
      </c>
      <c r="J64" s="5"/>
      <c r="K64" s="5"/>
      <c r="L64" s="7"/>
      <c r="O64" s="4"/>
      <c r="P64" s="4"/>
      <c r="Q64" s="4"/>
      <c r="R64" s="4"/>
      <c r="S64" s="4"/>
      <c r="T64" s="4"/>
      <c r="U64" s="4"/>
      <c r="V64" s="4"/>
      <c r="W64" s="4"/>
    </row>
    <row r="65" spans="2:7" x14ac:dyDescent="0.25">
      <c r="B65" s="1545"/>
      <c r="C65" s="514" t="s">
        <v>835</v>
      </c>
      <c r="D65" s="516" t="s">
        <v>487</v>
      </c>
      <c r="E65" s="518" t="s">
        <v>838</v>
      </c>
      <c r="F65" s="521" t="s">
        <v>123</v>
      </c>
      <c r="G65" s="523" t="s">
        <v>838</v>
      </c>
    </row>
    <row r="66" spans="2:7" x14ac:dyDescent="0.25">
      <c r="B66" s="1545"/>
      <c r="C66" s="515" t="s">
        <v>836</v>
      </c>
      <c r="D66" s="517" t="s">
        <v>488</v>
      </c>
      <c r="E66" s="519" t="s">
        <v>839</v>
      </c>
      <c r="F66" s="519" t="s">
        <v>136</v>
      </c>
      <c r="G66" s="524" t="s">
        <v>839</v>
      </c>
    </row>
    <row r="67" spans="2:7" x14ac:dyDescent="0.25">
      <c r="B67" s="1545"/>
      <c r="C67" s="515" t="s">
        <v>837</v>
      </c>
      <c r="D67" s="517" t="s">
        <v>489</v>
      </c>
      <c r="E67" s="520" t="s">
        <v>840</v>
      </c>
      <c r="F67" s="519" t="s">
        <v>142</v>
      </c>
      <c r="G67" s="525" t="s">
        <v>840</v>
      </c>
    </row>
    <row r="68" spans="2:7" x14ac:dyDescent="0.25">
      <c r="B68" s="1545"/>
      <c r="C68" s="515" t="s">
        <v>139</v>
      </c>
      <c r="D68" s="517" t="s">
        <v>139</v>
      </c>
      <c r="E68" s="520" t="s">
        <v>841</v>
      </c>
      <c r="F68" s="519" t="s">
        <v>151</v>
      </c>
      <c r="G68" s="525" t="s">
        <v>841</v>
      </c>
    </row>
    <row r="69" spans="2:7" x14ac:dyDescent="0.25">
      <c r="B69" s="1545"/>
      <c r="C69" s="429"/>
      <c r="D69" s="31"/>
      <c r="E69" s="520" t="s">
        <v>861</v>
      </c>
      <c r="F69" s="519" t="s">
        <v>157</v>
      </c>
      <c r="G69" s="525" t="s">
        <v>842</v>
      </c>
    </row>
    <row r="70" spans="2:7" x14ac:dyDescent="0.25">
      <c r="B70" s="1545"/>
      <c r="C70" s="429"/>
      <c r="D70" s="31"/>
      <c r="E70" s="520" t="s">
        <v>843</v>
      </c>
      <c r="F70" s="519" t="s">
        <v>166</v>
      </c>
      <c r="G70" s="525" t="s">
        <v>843</v>
      </c>
    </row>
    <row r="71" spans="2:7" x14ac:dyDescent="0.25">
      <c r="B71" s="1545"/>
      <c r="C71" s="429"/>
      <c r="D71" s="31"/>
      <c r="E71" s="520" t="s">
        <v>844</v>
      </c>
      <c r="F71" s="519" t="s">
        <v>175</v>
      </c>
      <c r="G71" s="525" t="s">
        <v>844</v>
      </c>
    </row>
    <row r="72" spans="2:7" x14ac:dyDescent="0.25">
      <c r="B72" s="1545"/>
      <c r="C72" s="429"/>
      <c r="D72" s="31"/>
      <c r="E72" s="520" t="s">
        <v>845</v>
      </c>
      <c r="F72" s="519" t="s">
        <v>482</v>
      </c>
      <c r="G72" s="525" t="s">
        <v>845</v>
      </c>
    </row>
    <row r="73" spans="2:7" x14ac:dyDescent="0.25">
      <c r="B73" s="1545"/>
      <c r="C73" s="429"/>
      <c r="D73" s="31"/>
      <c r="E73" s="31"/>
      <c r="F73" s="519" t="s">
        <v>483</v>
      </c>
      <c r="G73" s="441"/>
    </row>
    <row r="74" spans="2:7" x14ac:dyDescent="0.25">
      <c r="B74" s="1545"/>
      <c r="C74" s="429"/>
      <c r="D74" s="31"/>
      <c r="E74" s="31"/>
      <c r="F74" s="519" t="s">
        <v>484</v>
      </c>
      <c r="G74" s="441"/>
    </row>
    <row r="75" spans="2:7" x14ac:dyDescent="0.25">
      <c r="B75" s="1545"/>
      <c r="C75" s="429"/>
      <c r="D75" s="31"/>
      <c r="E75" s="31"/>
      <c r="F75" s="519" t="s">
        <v>485</v>
      </c>
      <c r="G75" s="441"/>
    </row>
    <row r="76" spans="2:7" x14ac:dyDescent="0.25">
      <c r="B76" s="1545"/>
      <c r="C76" s="429"/>
      <c r="D76" s="31"/>
      <c r="E76" s="31"/>
      <c r="F76" s="519" t="s">
        <v>486</v>
      </c>
      <c r="G76" s="441"/>
    </row>
    <row r="77" spans="2:7" ht="15.75" thickBot="1" x14ac:dyDescent="0.3">
      <c r="B77" s="1545"/>
      <c r="C77" s="430"/>
      <c r="D77" s="33"/>
      <c r="E77" s="33"/>
      <c r="F77" s="522" t="s">
        <v>139</v>
      </c>
      <c r="G77" s="442"/>
    </row>
    <row r="80" spans="2:7" ht="28.5" x14ac:dyDescent="0.45">
      <c r="B80" s="438"/>
    </row>
    <row r="81" spans="2:22" ht="31.5" x14ac:dyDescent="0.5">
      <c r="B81" s="440" t="s">
        <v>858</v>
      </c>
      <c r="C81" s="445"/>
      <c r="D81" s="445"/>
      <c r="E81" s="445"/>
      <c r="F81" s="445"/>
      <c r="G81" s="445"/>
      <c r="H81" s="445"/>
      <c r="I81" s="445"/>
      <c r="J81" s="445"/>
      <c r="K81" s="445"/>
      <c r="L81" s="445"/>
      <c r="M81" s="445"/>
      <c r="N81" s="445"/>
      <c r="O81" s="445"/>
    </row>
    <row r="82" spans="2:22" ht="30.75" customHeight="1" thickBot="1" x14ac:dyDescent="0.5">
      <c r="B82" s="438"/>
      <c r="C82" s="4"/>
      <c r="D82" s="58"/>
      <c r="E82" s="58"/>
      <c r="F82" s="58"/>
      <c r="G82" s="58"/>
      <c r="H82" s="4"/>
      <c r="I82" s="4"/>
      <c r="J82" s="4"/>
      <c r="K82" s="4"/>
      <c r="L82" s="4"/>
      <c r="V82" s="4"/>
    </row>
    <row r="83" spans="2:22" s="432" customFormat="1" ht="42" customHeight="1" thickBot="1" x14ac:dyDescent="0.3">
      <c r="B83" s="1544" t="s">
        <v>831</v>
      </c>
      <c r="C83" s="534" t="s">
        <v>102</v>
      </c>
      <c r="D83" s="433" t="s">
        <v>103</v>
      </c>
      <c r="E83" s="434" t="s">
        <v>104</v>
      </c>
      <c r="F83" s="433" t="s">
        <v>105</v>
      </c>
      <c r="G83" s="433" t="s">
        <v>106</v>
      </c>
      <c r="H83" s="433" t="s">
        <v>108</v>
      </c>
      <c r="I83" s="433" t="s">
        <v>109</v>
      </c>
      <c r="J83" s="433" t="s">
        <v>548</v>
      </c>
      <c r="K83" s="535" t="s">
        <v>110</v>
      </c>
      <c r="L83" s="536" t="s">
        <v>111</v>
      </c>
      <c r="M83" s="433" t="s">
        <v>930</v>
      </c>
      <c r="N83" s="433"/>
      <c r="O83" s="433" t="s">
        <v>931</v>
      </c>
      <c r="V83" s="339"/>
    </row>
    <row r="84" spans="2:22" ht="15" customHeight="1" x14ac:dyDescent="0.25">
      <c r="B84" s="1545"/>
      <c r="C84" s="478" t="s">
        <v>124</v>
      </c>
      <c r="D84" s="480" t="s">
        <v>125</v>
      </c>
      <c r="E84" s="480" t="s">
        <v>125</v>
      </c>
      <c r="F84" s="480" t="s">
        <v>125</v>
      </c>
      <c r="G84" s="480" t="s">
        <v>125</v>
      </c>
      <c r="H84" s="483" t="s">
        <v>126</v>
      </c>
      <c r="I84" s="483" t="s">
        <v>126</v>
      </c>
      <c r="J84" s="483" t="s">
        <v>542</v>
      </c>
      <c r="K84" s="485" t="s">
        <v>125</v>
      </c>
      <c r="L84" s="487" t="s">
        <v>127</v>
      </c>
      <c r="M84" s="845" t="s">
        <v>131</v>
      </c>
      <c r="N84" s="483"/>
      <c r="O84" s="846" t="s">
        <v>932</v>
      </c>
      <c r="V84" s="4"/>
    </row>
    <row r="85" spans="2:22" ht="15" customHeight="1" x14ac:dyDescent="0.25">
      <c r="B85" s="1545"/>
      <c r="C85" s="479" t="s">
        <v>124</v>
      </c>
      <c r="D85" s="481" t="s">
        <v>125</v>
      </c>
      <c r="E85" s="481" t="s">
        <v>125</v>
      </c>
      <c r="F85" s="481" t="s">
        <v>125</v>
      </c>
      <c r="G85" s="481" t="s">
        <v>125</v>
      </c>
      <c r="H85" s="484" t="s">
        <v>125</v>
      </c>
      <c r="I85" s="484" t="s">
        <v>125</v>
      </c>
      <c r="J85" s="484" t="s">
        <v>543</v>
      </c>
      <c r="K85" s="486" t="s">
        <v>125</v>
      </c>
      <c r="L85" s="488" t="s">
        <v>125</v>
      </c>
      <c r="M85" s="847" t="s">
        <v>131</v>
      </c>
      <c r="N85" s="484"/>
      <c r="O85" s="848" t="s">
        <v>131</v>
      </c>
      <c r="V85" s="4"/>
    </row>
    <row r="86" spans="2:22" ht="15" customHeight="1" x14ac:dyDescent="0.25">
      <c r="B86" s="1545"/>
      <c r="C86" s="479" t="s">
        <v>124</v>
      </c>
      <c r="D86" s="481" t="s">
        <v>143</v>
      </c>
      <c r="E86" s="481" t="s">
        <v>143</v>
      </c>
      <c r="F86" s="481" t="s">
        <v>143</v>
      </c>
      <c r="G86" s="481" t="s">
        <v>143</v>
      </c>
      <c r="H86" s="484" t="s">
        <v>126</v>
      </c>
      <c r="I86" s="484" t="s">
        <v>126</v>
      </c>
      <c r="J86" s="484" t="s">
        <v>544</v>
      </c>
      <c r="K86" s="486" t="s">
        <v>125</v>
      </c>
      <c r="L86" s="488" t="s">
        <v>144</v>
      </c>
      <c r="M86" s="847" t="s">
        <v>131</v>
      </c>
      <c r="N86" s="484"/>
      <c r="O86" s="848" t="s">
        <v>131</v>
      </c>
      <c r="V86" s="4"/>
    </row>
    <row r="87" spans="2:22" ht="15" customHeight="1" x14ac:dyDescent="0.25">
      <c r="B87" s="1545"/>
      <c r="C87" s="479" t="s">
        <v>124</v>
      </c>
      <c r="D87" s="481" t="s">
        <v>125</v>
      </c>
      <c r="E87" s="481" t="s">
        <v>125</v>
      </c>
      <c r="F87" s="481" t="s">
        <v>125</v>
      </c>
      <c r="G87" s="481" t="s">
        <v>125</v>
      </c>
      <c r="H87" s="484" t="s">
        <v>126</v>
      </c>
      <c r="I87" s="484" t="s">
        <v>126</v>
      </c>
      <c r="J87" s="484" t="s">
        <v>545</v>
      </c>
      <c r="K87" s="486" t="s">
        <v>144</v>
      </c>
      <c r="L87" s="488" t="s">
        <v>125</v>
      </c>
      <c r="M87" s="847" t="s">
        <v>126</v>
      </c>
      <c r="N87" s="484"/>
      <c r="O87" s="849"/>
      <c r="V87" s="4"/>
    </row>
    <row r="88" spans="2:22" ht="15" customHeight="1" x14ac:dyDescent="0.25">
      <c r="B88" s="1545"/>
      <c r="C88" s="479" t="s">
        <v>158</v>
      </c>
      <c r="D88" s="481" t="s">
        <v>159</v>
      </c>
      <c r="E88" s="481" t="s">
        <v>159</v>
      </c>
      <c r="F88" s="481" t="s">
        <v>159</v>
      </c>
      <c r="G88" s="481" t="s">
        <v>159</v>
      </c>
      <c r="H88" s="484" t="s">
        <v>125</v>
      </c>
      <c r="I88" s="484" t="s">
        <v>125</v>
      </c>
      <c r="J88" s="484" t="s">
        <v>546</v>
      </c>
      <c r="K88" s="474"/>
      <c r="L88" s="475"/>
      <c r="M88" s="850"/>
      <c r="N88" s="851"/>
      <c r="O88" s="849"/>
      <c r="V88" s="4"/>
    </row>
    <row r="89" spans="2:22" ht="15" customHeight="1" x14ac:dyDescent="0.25">
      <c r="B89" s="1545"/>
      <c r="C89" s="479" t="s">
        <v>158</v>
      </c>
      <c r="D89" s="481" t="s">
        <v>167</v>
      </c>
      <c r="E89" s="481" t="s">
        <v>167</v>
      </c>
      <c r="F89" s="481" t="s">
        <v>167</v>
      </c>
      <c r="G89" s="481" t="s">
        <v>167</v>
      </c>
      <c r="H89" s="484" t="s">
        <v>168</v>
      </c>
      <c r="I89" s="484" t="s">
        <v>168</v>
      </c>
      <c r="J89" s="484" t="s">
        <v>547</v>
      </c>
      <c r="K89" s="474"/>
      <c r="L89" s="475"/>
      <c r="M89" s="850"/>
      <c r="N89" s="851"/>
      <c r="O89" s="849"/>
      <c r="V89" s="4"/>
    </row>
    <row r="90" spans="2:22" ht="15" customHeight="1" x14ac:dyDescent="0.25">
      <c r="B90" s="1545"/>
      <c r="C90" s="479" t="s">
        <v>158</v>
      </c>
      <c r="D90" s="481" t="s">
        <v>159</v>
      </c>
      <c r="E90" s="481" t="s">
        <v>159</v>
      </c>
      <c r="F90" s="481" t="s">
        <v>159</v>
      </c>
      <c r="G90" s="481" t="s">
        <v>159</v>
      </c>
      <c r="H90" s="470"/>
      <c r="I90" s="470"/>
      <c r="J90" s="470"/>
      <c r="K90" s="474"/>
      <c r="L90" s="475"/>
      <c r="M90" s="850"/>
      <c r="N90" s="851"/>
      <c r="O90" s="849"/>
      <c r="V90" s="4"/>
    </row>
    <row r="91" spans="2:22" ht="15.75" customHeight="1" x14ac:dyDescent="0.25">
      <c r="B91" s="1545"/>
      <c r="C91" s="471"/>
      <c r="D91" s="481" t="s">
        <v>167</v>
      </c>
      <c r="E91" s="481" t="s">
        <v>167</v>
      </c>
      <c r="F91" s="481" t="s">
        <v>167</v>
      </c>
      <c r="G91" s="481" t="s">
        <v>167</v>
      </c>
      <c r="H91" s="470"/>
      <c r="I91" s="470"/>
      <c r="J91" s="470"/>
      <c r="K91" s="474"/>
      <c r="L91" s="475"/>
      <c r="M91" s="850"/>
      <c r="N91" s="851"/>
      <c r="O91" s="849"/>
      <c r="V91" s="4"/>
    </row>
    <row r="92" spans="2:22" ht="15" customHeight="1" x14ac:dyDescent="0.25">
      <c r="B92" s="1545"/>
      <c r="C92" s="471"/>
      <c r="D92" s="481" t="s">
        <v>159</v>
      </c>
      <c r="E92" s="481" t="s">
        <v>159</v>
      </c>
      <c r="F92" s="481" t="s">
        <v>159</v>
      </c>
      <c r="G92" s="481" t="s">
        <v>159</v>
      </c>
      <c r="H92" s="470"/>
      <c r="I92" s="470"/>
      <c r="J92" s="470"/>
      <c r="K92" s="474"/>
      <c r="L92" s="475"/>
      <c r="M92" s="850"/>
      <c r="N92" s="851"/>
      <c r="O92" s="849"/>
      <c r="V92" s="4"/>
    </row>
    <row r="93" spans="2:22" ht="15" customHeight="1" x14ac:dyDescent="0.25">
      <c r="B93" s="1545"/>
      <c r="C93" s="471"/>
      <c r="D93" s="481" t="s">
        <v>125</v>
      </c>
      <c r="E93" s="470"/>
      <c r="F93" s="481" t="s">
        <v>144</v>
      </c>
      <c r="G93" s="470"/>
      <c r="H93" s="470"/>
      <c r="I93" s="470"/>
      <c r="J93" s="470"/>
      <c r="K93" s="474"/>
      <c r="L93" s="475"/>
      <c r="M93" s="850"/>
      <c r="N93" s="851"/>
      <c r="O93" s="849"/>
      <c r="V93" s="4"/>
    </row>
    <row r="94" spans="2:22" ht="15" customHeight="1" x14ac:dyDescent="0.25">
      <c r="B94" s="1545"/>
      <c r="C94" s="471"/>
      <c r="D94" s="481" t="s">
        <v>125</v>
      </c>
      <c r="E94" s="470"/>
      <c r="F94" s="470"/>
      <c r="G94" s="470"/>
      <c r="H94" s="470"/>
      <c r="I94" s="470"/>
      <c r="J94" s="470"/>
      <c r="K94" s="474"/>
      <c r="L94" s="475"/>
      <c r="M94" s="850"/>
      <c r="N94" s="851"/>
      <c r="O94" s="849"/>
      <c r="V94" s="4"/>
    </row>
    <row r="95" spans="2:22" ht="15" customHeight="1" x14ac:dyDescent="0.25">
      <c r="B95" s="1545"/>
      <c r="C95" s="471"/>
      <c r="D95" s="481" t="s">
        <v>125</v>
      </c>
      <c r="E95" s="470"/>
      <c r="F95" s="470"/>
      <c r="G95" s="470"/>
      <c r="H95" s="470"/>
      <c r="I95" s="470"/>
      <c r="J95" s="470"/>
      <c r="K95" s="474"/>
      <c r="L95" s="475"/>
      <c r="M95" s="850"/>
      <c r="N95" s="851"/>
      <c r="O95" s="849"/>
      <c r="V95" s="4"/>
    </row>
    <row r="96" spans="2:22" ht="15.75" thickBot="1" x14ac:dyDescent="0.3">
      <c r="B96" s="1545"/>
      <c r="C96" s="472"/>
      <c r="D96" s="482" t="s">
        <v>144</v>
      </c>
      <c r="E96" s="473"/>
      <c r="F96" s="473"/>
      <c r="G96" s="473"/>
      <c r="H96" s="473"/>
      <c r="I96" s="473"/>
      <c r="J96" s="473"/>
      <c r="K96" s="476"/>
      <c r="L96" s="477"/>
      <c r="M96" s="852"/>
      <c r="N96" s="853"/>
      <c r="O96" s="854"/>
      <c r="V96" s="4"/>
    </row>
    <row r="97" spans="2:23" ht="28.5" x14ac:dyDescent="0.45">
      <c r="B97" s="438"/>
      <c r="E97" s="349"/>
      <c r="F97" s="4"/>
      <c r="G97" s="4"/>
      <c r="H97" s="32"/>
      <c r="I97" s="4"/>
      <c r="J97" s="4"/>
      <c r="K97" s="4"/>
      <c r="L97" s="4"/>
      <c r="M97" s="4"/>
      <c r="W97" s="4"/>
    </row>
    <row r="98" spans="2:23" ht="29.25" thickBot="1" x14ac:dyDescent="0.5">
      <c r="B98" s="439"/>
    </row>
    <row r="99" spans="2:23" ht="25.5" customHeight="1" thickBot="1" x14ac:dyDescent="0.3">
      <c r="B99" s="1545" t="s">
        <v>860</v>
      </c>
      <c r="C99" s="530" t="s">
        <v>108</v>
      </c>
    </row>
    <row r="100" spans="2:23" ht="15" customHeight="1" x14ac:dyDescent="0.25">
      <c r="B100" s="1545"/>
      <c r="C100" s="529" t="s">
        <v>126</v>
      </c>
    </row>
    <row r="101" spans="2:23" ht="15" customHeight="1" x14ac:dyDescent="0.25">
      <c r="B101" s="1545"/>
      <c r="C101" s="527" t="s">
        <v>125</v>
      </c>
    </row>
    <row r="102" spans="2:23" ht="15" customHeight="1" x14ac:dyDescent="0.25">
      <c r="B102" s="1545"/>
      <c r="C102" s="527" t="s">
        <v>126</v>
      </c>
    </row>
    <row r="103" spans="2:23" ht="15" customHeight="1" x14ac:dyDescent="0.25">
      <c r="B103" s="1545"/>
      <c r="C103" s="527" t="s">
        <v>125</v>
      </c>
    </row>
    <row r="104" spans="2:23" ht="15" customHeight="1" x14ac:dyDescent="0.25">
      <c r="B104" s="1545"/>
      <c r="C104" s="527" t="s">
        <v>126</v>
      </c>
    </row>
    <row r="105" spans="2:23" ht="15" customHeight="1" x14ac:dyDescent="0.25">
      <c r="B105" s="1545"/>
      <c r="C105" s="527" t="s">
        <v>867</v>
      </c>
    </row>
    <row r="106" spans="2:23" ht="15.75" customHeight="1" thickBot="1" x14ac:dyDescent="0.3">
      <c r="B106" s="1545"/>
      <c r="C106" s="528" t="s">
        <v>168</v>
      </c>
    </row>
    <row r="107" spans="2:23" ht="15" customHeight="1" x14ac:dyDescent="0.25"/>
    <row r="108" spans="2:23" ht="15" customHeight="1" thickBot="1" x14ac:dyDescent="0.3"/>
    <row r="109" spans="2:23" ht="15" customHeight="1" thickBot="1" x14ac:dyDescent="0.3">
      <c r="B109" s="1545" t="s">
        <v>868</v>
      </c>
      <c r="C109" s="526" t="s">
        <v>107</v>
      </c>
    </row>
    <row r="110" spans="2:23" ht="15" customHeight="1" x14ac:dyDescent="0.25">
      <c r="B110" s="1545"/>
      <c r="C110" s="531" t="s">
        <v>125</v>
      </c>
    </row>
    <row r="111" spans="2:23" ht="15" customHeight="1" x14ac:dyDescent="0.25">
      <c r="B111" s="1545"/>
      <c r="C111" s="532" t="s">
        <v>125</v>
      </c>
    </row>
    <row r="112" spans="2:23" ht="15" customHeight="1" x14ac:dyDescent="0.25">
      <c r="B112" s="1545"/>
      <c r="C112" s="532" t="s">
        <v>125</v>
      </c>
    </row>
    <row r="113" spans="2:7" ht="15" customHeight="1" x14ac:dyDescent="0.25">
      <c r="B113" s="1545"/>
      <c r="C113" s="532" t="s">
        <v>125</v>
      </c>
    </row>
    <row r="114" spans="2:7" ht="15" customHeight="1" thickBot="1" x14ac:dyDescent="0.3">
      <c r="B114" s="1545"/>
      <c r="C114" s="533" t="s">
        <v>160</v>
      </c>
    </row>
    <row r="115" spans="2:7" ht="15" customHeight="1" x14ac:dyDescent="0.25"/>
    <row r="116" spans="2:7" ht="28.5" x14ac:dyDescent="0.45">
      <c r="B116" s="439"/>
    </row>
    <row r="117" spans="2:7" ht="15.75" customHeight="1" thickBot="1" x14ac:dyDescent="0.3">
      <c r="B117" s="1550" t="s">
        <v>892</v>
      </c>
      <c r="C117" s="537" t="s">
        <v>112</v>
      </c>
      <c r="D117" s="538" t="s">
        <v>113</v>
      </c>
      <c r="E117" s="538" t="s">
        <v>114</v>
      </c>
      <c r="F117" s="538" t="s">
        <v>115</v>
      </c>
      <c r="G117" s="539" t="s">
        <v>116</v>
      </c>
    </row>
    <row r="118" spans="2:7" ht="26.25" customHeight="1" x14ac:dyDescent="0.25">
      <c r="B118" s="1551"/>
      <c r="C118" s="492" t="s">
        <v>128</v>
      </c>
      <c r="D118" s="493" t="s">
        <v>128</v>
      </c>
      <c r="E118" s="495" t="s">
        <v>129</v>
      </c>
      <c r="F118" s="495" t="s">
        <v>130</v>
      </c>
      <c r="G118" s="540" t="s">
        <v>126</v>
      </c>
    </row>
    <row r="119" spans="2:7" ht="15.75" customHeight="1" x14ac:dyDescent="0.25">
      <c r="B119" s="1551"/>
      <c r="C119" s="464" t="s">
        <v>128</v>
      </c>
      <c r="D119" s="494" t="s">
        <v>128</v>
      </c>
      <c r="E119" s="494" t="s">
        <v>137</v>
      </c>
      <c r="F119" s="494" t="s">
        <v>138</v>
      </c>
      <c r="G119" s="541"/>
    </row>
    <row r="120" spans="2:7" ht="15" customHeight="1" x14ac:dyDescent="0.25">
      <c r="B120" s="1551"/>
      <c r="C120" s="464" t="s">
        <v>145</v>
      </c>
      <c r="D120" s="494" t="s">
        <v>145</v>
      </c>
      <c r="E120" s="494" t="s">
        <v>146</v>
      </c>
      <c r="F120" s="494" t="s">
        <v>138</v>
      </c>
      <c r="G120" s="541"/>
    </row>
    <row r="121" spans="2:7" ht="15" customHeight="1" x14ac:dyDescent="0.25">
      <c r="B121" s="1551"/>
      <c r="C121" s="464" t="s">
        <v>145</v>
      </c>
      <c r="D121" s="494" t="s">
        <v>145</v>
      </c>
      <c r="E121" s="31"/>
      <c r="F121" s="494" t="s">
        <v>138</v>
      </c>
      <c r="G121" s="541"/>
    </row>
    <row r="122" spans="2:7" ht="15" customHeight="1" x14ac:dyDescent="0.25">
      <c r="B122" s="1551"/>
      <c r="C122" s="428"/>
      <c r="D122" s="31"/>
      <c r="E122" s="31"/>
      <c r="F122" s="494" t="s">
        <v>138</v>
      </c>
      <c r="G122" s="541"/>
    </row>
    <row r="123" spans="2:7" ht="15" customHeight="1" x14ac:dyDescent="0.25">
      <c r="B123" s="1551"/>
      <c r="C123" s="428"/>
      <c r="D123" s="31"/>
      <c r="E123" s="31"/>
      <c r="F123" s="494" t="s">
        <v>169</v>
      </c>
      <c r="G123" s="541"/>
    </row>
    <row r="124" spans="2:7" ht="15" customHeight="1" x14ac:dyDescent="0.25">
      <c r="B124" s="1551"/>
      <c r="C124" s="428"/>
      <c r="D124" s="31"/>
      <c r="E124" s="31"/>
      <c r="F124" s="494" t="s">
        <v>169</v>
      </c>
      <c r="G124" s="541"/>
    </row>
    <row r="125" spans="2:7" ht="15" customHeight="1" x14ac:dyDescent="0.25">
      <c r="B125" s="1551"/>
      <c r="C125" s="429"/>
      <c r="D125" s="31"/>
      <c r="E125" s="31"/>
      <c r="F125" s="494" t="s">
        <v>181</v>
      </c>
      <c r="G125" s="541"/>
    </row>
    <row r="126" spans="2:7" ht="15" customHeight="1" x14ac:dyDescent="0.25">
      <c r="B126" s="1551"/>
      <c r="C126" s="429"/>
      <c r="D126" s="31"/>
      <c r="E126" s="31"/>
      <c r="F126" s="494" t="s">
        <v>181</v>
      </c>
      <c r="G126" s="541"/>
    </row>
    <row r="127" spans="2:7" ht="15.75" customHeight="1" x14ac:dyDescent="0.25">
      <c r="B127" s="1551"/>
      <c r="C127" s="429"/>
      <c r="D127" s="31"/>
      <c r="E127" s="31"/>
      <c r="F127" s="494" t="s">
        <v>185</v>
      </c>
      <c r="G127" s="541"/>
    </row>
    <row r="128" spans="2:7" ht="15" customHeight="1" x14ac:dyDescent="0.25">
      <c r="B128" s="1551"/>
      <c r="C128" s="429"/>
      <c r="D128" s="31"/>
      <c r="E128" s="31"/>
      <c r="F128" s="494" t="s">
        <v>185</v>
      </c>
      <c r="G128" s="541"/>
    </row>
    <row r="129" spans="2:7" ht="15" customHeight="1" x14ac:dyDescent="0.25">
      <c r="B129" s="1551"/>
      <c r="C129" s="429"/>
      <c r="D129" s="31"/>
      <c r="E129" s="31"/>
      <c r="F129" s="494" t="s">
        <v>191</v>
      </c>
      <c r="G129" s="541"/>
    </row>
    <row r="130" spans="2:7" ht="15" customHeight="1" x14ac:dyDescent="0.25">
      <c r="B130" s="1551"/>
      <c r="C130" s="429"/>
      <c r="D130" s="31"/>
      <c r="E130" s="31"/>
      <c r="F130" s="494" t="s">
        <v>126</v>
      </c>
      <c r="G130" s="541"/>
    </row>
    <row r="131" spans="2:7" ht="15.75" customHeight="1" thickBot="1" x14ac:dyDescent="0.3">
      <c r="B131" s="1551"/>
      <c r="C131" s="430"/>
      <c r="D131" s="33"/>
      <c r="E131" s="33"/>
      <c r="F131" s="496" t="s">
        <v>191</v>
      </c>
      <c r="G131" s="542"/>
    </row>
    <row r="132" spans="2:7" ht="28.5" x14ac:dyDescent="0.45">
      <c r="B132" s="543"/>
      <c r="G132" s="544"/>
    </row>
    <row r="133" spans="2:7" ht="29.25" thickBot="1" x14ac:dyDescent="0.5">
      <c r="B133" s="543"/>
      <c r="C133" s="545" t="s">
        <v>863</v>
      </c>
      <c r="D133" s="545"/>
      <c r="E133" s="545"/>
      <c r="F133" s="545"/>
      <c r="G133" s="544"/>
    </row>
    <row r="134" spans="2:7" ht="15.75" customHeight="1" thickBot="1" x14ac:dyDescent="0.3">
      <c r="B134" s="1546" t="s">
        <v>893</v>
      </c>
      <c r="C134" s="553" t="s">
        <v>112</v>
      </c>
      <c r="D134" s="554"/>
      <c r="E134" s="554" t="s">
        <v>114</v>
      </c>
      <c r="F134" s="555" t="s">
        <v>115</v>
      </c>
      <c r="G134" s="544"/>
    </row>
    <row r="135" spans="2:7" ht="15" customHeight="1" x14ac:dyDescent="0.25">
      <c r="B135" s="1547"/>
      <c r="C135" s="550" t="s">
        <v>130</v>
      </c>
      <c r="D135" s="551"/>
      <c r="E135" s="495" t="s">
        <v>138</v>
      </c>
      <c r="F135" s="552" t="s">
        <v>126</v>
      </c>
      <c r="G135" s="544"/>
    </row>
    <row r="136" spans="2:7" ht="15" customHeight="1" x14ac:dyDescent="0.25">
      <c r="B136" s="1547"/>
      <c r="C136" s="497" t="s">
        <v>131</v>
      </c>
      <c r="D136" s="31"/>
      <c r="E136" s="494" t="s">
        <v>169</v>
      </c>
      <c r="F136" s="498" t="s">
        <v>130</v>
      </c>
      <c r="G136" s="544"/>
    </row>
    <row r="137" spans="2:7" ht="15" customHeight="1" x14ac:dyDescent="0.25">
      <c r="B137" s="1547"/>
      <c r="C137" s="497" t="s">
        <v>131</v>
      </c>
      <c r="D137" s="31"/>
      <c r="E137" s="494" t="s">
        <v>181</v>
      </c>
      <c r="F137" s="498" t="s">
        <v>126</v>
      </c>
      <c r="G137" s="544"/>
    </row>
    <row r="138" spans="2:7" ht="15" customHeight="1" x14ac:dyDescent="0.25">
      <c r="B138" s="1547"/>
      <c r="C138" s="497" t="s">
        <v>130</v>
      </c>
      <c r="D138" s="31"/>
      <c r="E138" s="494" t="s">
        <v>185</v>
      </c>
      <c r="F138" s="498" t="s">
        <v>131</v>
      </c>
      <c r="G138" s="544"/>
    </row>
    <row r="139" spans="2:7" ht="15" customHeight="1" x14ac:dyDescent="0.25">
      <c r="B139" s="1547"/>
      <c r="C139" s="497" t="s">
        <v>131</v>
      </c>
      <c r="D139" s="31"/>
      <c r="E139" s="494" t="s">
        <v>138</v>
      </c>
      <c r="F139" s="30"/>
      <c r="G139" s="544"/>
    </row>
    <row r="140" spans="2:7" ht="15.75" customHeight="1" x14ac:dyDescent="0.25">
      <c r="B140" s="1547"/>
      <c r="C140" s="497" t="s">
        <v>131</v>
      </c>
      <c r="D140" s="31"/>
      <c r="E140" s="494" t="s">
        <v>126</v>
      </c>
      <c r="F140" s="30"/>
      <c r="G140" s="544"/>
    </row>
    <row r="141" spans="2:7" ht="15" customHeight="1" x14ac:dyDescent="0.25">
      <c r="B141" s="1547"/>
      <c r="C141" s="497" t="s">
        <v>130</v>
      </c>
      <c r="D141" s="31"/>
      <c r="E141" s="494" t="s">
        <v>126</v>
      </c>
      <c r="F141" s="30"/>
      <c r="G141" s="544"/>
    </row>
    <row r="142" spans="2:7" ht="15" customHeight="1" x14ac:dyDescent="0.25">
      <c r="B142" s="1547"/>
      <c r="C142" s="497" t="s">
        <v>131</v>
      </c>
      <c r="D142" s="31"/>
      <c r="E142" s="494" t="s">
        <v>138</v>
      </c>
      <c r="F142" s="30"/>
      <c r="G142" s="544"/>
    </row>
    <row r="143" spans="2:7" ht="15" customHeight="1" x14ac:dyDescent="0.25">
      <c r="B143" s="1547"/>
      <c r="C143" s="497" t="s">
        <v>131</v>
      </c>
      <c r="D143" s="31"/>
      <c r="E143" s="31"/>
      <c r="F143" s="30"/>
      <c r="G143" s="544"/>
    </row>
    <row r="144" spans="2:7" ht="15" customHeight="1" x14ac:dyDescent="0.25">
      <c r="B144" s="1547"/>
      <c r="C144" s="497" t="s">
        <v>130</v>
      </c>
      <c r="D144" s="31"/>
      <c r="E144" s="31"/>
      <c r="F144" s="30"/>
      <c r="G144" s="544"/>
    </row>
    <row r="145" spans="2:7" ht="15" customHeight="1" x14ac:dyDescent="0.25">
      <c r="B145" s="1547"/>
      <c r="C145" s="497" t="s">
        <v>131</v>
      </c>
      <c r="D145" s="31"/>
      <c r="E145" s="31"/>
      <c r="F145" s="30"/>
      <c r="G145" s="544"/>
    </row>
    <row r="146" spans="2:7" ht="15" customHeight="1" x14ac:dyDescent="0.25">
      <c r="B146" s="1547"/>
      <c r="C146" s="497" t="s">
        <v>130</v>
      </c>
      <c r="D146" s="31"/>
      <c r="E146" s="31"/>
      <c r="F146" s="30"/>
      <c r="G146" s="544"/>
    </row>
    <row r="147" spans="2:7" ht="15" customHeight="1" x14ac:dyDescent="0.25">
      <c r="B147" s="1547"/>
      <c r="C147" s="497" t="s">
        <v>131</v>
      </c>
      <c r="D147" s="31"/>
      <c r="E147" s="31"/>
      <c r="F147" s="30"/>
      <c r="G147" s="544"/>
    </row>
    <row r="148" spans="2:7" ht="15" customHeight="1" x14ac:dyDescent="0.25">
      <c r="B148" s="1547"/>
      <c r="C148" s="497" t="s">
        <v>130</v>
      </c>
      <c r="D148" s="31"/>
      <c r="E148" s="31"/>
      <c r="F148" s="30"/>
      <c r="G148" s="544"/>
    </row>
    <row r="149" spans="2:7" ht="27.2" customHeight="1" x14ac:dyDescent="0.25">
      <c r="B149" s="1548"/>
      <c r="C149" s="546" t="s">
        <v>131</v>
      </c>
      <c r="D149" s="547"/>
      <c r="E149" s="547"/>
      <c r="F149" s="548"/>
      <c r="G149" s="549"/>
    </row>
    <row r="150" spans="2:7" ht="29.25" thickBot="1" x14ac:dyDescent="0.5">
      <c r="B150" s="438"/>
    </row>
    <row r="151" spans="2:7" ht="15.75" customHeight="1" thickBot="1" x14ac:dyDescent="0.3">
      <c r="B151" s="1549" t="s">
        <v>866</v>
      </c>
      <c r="C151" s="453" t="s">
        <v>622</v>
      </c>
    </row>
    <row r="152" spans="2:7" ht="15" customHeight="1" x14ac:dyDescent="0.25">
      <c r="B152" s="1549"/>
      <c r="C152" s="499" t="s">
        <v>616</v>
      </c>
    </row>
    <row r="153" spans="2:7" ht="15" customHeight="1" x14ac:dyDescent="0.25">
      <c r="B153" s="1549"/>
      <c r="C153" s="499" t="s">
        <v>619</v>
      </c>
    </row>
    <row r="154" spans="2:7" ht="15" customHeight="1" x14ac:dyDescent="0.25">
      <c r="B154" s="1549"/>
      <c r="C154" s="499" t="s">
        <v>619</v>
      </c>
    </row>
    <row r="155" spans="2:7" ht="15" customHeight="1" x14ac:dyDescent="0.25">
      <c r="B155" s="1549"/>
      <c r="C155" s="499" t="s">
        <v>619</v>
      </c>
    </row>
    <row r="156" spans="2:7" ht="15" customHeight="1" x14ac:dyDescent="0.25">
      <c r="B156" s="1549"/>
      <c r="C156" s="499" t="s">
        <v>619</v>
      </c>
    </row>
    <row r="157" spans="2:7" ht="15.75" customHeight="1" thickBot="1" x14ac:dyDescent="0.3">
      <c r="B157" s="1549"/>
      <c r="C157" s="500" t="s">
        <v>619</v>
      </c>
    </row>
    <row r="158" spans="2:7" ht="29.25" thickBot="1" x14ac:dyDescent="0.5">
      <c r="B158" s="438"/>
    </row>
    <row r="159" spans="2:7" ht="15.75" thickBot="1" x14ac:dyDescent="0.3">
      <c r="B159" s="1553" t="s">
        <v>832</v>
      </c>
      <c r="C159" s="455" t="s">
        <v>117</v>
      </c>
      <c r="D159" s="456" t="s">
        <v>118</v>
      </c>
      <c r="E159" s="456" t="s">
        <v>833</v>
      </c>
      <c r="F159" s="457" t="s">
        <v>833</v>
      </c>
    </row>
    <row r="160" spans="2:7" x14ac:dyDescent="0.25">
      <c r="B160" s="1554"/>
      <c r="C160" s="465" t="s">
        <v>131</v>
      </c>
      <c r="D160" s="468" t="s">
        <v>131</v>
      </c>
      <c r="E160" s="34"/>
      <c r="F160" s="458"/>
    </row>
    <row r="161" spans="2:6" ht="15" customHeight="1" x14ac:dyDescent="0.25">
      <c r="B161" s="1554"/>
      <c r="C161" s="466" t="s">
        <v>131</v>
      </c>
      <c r="D161" s="469" t="s">
        <v>131</v>
      </c>
      <c r="E161" s="31"/>
      <c r="F161" s="427"/>
    </row>
    <row r="162" spans="2:6" ht="15" customHeight="1" x14ac:dyDescent="0.25">
      <c r="B162" s="1554"/>
      <c r="C162" s="466" t="s">
        <v>131</v>
      </c>
      <c r="D162" s="469" t="s">
        <v>131</v>
      </c>
      <c r="E162" s="31"/>
      <c r="F162" s="427"/>
    </row>
    <row r="163" spans="2:6" ht="15" customHeight="1" x14ac:dyDescent="0.25">
      <c r="B163" s="1554"/>
      <c r="C163" s="466" t="s">
        <v>131</v>
      </c>
      <c r="D163" s="469" t="s">
        <v>131</v>
      </c>
      <c r="E163" s="31"/>
      <c r="F163" s="427"/>
    </row>
    <row r="164" spans="2:6" ht="15" customHeight="1" x14ac:dyDescent="0.25">
      <c r="B164" s="1554"/>
      <c r="C164" s="466" t="s">
        <v>131</v>
      </c>
      <c r="D164" s="469" t="s">
        <v>160</v>
      </c>
      <c r="E164" s="31"/>
      <c r="F164" s="427"/>
    </row>
    <row r="165" spans="2:6" ht="15" customHeight="1" x14ac:dyDescent="0.25">
      <c r="B165" s="1554"/>
      <c r="C165" s="466" t="s">
        <v>131</v>
      </c>
      <c r="D165" s="31"/>
      <c r="E165" s="31"/>
      <c r="F165" s="427"/>
    </row>
    <row r="166" spans="2:6" ht="15" customHeight="1" x14ac:dyDescent="0.25">
      <c r="B166" s="1554"/>
      <c r="C166" s="466" t="s">
        <v>131</v>
      </c>
      <c r="D166" s="31"/>
      <c r="E166" s="31"/>
      <c r="F166" s="427"/>
    </row>
    <row r="167" spans="2:6" ht="15" customHeight="1" x14ac:dyDescent="0.25">
      <c r="B167" s="1554"/>
      <c r="C167" s="466" t="s">
        <v>131</v>
      </c>
      <c r="D167" s="31"/>
      <c r="E167" s="31"/>
      <c r="F167" s="427"/>
    </row>
    <row r="168" spans="2:6" ht="15" customHeight="1" x14ac:dyDescent="0.25">
      <c r="B168" s="1554"/>
      <c r="C168" s="466" t="s">
        <v>131</v>
      </c>
      <c r="D168" s="31"/>
      <c r="E168" s="31"/>
      <c r="F168" s="427"/>
    </row>
    <row r="169" spans="2:6" ht="15" customHeight="1" x14ac:dyDescent="0.25">
      <c r="B169" s="1554"/>
      <c r="C169" s="466" t="s">
        <v>131</v>
      </c>
      <c r="D169" s="31"/>
      <c r="E169" s="31"/>
      <c r="F169" s="427"/>
    </row>
    <row r="170" spans="2:6" ht="15" customHeight="1" x14ac:dyDescent="0.25">
      <c r="B170" s="1554"/>
      <c r="C170" s="466" t="s">
        <v>131</v>
      </c>
      <c r="D170" s="31"/>
      <c r="E170" s="31"/>
      <c r="F170" s="427"/>
    </row>
    <row r="171" spans="2:6" ht="15" customHeight="1" x14ac:dyDescent="0.25">
      <c r="B171" s="1554"/>
      <c r="C171" s="466" t="s">
        <v>131</v>
      </c>
      <c r="D171" s="31"/>
      <c r="E171" s="31"/>
      <c r="F171" s="427"/>
    </row>
    <row r="172" spans="2:6" ht="15" customHeight="1" x14ac:dyDescent="0.25">
      <c r="B172" s="1554"/>
      <c r="C172" s="466" t="s">
        <v>160</v>
      </c>
      <c r="D172" s="31"/>
      <c r="E172" s="31"/>
      <c r="F172" s="427"/>
    </row>
    <row r="173" spans="2:6" ht="15.75" customHeight="1" thickBot="1" x14ac:dyDescent="0.3">
      <c r="B173" s="1554"/>
      <c r="C173" s="467" t="s">
        <v>160</v>
      </c>
      <c r="D173" s="33" t="s">
        <v>197</v>
      </c>
      <c r="E173" s="33"/>
      <c r="F173" s="431"/>
    </row>
    <row r="174" spans="2:6" ht="29.25" thickBot="1" x14ac:dyDescent="0.5">
      <c r="B174" s="438"/>
    </row>
    <row r="175" spans="2:6" ht="15.75" customHeight="1" thickBot="1" x14ac:dyDescent="0.3">
      <c r="B175" s="1542" t="s">
        <v>173</v>
      </c>
      <c r="C175" s="459" t="s">
        <v>613</v>
      </c>
      <c r="D175" s="460" t="s">
        <v>614</v>
      </c>
      <c r="E175" s="461" t="s">
        <v>615</v>
      </c>
    </row>
    <row r="176" spans="2:6" ht="15.75" customHeight="1" thickBot="1" x14ac:dyDescent="0.3">
      <c r="B176" s="1543"/>
      <c r="C176" s="489" t="s">
        <v>616</v>
      </c>
      <c r="D176" s="490" t="s">
        <v>617</v>
      </c>
      <c r="E176" s="491" t="s">
        <v>618</v>
      </c>
    </row>
    <row r="177" spans="2:23" ht="29.25" thickBot="1" x14ac:dyDescent="0.5">
      <c r="B177" s="438"/>
      <c r="C177" s="37"/>
      <c r="D177" s="4"/>
      <c r="E177" s="218"/>
    </row>
    <row r="178" spans="2:23" ht="15.75" customHeight="1" thickBot="1" x14ac:dyDescent="0.3">
      <c r="B178" s="1542" t="s">
        <v>155</v>
      </c>
      <c r="C178" s="435" t="s">
        <v>620</v>
      </c>
      <c r="D178" s="462" t="s">
        <v>621</v>
      </c>
      <c r="E178" s="463" t="s">
        <v>208</v>
      </c>
    </row>
    <row r="179" spans="2:23" ht="15" customHeight="1" x14ac:dyDescent="0.25">
      <c r="B179" s="1542"/>
      <c r="C179" s="768" t="s">
        <v>616</v>
      </c>
      <c r="D179" s="769" t="s">
        <v>616</v>
      </c>
      <c r="E179" s="770" t="s">
        <v>210</v>
      </c>
    </row>
    <row r="180" spans="2:23" ht="26.25" customHeight="1" x14ac:dyDescent="0.25">
      <c r="B180" s="1542"/>
      <c r="C180" s="771" t="s">
        <v>619</v>
      </c>
      <c r="D180" s="772" t="s">
        <v>619</v>
      </c>
      <c r="E180" s="773"/>
    </row>
    <row r="181" spans="2:23" ht="26.25" customHeight="1" x14ac:dyDescent="0.25">
      <c r="B181" s="1542"/>
      <c r="C181" s="771" t="s">
        <v>619</v>
      </c>
      <c r="D181" s="772" t="s">
        <v>619</v>
      </c>
      <c r="E181" s="773"/>
    </row>
    <row r="182" spans="2:23" ht="26.25" customHeight="1" x14ac:dyDescent="0.25">
      <c r="B182" s="1542"/>
      <c r="C182" s="771" t="s">
        <v>619</v>
      </c>
      <c r="D182" s="772" t="s">
        <v>619</v>
      </c>
      <c r="E182" s="773"/>
    </row>
    <row r="183" spans="2:23" ht="27.2" customHeight="1" thickBot="1" x14ac:dyDescent="0.3">
      <c r="B183" s="1542"/>
      <c r="C183" s="774" t="s">
        <v>619</v>
      </c>
      <c r="D183" s="775"/>
      <c r="E183" s="776"/>
    </row>
    <row r="184" spans="2:23" ht="28.5" x14ac:dyDescent="0.45">
      <c r="B184" s="438"/>
    </row>
    <row r="185" spans="2:23" ht="28.5" x14ac:dyDescent="0.45">
      <c r="B185" s="438"/>
    </row>
    <row r="186" spans="2:23" ht="31.5" x14ac:dyDescent="0.5">
      <c r="B186" s="440" t="s">
        <v>869</v>
      </c>
      <c r="C186" s="445"/>
      <c r="D186" s="445"/>
      <c r="E186" s="445"/>
      <c r="F186" s="445"/>
      <c r="G186" s="445"/>
      <c r="H186" s="445"/>
      <c r="I186" s="445"/>
      <c r="J186" s="445"/>
      <c r="K186" s="445"/>
      <c r="L186" s="445"/>
      <c r="M186" s="445"/>
      <c r="N186" s="445"/>
      <c r="O186" s="445"/>
    </row>
    <row r="187" spans="2:23" ht="15.75" thickBot="1" x14ac:dyDescent="0.3"/>
    <row r="188" spans="2:23" ht="15.75" thickBot="1" x14ac:dyDescent="0.3">
      <c r="B188" s="581" t="s">
        <v>228</v>
      </c>
      <c r="C188" s="35"/>
      <c r="D188" s="35"/>
      <c r="E188" s="35"/>
      <c r="F188" s="36"/>
      <c r="R188" s="4"/>
      <c r="S188" s="4"/>
      <c r="T188" s="4"/>
      <c r="U188" s="4"/>
      <c r="V188" s="4"/>
      <c r="W188" s="4"/>
    </row>
    <row r="189" spans="2:23" ht="15.75" thickBot="1" x14ac:dyDescent="0.3">
      <c r="D189" s="579"/>
      <c r="E189" s="580"/>
      <c r="F189" s="4"/>
      <c r="Q189" s="4"/>
      <c r="R189" s="4"/>
      <c r="S189" s="4"/>
      <c r="T189" s="4"/>
      <c r="U189" s="4"/>
      <c r="V189" s="4"/>
      <c r="W189" s="4"/>
    </row>
    <row r="190" spans="2:23" ht="30.75" customHeight="1" thickBot="1" x14ac:dyDescent="0.3">
      <c r="B190" s="1552" t="s">
        <v>230</v>
      </c>
      <c r="C190" s="585" t="s">
        <v>232</v>
      </c>
      <c r="D190" s="586" t="s">
        <v>233</v>
      </c>
      <c r="E190" s="586" t="s">
        <v>234</v>
      </c>
      <c r="F190" s="587" t="s">
        <v>235</v>
      </c>
      <c r="G190" s="39"/>
      <c r="Q190" s="4"/>
      <c r="R190" s="4"/>
      <c r="S190" s="4"/>
      <c r="T190" s="4"/>
      <c r="U190" s="4"/>
      <c r="V190" s="4"/>
      <c r="W190" s="4"/>
    </row>
    <row r="191" spans="2:23" ht="45.95" customHeight="1" thickBot="1" x14ac:dyDescent="0.3">
      <c r="B191" s="1552"/>
      <c r="C191" s="568" t="s">
        <v>236</v>
      </c>
      <c r="D191" s="569" t="s">
        <v>237</v>
      </c>
      <c r="E191" s="567" t="s">
        <v>238</v>
      </c>
      <c r="F191" s="570" t="s">
        <v>239</v>
      </c>
      <c r="G191" s="4"/>
      <c r="Q191" s="4"/>
      <c r="R191" s="4"/>
      <c r="S191" s="4"/>
      <c r="T191" s="4"/>
      <c r="U191" s="4"/>
      <c r="V191" s="4"/>
      <c r="W191" s="4"/>
    </row>
    <row r="192" spans="2:23" x14ac:dyDescent="0.25">
      <c r="C192" s="4"/>
      <c r="D192" s="4"/>
      <c r="E192" s="349"/>
      <c r="F192" s="4"/>
      <c r="G192" s="4"/>
      <c r="Q192" s="4"/>
      <c r="R192" s="4"/>
      <c r="S192" s="4"/>
      <c r="T192" s="4"/>
      <c r="U192" s="4"/>
      <c r="V192" s="4"/>
      <c r="W192" s="4"/>
    </row>
    <row r="193" spans="2:23" ht="15.75" thickBot="1" x14ac:dyDescent="0.3">
      <c r="G193" s="4"/>
      <c r="Q193" s="4"/>
      <c r="R193" s="4"/>
      <c r="S193" s="4"/>
      <c r="T193" s="4"/>
      <c r="U193" s="4"/>
      <c r="V193" s="4"/>
      <c r="W193" s="4"/>
    </row>
    <row r="194" spans="2:23" ht="30.2" customHeight="1" thickBot="1" x14ac:dyDescent="0.3">
      <c r="B194" s="1552" t="s">
        <v>458</v>
      </c>
      <c r="C194" s="582" t="s">
        <v>245</v>
      </c>
      <c r="D194" s="583" t="s">
        <v>246</v>
      </c>
      <c r="E194" s="584" t="s">
        <v>446</v>
      </c>
      <c r="G194" s="4"/>
      <c r="Q194" s="4"/>
      <c r="R194" s="4"/>
      <c r="S194" s="4"/>
      <c r="T194" s="4"/>
      <c r="U194" s="4"/>
      <c r="V194" s="4"/>
      <c r="W194" s="4"/>
    </row>
    <row r="195" spans="2:23" ht="51.75" thickBot="1" x14ac:dyDescent="0.3">
      <c r="B195" s="1552"/>
      <c r="C195" s="40" t="s">
        <v>248</v>
      </c>
      <c r="D195" s="41" t="s">
        <v>249</v>
      </c>
      <c r="E195" s="351" t="str">
        <f ca="1">dms_060701_StartDateTxt</f>
        <v>1-Jul-2020</v>
      </c>
      <c r="Q195" s="4"/>
      <c r="R195" s="4"/>
      <c r="S195" s="4"/>
      <c r="T195" s="4"/>
      <c r="U195" s="4"/>
      <c r="V195" s="4"/>
      <c r="W195" s="4"/>
    </row>
    <row r="196" spans="2:23" x14ac:dyDescent="0.25">
      <c r="C196" s="4"/>
      <c r="D196" s="4"/>
      <c r="E196" s="349"/>
      <c r="G196" s="4"/>
      <c r="Q196" s="4"/>
      <c r="R196" s="4"/>
      <c r="S196" s="4"/>
      <c r="T196" s="4"/>
      <c r="U196" s="4"/>
      <c r="V196" s="4"/>
      <c r="W196" s="4"/>
    </row>
    <row r="197" spans="2:23" ht="15.75" thickBot="1" x14ac:dyDescent="0.3">
      <c r="C197" s="4"/>
      <c r="P197" s="4"/>
      <c r="Q197" s="4"/>
      <c r="R197" s="4"/>
      <c r="S197" s="4"/>
      <c r="T197" s="4"/>
      <c r="U197" s="4"/>
      <c r="V197" s="4"/>
      <c r="W197" s="4"/>
    </row>
    <row r="198" spans="2:23" ht="22.5" customHeight="1" thickBot="1" x14ac:dyDescent="0.3">
      <c r="B198" s="1552" t="s">
        <v>279</v>
      </c>
      <c r="C198" s="571" t="s">
        <v>282</v>
      </c>
      <c r="D198" s="572" t="s">
        <v>283</v>
      </c>
      <c r="E198" s="572" t="s">
        <v>284</v>
      </c>
      <c r="F198" s="573" t="s">
        <v>285</v>
      </c>
      <c r="Q198" s="4"/>
      <c r="R198" s="4"/>
      <c r="S198" s="4"/>
      <c r="T198" s="4"/>
      <c r="U198" s="4"/>
      <c r="V198" s="4"/>
      <c r="W198" s="4"/>
    </row>
    <row r="199" spans="2:23" ht="22.5" customHeight="1" thickBot="1" x14ac:dyDescent="0.3">
      <c r="B199" s="1552"/>
      <c r="C199" s="40" t="s">
        <v>288</v>
      </c>
      <c r="D199" s="41" t="s">
        <v>289</v>
      </c>
      <c r="E199" s="354" t="s">
        <v>290</v>
      </c>
      <c r="F199" s="54" t="s">
        <v>291</v>
      </c>
      <c r="Q199" s="4"/>
      <c r="R199" s="4"/>
      <c r="S199" s="4"/>
      <c r="T199" s="4"/>
      <c r="U199" s="4"/>
      <c r="V199" s="4"/>
      <c r="W199" s="4"/>
    </row>
    <row r="200" spans="2:23" x14ac:dyDescent="0.25">
      <c r="B200" s="4"/>
      <c r="C200" s="4"/>
      <c r="D200" s="4"/>
      <c r="E200" s="349"/>
      <c r="F200" s="4"/>
      <c r="Q200" s="4"/>
      <c r="R200" s="4"/>
      <c r="S200" s="4"/>
      <c r="T200" s="4"/>
      <c r="U200" s="4"/>
      <c r="V200" s="4"/>
      <c r="W200" s="4"/>
    </row>
    <row r="201" spans="2:23" ht="15.75" thickBot="1" x14ac:dyDescent="0.3">
      <c r="C201" s="4"/>
      <c r="Q201" s="4"/>
      <c r="R201" s="4"/>
      <c r="S201" s="4"/>
      <c r="T201" s="4"/>
      <c r="U201" s="4"/>
      <c r="V201" s="4"/>
      <c r="W201" s="4"/>
    </row>
    <row r="202" spans="2:23" ht="36" customHeight="1" thickBot="1" x14ac:dyDescent="0.3">
      <c r="B202" s="574" t="s">
        <v>299</v>
      </c>
      <c r="C202" s="576" t="s">
        <v>301</v>
      </c>
      <c r="D202" s="57" t="s">
        <v>302</v>
      </c>
      <c r="E202" s="189" t="s">
        <v>303</v>
      </c>
      <c r="Q202" s="4"/>
      <c r="R202" s="4"/>
      <c r="S202" s="4"/>
      <c r="T202" s="4"/>
      <c r="U202" s="4"/>
      <c r="V202" s="4"/>
      <c r="W202" s="4"/>
    </row>
    <row r="204" spans="2:23" x14ac:dyDescent="0.25">
      <c r="C204" s="4"/>
      <c r="P204" s="4"/>
      <c r="Q204" s="4"/>
      <c r="R204" s="4"/>
      <c r="S204" s="4"/>
      <c r="T204" s="4"/>
      <c r="U204" s="4"/>
      <c r="V204" s="4"/>
      <c r="W204" s="4"/>
    </row>
    <row r="205" spans="2:23" s="4" customFormat="1" ht="21.75" customHeight="1" x14ac:dyDescent="0.25">
      <c r="B205" s="589" t="s">
        <v>256</v>
      </c>
      <c r="C205" s="588"/>
      <c r="D205" s="588"/>
      <c r="E205" s="588"/>
      <c r="F205" s="588"/>
      <c r="G205" s="588"/>
      <c r="H205" s="588"/>
      <c r="I205" s="588"/>
      <c r="J205" s="588"/>
      <c r="K205" s="588"/>
      <c r="L205" s="588"/>
      <c r="M205" s="588"/>
      <c r="N205" s="588"/>
      <c r="O205" s="588"/>
    </row>
    <row r="206" spans="2:23" ht="15.75" thickBot="1" x14ac:dyDescent="0.3">
      <c r="B206" s="43"/>
      <c r="C206" s="4"/>
      <c r="F206" s="345"/>
      <c r="K206" s="62"/>
      <c r="P206" s="4"/>
      <c r="Q206" s="4"/>
      <c r="R206" s="4"/>
      <c r="S206" s="4"/>
      <c r="T206" s="4"/>
      <c r="U206" s="4"/>
      <c r="V206" s="4"/>
      <c r="W206" s="4"/>
    </row>
    <row r="207" spans="2:23" ht="15" customHeight="1" thickBot="1" x14ac:dyDescent="0.3">
      <c r="B207" s="1552" t="s">
        <v>254</v>
      </c>
      <c r="C207" s="575" t="s">
        <v>257</v>
      </c>
      <c r="D207" s="563" t="str">
        <f>INDEX(dms_FeederName_1,MATCH(dms_TradingName,dms_TradingName_List))</f>
        <v>CBD</v>
      </c>
      <c r="E207" s="44" t="str">
        <f>INDEX(dms_FeederName_1,MATCH(dms_TradingName,dms_TradingName_List))</f>
        <v>CBD</v>
      </c>
      <c r="F207" s="352" t="str">
        <f>INDEX(dms_FeederName_2,MATCH(dms_TradingName,dms_TradingName_List))</f>
        <v>Urban</v>
      </c>
      <c r="G207" s="45" t="str">
        <f>INDEX(dms_FeederName_2,MATCH(dms_TradingName,dms_TradingName_List))</f>
        <v>Urban</v>
      </c>
      <c r="H207" s="44" t="str">
        <f>INDEX(dms_FeederName_3,MATCH(dms_TradingName,dms_TradingName_List))</f>
        <v>Short rural</v>
      </c>
      <c r="I207" s="44" t="str">
        <f>INDEX(dms_FeederName_3,MATCH(dms_TradingName,dms_TradingName_List))</f>
        <v>Short rural</v>
      </c>
      <c r="J207" s="45" t="str">
        <f>INDEX(dms_FeederName_4,MATCH(dms_TradingName,dms_TradingName_List))</f>
        <v>Long rural</v>
      </c>
      <c r="K207" s="45" t="str">
        <f>INDEX(dms_FeederName_4,MATCH(dms_TradingName,dms_TradingName_List))</f>
        <v>Long rural</v>
      </c>
      <c r="L207" s="44" t="str">
        <f>IF((INDEX(dms_FeederName_5,MATCH(dms_TradingName,dms_TradingName_List))=0),"Network",(INDEX(dms_FeederName_5,MATCH(dms_TradingName,dms_TradingName_List))))</f>
        <v>Network</v>
      </c>
      <c r="M207" s="44" t="str">
        <f>IF((INDEX(dms_FeederName_5,MATCH(dms_TradingName,dms_TradingName_List))=0),"Network",(INDEX(dms_FeederName_5,MATCH(dms_TradingName,dms_TradingName_List))))</f>
        <v>Network</v>
      </c>
      <c r="N207" s="44" t="s">
        <v>258</v>
      </c>
      <c r="O207" s="44" t="s">
        <v>258</v>
      </c>
      <c r="P207" s="4"/>
      <c r="Q207" s="4"/>
      <c r="R207" s="4"/>
      <c r="S207" s="4"/>
      <c r="T207" s="4"/>
      <c r="U207" s="4"/>
      <c r="V207" s="4"/>
      <c r="W207" s="4"/>
    </row>
    <row r="208" spans="2:23" ht="15.75" thickBot="1" x14ac:dyDescent="0.3">
      <c r="B208" s="1552"/>
      <c r="C208" s="566"/>
      <c r="D208" s="46"/>
      <c r="F208" s="345"/>
      <c r="N208" s="38"/>
      <c r="P208" s="4"/>
      <c r="Q208" s="4"/>
      <c r="R208" s="4"/>
      <c r="S208" s="4"/>
      <c r="T208" s="4"/>
      <c r="U208" s="4"/>
      <c r="V208" s="4"/>
      <c r="W208" s="4"/>
    </row>
    <row r="209" spans="2:23" ht="26.25" thickBot="1" x14ac:dyDescent="0.3">
      <c r="B209" s="1552"/>
      <c r="C209" s="575" t="s">
        <v>259</v>
      </c>
      <c r="D209" s="564" t="s">
        <v>260</v>
      </c>
      <c r="E209" s="47" t="s">
        <v>261</v>
      </c>
      <c r="F209" s="353" t="s">
        <v>260</v>
      </c>
      <c r="G209" s="47" t="s">
        <v>261</v>
      </c>
      <c r="H209" s="47" t="s">
        <v>260</v>
      </c>
      <c r="I209" s="47" t="s">
        <v>261</v>
      </c>
      <c r="J209" s="47" t="s">
        <v>260</v>
      </c>
      <c r="K209" s="47" t="s">
        <v>261</v>
      </c>
      <c r="L209" s="47" t="s">
        <v>260</v>
      </c>
      <c r="M209" s="48" t="s">
        <v>261</v>
      </c>
      <c r="N209" s="47" t="s">
        <v>260</v>
      </c>
      <c r="O209" s="48" t="s">
        <v>261</v>
      </c>
      <c r="P209" s="4"/>
      <c r="Q209" s="4"/>
      <c r="R209" s="4"/>
      <c r="S209" s="4"/>
      <c r="T209" s="4"/>
      <c r="U209" s="4"/>
      <c r="V209" s="4"/>
      <c r="W209" s="4"/>
    </row>
    <row r="210" spans="2:23" x14ac:dyDescent="0.25">
      <c r="B210" s="1552"/>
      <c r="C210" s="4"/>
      <c r="D210" s="49" t="s">
        <v>265</v>
      </c>
      <c r="F210" s="345"/>
      <c r="P210" s="4"/>
      <c r="Q210" s="4"/>
      <c r="R210" s="4"/>
      <c r="S210" s="4"/>
      <c r="T210" s="4"/>
      <c r="U210" s="4"/>
      <c r="V210" s="4"/>
      <c r="W210" s="4"/>
    </row>
    <row r="211" spans="2:23" ht="15.75" thickBot="1" x14ac:dyDescent="0.3">
      <c r="B211" s="1552"/>
      <c r="C211" s="4"/>
      <c r="F211" s="345"/>
      <c r="P211" s="4"/>
      <c r="Q211" s="4"/>
      <c r="R211" s="4"/>
      <c r="S211" s="4"/>
      <c r="T211" s="4"/>
      <c r="U211" s="4"/>
      <c r="V211" s="4"/>
      <c r="W211" s="4"/>
    </row>
    <row r="212" spans="2:23" ht="15.75" thickBot="1" x14ac:dyDescent="0.3">
      <c r="B212" s="1552"/>
      <c r="C212" s="575" t="s">
        <v>479</v>
      </c>
      <c r="D212" s="565" t="str">
        <f>INDEX(dms_FeederName_1,MATCH(dms_TradingName,dms_TradingName_List))</f>
        <v>CBD</v>
      </c>
      <c r="E212" s="204" t="str">
        <f>INDEX(dms_FeederName_2,MATCH(dms_TradingName,dms_TradingName_List))</f>
        <v>Urban</v>
      </c>
      <c r="F212" s="204" t="str">
        <f>INDEX(dms_FeederName_3,MATCH(dms_TradingName,dms_TradingName_List))</f>
        <v>Short rural</v>
      </c>
      <c r="G212" s="204" t="str">
        <f>INDEX(dms_FeederName_4,MATCH(dms_TradingName,dms_TradingName_List))</f>
        <v>Long rural</v>
      </c>
      <c r="H212" s="205"/>
      <c r="Q212" s="4"/>
      <c r="R212" s="4"/>
      <c r="S212" s="4"/>
      <c r="T212" s="4"/>
      <c r="U212" s="4"/>
      <c r="V212" s="4"/>
      <c r="W212" s="4"/>
    </row>
    <row r="213" spans="2:23" x14ac:dyDescent="0.25">
      <c r="B213" s="4"/>
      <c r="C213" s="42"/>
      <c r="D213" s="50"/>
      <c r="E213" s="345"/>
      <c r="I213" s="51"/>
      <c r="J213" s="50"/>
      <c r="Q213" s="4"/>
      <c r="R213" s="4"/>
      <c r="S213" s="4"/>
      <c r="T213" s="4"/>
      <c r="U213" s="4"/>
      <c r="V213" s="4"/>
      <c r="W213" s="4"/>
    </row>
    <row r="214" spans="2:23" x14ac:dyDescent="0.25">
      <c r="E214" s="345"/>
      <c r="Q214" s="4"/>
      <c r="R214" s="4"/>
      <c r="S214" s="4"/>
      <c r="T214" s="4"/>
      <c r="U214" s="4"/>
      <c r="V214" s="4"/>
      <c r="W214" s="4"/>
    </row>
    <row r="215" spans="2:23" ht="29.45" customHeight="1" x14ac:dyDescent="0.25">
      <c r="B215" s="589" t="s">
        <v>870</v>
      </c>
      <c r="C215" s="589" t="s">
        <v>870</v>
      </c>
      <c r="D215" s="589"/>
      <c r="E215" s="589"/>
      <c r="F215" s="589"/>
      <c r="G215" s="589"/>
      <c r="H215" s="589"/>
      <c r="I215" s="589"/>
      <c r="J215" s="589"/>
      <c r="K215" s="589"/>
      <c r="L215" s="589"/>
      <c r="M215" s="589"/>
      <c r="Q215" s="4"/>
      <c r="R215" s="4"/>
      <c r="S215" s="4"/>
      <c r="T215" s="4"/>
      <c r="U215" s="4"/>
      <c r="V215" s="4"/>
      <c r="W215" s="4"/>
    </row>
    <row r="216" spans="2:23" ht="15.75" customHeight="1" x14ac:dyDescent="0.25">
      <c r="B216" s="577"/>
      <c r="E216" s="345"/>
      <c r="Q216" s="4"/>
      <c r="R216" s="4"/>
      <c r="S216" s="4"/>
      <c r="T216" s="4"/>
      <c r="U216" s="4"/>
      <c r="V216" s="4"/>
      <c r="W216" s="4"/>
    </row>
    <row r="217" spans="2:23" x14ac:dyDescent="0.25">
      <c r="B217" s="577"/>
      <c r="E217" s="345"/>
      <c r="Q217" s="4"/>
      <c r="R217" s="4"/>
      <c r="S217" s="4"/>
      <c r="T217" s="4"/>
      <c r="U217" s="4"/>
      <c r="V217" s="4"/>
      <c r="W217" s="4"/>
    </row>
    <row r="218" spans="2:23" x14ac:dyDescent="0.25">
      <c r="B218" s="590" t="s">
        <v>510</v>
      </c>
      <c r="C218" t="s">
        <v>507</v>
      </c>
      <c r="D218" t="s">
        <v>508</v>
      </c>
      <c r="E218" s="345" t="s">
        <v>509</v>
      </c>
      <c r="Q218" s="4"/>
      <c r="R218" s="4"/>
      <c r="S218" s="4"/>
      <c r="T218" s="4"/>
      <c r="U218" s="4"/>
      <c r="V218" s="4"/>
      <c r="W218" s="4"/>
    </row>
    <row r="219" spans="2:23" x14ac:dyDescent="0.25">
      <c r="B219" s="591"/>
      <c r="C219" t="s">
        <v>589</v>
      </c>
      <c r="E219" s="345"/>
      <c r="Q219" s="4"/>
      <c r="R219" s="4"/>
      <c r="S219" s="4"/>
      <c r="T219" s="4"/>
      <c r="U219" s="4"/>
      <c r="V219" s="4"/>
      <c r="W219" s="4"/>
    </row>
    <row r="220" spans="2:23" x14ac:dyDescent="0.25">
      <c r="B220" s="577"/>
      <c r="E220" s="345"/>
      <c r="Q220" s="4"/>
      <c r="R220" s="4"/>
      <c r="S220" s="4"/>
      <c r="T220" s="4"/>
      <c r="U220" s="4"/>
      <c r="V220" s="4"/>
      <c r="W220" s="4"/>
    </row>
    <row r="221" spans="2:23" x14ac:dyDescent="0.25">
      <c r="B221" s="577"/>
      <c r="D221" s="148"/>
      <c r="E221" s="355"/>
      <c r="F221" s="148"/>
      <c r="G221" s="148"/>
      <c r="H221" s="148"/>
      <c r="I221" s="148"/>
      <c r="J221" s="148"/>
      <c r="K221" s="148"/>
      <c r="L221" s="148"/>
      <c r="M221" s="149"/>
      <c r="Q221" s="4"/>
      <c r="R221" s="4"/>
      <c r="S221" s="4"/>
      <c r="T221" s="4"/>
      <c r="U221" s="4"/>
      <c r="V221" s="4"/>
      <c r="W221" s="4"/>
    </row>
    <row r="222" spans="2:23" x14ac:dyDescent="0.25">
      <c r="B222" s="592" t="s">
        <v>457</v>
      </c>
      <c r="C222" s="148" t="s">
        <v>447</v>
      </c>
      <c r="D222" s="148" t="s">
        <v>448</v>
      </c>
      <c r="E222" s="355" t="s">
        <v>449</v>
      </c>
      <c r="F222" s="148" t="s">
        <v>450</v>
      </c>
      <c r="G222" s="148" t="s">
        <v>451</v>
      </c>
      <c r="H222" s="148" t="s">
        <v>452</v>
      </c>
      <c r="I222" s="148" t="s">
        <v>453</v>
      </c>
      <c r="J222" s="148" t="s">
        <v>454</v>
      </c>
      <c r="K222" s="148" t="s">
        <v>455</v>
      </c>
      <c r="L222" s="148" t="s">
        <v>456</v>
      </c>
      <c r="M222" s="149"/>
      <c r="Q222" s="4"/>
      <c r="R222" s="4"/>
      <c r="S222" s="4"/>
      <c r="T222" s="4"/>
      <c r="U222" s="4"/>
      <c r="V222" s="4"/>
      <c r="W222" s="4"/>
    </row>
    <row r="223" spans="2:23" x14ac:dyDescent="0.25">
      <c r="B223" s="591"/>
      <c r="C223" t="s">
        <v>551</v>
      </c>
      <c r="E223" s="345"/>
      <c r="Q223" s="4"/>
      <c r="R223" s="4"/>
      <c r="S223" s="4"/>
      <c r="T223" s="4"/>
      <c r="U223" s="4"/>
      <c r="V223" s="4"/>
      <c r="W223" s="4"/>
    </row>
    <row r="224" spans="2:23" x14ac:dyDescent="0.25">
      <c r="B224" s="577"/>
      <c r="C224" s="5"/>
      <c r="E224" s="345"/>
      <c r="H224" s="5"/>
      <c r="I224" s="6"/>
      <c r="J224" s="5"/>
      <c r="K224" s="5"/>
      <c r="L224" s="7"/>
      <c r="Q224" s="4"/>
      <c r="R224" s="4"/>
      <c r="S224" s="4"/>
      <c r="T224" s="4"/>
      <c r="U224" s="4"/>
      <c r="V224" s="4"/>
      <c r="W224" s="4"/>
    </row>
    <row r="225" spans="2:23" x14ac:dyDescent="0.25">
      <c r="B225" s="578"/>
      <c r="E225" s="345"/>
      <c r="Q225" s="4"/>
      <c r="R225" s="4"/>
      <c r="S225" s="4"/>
      <c r="T225" s="4"/>
      <c r="U225" s="4"/>
      <c r="V225" s="4"/>
      <c r="W225" s="4"/>
    </row>
    <row r="226" spans="2:23" x14ac:dyDescent="0.25">
      <c r="B226" s="592" t="s">
        <v>459</v>
      </c>
      <c r="C226" t="s">
        <v>460</v>
      </c>
      <c r="D226" t="s">
        <v>461</v>
      </c>
      <c r="E226" s="345" t="s">
        <v>462</v>
      </c>
      <c r="F226" t="s">
        <v>463</v>
      </c>
      <c r="G226" t="s">
        <v>464</v>
      </c>
      <c r="H226" t="s">
        <v>465</v>
      </c>
      <c r="I226" t="s">
        <v>466</v>
      </c>
      <c r="J226" t="s">
        <v>467</v>
      </c>
      <c r="K226" t="s">
        <v>468</v>
      </c>
      <c r="L226" t="s">
        <v>469</v>
      </c>
      <c r="M226" t="s">
        <v>470</v>
      </c>
      <c r="Q226" s="4"/>
      <c r="R226" s="4"/>
      <c r="S226" s="4"/>
      <c r="T226" s="4"/>
      <c r="U226" s="4"/>
      <c r="V226" s="4"/>
      <c r="W226" s="4"/>
    </row>
    <row r="227" spans="2:23" x14ac:dyDescent="0.25">
      <c r="B227" s="4"/>
      <c r="E227" s="345"/>
      <c r="Q227" s="4"/>
      <c r="R227" s="4"/>
      <c r="S227" s="4"/>
      <c r="T227" s="4"/>
      <c r="U227" s="4"/>
      <c r="V227" s="4"/>
      <c r="W227" s="4"/>
    </row>
    <row r="228" spans="2:23" x14ac:dyDescent="0.25">
      <c r="Q228" s="4"/>
      <c r="R228" s="4"/>
      <c r="S228" s="4"/>
      <c r="T228" s="4"/>
      <c r="U228" s="4"/>
      <c r="V228" s="4"/>
      <c r="W228" s="4"/>
    </row>
    <row r="229" spans="2:23" x14ac:dyDescent="0.25">
      <c r="Q229" s="4"/>
      <c r="R229" s="4"/>
      <c r="S229" s="4"/>
      <c r="T229" s="4"/>
      <c r="U229" s="4"/>
      <c r="V229" s="4"/>
      <c r="W229" s="4"/>
    </row>
    <row r="230" spans="2:23" x14ac:dyDescent="0.25">
      <c r="E230" s="356"/>
      <c r="F230" s="6"/>
      <c r="G230" s="5"/>
      <c r="H230" s="5"/>
      <c r="I230" s="7"/>
      <c r="L230" s="4"/>
      <c r="M230" s="4"/>
      <c r="N230" s="4"/>
      <c r="Q230" s="4"/>
      <c r="R230" s="4"/>
      <c r="S230" s="4"/>
      <c r="T230" s="4"/>
      <c r="U230" s="4"/>
      <c r="V230" s="4"/>
      <c r="W230" s="4"/>
    </row>
    <row r="231" spans="2:23" x14ac:dyDescent="0.25">
      <c r="B231" s="5"/>
      <c r="C231" s="5"/>
      <c r="E231" s="345"/>
      <c r="H231" s="5"/>
      <c r="I231" s="6"/>
      <c r="J231" s="5"/>
      <c r="K231" s="5"/>
      <c r="L231" s="7"/>
      <c r="Q231" s="4"/>
      <c r="R231" s="4"/>
      <c r="S231" s="4"/>
      <c r="T231" s="4"/>
      <c r="U231" s="4"/>
      <c r="V231" s="4"/>
      <c r="W231" s="4"/>
    </row>
    <row r="232" spans="2:23" x14ac:dyDescent="0.25">
      <c r="B232" s="5"/>
      <c r="C232" s="5"/>
      <c r="E232" s="345"/>
      <c r="H232" s="5"/>
      <c r="I232" s="6"/>
      <c r="J232" s="5"/>
      <c r="K232" s="5"/>
      <c r="L232" s="7"/>
      <c r="O232" s="4"/>
      <c r="P232" s="4"/>
      <c r="Q232" s="4"/>
      <c r="R232" s="4"/>
      <c r="S232" s="4"/>
      <c r="T232" s="4"/>
      <c r="U232" s="4"/>
      <c r="V232" s="4"/>
      <c r="W232" s="4"/>
    </row>
    <row r="233" spans="2:23" x14ac:dyDescent="0.25">
      <c r="B233" s="5"/>
      <c r="C233" s="5"/>
      <c r="E233" s="345"/>
      <c r="H233" s="5"/>
      <c r="I233" s="6"/>
      <c r="J233" s="5"/>
      <c r="K233" s="5"/>
      <c r="L233" s="7"/>
      <c r="O233" s="4"/>
      <c r="P233" s="4"/>
      <c r="Q233" s="4"/>
      <c r="R233" s="4"/>
      <c r="S233" s="4"/>
      <c r="T233" s="4"/>
      <c r="U233" s="4"/>
      <c r="V233" s="4"/>
      <c r="W233" s="4"/>
    </row>
    <row r="234" spans="2:23" x14ac:dyDescent="0.25">
      <c r="B234" s="5"/>
      <c r="C234" s="5"/>
      <c r="E234" s="345"/>
      <c r="H234" s="5"/>
      <c r="I234" s="6"/>
      <c r="J234" s="5"/>
      <c r="K234" s="5"/>
      <c r="L234" s="7"/>
      <c r="O234" s="4"/>
      <c r="P234" s="4"/>
      <c r="Q234" s="4"/>
      <c r="R234" s="4"/>
      <c r="S234" s="4"/>
      <c r="T234" s="4"/>
      <c r="U234" s="4"/>
      <c r="V234" s="4"/>
      <c r="W234" s="4"/>
    </row>
    <row r="235" spans="2:23" x14ac:dyDescent="0.25">
      <c r="B235" s="5"/>
      <c r="C235" s="5"/>
      <c r="E235" s="345"/>
      <c r="H235" s="5"/>
      <c r="I235" s="6"/>
      <c r="J235" s="5"/>
      <c r="K235" s="5"/>
      <c r="L235" s="7"/>
      <c r="O235" s="4"/>
      <c r="P235" s="4"/>
      <c r="Q235" s="4"/>
      <c r="R235" s="4"/>
      <c r="S235" s="4"/>
      <c r="T235" s="4"/>
      <c r="U235" s="4"/>
      <c r="V235" s="4"/>
      <c r="W235" s="4"/>
    </row>
    <row r="236" spans="2:23" x14ac:dyDescent="0.25">
      <c r="B236" s="5"/>
      <c r="C236" s="5"/>
      <c r="E236" s="345"/>
      <c r="H236" s="5"/>
      <c r="I236" s="6"/>
      <c r="J236" s="5"/>
      <c r="K236" s="5"/>
      <c r="L236" s="7"/>
      <c r="O236" s="4"/>
      <c r="P236" s="4"/>
      <c r="Q236" s="4"/>
      <c r="R236" s="4"/>
      <c r="S236" s="4"/>
      <c r="T236" s="4"/>
      <c r="U236" s="4"/>
      <c r="V236" s="4"/>
      <c r="W236" s="4"/>
    </row>
    <row r="237" spans="2:23" x14ac:dyDescent="0.25">
      <c r="B237" s="5"/>
      <c r="C237" s="5"/>
      <c r="E237" s="345"/>
      <c r="H237" s="5"/>
      <c r="I237" s="6"/>
      <c r="J237" s="5"/>
      <c r="K237" s="5"/>
      <c r="L237" s="7"/>
      <c r="O237" s="4"/>
      <c r="P237" s="4"/>
      <c r="Q237" s="4"/>
      <c r="R237" s="4"/>
      <c r="S237" s="4"/>
      <c r="T237" s="4"/>
      <c r="U237" s="4"/>
      <c r="V237" s="4"/>
      <c r="W237" s="4"/>
    </row>
  </sheetData>
  <sheetProtection algorithmName="SHA-256" hashValue="VIp/WSXyMPVxRxnWRveIdMfL/OhzanXANAkkMCK+qe8=" saltValue="XOJbUnF40wi23JOj5Q6SDg==" spinCount="100000" sheet="1" objects="1" scenarios="1" formatCells="0" insertRows="0" deleteRows="0"/>
  <mergeCells count="25">
    <mergeCell ref="BP32:CK32"/>
    <mergeCell ref="BP33:CK33"/>
    <mergeCell ref="BP34:CK34"/>
    <mergeCell ref="K35:K39"/>
    <mergeCell ref="K43:K44"/>
    <mergeCell ref="K32:K34"/>
    <mergeCell ref="AK32:BF32"/>
    <mergeCell ref="AK33:BF33"/>
    <mergeCell ref="AK34:BF34"/>
    <mergeCell ref="B207:B212"/>
    <mergeCell ref="B198:B199"/>
    <mergeCell ref="B31:B54"/>
    <mergeCell ref="B99:B106"/>
    <mergeCell ref="B109:B114"/>
    <mergeCell ref="B190:B191"/>
    <mergeCell ref="B194:B195"/>
    <mergeCell ref="B159:B173"/>
    <mergeCell ref="B5:B27"/>
    <mergeCell ref="B175:B176"/>
    <mergeCell ref="B178:B183"/>
    <mergeCell ref="B64:B77"/>
    <mergeCell ref="B134:B149"/>
    <mergeCell ref="B83:B96"/>
    <mergeCell ref="B151:B157"/>
    <mergeCell ref="B117:B131"/>
  </mergeCells>
  <pageMargins left="0.7" right="0.7" top="0.75" bottom="0.75" header="0.3" footer="0.3"/>
  <pageSetup paperSize="9" orientation="portrait" r:id="rId1"/>
  <headerFooter>
    <oddFooter>&amp;C_x000D_&amp;1#&amp;"Aptos"&amp;10&amp;K008000 APA-INTERNAL</oddFooter>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3">
    <tabColor theme="1"/>
  </sheetPr>
  <dimension ref="A1:AO90"/>
  <sheetViews>
    <sheetView showGridLines="0" zoomScale="85" zoomScaleNormal="85" workbookViewId="0">
      <selection activeCell="L33" sqref="L33"/>
    </sheetView>
  </sheetViews>
  <sheetFormatPr defaultColWidth="9.140625" defaultRowHeight="15" x14ac:dyDescent="0.25"/>
  <cols>
    <col min="1" max="1" width="16.7109375" customWidth="1"/>
    <col min="2" max="2" width="33.85546875" style="5" customWidth="1"/>
    <col min="3" max="3" width="60.5703125" style="5" customWidth="1"/>
    <col min="4" max="4" width="38.85546875" customWidth="1"/>
    <col min="5" max="5" width="30.7109375" style="345" customWidth="1"/>
    <col min="6" max="6" width="24.7109375" customWidth="1"/>
    <col min="7" max="7" width="27.28515625" customWidth="1"/>
    <col min="8" max="8" width="32.140625" style="5" customWidth="1"/>
    <col min="9" max="9" width="21.85546875" style="6" customWidth="1"/>
    <col min="10" max="10" width="29.28515625" style="5" customWidth="1"/>
    <col min="11" max="11" width="31.42578125" style="5" customWidth="1"/>
    <col min="12" max="12" width="31.140625" style="7" customWidth="1"/>
    <col min="13" max="13" width="31.42578125" customWidth="1"/>
    <col min="14" max="14" width="21" customWidth="1"/>
    <col min="15" max="15" width="39" style="4" customWidth="1"/>
    <col min="16" max="17" width="24" style="4" customWidth="1"/>
    <col min="18" max="19" width="25" style="4" customWidth="1"/>
    <col min="20" max="20" width="28.28515625" style="4" customWidth="1"/>
    <col min="21" max="22" width="25.7109375" style="4" customWidth="1"/>
    <col min="23" max="23" width="26.85546875" style="4" customWidth="1"/>
    <col min="24" max="24" width="26.42578125" customWidth="1"/>
    <col min="25" max="25" width="37.85546875" customWidth="1"/>
    <col min="26" max="26" width="34" customWidth="1"/>
    <col min="27" max="27" width="39.5703125" customWidth="1"/>
    <col min="28" max="28" width="33.28515625" customWidth="1"/>
    <col min="29" max="29" width="22.140625" customWidth="1"/>
    <col min="30" max="30" width="27" customWidth="1"/>
    <col min="31" max="31" width="30.7109375" customWidth="1"/>
    <col min="32" max="32" width="30.140625" customWidth="1"/>
    <col min="33" max="33" width="34.28515625" customWidth="1"/>
    <col min="34" max="34" width="30.7109375" customWidth="1"/>
    <col min="35" max="35" width="27.85546875" customWidth="1"/>
    <col min="36" max="36" width="28.85546875" customWidth="1"/>
    <col min="37" max="37" width="28.5703125" customWidth="1"/>
    <col min="38" max="38" width="27.85546875" customWidth="1"/>
    <col min="39" max="39" width="30" customWidth="1"/>
    <col min="40" max="40" width="36.42578125" customWidth="1"/>
    <col min="41" max="41" width="28.5703125" customWidth="1"/>
  </cols>
  <sheetData>
    <row r="1" spans="1:41" ht="51" customHeight="1" x14ac:dyDescent="0.25">
      <c r="B1" s="629" t="s">
        <v>874</v>
      </c>
      <c r="C1" s="628"/>
      <c r="D1" s="628"/>
      <c r="E1" s="628"/>
      <c r="F1" s="628"/>
      <c r="G1" s="628"/>
      <c r="H1" s="628"/>
      <c r="I1" s="628"/>
      <c r="J1" s="628"/>
      <c r="K1" s="628"/>
      <c r="L1" s="628"/>
      <c r="M1" s="628"/>
      <c r="N1" s="628"/>
      <c r="O1" s="628"/>
      <c r="P1" s="628"/>
      <c r="Q1" s="628"/>
      <c r="R1" s="628"/>
      <c r="S1" s="628"/>
      <c r="T1" s="628"/>
      <c r="U1" s="628"/>
      <c r="V1" s="628"/>
      <c r="W1" s="628"/>
      <c r="X1" s="628"/>
      <c r="Y1" s="628"/>
      <c r="Z1" s="628"/>
      <c r="AA1" s="628"/>
      <c r="AB1" s="628"/>
      <c r="AC1" s="628"/>
      <c r="AD1" s="628"/>
      <c r="AE1" s="628"/>
      <c r="AF1" s="628"/>
      <c r="AG1" s="628"/>
      <c r="AH1" s="628"/>
      <c r="AI1" s="628"/>
      <c r="AJ1" s="628"/>
      <c r="AK1" s="628"/>
      <c r="AL1" s="628"/>
      <c r="AM1" s="628"/>
      <c r="AN1" s="628"/>
      <c r="AO1" s="628"/>
    </row>
    <row r="2" spans="1:41" ht="24.75" customHeight="1" x14ac:dyDescent="0.25">
      <c r="B2"/>
      <c r="C2"/>
      <c r="E2"/>
      <c r="H2"/>
      <c r="I2"/>
      <c r="J2"/>
      <c r="K2"/>
      <c r="L2"/>
      <c r="O2"/>
      <c r="P2"/>
      <c r="Q2"/>
      <c r="R2"/>
      <c r="S2"/>
      <c r="T2"/>
      <c r="U2"/>
      <c r="V2"/>
      <c r="W2"/>
    </row>
    <row r="3" spans="1:41" ht="15" customHeight="1" x14ac:dyDescent="0.25">
      <c r="B3" s="757" t="s">
        <v>0</v>
      </c>
      <c r="C3" s="756"/>
      <c r="D3" s="756"/>
      <c r="E3" s="756"/>
      <c r="F3" s="756"/>
      <c r="G3" s="756"/>
      <c r="H3"/>
      <c r="I3"/>
      <c r="J3"/>
      <c r="K3"/>
      <c r="L3"/>
    </row>
    <row r="4" spans="1:41" x14ac:dyDescent="0.25">
      <c r="B4" s="185" t="s">
        <v>1</v>
      </c>
      <c r="C4" s="187">
        <v>42751</v>
      </c>
      <c r="D4" s="186" t="s">
        <v>2</v>
      </c>
      <c r="E4" s="188"/>
      <c r="F4" s="186"/>
      <c r="G4" s="186"/>
      <c r="H4"/>
      <c r="I4"/>
      <c r="J4"/>
      <c r="K4"/>
      <c r="L4"/>
    </row>
    <row r="5" spans="1:41" x14ac:dyDescent="0.25">
      <c r="B5" s="185"/>
      <c r="C5" s="187">
        <v>42660</v>
      </c>
      <c r="D5" s="186" t="s">
        <v>3</v>
      </c>
      <c r="E5" s="188"/>
      <c r="F5" s="186"/>
      <c r="G5" s="186"/>
      <c r="H5"/>
      <c r="I5"/>
      <c r="J5"/>
      <c r="K5"/>
      <c r="L5"/>
    </row>
    <row r="6" spans="1:41" x14ac:dyDescent="0.25">
      <c r="B6" s="185"/>
      <c r="C6" s="187">
        <v>42767</v>
      </c>
      <c r="D6" s="186" t="s">
        <v>4</v>
      </c>
      <c r="E6" s="188"/>
      <c r="F6" s="186"/>
      <c r="G6" s="186"/>
      <c r="H6"/>
      <c r="I6"/>
      <c r="J6"/>
      <c r="K6"/>
      <c r="L6"/>
    </row>
    <row r="7" spans="1:41" x14ac:dyDescent="0.25">
      <c r="B7" s="186"/>
      <c r="C7" s="187">
        <v>42797</v>
      </c>
      <c r="D7" s="186" t="s">
        <v>5</v>
      </c>
      <c r="E7" s="188"/>
      <c r="F7" s="186"/>
      <c r="G7" s="186"/>
      <c r="H7"/>
      <c r="I7"/>
      <c r="J7"/>
      <c r="K7"/>
      <c r="L7"/>
    </row>
    <row r="8" spans="1:41" x14ac:dyDescent="0.25">
      <c r="B8" s="186"/>
      <c r="C8" s="187">
        <v>43187</v>
      </c>
      <c r="D8" s="186" t="s">
        <v>424</v>
      </c>
      <c r="E8" s="188"/>
      <c r="F8" s="186"/>
      <c r="G8" s="186"/>
      <c r="H8"/>
      <c r="I8"/>
      <c r="J8"/>
      <c r="K8"/>
      <c r="L8"/>
      <c r="N8" s="4"/>
      <c r="W8"/>
    </row>
    <row r="9" spans="1:41" x14ac:dyDescent="0.25">
      <c r="B9" s="186"/>
      <c r="C9" s="186" t="s">
        <v>435</v>
      </c>
      <c r="D9" s="188">
        <v>5</v>
      </c>
      <c r="E9" s="188"/>
      <c r="F9" s="186"/>
      <c r="G9" s="186"/>
      <c r="H9"/>
      <c r="I9"/>
      <c r="J9"/>
      <c r="K9"/>
      <c r="L9"/>
      <c r="N9" s="4"/>
      <c r="W9"/>
    </row>
    <row r="10" spans="1:41" x14ac:dyDescent="0.25">
      <c r="B10" s="186"/>
      <c r="C10" s="186"/>
      <c r="D10" s="188"/>
      <c r="E10" s="188"/>
      <c r="F10" s="186"/>
      <c r="G10" s="186"/>
      <c r="H10"/>
      <c r="I10"/>
      <c r="J10"/>
      <c r="K10"/>
      <c r="L10"/>
      <c r="N10" s="4"/>
      <c r="W10"/>
    </row>
    <row r="11" spans="1:41" ht="15.75" thickBot="1" x14ac:dyDescent="0.3">
      <c r="C11" s="8"/>
      <c r="E11"/>
      <c r="F11" s="345"/>
      <c r="H11"/>
      <c r="I11" s="5"/>
      <c r="J11" s="6"/>
      <c r="L11" s="5"/>
      <c r="M11" s="7"/>
    </row>
    <row r="12" spans="1:41" s="339" customFormat="1" ht="40.5" customHeight="1" thickBot="1" x14ac:dyDescent="0.3">
      <c r="A12" s="343"/>
      <c r="B12" s="1332" t="s">
        <v>10</v>
      </c>
      <c r="C12" s="1333" t="s">
        <v>11</v>
      </c>
      <c r="D12" s="1333" t="s">
        <v>12</v>
      </c>
      <c r="E12" s="1337" t="s">
        <v>1142</v>
      </c>
      <c r="F12" s="777" t="s">
        <v>13</v>
      </c>
      <c r="G12" s="778" t="s">
        <v>14</v>
      </c>
      <c r="H12" s="778" t="s">
        <v>15</v>
      </c>
      <c r="I12" s="778" t="s">
        <v>16</v>
      </c>
      <c r="J12" s="778" t="s">
        <v>17</v>
      </c>
      <c r="K12" s="778" t="s">
        <v>18</v>
      </c>
      <c r="L12" s="779" t="s">
        <v>19</v>
      </c>
      <c r="M12" s="780" t="s">
        <v>20</v>
      </c>
      <c r="N12" s="780" t="s">
        <v>683</v>
      </c>
      <c r="O12" s="781" t="s">
        <v>21</v>
      </c>
      <c r="P12" s="782" t="s">
        <v>22</v>
      </c>
      <c r="Q12" s="783" t="s">
        <v>23</v>
      </c>
      <c r="R12" s="783" t="s">
        <v>24</v>
      </c>
      <c r="S12" s="783" t="s">
        <v>25</v>
      </c>
      <c r="T12" s="783" t="s">
        <v>26</v>
      </c>
      <c r="U12" s="784" t="s">
        <v>27</v>
      </c>
      <c r="V12" s="784" t="s">
        <v>28</v>
      </c>
      <c r="W12" s="784" t="s">
        <v>29</v>
      </c>
      <c r="X12" s="784" t="s">
        <v>30</v>
      </c>
      <c r="Y12" s="784" t="s">
        <v>31</v>
      </c>
      <c r="Z12" s="786" t="s">
        <v>32</v>
      </c>
      <c r="AA12" s="786" t="s">
        <v>33</v>
      </c>
      <c r="AB12" s="786" t="s">
        <v>34</v>
      </c>
      <c r="AC12" s="786" t="s">
        <v>35</v>
      </c>
      <c r="AD12" s="786" t="s">
        <v>36</v>
      </c>
      <c r="AE12" s="786" t="s">
        <v>38</v>
      </c>
      <c r="AF12" s="786" t="s">
        <v>39</v>
      </c>
      <c r="AG12" s="786" t="s">
        <v>40</v>
      </c>
      <c r="AH12" s="786" t="s">
        <v>41</v>
      </c>
      <c r="AI12" s="785" t="s">
        <v>42</v>
      </c>
      <c r="AJ12" s="1334" t="s">
        <v>37</v>
      </c>
      <c r="AK12" s="1306" t="s">
        <v>491</v>
      </c>
      <c r="AL12" s="1307" t="s">
        <v>43</v>
      </c>
    </row>
    <row r="13" spans="1:41" x14ac:dyDescent="0.25">
      <c r="B13" s="1162" t="s">
        <v>61</v>
      </c>
      <c r="C13" s="18" t="s">
        <v>1150</v>
      </c>
      <c r="D13" s="19" t="s">
        <v>1155</v>
      </c>
      <c r="E13" s="1329" t="s">
        <v>1143</v>
      </c>
      <c r="F13" s="347" t="s">
        <v>62</v>
      </c>
      <c r="G13" s="13" t="s">
        <v>53</v>
      </c>
      <c r="H13" s="13" t="s">
        <v>57</v>
      </c>
      <c r="I13" s="10" t="s">
        <v>1149</v>
      </c>
      <c r="J13" s="11" t="s">
        <v>49</v>
      </c>
      <c r="K13" s="10" t="s">
        <v>50</v>
      </c>
      <c r="L13" s="765">
        <v>5</v>
      </c>
      <c r="M13" s="763">
        <v>5</v>
      </c>
      <c r="N13" s="764">
        <v>5</v>
      </c>
      <c r="O13" s="759" t="s">
        <v>55</v>
      </c>
      <c r="P13" s="14" t="s">
        <v>63</v>
      </c>
      <c r="Q13" s="16" t="s">
        <v>64</v>
      </c>
      <c r="R13" s="16" t="s">
        <v>65</v>
      </c>
      <c r="S13" s="16" t="s">
        <v>66</v>
      </c>
      <c r="T13" s="843">
        <v>2000</v>
      </c>
      <c r="U13" s="14" t="s">
        <v>63</v>
      </c>
      <c r="V13" s="16" t="s">
        <v>64</v>
      </c>
      <c r="W13" s="16" t="s">
        <v>65</v>
      </c>
      <c r="X13" s="16" t="s">
        <v>66</v>
      </c>
      <c r="Y13" s="843">
        <v>2000</v>
      </c>
      <c r="Z13" s="259" t="s">
        <v>51</v>
      </c>
      <c r="AA13" s="261" t="s">
        <v>51</v>
      </c>
      <c r="AB13" s="261" t="s">
        <v>51</v>
      </c>
      <c r="AC13" s="261" t="s">
        <v>51</v>
      </c>
      <c r="AD13" s="261" t="s">
        <v>51</v>
      </c>
      <c r="AE13" s="259" t="s">
        <v>7</v>
      </c>
      <c r="AF13" s="261" t="s">
        <v>8</v>
      </c>
      <c r="AG13" s="261" t="s">
        <v>9</v>
      </c>
      <c r="AH13" s="260" t="s">
        <v>52</v>
      </c>
      <c r="AI13" s="259"/>
      <c r="AJ13" s="1335" t="s">
        <v>1148</v>
      </c>
      <c r="AK13" s="1308" t="s">
        <v>51</v>
      </c>
      <c r="AL13" s="1309" t="s">
        <v>61</v>
      </c>
    </row>
    <row r="14" spans="1:41" x14ac:dyDescent="0.25">
      <c r="B14" s="1162" t="s">
        <v>67</v>
      </c>
      <c r="C14" s="18" t="s">
        <v>1151</v>
      </c>
      <c r="D14" s="19" t="s">
        <v>1152</v>
      </c>
      <c r="E14" s="1329" t="s">
        <v>1144</v>
      </c>
      <c r="F14" s="346" t="s">
        <v>56</v>
      </c>
      <c r="G14" s="9" t="s">
        <v>53</v>
      </c>
      <c r="H14" s="9" t="s">
        <v>57</v>
      </c>
      <c r="I14" s="17" t="s">
        <v>54</v>
      </c>
      <c r="J14" s="11" t="s">
        <v>58</v>
      </c>
      <c r="K14" s="10" t="s">
        <v>59</v>
      </c>
      <c r="L14" s="766">
        <v>5</v>
      </c>
      <c r="M14" s="761">
        <v>5</v>
      </c>
      <c r="N14" s="762">
        <v>5</v>
      </c>
      <c r="O14" s="758" t="s">
        <v>55</v>
      </c>
      <c r="P14" s="12" t="s">
        <v>63</v>
      </c>
      <c r="Q14" s="15" t="s">
        <v>64</v>
      </c>
      <c r="R14" s="15" t="s">
        <v>65</v>
      </c>
      <c r="S14" s="15" t="s">
        <v>66</v>
      </c>
      <c r="T14" s="842">
        <v>2000</v>
      </c>
      <c r="U14" s="12" t="s">
        <v>68</v>
      </c>
      <c r="V14" s="15"/>
      <c r="W14" s="15" t="s">
        <v>69</v>
      </c>
      <c r="X14" s="15" t="s">
        <v>66</v>
      </c>
      <c r="Y14" s="842">
        <v>1225</v>
      </c>
      <c r="Z14" s="257" t="s">
        <v>51</v>
      </c>
      <c r="AA14" s="262" t="s">
        <v>51</v>
      </c>
      <c r="AB14" s="262" t="s">
        <v>51</v>
      </c>
      <c r="AC14" s="262" t="s">
        <v>51</v>
      </c>
      <c r="AD14" s="262" t="s">
        <v>51</v>
      </c>
      <c r="AE14" s="257" t="s">
        <v>7</v>
      </c>
      <c r="AF14" s="262" t="s">
        <v>8</v>
      </c>
      <c r="AG14" s="262" t="s">
        <v>9</v>
      </c>
      <c r="AH14" s="258" t="s">
        <v>52</v>
      </c>
      <c r="AI14" s="257"/>
      <c r="AJ14" s="1336" t="s">
        <v>1148</v>
      </c>
      <c r="AK14" s="1310" t="s">
        <v>51</v>
      </c>
      <c r="AL14" s="1309" t="s">
        <v>67</v>
      </c>
    </row>
    <row r="15" spans="1:41" x14ac:dyDescent="0.25">
      <c r="B15" s="1162" t="s">
        <v>1139</v>
      </c>
      <c r="C15" s="18" t="s">
        <v>1140</v>
      </c>
      <c r="D15" s="19" t="s">
        <v>1152</v>
      </c>
      <c r="E15" s="1329" t="s">
        <v>1145</v>
      </c>
      <c r="F15" s="346" t="s">
        <v>56</v>
      </c>
      <c r="G15" s="9" t="s">
        <v>53</v>
      </c>
      <c r="H15" s="9" t="s">
        <v>57</v>
      </c>
      <c r="I15" s="17" t="s">
        <v>1149</v>
      </c>
      <c r="J15" s="11" t="s">
        <v>49</v>
      </c>
      <c r="K15" s="10" t="s">
        <v>50</v>
      </c>
      <c r="L15" s="766">
        <v>5</v>
      </c>
      <c r="M15" s="761">
        <v>5</v>
      </c>
      <c r="N15" s="762">
        <v>5</v>
      </c>
      <c r="O15" s="758" t="s">
        <v>55</v>
      </c>
      <c r="P15" s="12" t="s">
        <v>63</v>
      </c>
      <c r="Q15" s="15" t="s">
        <v>64</v>
      </c>
      <c r="R15" s="15" t="s">
        <v>65</v>
      </c>
      <c r="S15" s="15" t="s">
        <v>66</v>
      </c>
      <c r="T15" s="842">
        <v>2000</v>
      </c>
      <c r="U15" s="12" t="s">
        <v>68</v>
      </c>
      <c r="V15" s="15"/>
      <c r="W15" s="15" t="s">
        <v>69</v>
      </c>
      <c r="X15" s="15" t="s">
        <v>66</v>
      </c>
      <c r="Y15" s="842">
        <v>1225</v>
      </c>
      <c r="Z15" s="257" t="s">
        <v>51</v>
      </c>
      <c r="AA15" s="262" t="s">
        <v>51</v>
      </c>
      <c r="AB15" s="262" t="s">
        <v>51</v>
      </c>
      <c r="AC15" s="262" t="s">
        <v>51</v>
      </c>
      <c r="AD15" s="262" t="s">
        <v>51</v>
      </c>
      <c r="AE15" s="257" t="s">
        <v>7</v>
      </c>
      <c r="AF15" s="262" t="s">
        <v>8</v>
      </c>
      <c r="AG15" s="262" t="s">
        <v>9</v>
      </c>
      <c r="AH15" s="258" t="s">
        <v>52</v>
      </c>
      <c r="AI15" s="257"/>
      <c r="AJ15" s="1336" t="s">
        <v>51</v>
      </c>
      <c r="AK15" s="1310" t="s">
        <v>51</v>
      </c>
      <c r="AL15" s="1309" t="s">
        <v>1139</v>
      </c>
    </row>
    <row r="16" spans="1:41" x14ac:dyDescent="0.25">
      <c r="B16" s="1163" t="s">
        <v>1069</v>
      </c>
      <c r="C16" s="20" t="s">
        <v>1069</v>
      </c>
      <c r="D16" s="21">
        <v>11222333444</v>
      </c>
      <c r="E16" s="1330" t="s">
        <v>1146</v>
      </c>
      <c r="F16" s="348" t="s">
        <v>66</v>
      </c>
      <c r="G16" s="22" t="s">
        <v>53</v>
      </c>
      <c r="H16" s="22" t="s">
        <v>57</v>
      </c>
      <c r="I16" s="22" t="s">
        <v>1149</v>
      </c>
      <c r="J16" s="23" t="s">
        <v>49</v>
      </c>
      <c r="K16" s="22" t="s">
        <v>50</v>
      </c>
      <c r="L16" s="767">
        <v>5</v>
      </c>
      <c r="M16" s="763">
        <v>5</v>
      </c>
      <c r="N16" s="764">
        <v>5</v>
      </c>
      <c r="O16" s="760">
        <v>5</v>
      </c>
      <c r="P16" s="24" t="s">
        <v>73</v>
      </c>
      <c r="Q16" s="25"/>
      <c r="R16" s="25" t="s">
        <v>65</v>
      </c>
      <c r="S16" s="25" t="s">
        <v>66</v>
      </c>
      <c r="T16" s="844">
        <v>2000</v>
      </c>
      <c r="U16" s="24" t="s">
        <v>74</v>
      </c>
      <c r="V16" s="25"/>
      <c r="W16" s="25" t="s">
        <v>65</v>
      </c>
      <c r="X16" s="25" t="s">
        <v>66</v>
      </c>
      <c r="Y16" s="844">
        <v>2000</v>
      </c>
      <c r="Z16" s="259" t="s">
        <v>51</v>
      </c>
      <c r="AA16" s="261" t="s">
        <v>51</v>
      </c>
      <c r="AB16" s="261" t="s">
        <v>51</v>
      </c>
      <c r="AC16" s="261" t="s">
        <v>51</v>
      </c>
      <c r="AD16" s="261" t="s">
        <v>51</v>
      </c>
      <c r="AE16" s="259" t="s">
        <v>7</v>
      </c>
      <c r="AF16" s="261" t="s">
        <v>8</v>
      </c>
      <c r="AG16" s="261" t="s">
        <v>9</v>
      </c>
      <c r="AH16" s="260" t="s">
        <v>52</v>
      </c>
      <c r="AI16" s="259"/>
      <c r="AJ16" s="1336" t="s">
        <v>51</v>
      </c>
      <c r="AK16" s="1308" t="s">
        <v>51</v>
      </c>
      <c r="AL16" s="1311" t="s">
        <v>1069</v>
      </c>
    </row>
    <row r="17" spans="2:38" ht="15.75" thickBot="1" x14ac:dyDescent="0.3">
      <c r="B17" s="1162" t="s">
        <v>88</v>
      </c>
      <c r="C17" s="18" t="s">
        <v>89</v>
      </c>
      <c r="D17" s="19" t="s">
        <v>90</v>
      </c>
      <c r="E17" s="1331" t="s">
        <v>1147</v>
      </c>
      <c r="F17" s="1312" t="s">
        <v>77</v>
      </c>
      <c r="G17" s="1313" t="s">
        <v>53</v>
      </c>
      <c r="H17" s="1313" t="s">
        <v>57</v>
      </c>
      <c r="I17" s="1314" t="s">
        <v>1149</v>
      </c>
      <c r="J17" s="1315" t="s">
        <v>49</v>
      </c>
      <c r="K17" s="1316" t="s">
        <v>50</v>
      </c>
      <c r="L17" s="1317">
        <v>5</v>
      </c>
      <c r="M17" s="1318">
        <v>5</v>
      </c>
      <c r="N17" s="1319">
        <v>5</v>
      </c>
      <c r="O17" s="1320" t="s">
        <v>55</v>
      </c>
      <c r="P17" s="1321" t="s">
        <v>64</v>
      </c>
      <c r="Q17" s="1322"/>
      <c r="R17" s="1322" t="s">
        <v>65</v>
      </c>
      <c r="S17" s="1322" t="s">
        <v>66</v>
      </c>
      <c r="T17" s="1323">
        <v>2000</v>
      </c>
      <c r="U17" s="1321" t="s">
        <v>68</v>
      </c>
      <c r="V17" s="1322"/>
      <c r="W17" s="1322" t="s">
        <v>69</v>
      </c>
      <c r="X17" s="1322" t="s">
        <v>66</v>
      </c>
      <c r="Y17" s="1323">
        <v>1225</v>
      </c>
      <c r="Z17" s="1324" t="s">
        <v>51</v>
      </c>
      <c r="AA17" s="1325" t="s">
        <v>51</v>
      </c>
      <c r="AB17" s="1325" t="s">
        <v>51</v>
      </c>
      <c r="AC17" s="1325" t="s">
        <v>51</v>
      </c>
      <c r="AD17" s="1325" t="s">
        <v>51</v>
      </c>
      <c r="AE17" s="1324" t="s">
        <v>7</v>
      </c>
      <c r="AF17" s="1325" t="s">
        <v>8</v>
      </c>
      <c r="AG17" s="1325" t="s">
        <v>9</v>
      </c>
      <c r="AH17" s="1326" t="s">
        <v>52</v>
      </c>
      <c r="AI17" s="1324"/>
      <c r="AJ17" s="1336" t="s">
        <v>51</v>
      </c>
      <c r="AK17" s="1327" t="s">
        <v>51</v>
      </c>
      <c r="AL17" s="1328" t="s">
        <v>88</v>
      </c>
    </row>
    <row r="18" spans="2:38" x14ac:dyDescent="0.25">
      <c r="C18" s="8"/>
      <c r="X18" s="4"/>
    </row>
    <row r="19" spans="2:38" x14ac:dyDescent="0.25">
      <c r="C19" s="8"/>
      <c r="X19" s="4"/>
    </row>
    <row r="20" spans="2:38" ht="15.75" thickBot="1" x14ac:dyDescent="0.3">
      <c r="C20" s="8"/>
      <c r="H20"/>
      <c r="I20"/>
      <c r="J20"/>
      <c r="K20"/>
      <c r="X20" s="4"/>
    </row>
    <row r="21" spans="2:38" ht="47.45" customHeight="1" thickBot="1" x14ac:dyDescent="0.3">
      <c r="B21" s="1559" t="s">
        <v>96</v>
      </c>
      <c r="C21" s="1560"/>
      <c r="D21" s="1560"/>
      <c r="E21" s="1560"/>
      <c r="H21"/>
      <c r="I21"/>
      <c r="J21"/>
      <c r="K21"/>
      <c r="L21" s="5"/>
      <c r="M21" s="5"/>
      <c r="N21" s="7"/>
      <c r="O21"/>
      <c r="P21"/>
      <c r="X21" s="4"/>
      <c r="Y21" s="4"/>
      <c r="Z21" s="4"/>
    </row>
    <row r="22" spans="2:38" ht="31.5" customHeight="1" thickBot="1" x14ac:dyDescent="0.3">
      <c r="B22" s="787" t="s">
        <v>101</v>
      </c>
      <c r="C22" s="788" t="s">
        <v>688</v>
      </c>
      <c r="D22" s="789" t="s">
        <v>503</v>
      </c>
      <c r="E22" s="790" t="s">
        <v>785</v>
      </c>
      <c r="H22"/>
      <c r="I22"/>
      <c r="J22"/>
      <c r="K22"/>
      <c r="L22" s="27"/>
      <c r="M22" s="27"/>
      <c r="N22" s="28"/>
      <c r="O22"/>
      <c r="P22"/>
      <c r="X22" s="4"/>
      <c r="Y22" s="4"/>
      <c r="Z22" s="4"/>
    </row>
    <row r="23" spans="2:38" x14ac:dyDescent="0.25">
      <c r="B23" s="791" t="s">
        <v>122</v>
      </c>
      <c r="C23" s="791" t="s">
        <v>689</v>
      </c>
      <c r="D23" s="792" t="str">
        <f>IF(dms_MultiYear_ResponseFlag="yes","NEW HISTORICAL ANNUAL REPORTING","ANNUAL REPORTING")</f>
        <v>ANNUAL REPORTING</v>
      </c>
      <c r="E23" s="793">
        <v>1</v>
      </c>
      <c r="H23"/>
      <c r="I23"/>
      <c r="J23"/>
      <c r="K23"/>
      <c r="L23" s="5"/>
      <c r="M23" s="5"/>
      <c r="N23" s="7"/>
      <c r="O23"/>
      <c r="P23"/>
      <c r="X23" s="4"/>
      <c r="Y23" s="4"/>
      <c r="Z23" s="4"/>
    </row>
    <row r="24" spans="2:38" x14ac:dyDescent="0.25">
      <c r="B24" s="794" t="s">
        <v>135</v>
      </c>
      <c r="C24" s="794" t="s">
        <v>690</v>
      </c>
      <c r="D24" s="795" t="str">
        <f>IF(dms_MultiYear_ResponseFlag="yes","NEW HISTORICAL CATEGORY ANALYSIS","CATEGORY ANALYSIS")</f>
        <v>CATEGORY ANALYSIS</v>
      </c>
      <c r="E24" s="796">
        <v>1</v>
      </c>
      <c r="H24"/>
      <c r="I24"/>
      <c r="J24"/>
      <c r="K24"/>
      <c r="L24" s="5"/>
      <c r="M24" s="5"/>
      <c r="N24" s="7"/>
      <c r="O24"/>
      <c r="P24"/>
      <c r="X24" s="4"/>
      <c r="Y24" s="4"/>
      <c r="Z24" s="4"/>
    </row>
    <row r="25" spans="2:38" x14ac:dyDescent="0.25">
      <c r="B25" s="794" t="s">
        <v>553</v>
      </c>
      <c r="C25" s="794" t="s">
        <v>691</v>
      </c>
      <c r="D25" s="795" t="s">
        <v>554</v>
      </c>
      <c r="E25" s="796">
        <v>5</v>
      </c>
      <c r="H25"/>
      <c r="I25"/>
      <c r="J25"/>
      <c r="K25"/>
      <c r="L25"/>
      <c r="M25" s="5"/>
      <c r="N25" s="7"/>
      <c r="O25"/>
      <c r="P25"/>
      <c r="X25" s="4"/>
      <c r="Y25" s="4"/>
      <c r="Z25" s="4"/>
    </row>
    <row r="26" spans="2:38" x14ac:dyDescent="0.25">
      <c r="B26" s="794" t="s">
        <v>141</v>
      </c>
      <c r="C26" s="794" t="s">
        <v>141</v>
      </c>
      <c r="D26" s="795" t="s">
        <v>141</v>
      </c>
      <c r="E26" s="796">
        <v>5</v>
      </c>
      <c r="H26"/>
      <c r="I26"/>
      <c r="J26"/>
      <c r="K26"/>
      <c r="L26"/>
      <c r="M26" s="5"/>
      <c r="N26" s="7"/>
      <c r="O26"/>
      <c r="P26"/>
      <c r="X26" s="4"/>
      <c r="Y26" s="4"/>
      <c r="Z26" s="4"/>
    </row>
    <row r="27" spans="2:38" x14ac:dyDescent="0.25">
      <c r="B27" s="794" t="s">
        <v>150</v>
      </c>
      <c r="C27" s="794" t="s">
        <v>692</v>
      </c>
      <c r="D27" s="795" t="str">
        <f>IF(dms_MultiYear_ResponseFlag="yes","NEW HISTORICAL ECONOMIC BENCHMARKING","ECONOMIC BENCHMARKING")</f>
        <v>ECONOMIC BENCHMARKING</v>
      </c>
      <c r="E27" s="797">
        <v>1</v>
      </c>
      <c r="H27"/>
      <c r="I27"/>
      <c r="J27"/>
      <c r="K27"/>
      <c r="L27"/>
      <c r="M27" s="5"/>
      <c r="N27" s="7"/>
      <c r="O27"/>
      <c r="P27"/>
      <c r="X27" s="4"/>
      <c r="Y27" s="4"/>
      <c r="Z27" s="4"/>
    </row>
    <row r="28" spans="2:38" x14ac:dyDescent="0.25">
      <c r="B28" s="794" t="s">
        <v>645</v>
      </c>
      <c r="C28" s="794" t="s">
        <v>693</v>
      </c>
      <c r="D28" s="795" t="s">
        <v>646</v>
      </c>
      <c r="E28" s="797">
        <v>5</v>
      </c>
      <c r="H28"/>
      <c r="I28"/>
      <c r="J28"/>
      <c r="K28"/>
      <c r="L28"/>
      <c r="M28" s="5"/>
      <c r="N28" s="7"/>
      <c r="O28"/>
      <c r="P28"/>
      <c r="X28" s="4"/>
      <c r="Y28" s="4"/>
      <c r="Z28" s="4"/>
    </row>
    <row r="29" spans="2:38" x14ac:dyDescent="0.25">
      <c r="B29" s="794" t="s">
        <v>155</v>
      </c>
      <c r="C29" s="794" t="s">
        <v>694</v>
      </c>
      <c r="D29" s="795" t="s">
        <v>156</v>
      </c>
      <c r="E29" s="797">
        <v>5</v>
      </c>
      <c r="H29"/>
      <c r="I29"/>
      <c r="J29"/>
      <c r="K29"/>
      <c r="L29"/>
      <c r="M29" s="5"/>
      <c r="N29" s="7"/>
      <c r="O29"/>
      <c r="P29"/>
      <c r="X29" s="4"/>
      <c r="Y29" s="4"/>
      <c r="Z29" s="4"/>
    </row>
    <row r="30" spans="2:38" x14ac:dyDescent="0.25">
      <c r="B30" s="794" t="s">
        <v>164</v>
      </c>
      <c r="C30" s="794" t="s">
        <v>695</v>
      </c>
      <c r="D30" s="795" t="s">
        <v>165</v>
      </c>
      <c r="E30" s="797">
        <v>5</v>
      </c>
      <c r="H30"/>
      <c r="I30"/>
      <c r="J30"/>
      <c r="K30"/>
      <c r="L30"/>
      <c r="M30" s="5"/>
      <c r="N30" s="7"/>
      <c r="O30"/>
      <c r="P30"/>
      <c r="X30" s="4"/>
      <c r="Y30" s="4"/>
      <c r="Z30" s="4"/>
    </row>
    <row r="31" spans="2:38" x14ac:dyDescent="0.25">
      <c r="B31" s="794" t="s">
        <v>173</v>
      </c>
      <c r="C31" s="794" t="s">
        <v>696</v>
      </c>
      <c r="D31" s="795" t="s">
        <v>174</v>
      </c>
      <c r="E31" s="797">
        <v>5</v>
      </c>
      <c r="H31"/>
      <c r="I31"/>
      <c r="J31"/>
      <c r="K31"/>
      <c r="L31"/>
      <c r="M31" s="5"/>
      <c r="N31" s="7"/>
      <c r="O31"/>
      <c r="P31"/>
      <c r="X31" s="4"/>
      <c r="Y31" s="4"/>
      <c r="Z31" s="4"/>
    </row>
    <row r="32" spans="2:38" ht="15.75" thickBot="1" x14ac:dyDescent="0.3">
      <c r="B32" s="798" t="s">
        <v>179</v>
      </c>
      <c r="C32" s="798" t="s">
        <v>697</v>
      </c>
      <c r="D32" s="799" t="s">
        <v>180</v>
      </c>
      <c r="E32" s="800">
        <v>1</v>
      </c>
      <c r="H32"/>
      <c r="I32"/>
      <c r="J32"/>
      <c r="K32"/>
      <c r="L32"/>
      <c r="M32" s="5"/>
      <c r="N32" s="7"/>
      <c r="O32"/>
      <c r="P32"/>
      <c r="X32" s="4"/>
      <c r="Y32" s="4"/>
      <c r="Z32" s="4"/>
    </row>
    <row r="33" spans="2:22" s="4" customFormat="1" x14ac:dyDescent="0.25">
      <c r="E33" s="349"/>
    </row>
    <row r="34" spans="2:22" x14ac:dyDescent="0.25">
      <c r="B34"/>
      <c r="C34" s="4"/>
      <c r="D34" s="4"/>
      <c r="E34" s="349"/>
      <c r="F34" s="4"/>
      <c r="G34" s="4"/>
      <c r="H34" s="4"/>
      <c r="I34" s="4"/>
      <c r="J34" s="4"/>
      <c r="K34" s="4"/>
      <c r="L34" s="4"/>
      <c r="O34"/>
      <c r="P34"/>
      <c r="Q34"/>
      <c r="R34"/>
      <c r="S34"/>
      <c r="T34"/>
      <c r="U34"/>
      <c r="V34"/>
    </row>
    <row r="35" spans="2:22" x14ac:dyDescent="0.25">
      <c r="C35" s="255"/>
      <c r="E35" s="344"/>
    </row>
    <row r="36" spans="2:22" ht="15.75" thickBot="1" x14ac:dyDescent="0.3">
      <c r="B36" s="361" t="s">
        <v>49</v>
      </c>
      <c r="C36" s="362" t="s">
        <v>58</v>
      </c>
      <c r="E36" s="358" t="s">
        <v>707</v>
      </c>
      <c r="G36" s="358" t="s">
        <v>705</v>
      </c>
      <c r="H36"/>
      <c r="I36" s="359" t="s">
        <v>706</v>
      </c>
    </row>
    <row r="37" spans="2:22" ht="15.75" thickBot="1" x14ac:dyDescent="0.3">
      <c r="B37" s="52" t="s">
        <v>766</v>
      </c>
      <c r="C37" s="53" t="s">
        <v>765</v>
      </c>
      <c r="D37" s="363" t="s">
        <v>708</v>
      </c>
      <c r="E37" s="368" t="str">
        <f ca="1">INDEX(INDIRECT(dms_RPT),dms_PRCP_start_row)</f>
        <v>2017-18</v>
      </c>
      <c r="F37" s="363" t="s">
        <v>229</v>
      </c>
      <c r="G37" s="368" t="str">
        <f ca="1">INDEX(INDIRECT(dms_RPT),dms_CRCP_start_row)</f>
        <v>2022-23</v>
      </c>
      <c r="H37" s="366" t="str">
        <f>FRCP_y1</f>
        <v>2027-28</v>
      </c>
      <c r="I37" s="368" t="str">
        <f ca="1">INDEX(INDIRECT(dms_RPT),dms_FRCP_start_row)</f>
        <v>2027-28</v>
      </c>
    </row>
    <row r="38" spans="2:22" x14ac:dyDescent="0.25">
      <c r="B38" s="55" t="s">
        <v>767</v>
      </c>
      <c r="C38" s="56" t="s">
        <v>764</v>
      </c>
      <c r="D38" s="364" t="s">
        <v>709</v>
      </c>
      <c r="E38" s="369" t="str">
        <f ca="1">INDEX(INDIRECT(dms_RPT),dms_PRCP_start_row+1)</f>
        <v>2018-19</v>
      </c>
      <c r="F38" s="364" t="s">
        <v>231</v>
      </c>
      <c r="G38" s="370" t="str">
        <f ca="1">INDEX(INDIRECT(dms_RPT),dms_CRCP_start_row+1)</f>
        <v>2023-24</v>
      </c>
      <c r="H38" s="367" t="s">
        <v>725</v>
      </c>
      <c r="I38" s="370" t="str">
        <f ca="1">INDEX(INDIRECT(dms_RPT),dms_FRCP_start_row+1)</f>
        <v>2028-29</v>
      </c>
    </row>
    <row r="39" spans="2:22" x14ac:dyDescent="0.25">
      <c r="B39" s="55" t="s">
        <v>768</v>
      </c>
      <c r="C39" s="56" t="s">
        <v>756</v>
      </c>
      <c r="D39" s="364" t="s">
        <v>710</v>
      </c>
      <c r="E39" s="370" t="str">
        <f ca="1">INDEX(INDIRECT(dms_RPT),dms_PRCP_start_row+2)</f>
        <v>2019-20</v>
      </c>
      <c r="F39" s="364" t="s">
        <v>501</v>
      </c>
      <c r="G39" s="370" t="str">
        <f ca="1">INDEX(INDIRECT(dms_RPT),dms_CRCP_start_row+2)</f>
        <v>2024-25</v>
      </c>
      <c r="H39" s="364" t="s">
        <v>726</v>
      </c>
      <c r="I39" s="370" t="str">
        <f ca="1">INDEX(INDIRECT(dms_RPT),dms_FRCP_start_row+2)</f>
        <v>2029-30</v>
      </c>
    </row>
    <row r="40" spans="2:22" x14ac:dyDescent="0.25">
      <c r="B40" s="55" t="s">
        <v>769</v>
      </c>
      <c r="C40" s="56" t="s">
        <v>757</v>
      </c>
      <c r="D40" s="364" t="s">
        <v>711</v>
      </c>
      <c r="E40" s="370" t="str">
        <f ca="1">INDEX(INDIRECT(dms_RPT),dms_PRCP_start_row+3)</f>
        <v>2020-21</v>
      </c>
      <c r="F40" s="364" t="s">
        <v>240</v>
      </c>
      <c r="G40" s="370" t="str">
        <f ca="1">INDEX(INDIRECT(dms_RPT),dms_CRCP_start_row+3)</f>
        <v>2025-26</v>
      </c>
      <c r="H40" s="364" t="s">
        <v>727</v>
      </c>
      <c r="I40" s="370" t="str">
        <f ca="1">INDEX(INDIRECT(dms_RPT),dms_FRCP_start_row+3)</f>
        <v>2030-31</v>
      </c>
    </row>
    <row r="41" spans="2:22" x14ac:dyDescent="0.25">
      <c r="B41" s="55" t="s">
        <v>770</v>
      </c>
      <c r="C41" s="56" t="s">
        <v>758</v>
      </c>
      <c r="D41" s="364" t="s">
        <v>712</v>
      </c>
      <c r="E41" s="370" t="str">
        <f ca="1">INDEX(INDIRECT(dms_RPT),dms_PRCP_start_row+4)</f>
        <v>2021-22</v>
      </c>
      <c r="F41" s="364" t="s">
        <v>241</v>
      </c>
      <c r="G41" s="370" t="str">
        <f ca="1">INDEX(INDIRECT(dms_RPT),dms_CRCP_start_row+4)</f>
        <v>2026-27</v>
      </c>
      <c r="H41" s="364" t="s">
        <v>728</v>
      </c>
      <c r="I41" s="370" t="str">
        <f ca="1">INDEX(INDIRECT(dms_RPT),dms_FRCP_start_row+4)</f>
        <v>2031-32</v>
      </c>
    </row>
    <row r="42" spans="2:22" x14ac:dyDescent="0.25">
      <c r="B42" s="55" t="s">
        <v>771</v>
      </c>
      <c r="C42" s="56" t="s">
        <v>759</v>
      </c>
      <c r="D42" s="364" t="s">
        <v>713</v>
      </c>
      <c r="E42" s="370" t="str">
        <f ca="1">INDEX(INDIRECT(dms_RPT),dms_PRCP_start_row+5)</f>
        <v>2022-23</v>
      </c>
      <c r="F42" s="364" t="s">
        <v>242</v>
      </c>
      <c r="G42" s="370" t="str">
        <f ca="1">INDEX(INDIRECT(dms_RPT),dms_CRCP_start_row+5)</f>
        <v>2027-28</v>
      </c>
      <c r="H42" s="364" t="s">
        <v>729</v>
      </c>
      <c r="I42" s="370" t="str">
        <f ca="1">INDEX(INDIRECT(dms_RPT),dms_FRCP_start_row+5)</f>
        <v>2032-33</v>
      </c>
    </row>
    <row r="43" spans="2:22" x14ac:dyDescent="0.25">
      <c r="B43" s="55" t="s">
        <v>772</v>
      </c>
      <c r="C43" s="56" t="s">
        <v>760</v>
      </c>
      <c r="D43" s="364" t="s">
        <v>714</v>
      </c>
      <c r="E43" s="370" t="str">
        <f ca="1">INDEX(INDIRECT(dms_RPT),dms_PRCP_start_row+6)</f>
        <v>2023-24</v>
      </c>
      <c r="F43" s="364" t="s">
        <v>243</v>
      </c>
      <c r="G43" s="370" t="str">
        <f ca="1">INDEX(INDIRECT(dms_RPT),dms_CRCP_start_row+6)</f>
        <v>2028-29</v>
      </c>
      <c r="H43" s="364" t="s">
        <v>730</v>
      </c>
      <c r="I43" s="370" t="str">
        <f ca="1">INDEX(INDIRECT(dms_RPT),dms_FRCP_start_row+6)</f>
        <v>2033-34</v>
      </c>
    </row>
    <row r="44" spans="2:22" x14ac:dyDescent="0.25">
      <c r="B44" s="55" t="s">
        <v>773</v>
      </c>
      <c r="C44" s="56" t="s">
        <v>761</v>
      </c>
      <c r="D44" s="364" t="s">
        <v>715</v>
      </c>
      <c r="E44" s="370" t="str">
        <f ca="1">INDEX(INDIRECT(dms_RPT),dms_PRCP_start_row+7)</f>
        <v>2024-25</v>
      </c>
      <c r="F44" s="364" t="s">
        <v>244</v>
      </c>
      <c r="G44" s="370" t="str">
        <f ca="1">INDEX(INDIRECT(dms_RPT),dms_CRCP_start_row+7)</f>
        <v>2029-30</v>
      </c>
      <c r="H44" s="364" t="s">
        <v>731</v>
      </c>
      <c r="I44" s="370" t="str">
        <f ca="1">INDEX(INDIRECT(dms_RPT),dms_FRCP_start_row+7)</f>
        <v>2034-35</v>
      </c>
      <c r="J44"/>
      <c r="K44"/>
      <c r="L44"/>
    </row>
    <row r="45" spans="2:22" x14ac:dyDescent="0.25">
      <c r="B45" s="55" t="s">
        <v>774</v>
      </c>
      <c r="C45" s="56" t="s">
        <v>762</v>
      </c>
      <c r="D45" s="364" t="s">
        <v>716</v>
      </c>
      <c r="E45" s="370" t="str">
        <f ca="1">INDEX(INDIRECT(dms_RPT),dms_PRCP_start_row+8)</f>
        <v>2025-26</v>
      </c>
      <c r="F45" s="364" t="s">
        <v>247</v>
      </c>
      <c r="G45" s="370" t="str">
        <f ca="1">INDEX(INDIRECT(dms_RPT),dms_CRCP_start_row+8)</f>
        <v>2030-31</v>
      </c>
      <c r="H45" s="364" t="s">
        <v>732</v>
      </c>
      <c r="I45" s="370" t="str">
        <f ca="1">INDEX(INDIRECT(dms_RPT),dms_FRCP_start_row+8)</f>
        <v>2035-36</v>
      </c>
      <c r="J45"/>
      <c r="K45"/>
      <c r="L45"/>
    </row>
    <row r="46" spans="2:22" x14ac:dyDescent="0.25">
      <c r="B46" s="55" t="s">
        <v>775</v>
      </c>
      <c r="C46" s="56" t="s">
        <v>763</v>
      </c>
      <c r="D46" s="364" t="s">
        <v>717</v>
      </c>
      <c r="E46" s="370" t="str">
        <f ca="1">INDEX(INDIRECT(dms_RPT),dms_PRCP_start_row+9)</f>
        <v>2026-27</v>
      </c>
      <c r="F46" s="364" t="s">
        <v>502</v>
      </c>
      <c r="G46" s="370" t="str">
        <f ca="1">INDEX(INDIRECT(dms_RPT),dms_CRCP_start_row+9)</f>
        <v>2031-32</v>
      </c>
      <c r="H46" s="364" t="s">
        <v>733</v>
      </c>
      <c r="I46" s="370" t="str">
        <f ca="1">INDEX(INDIRECT(dms_RPT),dms_FRCP_start_row+9)</f>
        <v>2036-37</v>
      </c>
      <c r="J46"/>
      <c r="K46"/>
      <c r="L46"/>
    </row>
    <row r="47" spans="2:22" x14ac:dyDescent="0.25">
      <c r="B47" s="55" t="s">
        <v>755</v>
      </c>
      <c r="C47" s="56" t="s">
        <v>747</v>
      </c>
      <c r="D47" s="364" t="s">
        <v>718</v>
      </c>
      <c r="E47" s="370" t="str">
        <f ca="1">INDEX(INDIRECT(dms_RPT),dms_PRCP_start_row+10)</f>
        <v>2027-28</v>
      </c>
      <c r="F47" s="364" t="s">
        <v>250</v>
      </c>
      <c r="G47" s="370" t="str">
        <f ca="1">INDEX(INDIRECT(dms_RPT),dms_CRCP_start_row+10)</f>
        <v>2032-33</v>
      </c>
      <c r="H47" s="364" t="s">
        <v>734</v>
      </c>
      <c r="I47" s="370" t="e">
        <f ca="1">INDEX(INDIRECT(dms_RPT),dms_FRCP_start_row+10)</f>
        <v>#REF!</v>
      </c>
      <c r="J47"/>
      <c r="K47"/>
      <c r="L47"/>
    </row>
    <row r="48" spans="2:22" x14ac:dyDescent="0.25">
      <c r="B48" s="55" t="s">
        <v>754</v>
      </c>
      <c r="C48" s="56" t="s">
        <v>746</v>
      </c>
      <c r="D48" s="364" t="s">
        <v>719</v>
      </c>
      <c r="E48" s="370" t="str">
        <f ca="1">INDEX(INDIRECT(dms_RPT),dms_PRCP_start_row+11)</f>
        <v>2028-29</v>
      </c>
      <c r="F48" s="364" t="s">
        <v>251</v>
      </c>
      <c r="G48" s="370" t="str">
        <f ca="1">INDEX(INDIRECT(dms_RPT),dms_CRCP_start_row+11)</f>
        <v>2033-34</v>
      </c>
      <c r="H48" s="364" t="s">
        <v>735</v>
      </c>
      <c r="I48" s="370" t="e">
        <f ca="1">INDEX(INDIRECT(dms_RPT),dms_FRCP_start_row+11)</f>
        <v>#REF!</v>
      </c>
      <c r="J48"/>
      <c r="K48"/>
      <c r="L48"/>
    </row>
    <row r="49" spans="2:12" x14ac:dyDescent="0.25">
      <c r="B49" s="55" t="s">
        <v>753</v>
      </c>
      <c r="C49" s="56" t="s">
        <v>741</v>
      </c>
      <c r="D49" s="364" t="s">
        <v>720</v>
      </c>
      <c r="E49" s="370" t="str">
        <f ca="1">INDEX(INDIRECT(dms_RPT),dms_PRCP_start_row+12)</f>
        <v>2029-30</v>
      </c>
      <c r="F49" s="364" t="s">
        <v>252</v>
      </c>
      <c r="G49" s="370" t="str">
        <f ca="1">INDEX(INDIRECT(dms_RPT),dms_CRCP_start_row+12)</f>
        <v>2034-35</v>
      </c>
      <c r="H49" s="364" t="s">
        <v>736</v>
      </c>
      <c r="I49" s="370" t="e">
        <f ca="1">INDEX(INDIRECT(dms_RPT),dms_FRCP_start_row+12)</f>
        <v>#REF!</v>
      </c>
      <c r="J49"/>
      <c r="K49"/>
      <c r="L49"/>
    </row>
    <row r="50" spans="2:12" x14ac:dyDescent="0.25">
      <c r="B50" s="55" t="s">
        <v>752</v>
      </c>
      <c r="C50" s="56" t="s">
        <v>742</v>
      </c>
      <c r="D50" s="364" t="s">
        <v>721</v>
      </c>
      <c r="E50" s="370" t="str">
        <f ca="1">INDEX(INDIRECT(dms_RPT),dms_PRCP_start_row+13)</f>
        <v>2030-31</v>
      </c>
      <c r="F50" s="364" t="s">
        <v>253</v>
      </c>
      <c r="G50" s="370" t="str">
        <f ca="1">INDEX(INDIRECT(dms_RPT),dms_CRCP_start_row+13)</f>
        <v>2035-36</v>
      </c>
      <c r="H50" s="364" t="s">
        <v>737</v>
      </c>
      <c r="I50" s="370" t="e">
        <f ca="1">INDEX(INDIRECT(dms_RPT),dms_FRCP_start_row+13)</f>
        <v>#REF!</v>
      </c>
      <c r="J50"/>
      <c r="K50"/>
      <c r="L50"/>
    </row>
    <row r="51" spans="2:12" x14ac:dyDescent="0.25">
      <c r="B51" s="55" t="s">
        <v>751</v>
      </c>
      <c r="C51" s="56" t="s">
        <v>743</v>
      </c>
      <c r="D51" s="364" t="s">
        <v>722</v>
      </c>
      <c r="E51" s="370" t="str">
        <f ca="1">INDEX(INDIRECT(dms_RPT),dms_PRCP_start_row+14)</f>
        <v>2031-32</v>
      </c>
      <c r="F51" s="364" t="s">
        <v>255</v>
      </c>
      <c r="G51" s="370" t="str">
        <f ca="1">INDEX(INDIRECT(dms_RPT),dms_CRCP_start_row+14)</f>
        <v>2036-37</v>
      </c>
      <c r="H51" s="364" t="s">
        <v>738</v>
      </c>
      <c r="I51" s="370" t="e">
        <f ca="1">INDEX(INDIRECT(dms_RPT),dms_FRCP_start_row+14)</f>
        <v>#REF!</v>
      </c>
      <c r="J51"/>
      <c r="K51"/>
      <c r="L51"/>
    </row>
    <row r="52" spans="2:12" ht="15.75" thickBot="1" x14ac:dyDescent="0.3">
      <c r="B52" s="55" t="s">
        <v>750</v>
      </c>
      <c r="C52" s="56" t="s">
        <v>744</v>
      </c>
      <c r="D52" s="365" t="s">
        <v>723</v>
      </c>
      <c r="E52" s="371" t="str">
        <f ca="1">INDEX(INDIRECT(dms_RPT),dms_PRCP_start_row+15)</f>
        <v>2032-33</v>
      </c>
      <c r="F52" s="365" t="s">
        <v>724</v>
      </c>
      <c r="G52" s="371" t="e">
        <f ca="1">INDEX(INDIRECT(dms_RPT),dms_CRCP_start_row+15)</f>
        <v>#REF!</v>
      </c>
      <c r="H52" s="365" t="s">
        <v>739</v>
      </c>
      <c r="I52" s="371" t="e">
        <f ca="1">INDEX(INDIRECT(dms_RPT),dms_FRCP_start_row+15)</f>
        <v>#REF!</v>
      </c>
      <c r="J52"/>
      <c r="K52"/>
      <c r="L52"/>
    </row>
    <row r="53" spans="2:12" x14ac:dyDescent="0.25">
      <c r="B53" s="55" t="s">
        <v>749</v>
      </c>
      <c r="C53" s="56" t="s">
        <v>745</v>
      </c>
      <c r="E53"/>
      <c r="H53"/>
      <c r="I53"/>
      <c r="J53"/>
      <c r="K53"/>
      <c r="L53"/>
    </row>
    <row r="54" spans="2:12" ht="15.75" thickBot="1" x14ac:dyDescent="0.3">
      <c r="B54" s="55" t="s">
        <v>748</v>
      </c>
      <c r="C54" s="56" t="s">
        <v>740</v>
      </c>
      <c r="E54"/>
      <c r="H54"/>
      <c r="I54"/>
      <c r="J54"/>
      <c r="K54"/>
      <c r="L54"/>
    </row>
    <row r="55" spans="2:12" x14ac:dyDescent="0.25">
      <c r="B55" s="55" t="s">
        <v>262</v>
      </c>
      <c r="C55" s="56" t="s">
        <v>263</v>
      </c>
      <c r="D55" s="805"/>
      <c r="E55" s="806" t="s">
        <v>896</v>
      </c>
      <c r="H55"/>
      <c r="I55"/>
      <c r="J55"/>
      <c r="K55"/>
      <c r="L55"/>
    </row>
    <row r="56" spans="2:12" x14ac:dyDescent="0.25">
      <c r="B56" s="55" t="s">
        <v>266</v>
      </c>
      <c r="C56" s="56" t="s">
        <v>267</v>
      </c>
      <c r="D56" s="807" t="s">
        <v>897</v>
      </c>
      <c r="E56" s="808" t="str">
        <f ca="1">IFERROR(INDEX(INDIRECT(dms_RPT),dms_CRY_start_row),0)</f>
        <v>2025-26</v>
      </c>
      <c r="H56"/>
      <c r="I56"/>
      <c r="J56"/>
      <c r="K56"/>
      <c r="L56"/>
    </row>
    <row r="57" spans="2:12" x14ac:dyDescent="0.25">
      <c r="B57" s="55" t="s">
        <v>269</v>
      </c>
      <c r="C57" s="56" t="s">
        <v>270</v>
      </c>
      <c r="D57" s="807" t="s">
        <v>898</v>
      </c>
      <c r="E57" s="808" t="str">
        <f ca="1">IFERROR(INDEX(INDIRECT(dms_RPT),dms_CRY_start_row+1),0)</f>
        <v>2026-27</v>
      </c>
      <c r="H57"/>
      <c r="I57"/>
      <c r="J57"/>
      <c r="K57"/>
      <c r="L57"/>
    </row>
    <row r="58" spans="2:12" x14ac:dyDescent="0.25">
      <c r="B58" s="55" t="s">
        <v>272</v>
      </c>
      <c r="C58" s="56" t="s">
        <v>273</v>
      </c>
      <c r="D58" s="807" t="s">
        <v>899</v>
      </c>
      <c r="E58" s="808" t="str">
        <f ca="1">IFERROR(INDEX(INDIRECT(dms_RPT),dms_CRY_start_row+2),0)</f>
        <v>2027-28</v>
      </c>
      <c r="H58"/>
      <c r="I58"/>
      <c r="J58"/>
      <c r="K58"/>
      <c r="L58"/>
    </row>
    <row r="59" spans="2:12" x14ac:dyDescent="0.25">
      <c r="B59" s="55" t="s">
        <v>275</v>
      </c>
      <c r="C59" s="56">
        <v>2010</v>
      </c>
      <c r="D59" s="807" t="s">
        <v>900</v>
      </c>
      <c r="E59" s="808" t="str">
        <f ca="1">IFERROR(INDEX(INDIRECT(dms_RPT),dms_CRY_start_row+3),0)</f>
        <v>2028-29</v>
      </c>
      <c r="H59"/>
      <c r="I59"/>
      <c r="J59"/>
      <c r="K59"/>
      <c r="L59"/>
    </row>
    <row r="60" spans="2:12" x14ac:dyDescent="0.25">
      <c r="B60" s="55" t="s">
        <v>277</v>
      </c>
      <c r="C60" s="56">
        <v>2011</v>
      </c>
      <c r="D60" s="807" t="s">
        <v>901</v>
      </c>
      <c r="E60" s="808" t="str">
        <f ca="1">IFERROR(INDEX(INDIRECT(dms_RPT),dms_CRY_start_row+4),0)</f>
        <v>2029-30</v>
      </c>
      <c r="H60"/>
      <c r="I60"/>
      <c r="J60"/>
      <c r="K60"/>
      <c r="L60"/>
    </row>
    <row r="61" spans="2:12" x14ac:dyDescent="0.25">
      <c r="B61" s="55" t="s">
        <v>280</v>
      </c>
      <c r="C61" s="56">
        <v>2012</v>
      </c>
      <c r="D61" s="807" t="s">
        <v>902</v>
      </c>
      <c r="E61" s="808" t="str">
        <f ca="1">IFERROR(INDEX(INDIRECT(dms_RPT),dms_CRY_start_row+5),0)</f>
        <v>2030-31</v>
      </c>
      <c r="H61"/>
      <c r="I61"/>
      <c r="J61"/>
      <c r="K61"/>
      <c r="L61"/>
    </row>
    <row r="62" spans="2:12" x14ac:dyDescent="0.25">
      <c r="B62" s="55" t="s">
        <v>286</v>
      </c>
      <c r="C62" s="56">
        <v>2013</v>
      </c>
      <c r="D62" s="807" t="s">
        <v>903</v>
      </c>
      <c r="E62" s="808" t="str">
        <f ca="1">IFERROR(INDEX(INDIRECT(dms_RPT),dms_CRY_start_row+6),0)</f>
        <v>2031-32</v>
      </c>
      <c r="H62"/>
      <c r="I62"/>
      <c r="J62"/>
      <c r="K62"/>
      <c r="L62"/>
    </row>
    <row r="63" spans="2:12" x14ac:dyDescent="0.25">
      <c r="B63" s="55" t="s">
        <v>292</v>
      </c>
      <c r="C63" s="56">
        <v>2014</v>
      </c>
      <c r="D63" s="807" t="s">
        <v>904</v>
      </c>
      <c r="E63" s="808" t="str">
        <f ca="1">IFERROR(INDEX(INDIRECT(dms_RPT),dms_CRY_start_row+7),0)</f>
        <v>2032-33</v>
      </c>
      <c r="H63"/>
      <c r="I63"/>
      <c r="J63"/>
      <c r="K63"/>
      <c r="L63"/>
    </row>
    <row r="64" spans="2:12" x14ac:dyDescent="0.25">
      <c r="B64" s="55" t="s">
        <v>294</v>
      </c>
      <c r="C64" s="56">
        <v>2015</v>
      </c>
      <c r="D64" s="807" t="s">
        <v>905</v>
      </c>
      <c r="E64" s="808" t="str">
        <f ca="1">IFERROR(INDEX(INDIRECT(dms_RPT),dms_CRY_start_row+8),0)</f>
        <v>2033-34</v>
      </c>
      <c r="I64" s="360"/>
    </row>
    <row r="65" spans="2:9" x14ac:dyDescent="0.25">
      <c r="B65" s="55" t="s">
        <v>264</v>
      </c>
      <c r="C65" s="56">
        <v>2016</v>
      </c>
      <c r="D65" s="807" t="s">
        <v>906</v>
      </c>
      <c r="E65" s="808" t="str">
        <f ca="1">IFERROR(INDEX(INDIRECT(dms_RPT),dms_CRY_start_row+9),0)</f>
        <v>2034-35</v>
      </c>
      <c r="I65" s="360"/>
    </row>
    <row r="66" spans="2:9" x14ac:dyDescent="0.25">
      <c r="B66" s="55" t="s">
        <v>268</v>
      </c>
      <c r="C66" s="56">
        <v>2017</v>
      </c>
      <c r="D66" s="807" t="s">
        <v>907</v>
      </c>
      <c r="E66" s="808" t="str">
        <f ca="1">IFERROR(INDEX(INDIRECT(dms_RPT),dms_CRY_start_row+10),0)</f>
        <v>2035-36</v>
      </c>
    </row>
    <row r="67" spans="2:9" x14ac:dyDescent="0.25">
      <c r="B67" s="55" t="s">
        <v>271</v>
      </c>
      <c r="C67" s="56">
        <v>2018</v>
      </c>
      <c r="D67" s="807" t="s">
        <v>908</v>
      </c>
      <c r="E67" s="808" t="str">
        <f ca="1">IFERROR(INDEX(INDIRECT(dms_RPT),dms_CRY_start_row+11),0)</f>
        <v>2036-37</v>
      </c>
    </row>
    <row r="68" spans="2:9" x14ac:dyDescent="0.25">
      <c r="B68" s="55" t="s">
        <v>274</v>
      </c>
      <c r="C68" s="56">
        <v>2019</v>
      </c>
      <c r="D68" s="807" t="s">
        <v>909</v>
      </c>
      <c r="E68" s="808">
        <f ca="1">IFERROR(INDEX(INDIRECT(dms_RPT),dms_CRY_start_row+12),0)</f>
        <v>0</v>
      </c>
    </row>
    <row r="69" spans="2:9" x14ac:dyDescent="0.25">
      <c r="B69" s="55" t="s">
        <v>276</v>
      </c>
      <c r="C69" s="56">
        <v>2020</v>
      </c>
      <c r="D69" s="807" t="s">
        <v>910</v>
      </c>
      <c r="E69" s="808">
        <f ca="1">IFERROR(INDEX(INDIRECT(dms_RPT),dms_CRY_start_row+13),0)</f>
        <v>0</v>
      </c>
      <c r="H69"/>
      <c r="I69"/>
    </row>
    <row r="70" spans="2:9" x14ac:dyDescent="0.25">
      <c r="B70" s="55" t="s">
        <v>278</v>
      </c>
      <c r="C70" s="56">
        <v>2021</v>
      </c>
      <c r="D70" s="807" t="s">
        <v>911</v>
      </c>
      <c r="E70" s="808">
        <f ca="1">IFERROR(INDEX(INDIRECT(dms_RPT),dms_CRY_start_row+14),0)</f>
        <v>0</v>
      </c>
      <c r="H70"/>
      <c r="I70"/>
    </row>
    <row r="71" spans="2:9" ht="15.75" thickBot="1" x14ac:dyDescent="0.3">
      <c r="B71" s="55" t="s">
        <v>281</v>
      </c>
      <c r="C71" s="56">
        <v>2022</v>
      </c>
      <c r="D71" s="809" t="s">
        <v>912</v>
      </c>
      <c r="E71" s="810">
        <f ca="1">IFERROR(INDEX(INDIRECT(dms_RPT),dms_CRY_start_row+15),0)</f>
        <v>0</v>
      </c>
      <c r="H71"/>
      <c r="I71"/>
    </row>
    <row r="72" spans="2:9" x14ac:dyDescent="0.25">
      <c r="B72" s="55" t="s">
        <v>287</v>
      </c>
      <c r="C72" s="56">
        <v>2023</v>
      </c>
      <c r="E72"/>
      <c r="H72"/>
      <c r="I72"/>
    </row>
    <row r="73" spans="2:9" x14ac:dyDescent="0.25">
      <c r="B73" s="55" t="s">
        <v>293</v>
      </c>
      <c r="C73" s="56">
        <v>2024</v>
      </c>
      <c r="E73"/>
      <c r="H73"/>
      <c r="I73"/>
    </row>
    <row r="74" spans="2:9" x14ac:dyDescent="0.25">
      <c r="B74" s="55" t="s">
        <v>295</v>
      </c>
      <c r="C74" s="56">
        <v>2025</v>
      </c>
      <c r="E74"/>
      <c r="H74"/>
      <c r="I74"/>
    </row>
    <row r="75" spans="2:9" x14ac:dyDescent="0.25">
      <c r="B75" s="55" t="s">
        <v>296</v>
      </c>
      <c r="C75" s="56">
        <v>2026</v>
      </c>
      <c r="E75"/>
      <c r="H75"/>
      <c r="I75"/>
    </row>
    <row r="76" spans="2:9" x14ac:dyDescent="0.25">
      <c r="B76" s="55" t="s">
        <v>297</v>
      </c>
      <c r="C76" s="56">
        <v>2027</v>
      </c>
      <c r="E76"/>
      <c r="H76"/>
      <c r="I76"/>
    </row>
    <row r="77" spans="2:9" x14ac:dyDescent="0.25">
      <c r="B77" s="55" t="s">
        <v>298</v>
      </c>
      <c r="C77" s="56">
        <v>2028</v>
      </c>
      <c r="E77"/>
      <c r="H77"/>
      <c r="I77"/>
    </row>
    <row r="78" spans="2:9" x14ac:dyDescent="0.25">
      <c r="B78" s="55" t="s">
        <v>300</v>
      </c>
      <c r="C78" s="56">
        <v>2029</v>
      </c>
      <c r="E78"/>
      <c r="H78"/>
      <c r="I78"/>
    </row>
    <row r="79" spans="2:9" x14ac:dyDescent="0.25">
      <c r="B79" s="55" t="s">
        <v>304</v>
      </c>
      <c r="C79" s="56">
        <v>2030</v>
      </c>
      <c r="E79"/>
      <c r="H79"/>
      <c r="I79"/>
    </row>
    <row r="80" spans="2:9" x14ac:dyDescent="0.25">
      <c r="B80" s="55" t="s">
        <v>305</v>
      </c>
      <c r="C80" s="56">
        <v>2031</v>
      </c>
      <c r="E80"/>
      <c r="H80"/>
      <c r="I80"/>
    </row>
    <row r="81" spans="2:22" x14ac:dyDescent="0.25">
      <c r="B81" s="55" t="s">
        <v>306</v>
      </c>
      <c r="C81" s="56">
        <v>2032</v>
      </c>
      <c r="E81"/>
      <c r="H81"/>
      <c r="I81"/>
    </row>
    <row r="82" spans="2:22" x14ac:dyDescent="0.25">
      <c r="B82" s="55" t="s">
        <v>307</v>
      </c>
      <c r="C82" s="56">
        <v>2033</v>
      </c>
      <c r="E82"/>
      <c r="H82"/>
      <c r="I82"/>
    </row>
    <row r="83" spans="2:22" x14ac:dyDescent="0.25">
      <c r="B83" s="55" t="s">
        <v>308</v>
      </c>
      <c r="C83" s="56">
        <v>2034</v>
      </c>
      <c r="E83"/>
      <c r="H83"/>
      <c r="I83"/>
    </row>
    <row r="84" spans="2:22" x14ac:dyDescent="0.25">
      <c r="B84" s="55" t="s">
        <v>309</v>
      </c>
      <c r="C84" s="56">
        <v>2035</v>
      </c>
      <c r="E84"/>
      <c r="H84"/>
      <c r="I84"/>
    </row>
    <row r="85" spans="2:22" x14ac:dyDescent="0.25">
      <c r="B85" s="55" t="s">
        <v>310</v>
      </c>
      <c r="C85" s="56">
        <v>2036</v>
      </c>
      <c r="E85"/>
      <c r="H85"/>
      <c r="I85"/>
    </row>
    <row r="86" spans="2:22" ht="15.75" thickBot="1" x14ac:dyDescent="0.3">
      <c r="B86" s="59" t="s">
        <v>703</v>
      </c>
      <c r="C86" s="60" t="s">
        <v>704</v>
      </c>
      <c r="E86" s="357"/>
    </row>
    <row r="87" spans="2:22" x14ac:dyDescent="0.25">
      <c r="B87" s="7"/>
      <c r="C87"/>
      <c r="E87" s="344"/>
      <c r="O87"/>
      <c r="P87"/>
      <c r="Q87"/>
      <c r="R87"/>
      <c r="S87"/>
      <c r="T87"/>
      <c r="U87"/>
      <c r="V87"/>
    </row>
    <row r="88" spans="2:22" x14ac:dyDescent="0.25">
      <c r="B88"/>
      <c r="C88"/>
      <c r="H88"/>
      <c r="I88"/>
      <c r="J88"/>
      <c r="K88"/>
      <c r="L88"/>
      <c r="O88"/>
      <c r="P88"/>
      <c r="Q88"/>
      <c r="R88"/>
      <c r="S88"/>
      <c r="T88"/>
      <c r="U88"/>
      <c r="V88"/>
    </row>
    <row r="89" spans="2:22" x14ac:dyDescent="0.25">
      <c r="B89"/>
      <c r="C89"/>
      <c r="H89"/>
      <c r="I89"/>
      <c r="J89"/>
      <c r="K89"/>
      <c r="L89"/>
      <c r="O89"/>
      <c r="P89"/>
      <c r="Q89"/>
      <c r="R89"/>
      <c r="S89"/>
      <c r="T89"/>
      <c r="U89"/>
      <c r="V89"/>
    </row>
    <row r="90" spans="2:22" x14ac:dyDescent="0.25">
      <c r="B90"/>
      <c r="C90"/>
      <c r="H90"/>
      <c r="I90"/>
      <c r="J90"/>
      <c r="K90"/>
      <c r="L90"/>
    </row>
  </sheetData>
  <sheetProtection algorithmName="SHA-256" hashValue="2cSk2b6lxFic+1x3UOgmMc+kLubmKpLS+0OYx8hMATc=" saltValue="erndz+RWFWuRW+Ow5ojdGg==" spinCount="100000" sheet="1" objects="1" scenarios="1" formatCells="0" insertRows="0" deleteRows="0"/>
  <mergeCells count="1">
    <mergeCell ref="B21:E21"/>
  </mergeCells>
  <conditionalFormatting sqref="Z13:AD17">
    <cfRule type="containsText" dxfId="15" priority="13" operator="containsText" text="YES">
      <formula>NOT(ISERROR(SEARCH("YES",Z13)))</formula>
    </cfRule>
  </conditionalFormatting>
  <conditionalFormatting sqref="AJ13:AJ17">
    <cfRule type="expression" dxfId="14" priority="2">
      <formula>AE13="YES"</formula>
    </cfRule>
  </conditionalFormatting>
  <conditionalFormatting sqref="AK13:AK17">
    <cfRule type="cellIs" dxfId="13" priority="17" operator="equal">
      <formula>"YES"</formula>
    </cfRule>
  </conditionalFormatting>
  <pageMargins left="0.7" right="0.7" top="0.75" bottom="0.75" header="0.3" footer="0.3"/>
  <pageSetup paperSize="9" orientation="portrait" r:id="rId1"/>
  <headerFooter>
    <oddFooter>&amp;C_x000D_&amp;1#&amp;"Aptos"&amp;10&amp;K008000 APA-INTERNAL</oddFooter>
  </headerFooter>
  <legacyDrawing r:id="rId2"/>
  <tableParts count="1">
    <tablePart r:id="rId3"/>
  </tablePart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5">
    <tabColor theme="1"/>
    <pageSetUpPr autoPageBreaks="0"/>
  </sheetPr>
  <dimension ref="A1:CL153"/>
  <sheetViews>
    <sheetView showGridLines="0" topLeftCell="A119" zoomScaleNormal="100" workbookViewId="0">
      <selection activeCell="L33" sqref="L33"/>
    </sheetView>
  </sheetViews>
  <sheetFormatPr defaultColWidth="9.140625" defaultRowHeight="15" x14ac:dyDescent="0.25"/>
  <cols>
    <col min="1" max="1" width="36.28515625" customWidth="1"/>
    <col min="2" max="2" width="44.5703125" style="5" customWidth="1"/>
    <col min="3" max="3" width="24.140625" style="5" customWidth="1"/>
    <col min="4" max="4" width="33.42578125" style="5" customWidth="1"/>
    <col min="5" max="7" width="17.28515625" style="5" customWidth="1"/>
    <col min="8" max="9" width="13.28515625" style="5" customWidth="1"/>
    <col min="10" max="12" width="13.7109375" customWidth="1"/>
    <col min="13" max="16384" width="9.140625" style="5"/>
  </cols>
  <sheetData>
    <row r="1" spans="1:51" customFormat="1" ht="51" customHeight="1" x14ac:dyDescent="0.25">
      <c r="B1" s="629" t="s">
        <v>875</v>
      </c>
      <c r="C1" s="628"/>
      <c r="D1" s="628"/>
      <c r="E1" s="628"/>
      <c r="F1" s="628"/>
      <c r="G1" s="628"/>
      <c r="H1" s="628"/>
      <c r="I1" s="628"/>
      <c r="J1" s="628"/>
      <c r="K1" s="628"/>
    </row>
    <row r="2" spans="1:51" customFormat="1" ht="24.75" customHeight="1" x14ac:dyDescent="0.25"/>
    <row r="3" spans="1:51" ht="20.25" x14ac:dyDescent="0.3">
      <c r="B3" s="178" t="s">
        <v>411</v>
      </c>
      <c r="C3" s="179" t="s">
        <v>412</v>
      </c>
      <c r="D3" s="103" t="s">
        <v>413</v>
      </c>
      <c r="E3" s="104"/>
      <c r="F3" s="104"/>
      <c r="G3" s="104"/>
      <c r="H3" s="104"/>
      <c r="I3" s="104"/>
      <c r="J3" s="104"/>
      <c r="K3" s="104"/>
      <c r="M3"/>
      <c r="N3"/>
      <c r="O3"/>
      <c r="P3"/>
      <c r="Q3"/>
      <c r="R3"/>
      <c r="S3"/>
      <c r="T3"/>
      <c r="U3"/>
      <c r="V3"/>
      <c r="W3"/>
      <c r="X3"/>
      <c r="Y3"/>
      <c r="Z3"/>
      <c r="AA3"/>
      <c r="AB3"/>
      <c r="AC3"/>
      <c r="AD3"/>
      <c r="AE3"/>
      <c r="AF3"/>
      <c r="AG3"/>
      <c r="AH3"/>
      <c r="AI3"/>
      <c r="AJ3"/>
      <c r="AK3"/>
      <c r="AL3"/>
      <c r="AM3"/>
      <c r="AN3"/>
      <c r="AO3"/>
      <c r="AP3"/>
      <c r="AQ3"/>
      <c r="AR3"/>
      <c r="AS3"/>
      <c r="AT3"/>
      <c r="AU3"/>
      <c r="AV3"/>
      <c r="AW3"/>
      <c r="AX3"/>
      <c r="AY3"/>
    </row>
    <row r="4" spans="1:51" ht="15.75" thickBot="1" x14ac:dyDescent="0.3">
      <c r="B4" s="61"/>
      <c r="M4"/>
      <c r="N4"/>
      <c r="O4"/>
      <c r="P4"/>
      <c r="Q4"/>
      <c r="R4"/>
      <c r="S4"/>
      <c r="T4"/>
      <c r="U4"/>
      <c r="V4"/>
      <c r="W4"/>
      <c r="X4"/>
      <c r="Y4"/>
      <c r="Z4"/>
      <c r="AA4"/>
      <c r="AB4"/>
      <c r="AC4"/>
      <c r="AD4"/>
      <c r="AE4"/>
      <c r="AF4"/>
      <c r="AG4"/>
      <c r="AH4"/>
      <c r="AI4"/>
      <c r="AJ4"/>
      <c r="AK4"/>
      <c r="AL4"/>
      <c r="AM4"/>
      <c r="AN4"/>
      <c r="AO4"/>
      <c r="AP4"/>
      <c r="AQ4"/>
      <c r="AR4"/>
      <c r="AS4"/>
      <c r="AT4"/>
      <c r="AU4"/>
      <c r="AV4"/>
      <c r="AW4"/>
      <c r="AX4"/>
      <c r="AY4"/>
    </row>
    <row r="5" spans="1:51" customFormat="1" x14ac:dyDescent="0.25">
      <c r="B5" s="685" t="s">
        <v>436</v>
      </c>
      <c r="C5" s="26"/>
      <c r="D5" s="686"/>
      <c r="E5" s="26"/>
      <c r="F5" s="26"/>
      <c r="G5" s="26"/>
      <c r="H5" s="26"/>
      <c r="I5" s="454"/>
    </row>
    <row r="6" spans="1:51" customFormat="1" x14ac:dyDescent="0.25">
      <c r="B6" s="687" t="s">
        <v>437</v>
      </c>
      <c r="D6" s="5"/>
      <c r="E6" s="5"/>
      <c r="F6" s="5"/>
      <c r="G6" s="5"/>
      <c r="H6" s="5"/>
      <c r="I6" s="688"/>
    </row>
    <row r="7" spans="1:51" customFormat="1" ht="15.75" thickBot="1" x14ac:dyDescent="0.3">
      <c r="B7" s="689" t="s">
        <v>445</v>
      </c>
      <c r="C7" s="146"/>
      <c r="D7" s="446"/>
      <c r="E7" s="446"/>
      <c r="F7" s="446"/>
      <c r="G7" s="446"/>
      <c r="H7" s="446"/>
      <c r="I7" s="690"/>
    </row>
    <row r="8" spans="1:51" customFormat="1" ht="15.75" thickBot="1" x14ac:dyDescent="0.3">
      <c r="B8" s="811"/>
      <c r="C8" s="811"/>
      <c r="D8" s="811"/>
      <c r="E8" s="811"/>
      <c r="F8" s="811"/>
      <c r="G8" s="811"/>
      <c r="H8" s="811"/>
      <c r="I8" s="811"/>
    </row>
    <row r="9" spans="1:51" customFormat="1" x14ac:dyDescent="0.25">
      <c r="A9" s="812"/>
      <c r="B9" s="651" t="s">
        <v>913</v>
      </c>
      <c r="C9" s="821" t="str">
        <f>INDEX(dms_TradingNameFull_List,MATCH(dms_TradingName,dms_TradingName_List))</f>
        <v>APT Petroleum Pipelines Limited t/a Roma to Brisbane Pipeline</v>
      </c>
      <c r="D9" s="822"/>
      <c r="E9" s="639" t="s">
        <v>914</v>
      </c>
      <c r="F9" s="641"/>
      <c r="G9" s="641"/>
      <c r="H9" s="641"/>
      <c r="I9" s="644"/>
    </row>
    <row r="10" spans="1:51" customFormat="1" x14ac:dyDescent="0.25">
      <c r="B10" s="651" t="s">
        <v>915</v>
      </c>
      <c r="C10" s="821" t="str">
        <f>dms_TradingName</f>
        <v>Roma to Brisbane Pipeline</v>
      </c>
      <c r="D10" s="822"/>
      <c r="E10" s="639"/>
      <c r="F10" s="641"/>
      <c r="G10" s="641"/>
      <c r="H10" s="641"/>
      <c r="I10" s="644"/>
    </row>
    <row r="11" spans="1:51" customFormat="1" x14ac:dyDescent="0.25">
      <c r="B11" s="651" t="s">
        <v>1153</v>
      </c>
      <c r="C11" s="821" t="str">
        <f>INDEX(dms_UID_List,MATCH(dms_TradingName,dms_TradingName_List))</f>
        <v>GTTQLD100</v>
      </c>
      <c r="D11" s="822"/>
      <c r="E11" s="639"/>
      <c r="F11" s="641"/>
      <c r="G11" s="641"/>
      <c r="H11" s="641"/>
      <c r="I11" s="644"/>
    </row>
    <row r="12" spans="1:51" customFormat="1" x14ac:dyDescent="0.25">
      <c r="A12" s="425" t="s">
        <v>826</v>
      </c>
      <c r="B12" s="813" t="s">
        <v>879</v>
      </c>
      <c r="C12" s="814" t="s">
        <v>164</v>
      </c>
      <c r="D12" s="815" t="s">
        <v>337</v>
      </c>
      <c r="E12" s="816"/>
      <c r="F12" s="817"/>
      <c r="G12" s="817"/>
      <c r="H12" s="817"/>
      <c r="I12" s="818"/>
    </row>
    <row r="13" spans="1:51" customFormat="1" x14ac:dyDescent="0.25">
      <c r="A13" s="1565" t="s">
        <v>825</v>
      </c>
      <c r="B13" s="651" t="s">
        <v>319</v>
      </c>
      <c r="C13" s="638" t="str">
        <f>'Business &amp; other details'!AL64</f>
        <v>Regulatory proposal</v>
      </c>
      <c r="D13" s="639" t="s">
        <v>681</v>
      </c>
      <c r="E13" s="640"/>
      <c r="F13" s="641"/>
      <c r="G13" s="641"/>
      <c r="H13" s="641"/>
      <c r="I13" s="644"/>
    </row>
    <row r="14" spans="1:51" customFormat="1" x14ac:dyDescent="0.25">
      <c r="A14" s="1566"/>
      <c r="B14" s="651" t="s">
        <v>880</v>
      </c>
      <c r="C14" s="638" t="str">
        <f>dms_Selected_Quality</f>
        <v>Consolidated</v>
      </c>
      <c r="D14" s="639" t="s">
        <v>679</v>
      </c>
      <c r="E14" s="1561"/>
      <c r="F14" s="1561"/>
      <c r="G14" s="1561"/>
      <c r="H14" s="1561"/>
      <c r="I14" s="1562"/>
    </row>
    <row r="15" spans="1:51" customFormat="1" x14ac:dyDescent="0.25">
      <c r="A15" s="1566"/>
      <c r="B15" s="651" t="s">
        <v>881</v>
      </c>
      <c r="C15" s="638" t="str">
        <f>dms_Selected_Status</f>
        <v>Public</v>
      </c>
      <c r="D15" s="639" t="s">
        <v>680</v>
      </c>
      <c r="E15" s="642"/>
      <c r="F15" s="642"/>
      <c r="G15" s="642"/>
      <c r="H15" s="642"/>
      <c r="I15" s="645"/>
    </row>
    <row r="16" spans="1:51" customFormat="1" ht="39" customHeight="1" x14ac:dyDescent="0.25">
      <c r="A16" s="1566"/>
      <c r="B16" s="652" t="s">
        <v>882</v>
      </c>
      <c r="C16" s="1576" t="str">
        <f>dms_Amendment_Text</f>
        <v>.</v>
      </c>
      <c r="D16" s="1576"/>
      <c r="E16" s="1576"/>
      <c r="F16" s="643" t="s">
        <v>682</v>
      </c>
      <c r="G16" s="642"/>
      <c r="H16" s="642"/>
      <c r="I16" s="645"/>
    </row>
    <row r="17" spans="1:11" customFormat="1" ht="15" customHeight="1" thickBot="1" x14ac:dyDescent="0.3">
      <c r="A17" s="1567"/>
      <c r="B17" s="653" t="s">
        <v>883</v>
      </c>
      <c r="C17" s="646" t="str">
        <f>dms_Typed_Submission_Date</f>
        <v>dd/mm/yy</v>
      </c>
      <c r="D17" s="647" t="s">
        <v>322</v>
      </c>
      <c r="E17" s="648"/>
      <c r="F17" s="649"/>
      <c r="G17" s="649"/>
      <c r="H17" s="649"/>
      <c r="I17" s="650"/>
    </row>
    <row r="18" spans="1:11" customFormat="1" ht="15" customHeight="1" thickBot="1" x14ac:dyDescent="0.3">
      <c r="B18" s="5"/>
      <c r="C18" s="5"/>
      <c r="D18" s="5"/>
      <c r="E18" s="5"/>
      <c r="F18" s="5"/>
      <c r="G18" s="5"/>
      <c r="H18" s="5"/>
      <c r="I18" s="5"/>
    </row>
    <row r="19" spans="1:11" customFormat="1" ht="15.75" thickBot="1" x14ac:dyDescent="0.3">
      <c r="A19" s="425" t="s">
        <v>885</v>
      </c>
      <c r="B19" s="654" t="s">
        <v>323</v>
      </c>
      <c r="C19" s="332" t="s">
        <v>324</v>
      </c>
      <c r="D19" s="333"/>
      <c r="E19" s="333"/>
      <c r="F19" s="333"/>
      <c r="G19" s="333"/>
      <c r="H19" s="333"/>
      <c r="I19" s="819"/>
      <c r="J19" s="146"/>
      <c r="K19" s="146"/>
    </row>
    <row r="20" spans="1:11" customFormat="1" x14ac:dyDescent="0.25">
      <c r="A20" s="1568" t="s">
        <v>827</v>
      </c>
      <c r="B20" s="655" t="s">
        <v>650</v>
      </c>
      <c r="C20" s="79" t="str">
        <f>dms_Selected_Quality</f>
        <v>Consolidated</v>
      </c>
      <c r="D20" s="142" t="s">
        <v>648</v>
      </c>
      <c r="E20" s="76" t="s">
        <v>651</v>
      </c>
      <c r="F20" s="77"/>
      <c r="G20" s="77"/>
      <c r="H20" s="77"/>
      <c r="I20" s="77"/>
      <c r="J20" s="169"/>
      <c r="K20" s="170"/>
    </row>
    <row r="21" spans="1:11" s="27" customFormat="1" x14ac:dyDescent="0.25">
      <c r="A21" s="1569"/>
      <c r="B21" s="656" t="s">
        <v>325</v>
      </c>
      <c r="C21" s="69" t="str">
        <f>INDEX(dms_Sector_List,MATCH(dms_TradingName,dms_TradingName_List))</f>
        <v>Gas</v>
      </c>
      <c r="D21" s="95" t="s">
        <v>326</v>
      </c>
      <c r="E21" s="67" t="s">
        <v>327</v>
      </c>
      <c r="F21" s="68"/>
      <c r="G21" s="68"/>
      <c r="H21" s="68"/>
      <c r="I21" s="68"/>
      <c r="J21" s="165"/>
      <c r="K21" s="166"/>
    </row>
    <row r="22" spans="1:11" customFormat="1" x14ac:dyDescent="0.25">
      <c r="A22" s="1569"/>
      <c r="B22" s="656" t="s">
        <v>328</v>
      </c>
      <c r="C22" s="66" t="str">
        <f>INDEX(dms_Segment_List,MATCH(dms_TradingName,dms_TradingName_List))</f>
        <v>Transmission</v>
      </c>
      <c r="D22" s="95" t="s">
        <v>329</v>
      </c>
      <c r="E22" s="67" t="s">
        <v>330</v>
      </c>
      <c r="F22" s="68"/>
      <c r="G22" s="68"/>
      <c r="H22" s="68"/>
      <c r="I22" s="68"/>
      <c r="J22" s="165"/>
      <c r="K22" s="166"/>
    </row>
    <row r="23" spans="1:11" customFormat="1" x14ac:dyDescent="0.25">
      <c r="A23" s="1569"/>
      <c r="B23" s="656" t="s">
        <v>331</v>
      </c>
      <c r="C23" s="69" t="str">
        <f ca="1">dms_RYE_result</f>
        <v>2032</v>
      </c>
      <c r="D23" s="95" t="s">
        <v>332</v>
      </c>
      <c r="E23" s="67" t="s">
        <v>333</v>
      </c>
      <c r="F23" s="68"/>
      <c r="G23" s="68"/>
      <c r="H23" s="68"/>
      <c r="I23" s="68"/>
      <c r="J23" s="165"/>
      <c r="K23" s="166"/>
    </row>
    <row r="24" spans="1:11" customFormat="1" x14ac:dyDescent="0.25">
      <c r="A24" s="1569"/>
      <c r="B24" s="656" t="s">
        <v>334</v>
      </c>
      <c r="C24" s="66" t="str">
        <f>INDEX(dms_RPT_List,MATCH(dms_TradingName,dms_TradingName_List))</f>
        <v>Financial</v>
      </c>
      <c r="D24" s="95" t="s">
        <v>335</v>
      </c>
      <c r="E24" s="67" t="s">
        <v>336</v>
      </c>
      <c r="F24" s="68"/>
      <c r="G24" s="68"/>
      <c r="H24" s="68"/>
      <c r="I24" s="68"/>
      <c r="J24" s="165"/>
      <c r="K24" s="166"/>
    </row>
    <row r="25" spans="1:11" x14ac:dyDescent="0.25">
      <c r="A25" s="1569"/>
      <c r="B25" s="656" t="s">
        <v>393</v>
      </c>
      <c r="C25" s="90" t="s">
        <v>144</v>
      </c>
      <c r="D25" s="95" t="s">
        <v>394</v>
      </c>
      <c r="E25" s="231" t="s">
        <v>534</v>
      </c>
      <c r="F25" s="92"/>
      <c r="G25" s="92"/>
      <c r="H25" s="92"/>
      <c r="I25" s="92"/>
      <c r="J25" s="92"/>
      <c r="K25" s="93"/>
    </row>
    <row r="26" spans="1:11" customFormat="1" x14ac:dyDescent="0.25">
      <c r="A26" s="1569"/>
      <c r="B26" s="656" t="s">
        <v>338</v>
      </c>
      <c r="C26" s="66" t="s">
        <v>199</v>
      </c>
      <c r="D26" s="96" t="s">
        <v>339</v>
      </c>
      <c r="E26" s="232" t="s">
        <v>340</v>
      </c>
      <c r="F26" s="68"/>
      <c r="G26" s="68"/>
      <c r="H26" s="68"/>
      <c r="I26" s="68"/>
      <c r="J26" s="165"/>
      <c r="K26" s="166"/>
    </row>
    <row r="27" spans="1:11" customFormat="1" ht="15.75" customHeight="1" thickBot="1" x14ac:dyDescent="0.3">
      <c r="A27" s="1570"/>
      <c r="B27" s="657" t="s">
        <v>354</v>
      </c>
      <c r="C27" s="71" t="str">
        <f>INDEX(dms_JurisdictionList,MATCH(dms_TradingName,dms_TradingName_List))</f>
        <v>Qld</v>
      </c>
      <c r="D27" s="141" t="s">
        <v>355</v>
      </c>
      <c r="E27" s="72" t="s">
        <v>356</v>
      </c>
      <c r="F27" s="73"/>
      <c r="G27" s="73"/>
      <c r="H27" s="73"/>
      <c r="I27" s="73"/>
      <c r="J27" s="167"/>
      <c r="K27" s="168"/>
    </row>
    <row r="28" spans="1:11" customFormat="1" ht="22.5" customHeight="1" thickBot="1" x14ac:dyDescent="0.3">
      <c r="A28" s="1571" t="s">
        <v>828</v>
      </c>
      <c r="B28" s="739" t="s">
        <v>888</v>
      </c>
      <c r="C28" s="105"/>
      <c r="D28" s="105"/>
      <c r="E28" s="674"/>
      <c r="F28" s="675"/>
      <c r="G28" s="675"/>
      <c r="H28" s="675"/>
      <c r="I28" s="675"/>
      <c r="J28" s="675"/>
      <c r="K28" s="676"/>
    </row>
    <row r="29" spans="1:11" s="4" customFormat="1" ht="22.5" customHeight="1" x14ac:dyDescent="0.25">
      <c r="A29" s="1572"/>
      <c r="B29" s="736" t="s">
        <v>884</v>
      </c>
      <c r="C29" s="737" t="str">
        <f>IFERROR(CRY,"NO")</f>
        <v>NO</v>
      </c>
      <c r="D29" s="738"/>
      <c r="E29" s="682"/>
      <c r="F29" s="682"/>
      <c r="G29" s="682"/>
      <c r="H29" s="682"/>
      <c r="I29" s="682"/>
      <c r="J29" s="682"/>
      <c r="K29" s="683"/>
    </row>
    <row r="30" spans="1:11" customFormat="1" x14ac:dyDescent="0.25">
      <c r="A30" s="1572"/>
      <c r="B30" s="659" t="s">
        <v>498</v>
      </c>
      <c r="C30" s="90" t="str">
        <f>IFERROR(IF(dms_RPT="calendar",CRY-1,LEFT(CRY,4)),"CRY not present")</f>
        <v>CRY not present</v>
      </c>
      <c r="D30" s="733" t="s">
        <v>499</v>
      </c>
      <c r="E30" s="633" t="s">
        <v>500</v>
      </c>
      <c r="F30" s="733"/>
      <c r="G30" s="733"/>
      <c r="H30" s="733"/>
      <c r="I30" s="733"/>
      <c r="J30" s="734"/>
      <c r="K30" s="735"/>
    </row>
    <row r="31" spans="1:11" customFormat="1" x14ac:dyDescent="0.25">
      <c r="A31" s="1572"/>
      <c r="B31" s="658" t="s">
        <v>341</v>
      </c>
      <c r="C31" s="66" t="str">
        <f>INDEX(dms_RPTMonth_List,MATCH(dms_TradingName,dms_TradingName_List))</f>
        <v>June</v>
      </c>
      <c r="D31" s="96" t="s">
        <v>342</v>
      </c>
      <c r="E31" s="95" t="s">
        <v>343</v>
      </c>
      <c r="F31" s="96"/>
      <c r="G31" s="96"/>
      <c r="H31" s="96"/>
      <c r="I31" s="96"/>
      <c r="J31" s="677"/>
      <c r="K31" s="678"/>
    </row>
    <row r="32" spans="1:11" customFormat="1" ht="14.25" customHeight="1" x14ac:dyDescent="0.25">
      <c r="A32" s="1572"/>
      <c r="B32" s="658" t="s">
        <v>344</v>
      </c>
      <c r="C32" s="70" t="str">
        <f ca="1">IF(dms_SingleYearModel="yes",CONCATENATE(dms_RPTMonth)&amp;" "&amp;VALUE((LEFT(CRY,2))&amp;RIGHT(CRY,2)),CONCATENATE(dms_RPTMonth)&amp;" "&amp;dms_DollarReal_year)</f>
        <v>June 2027</v>
      </c>
      <c r="D32" s="95" t="s">
        <v>345</v>
      </c>
      <c r="E32" s="95" t="s">
        <v>797</v>
      </c>
      <c r="F32" s="96"/>
      <c r="G32" s="96"/>
      <c r="H32" s="96"/>
      <c r="I32" s="96"/>
      <c r="J32" s="677"/>
      <c r="K32" s="678"/>
    </row>
    <row r="33" spans="1:90" customFormat="1" ht="24" customHeight="1" thickBot="1" x14ac:dyDescent="0.3">
      <c r="A33" s="1573"/>
      <c r="B33" s="684" t="s">
        <v>346</v>
      </c>
      <c r="C33" s="669" t="str">
        <f ca="1">IF(dms_SingleYearModel="yes",CONCATENATE(dms_RPTMonth)&amp;" "&amp;VALUE((LEFT(CRY,2))&amp;RIGHT(CRY,2)),CONCATENATE(dms_RPTMonth)&amp;" "&amp;dms_Previous_DollarReal_year)</f>
        <v>June 2022</v>
      </c>
      <c r="D33" s="141" t="s">
        <v>347</v>
      </c>
      <c r="E33" s="141" t="s">
        <v>348</v>
      </c>
      <c r="F33" s="679"/>
      <c r="G33" s="679"/>
      <c r="H33" s="679"/>
      <c r="I33" s="679"/>
      <c r="J33" s="680"/>
      <c r="K33" s="681"/>
    </row>
    <row r="34" spans="1:90" customFormat="1" ht="24" customHeight="1" thickBot="1" x14ac:dyDescent="0.3">
      <c r="B34" s="670" t="s">
        <v>521</v>
      </c>
      <c r="C34" s="671"/>
      <c r="D34" s="671"/>
      <c r="E34" s="671"/>
      <c r="F34" s="672"/>
      <c r="G34" s="672"/>
      <c r="H34" s="672"/>
      <c r="I34" s="672"/>
      <c r="J34" s="672"/>
      <c r="K34" s="673"/>
      <c r="AL34" s="1540"/>
      <c r="AM34" s="1540"/>
      <c r="AN34" s="1540"/>
      <c r="AO34" s="1540"/>
      <c r="AP34" s="1540"/>
      <c r="AQ34" s="1540"/>
      <c r="AR34" s="1540"/>
      <c r="AS34" s="1540"/>
      <c r="AT34" s="1540"/>
      <c r="AU34" s="1540"/>
      <c r="AV34" s="1540"/>
      <c r="AW34" s="1540"/>
      <c r="AX34" s="1540"/>
      <c r="AY34" s="1540"/>
      <c r="AZ34" s="1540"/>
      <c r="BA34" s="1540"/>
      <c r="BB34" s="1540"/>
      <c r="BC34" s="1540"/>
      <c r="BD34" s="1540"/>
      <c r="BE34" s="1540"/>
      <c r="BF34" s="1540"/>
      <c r="BG34" s="1540"/>
      <c r="BQ34" s="1540"/>
      <c r="BR34" s="1540"/>
      <c r="BS34" s="1540"/>
      <c r="BT34" s="1540"/>
      <c r="BU34" s="1540"/>
      <c r="BV34" s="1540"/>
      <c r="BW34" s="1540"/>
      <c r="BX34" s="1540"/>
      <c r="BY34" s="1540"/>
      <c r="BZ34" s="1540"/>
      <c r="CA34" s="1540"/>
      <c r="CB34" s="1540"/>
      <c r="CC34" s="1540"/>
      <c r="CD34" s="1540"/>
      <c r="CE34" s="1540"/>
      <c r="CF34" s="1540"/>
      <c r="CG34" s="1540"/>
      <c r="CH34" s="1540"/>
      <c r="CI34" s="1540"/>
      <c r="CJ34" s="1540"/>
      <c r="CK34" s="1540"/>
      <c r="CL34" s="1540"/>
    </row>
    <row r="35" spans="1:90" s="4" customFormat="1" ht="30.75" customHeight="1" thickBot="1" x14ac:dyDescent="0.3">
      <c r="B35" s="661" t="s">
        <v>349</v>
      </c>
      <c r="C35" s="660" t="str">
        <f>INDEX(dms_FormControl_List,MATCH(dms_TradingName,dms_TradingName_List))</f>
        <v>Tariff cap</v>
      </c>
      <c r="D35" s="633" t="s">
        <v>350</v>
      </c>
      <c r="E35" s="634" t="s">
        <v>351</v>
      </c>
      <c r="F35" s="635"/>
      <c r="G35" s="635"/>
      <c r="H35" s="635"/>
      <c r="I35" s="635"/>
      <c r="J35" s="636"/>
      <c r="K35" s="637"/>
      <c r="AL35" s="1540"/>
      <c r="AM35" s="1540"/>
      <c r="AN35" s="1540"/>
      <c r="AO35" s="1540"/>
      <c r="AP35" s="1540"/>
      <c r="AQ35" s="1540"/>
      <c r="AR35" s="1540"/>
      <c r="AS35" s="1540"/>
      <c r="AT35" s="1540"/>
      <c r="AU35" s="1540"/>
      <c r="AV35" s="1540"/>
      <c r="AW35" s="1540"/>
      <c r="AX35" s="1540"/>
      <c r="AY35" s="1540"/>
      <c r="AZ35" s="1540"/>
      <c r="BA35" s="1540"/>
      <c r="BB35" s="1540"/>
      <c r="BC35" s="1540"/>
      <c r="BD35" s="1540"/>
      <c r="BE35" s="1540"/>
      <c r="BF35" s="1540"/>
      <c r="BG35" s="1540"/>
      <c r="BQ35" s="1540"/>
      <c r="BR35" s="1540"/>
      <c r="BS35" s="1540"/>
      <c r="BT35" s="1540"/>
      <c r="BU35" s="1540"/>
      <c r="BV35" s="1540"/>
      <c r="BW35" s="1540"/>
      <c r="BX35" s="1540"/>
      <c r="BY35" s="1540"/>
      <c r="BZ35" s="1540"/>
      <c r="CA35" s="1540"/>
      <c r="CB35" s="1540"/>
      <c r="CC35" s="1540"/>
      <c r="CD35" s="1540"/>
      <c r="CE35" s="1540"/>
      <c r="CF35" s="1540"/>
      <c r="CG35" s="1540"/>
      <c r="CH35" s="1540"/>
      <c r="CI35" s="1540"/>
      <c r="CJ35" s="1540"/>
      <c r="CK35" s="1540"/>
      <c r="CL35" s="1540"/>
    </row>
    <row r="36" spans="1:90" customFormat="1" ht="24" customHeight="1" thickBot="1" x14ac:dyDescent="0.3">
      <c r="A36" s="1574" t="s">
        <v>829</v>
      </c>
      <c r="B36" s="181" t="s">
        <v>480</v>
      </c>
      <c r="C36" s="182"/>
      <c r="D36" s="674"/>
      <c r="E36" s="674"/>
      <c r="F36" s="675"/>
      <c r="G36" s="675"/>
      <c r="H36" s="675"/>
      <c r="I36" s="675"/>
      <c r="J36" s="675"/>
      <c r="K36" s="676"/>
      <c r="AL36" s="1540"/>
      <c r="AM36" s="1540"/>
      <c r="AN36" s="1540"/>
      <c r="AO36" s="1540"/>
      <c r="AP36" s="1540"/>
      <c r="AQ36" s="1540"/>
      <c r="AR36" s="1540"/>
      <c r="AS36" s="1540"/>
      <c r="AT36" s="1540"/>
      <c r="AU36" s="1540"/>
      <c r="AV36" s="1540"/>
      <c r="AW36" s="1540"/>
      <c r="AX36" s="1540"/>
      <c r="AY36" s="1540"/>
      <c r="AZ36" s="1540"/>
      <c r="BA36" s="1540"/>
      <c r="BB36" s="1540"/>
      <c r="BC36" s="1540"/>
      <c r="BD36" s="1540"/>
      <c r="BE36" s="1540"/>
      <c r="BF36" s="1540"/>
      <c r="BG36" s="1540"/>
      <c r="BQ36" s="1540"/>
      <c r="BR36" s="1540"/>
      <c r="BS36" s="1540"/>
      <c r="BT36" s="1540"/>
      <c r="BU36" s="1540"/>
      <c r="BV36" s="1540"/>
      <c r="BW36" s="1540"/>
      <c r="BX36" s="1540"/>
      <c r="BY36" s="1540"/>
      <c r="BZ36" s="1540"/>
      <c r="CA36" s="1540"/>
      <c r="CB36" s="1540"/>
      <c r="CC36" s="1540"/>
      <c r="CD36" s="1540"/>
      <c r="CE36" s="1540"/>
      <c r="CF36" s="1540"/>
      <c r="CG36" s="1540"/>
      <c r="CH36" s="1540"/>
      <c r="CI36" s="1540"/>
      <c r="CJ36" s="1540"/>
      <c r="CK36" s="1540"/>
      <c r="CL36" s="1540"/>
    </row>
    <row r="37" spans="1:90" customFormat="1" x14ac:dyDescent="0.25">
      <c r="A37" s="1575"/>
      <c r="B37" s="662" t="s">
        <v>702</v>
      </c>
      <c r="C37" s="730" t="str">
        <f>FRCP_y1</f>
        <v>2027-28</v>
      </c>
      <c r="D37" s="716" t="s">
        <v>807</v>
      </c>
      <c r="E37" s="717"/>
      <c r="F37" s="717"/>
      <c r="G37" s="717"/>
      <c r="H37" s="717"/>
      <c r="I37" s="717"/>
      <c r="J37" s="717"/>
      <c r="K37" s="718"/>
    </row>
    <row r="38" spans="1:90" customFormat="1" x14ac:dyDescent="0.25">
      <c r="A38" s="1575"/>
      <c r="B38" s="722" t="s">
        <v>894</v>
      </c>
      <c r="C38" s="801" t="str">
        <f ca="1">IFERROR(CRY,CRCP_y4)</f>
        <v>2025-26</v>
      </c>
      <c r="D38" s="802"/>
      <c r="E38" s="803"/>
      <c r="F38" s="803"/>
      <c r="G38" s="803"/>
      <c r="H38" s="803"/>
      <c r="I38" s="803"/>
      <c r="J38" s="803"/>
      <c r="K38" s="804"/>
    </row>
    <row r="39" spans="1:90" customFormat="1" x14ac:dyDescent="0.25">
      <c r="A39" s="1575"/>
      <c r="B39" s="722" t="s">
        <v>895</v>
      </c>
      <c r="C39" s="801">
        <f ca="1">IFERROR(MATCH(dms_CRY_start_year,INDIRECT(dms_RPT),0),0)</f>
        <v>39</v>
      </c>
      <c r="D39" s="802"/>
      <c r="E39" s="803"/>
      <c r="F39" s="803"/>
      <c r="G39" s="803"/>
      <c r="H39" s="803"/>
      <c r="I39" s="803"/>
      <c r="J39" s="803"/>
      <c r="K39" s="804"/>
    </row>
    <row r="40" spans="1:90" customFormat="1" x14ac:dyDescent="0.25">
      <c r="A40" s="1575"/>
      <c r="B40" s="663" t="s">
        <v>778</v>
      </c>
      <c r="C40" s="699">
        <f ca="1">MATCH(dms_start_year,INDIRECT(dms_RPT),0)</f>
        <v>41</v>
      </c>
      <c r="D40" s="713" t="s">
        <v>789</v>
      </c>
      <c r="E40" s="714"/>
      <c r="F40" s="714"/>
      <c r="G40" s="714"/>
      <c r="H40" s="714"/>
      <c r="I40" s="714"/>
      <c r="J40" s="714"/>
      <c r="K40" s="715"/>
    </row>
    <row r="41" spans="1:90" customFormat="1" x14ac:dyDescent="0.25">
      <c r="A41" s="1575"/>
      <c r="B41" s="664" t="s">
        <v>776</v>
      </c>
      <c r="C41" s="700">
        <f ca="1">dms_FRCP_start_row-dms_CRCPlength_Num</f>
        <v>36</v>
      </c>
      <c r="D41" s="706" t="s">
        <v>791</v>
      </c>
      <c r="E41" s="707"/>
      <c r="F41" s="707"/>
      <c r="G41" s="707"/>
      <c r="H41" s="707"/>
      <c r="I41" s="707"/>
      <c r="J41" s="707"/>
      <c r="K41" s="708"/>
    </row>
    <row r="42" spans="1:90" customFormat="1" x14ac:dyDescent="0.25">
      <c r="A42" s="1575"/>
      <c r="B42" s="664" t="s">
        <v>777</v>
      </c>
      <c r="C42" s="700">
        <f ca="1">dms_FRCP_start_row-dms_CRCPlength_Num-dms_PRCPlength_Num</f>
        <v>31</v>
      </c>
      <c r="D42" s="706" t="s">
        <v>790</v>
      </c>
      <c r="E42" s="707"/>
      <c r="F42" s="707"/>
      <c r="G42" s="707"/>
      <c r="H42" s="707"/>
      <c r="I42" s="707"/>
      <c r="J42" s="707"/>
      <c r="K42" s="708"/>
    </row>
    <row r="43" spans="1:90" customFormat="1" x14ac:dyDescent="0.25">
      <c r="A43" s="1575"/>
      <c r="B43" s="665" t="s">
        <v>779</v>
      </c>
      <c r="C43" s="701">
        <f ca="1">dms_FRCP_start_row+(dms_FRCPlength_Num-1)</f>
        <v>45</v>
      </c>
      <c r="D43" s="719" t="s">
        <v>792</v>
      </c>
      <c r="E43" s="720"/>
      <c r="F43" s="720"/>
      <c r="G43" s="720"/>
      <c r="H43" s="720"/>
      <c r="I43" s="720"/>
      <c r="J43" s="720"/>
      <c r="K43" s="721"/>
    </row>
    <row r="44" spans="1:90" customFormat="1" x14ac:dyDescent="0.25">
      <c r="A44" s="1575"/>
      <c r="B44" s="663" t="s">
        <v>782</v>
      </c>
      <c r="C44" s="702" t="str">
        <f ca="1">INDEX(INDIRECT(dms_RPT),dms_FRCP_start_row)</f>
        <v>2027-28</v>
      </c>
      <c r="D44" s="713" t="s">
        <v>793</v>
      </c>
      <c r="E44" s="714"/>
      <c r="F44" s="714"/>
      <c r="G44" s="714"/>
      <c r="H44" s="714"/>
      <c r="I44" s="714"/>
      <c r="J44" s="714"/>
      <c r="K44" s="715"/>
    </row>
    <row r="45" spans="1:90" customFormat="1" x14ac:dyDescent="0.25">
      <c r="A45" s="1575"/>
      <c r="B45" s="664" t="s">
        <v>783</v>
      </c>
      <c r="C45" s="700" t="str">
        <f ca="1">INDEX(INDIRECT(dms_RPT),dms_CRCP_start_row)</f>
        <v>2022-23</v>
      </c>
      <c r="D45" s="706" t="s">
        <v>794</v>
      </c>
      <c r="E45" s="707"/>
      <c r="F45" s="707"/>
      <c r="G45" s="707"/>
      <c r="H45" s="707"/>
      <c r="I45" s="707"/>
      <c r="J45" s="707"/>
      <c r="K45" s="708"/>
    </row>
    <row r="46" spans="1:90" customFormat="1" x14ac:dyDescent="0.25">
      <c r="A46" s="1575"/>
      <c r="B46" s="666" t="s">
        <v>784</v>
      </c>
      <c r="C46" s="703" t="str">
        <f ca="1">INDEX(INDIRECT(dms_RPT),dms_PRCP_start_row)</f>
        <v>2017-18</v>
      </c>
      <c r="D46" s="719" t="s">
        <v>795</v>
      </c>
      <c r="E46" s="720"/>
      <c r="F46" s="720"/>
      <c r="G46" s="720"/>
      <c r="H46" s="720"/>
      <c r="I46" s="720"/>
      <c r="J46" s="720"/>
      <c r="K46" s="721"/>
    </row>
    <row r="47" spans="1:90" customFormat="1" x14ac:dyDescent="0.25">
      <c r="A47" s="1575"/>
      <c r="B47" s="663" t="s">
        <v>800</v>
      </c>
      <c r="C47" s="702" t="str">
        <f ca="1">INDEX(INDIRECT(dms_RPT),dms_FRCP_start_row+dms_FRCPlength_Num-1)</f>
        <v>2031-32</v>
      </c>
      <c r="D47" s="706" t="s">
        <v>804</v>
      </c>
      <c r="E47" s="707"/>
      <c r="F47" s="707"/>
      <c r="G47" s="707"/>
      <c r="H47" s="707"/>
      <c r="I47" s="707"/>
      <c r="J47" s="707"/>
      <c r="K47" s="708"/>
    </row>
    <row r="48" spans="1:90" customFormat="1" x14ac:dyDescent="0.25">
      <c r="A48" s="1575"/>
      <c r="B48" s="664" t="s">
        <v>801</v>
      </c>
      <c r="C48" s="700" t="str">
        <f ca="1">INDEX(INDIRECT(dms_RPT),dms_CRCP_start_row+dms_CRCPlength_Num-1)</f>
        <v>2026-27</v>
      </c>
      <c r="D48" s="706" t="s">
        <v>803</v>
      </c>
      <c r="E48" s="707"/>
      <c r="F48" s="707"/>
      <c r="G48" s="707"/>
      <c r="H48" s="707"/>
      <c r="I48" s="707"/>
      <c r="J48" s="707"/>
      <c r="K48" s="708"/>
    </row>
    <row r="49" spans="1:11" customFormat="1" x14ac:dyDescent="0.25">
      <c r="A49" s="1575"/>
      <c r="B49" s="666" t="s">
        <v>802</v>
      </c>
      <c r="C49" s="703" t="str">
        <f ca="1">INDEX(INDIRECT(dms_RPT),dms_PRCP_start_row+dms_FRCPlength_Num-1)</f>
        <v>2021-22</v>
      </c>
      <c r="D49" s="719" t="s">
        <v>805</v>
      </c>
      <c r="E49" s="720"/>
      <c r="F49" s="720"/>
      <c r="G49" s="720"/>
      <c r="H49" s="720"/>
      <c r="I49" s="720"/>
      <c r="J49" s="720"/>
      <c r="K49" s="721"/>
    </row>
    <row r="50" spans="1:11" customFormat="1" x14ac:dyDescent="0.25">
      <c r="A50" s="1575"/>
      <c r="B50" s="663" t="s">
        <v>810</v>
      </c>
      <c r="C50" s="702" t="str">
        <f ca="1">INDEX(INDIRECT(dms_RPT),dms_RYE_start_row)</f>
        <v>2031-32</v>
      </c>
      <c r="D50" s="706" t="s">
        <v>822</v>
      </c>
      <c r="E50" s="707"/>
      <c r="F50" s="707"/>
      <c r="G50" s="707"/>
      <c r="H50" s="707"/>
      <c r="I50" s="707"/>
      <c r="J50" s="707"/>
      <c r="K50" s="708"/>
    </row>
    <row r="51" spans="1:11" customFormat="1" x14ac:dyDescent="0.25">
      <c r="A51" s="1575"/>
      <c r="B51" s="666" t="s">
        <v>821</v>
      </c>
      <c r="C51" s="731" t="str">
        <f>FRY</f>
        <v>2025-26</v>
      </c>
      <c r="D51" s="719" t="s">
        <v>891</v>
      </c>
      <c r="E51" s="720"/>
      <c r="F51" s="720"/>
      <c r="G51" s="720"/>
      <c r="H51" s="720"/>
      <c r="I51" s="720"/>
      <c r="J51" s="720"/>
      <c r="K51" s="721"/>
    </row>
    <row r="52" spans="1:11" customFormat="1" x14ac:dyDescent="0.25">
      <c r="A52" s="1575"/>
      <c r="B52" s="722" t="s">
        <v>887</v>
      </c>
      <c r="C52" s="723" t="str">
        <f ca="1">LEFT(CRCP_final_year,2)&amp;RIGHT(CRCP_final_year,2)</f>
        <v>2027</v>
      </c>
      <c r="D52" s="728" t="s">
        <v>889</v>
      </c>
      <c r="E52" s="729"/>
      <c r="F52" s="724"/>
      <c r="G52" s="724"/>
      <c r="H52" s="724"/>
      <c r="I52" s="724"/>
      <c r="J52" s="724"/>
      <c r="K52" s="725"/>
    </row>
    <row r="53" spans="1:11" customFormat="1" x14ac:dyDescent="0.25">
      <c r="A53" s="1575"/>
      <c r="B53" s="726" t="s">
        <v>886</v>
      </c>
      <c r="C53" s="727" t="str">
        <f ca="1">LEFT(PRCP_final_year,2)&amp;RIGHT(PRCP_final_year,2)</f>
        <v>2022</v>
      </c>
      <c r="D53" s="719" t="s">
        <v>890</v>
      </c>
      <c r="E53" s="720"/>
      <c r="F53" s="720"/>
      <c r="G53" s="720"/>
      <c r="H53" s="720"/>
      <c r="I53" s="720"/>
      <c r="J53" s="720"/>
      <c r="K53" s="721"/>
    </row>
    <row r="54" spans="1:11" customFormat="1" x14ac:dyDescent="0.25">
      <c r="A54" s="1575"/>
      <c r="B54" s="667" t="s">
        <v>781</v>
      </c>
      <c r="C54" s="704">
        <f>IFERROR(LEFT(CRY,2)&amp;RIGHT(CRY,2),0)</f>
        <v>0</v>
      </c>
      <c r="D54" s="713" t="s">
        <v>788</v>
      </c>
      <c r="E54" s="714"/>
      <c r="F54" s="707"/>
      <c r="G54" s="707"/>
      <c r="H54" s="707"/>
      <c r="I54" s="707"/>
      <c r="J54" s="707"/>
      <c r="K54" s="708"/>
    </row>
    <row r="55" spans="1:11" customFormat="1" x14ac:dyDescent="0.25">
      <c r="A55" s="1575"/>
      <c r="B55" s="664" t="s">
        <v>780</v>
      </c>
      <c r="C55" s="700" t="str">
        <f ca="1">IF(dms_Model_Span&gt;1,IF(dms_Model="RFM",(LEFT(dms_DollarReal_year,2)&amp;RIGHT(dms_DollarReal_year,2)),(LEFT(dms_Reset_final_year,2)&amp;RIGHT(dms_Reset_final_year,2))),0)</f>
        <v>2032</v>
      </c>
      <c r="D55" s="706" t="s">
        <v>806</v>
      </c>
      <c r="E55" s="707"/>
      <c r="F55" s="707"/>
      <c r="G55" s="707"/>
      <c r="H55" s="707"/>
      <c r="I55" s="707"/>
      <c r="J55" s="707"/>
      <c r="K55" s="708"/>
    </row>
    <row r="56" spans="1:11" customFormat="1" x14ac:dyDescent="0.25">
      <c r="A56" s="1575"/>
      <c r="B56" s="664" t="s">
        <v>786</v>
      </c>
      <c r="C56" s="700">
        <f>IF(dms_MultiYear_ResponseFlag="Yes",(LEFT(dms_Specified_FinalYear,2)&amp;RIGHT(dms_Specified_FinalYear,2)),0)</f>
        <v>0</v>
      </c>
      <c r="D56" s="706" t="s">
        <v>796</v>
      </c>
      <c r="E56" s="707"/>
      <c r="F56" s="707"/>
      <c r="G56" s="707"/>
      <c r="H56" s="707"/>
      <c r="I56" s="707"/>
      <c r="J56" s="707"/>
      <c r="K56" s="708"/>
    </row>
    <row r="57" spans="1:11" customFormat="1" x14ac:dyDescent="0.25">
      <c r="A57" s="1575"/>
      <c r="B57" s="664" t="s">
        <v>698</v>
      </c>
      <c r="C57" s="700">
        <f>INDEX(dms_Model_Span_List,MATCH(dms_Model,dms_Model_List))</f>
        <v>5</v>
      </c>
      <c r="D57" s="706" t="s">
        <v>876</v>
      </c>
      <c r="E57" s="707"/>
      <c r="F57" s="707"/>
      <c r="G57" s="707"/>
      <c r="H57" s="707"/>
      <c r="I57" s="707"/>
      <c r="J57" s="707"/>
      <c r="K57" s="708"/>
    </row>
    <row r="58" spans="1:11" customFormat="1" x14ac:dyDescent="0.25">
      <c r="A58" s="1575"/>
      <c r="B58" s="666" t="s">
        <v>787</v>
      </c>
      <c r="C58" s="703" t="str">
        <f ca="1">IF(dms_MultiYear_ResponseFlag="yes",dms_Specified_RYE,(IF(dms_Model_Span&gt;1,dms_Reset_RYE,dms_CRY_RYE)))</f>
        <v>2032</v>
      </c>
      <c r="D58" s="719" t="s">
        <v>877</v>
      </c>
      <c r="E58" s="720"/>
      <c r="F58" s="720"/>
      <c r="G58" s="720"/>
      <c r="H58" s="720"/>
      <c r="I58" s="720"/>
      <c r="J58" s="720"/>
      <c r="K58" s="721"/>
    </row>
    <row r="59" spans="1:11" customFormat="1" x14ac:dyDescent="0.25">
      <c r="A59" s="1575"/>
      <c r="B59" s="667" t="s">
        <v>798</v>
      </c>
      <c r="C59" s="704" t="str">
        <f ca="1">IF(dms_Reset_RYE&gt;0,CONCATENATE(FRCP_y1," to ",FRCP_final_year),0)</f>
        <v>2027-28 to 2031-32</v>
      </c>
      <c r="D59" s="706" t="s">
        <v>808</v>
      </c>
      <c r="E59" s="707"/>
      <c r="F59" s="709"/>
      <c r="G59" s="707"/>
      <c r="H59" s="707"/>
      <c r="I59" s="707"/>
      <c r="J59" s="707"/>
      <c r="K59" s="708"/>
    </row>
    <row r="60" spans="1:11" customFormat="1" x14ac:dyDescent="0.25">
      <c r="A60" s="1575"/>
      <c r="B60" s="664" t="s">
        <v>817</v>
      </c>
      <c r="C60" s="700">
        <f>IF(dms_Specified_RYE&gt;0,CONCATENATE(CRY," to ",dms_Specified_FinalYear),0)</f>
        <v>0</v>
      </c>
      <c r="D60" s="706" t="s">
        <v>809</v>
      </c>
      <c r="E60" s="707"/>
      <c r="F60" s="707"/>
      <c r="G60" s="707"/>
      <c r="H60" s="707"/>
      <c r="I60" s="707"/>
      <c r="J60" s="707"/>
      <c r="K60" s="708"/>
    </row>
    <row r="61" spans="1:11" customFormat="1" ht="15.75" thickBot="1" x14ac:dyDescent="0.3">
      <c r="A61" s="1575"/>
      <c r="B61" s="668" t="s">
        <v>799</v>
      </c>
      <c r="C61" s="705" t="str">
        <f ca="1">IF(dms_MultiYear_Flag=1,CONCATENATE("Data Span ",dms_SpecifiedYear_Span),IF(dms_Model_Span&gt;1,CONCATENATE("Data Span ",dms_y1&amp;" - "&amp;FRCP_final_year)))</f>
        <v>Data Span 2025-26 - 2031-32</v>
      </c>
      <c r="D61" s="710" t="s">
        <v>878</v>
      </c>
      <c r="E61" s="711"/>
      <c r="F61" s="711"/>
      <c r="G61" s="711"/>
      <c r="H61" s="711"/>
      <c r="I61" s="711"/>
      <c r="J61" s="711"/>
      <c r="K61" s="712"/>
    </row>
    <row r="62" spans="1:11" customFormat="1" ht="25.5" customHeight="1" thickBot="1" x14ac:dyDescent="0.3">
      <c r="B62" s="181" t="s">
        <v>523</v>
      </c>
      <c r="C62" s="182"/>
      <c r="D62" s="671"/>
      <c r="E62" s="671"/>
      <c r="F62" s="672"/>
      <c r="G62" s="672"/>
      <c r="H62" s="672"/>
      <c r="I62" s="672"/>
      <c r="J62" s="672"/>
      <c r="K62" s="673"/>
    </row>
    <row r="63" spans="1:11" customFormat="1" ht="18" x14ac:dyDescent="0.25">
      <c r="B63" s="630" t="s">
        <v>823</v>
      </c>
      <c r="C63" s="400" t="s">
        <v>324</v>
      </c>
      <c r="D63" s="389"/>
      <c r="E63" s="752"/>
      <c r="F63" s="753"/>
      <c r="G63" s="753"/>
      <c r="H63" s="753"/>
      <c r="I63" s="753"/>
      <c r="J63" s="754"/>
      <c r="K63" s="755"/>
    </row>
    <row r="64" spans="1:11" customFormat="1" x14ac:dyDescent="0.25">
      <c r="B64" s="401"/>
      <c r="C64" s="396">
        <f>IF(dms_MultiYear_ResponseFlag="No",0,1)</f>
        <v>0</v>
      </c>
      <c r="D64" s="742" t="s">
        <v>357</v>
      </c>
      <c r="E64" s="749" t="s">
        <v>429</v>
      </c>
      <c r="F64" s="744"/>
      <c r="G64" s="744"/>
      <c r="H64" s="744"/>
      <c r="I64" s="744"/>
      <c r="J64" s="750"/>
      <c r="K64" s="751"/>
    </row>
    <row r="65" spans="2:11" customFormat="1" ht="25.5" x14ac:dyDescent="0.25">
      <c r="B65" s="401"/>
      <c r="C65" s="741" t="str">
        <f>IF(dms_MultiYear_Flag=1,FRY,"not a Multiple year submission")</f>
        <v>not a Multiple year submission</v>
      </c>
      <c r="D65" s="742" t="s">
        <v>358</v>
      </c>
      <c r="E65" s="743" t="s">
        <v>428</v>
      </c>
      <c r="F65" s="744"/>
      <c r="G65" s="744"/>
      <c r="H65" s="744"/>
      <c r="I65" s="745"/>
      <c r="J65" s="746"/>
      <c r="K65" s="747"/>
    </row>
    <row r="66" spans="2:11" customFormat="1" ht="15.75" thickBot="1" x14ac:dyDescent="0.3">
      <c r="B66" s="740" t="s">
        <v>556</v>
      </c>
      <c r="C66" s="393" t="str">
        <f>IFERROR(IF(dms_MultiYear_Flag=1,FRY,CRY),"not an ABC")</f>
        <v>not an ABC</v>
      </c>
      <c r="D66" s="397" t="s">
        <v>504</v>
      </c>
      <c r="E66" s="397" t="s">
        <v>506</v>
      </c>
      <c r="F66" s="383"/>
      <c r="G66" s="383" t="s">
        <v>505</v>
      </c>
      <c r="H66" s="383"/>
      <c r="I66" s="383"/>
      <c r="J66" s="398"/>
      <c r="K66" s="399"/>
    </row>
    <row r="67" spans="2:11" customFormat="1" ht="22.5" customHeight="1" thickBot="1" x14ac:dyDescent="0.3">
      <c r="B67" s="181" t="s">
        <v>824</v>
      </c>
      <c r="C67" s="182"/>
      <c r="D67" s="182"/>
      <c r="E67" s="182"/>
      <c r="F67" s="183"/>
      <c r="G67" s="183"/>
      <c r="H67" s="183"/>
      <c r="I67" s="183"/>
      <c r="J67" s="183"/>
      <c r="K67" s="184"/>
    </row>
    <row r="68" spans="2:11" customFormat="1" x14ac:dyDescent="0.25">
      <c r="B68" s="407" t="s">
        <v>811</v>
      </c>
      <c r="C68" s="372"/>
      <c r="D68" s="373"/>
      <c r="E68" s="374"/>
      <c r="F68" s="375"/>
      <c r="G68" s="375"/>
      <c r="H68" s="375"/>
      <c r="I68" s="375"/>
      <c r="J68" s="376"/>
      <c r="K68" s="377"/>
    </row>
    <row r="69" spans="2:11" customFormat="1" x14ac:dyDescent="0.25">
      <c r="B69" s="401" t="s">
        <v>684</v>
      </c>
      <c r="C69" s="748">
        <f>INDEX(dms_PRCPlength_List,MATCH(dms_TradingName,dms_TradingName_List))</f>
        <v>5</v>
      </c>
      <c r="D69" s="389" t="s">
        <v>685</v>
      </c>
      <c r="E69" s="390" t="s">
        <v>686</v>
      </c>
      <c r="F69" s="384"/>
      <c r="G69" s="384"/>
      <c r="H69" s="384"/>
      <c r="I69" s="384"/>
      <c r="J69" s="384"/>
      <c r="K69" s="391"/>
    </row>
    <row r="70" spans="2:11" customFormat="1" x14ac:dyDescent="0.25">
      <c r="B70" s="401" t="s">
        <v>368</v>
      </c>
      <c r="C70" s="396">
        <f>INDEX(dms_CRCPlength_List,MATCH(dms_TradingName,dms_TradingName_List))</f>
        <v>5</v>
      </c>
      <c r="D70" s="394" t="s">
        <v>369</v>
      </c>
      <c r="E70" s="395" t="s">
        <v>370</v>
      </c>
      <c r="F70" s="375"/>
      <c r="G70" s="375"/>
      <c r="H70" s="375"/>
      <c r="I70" s="375"/>
      <c r="J70" s="375"/>
      <c r="K70" s="392"/>
    </row>
    <row r="71" spans="2:11" customFormat="1" x14ac:dyDescent="0.25">
      <c r="B71" s="403" t="s">
        <v>365</v>
      </c>
      <c r="C71" s="404">
        <f>INDEX(dms_FRCPlength_List,MATCH(dms_TradingName,dms_TradingName_List))</f>
        <v>5</v>
      </c>
      <c r="D71" s="385" t="s">
        <v>366</v>
      </c>
      <c r="E71" s="386" t="s">
        <v>367</v>
      </c>
      <c r="F71" s="405"/>
      <c r="G71" s="405"/>
      <c r="H71" s="405"/>
      <c r="I71" s="405"/>
      <c r="J71" s="405"/>
      <c r="K71" s="406"/>
    </row>
    <row r="72" spans="2:11" customFormat="1" x14ac:dyDescent="0.25">
      <c r="B72" s="408" t="s">
        <v>812</v>
      </c>
      <c r="C72" s="373"/>
      <c r="D72" s="373"/>
      <c r="E72" s="374"/>
      <c r="F72" s="375"/>
      <c r="G72" s="375"/>
      <c r="H72" s="375"/>
      <c r="I72" s="375"/>
      <c r="J72" s="376"/>
      <c r="K72" s="377"/>
    </row>
    <row r="73" spans="2:11" customFormat="1" x14ac:dyDescent="0.25">
      <c r="B73" s="1563" t="s">
        <v>815</v>
      </c>
      <c r="C73" s="415">
        <f>IF(dms_Model="EB",1,0)</f>
        <v>0</v>
      </c>
      <c r="D73" s="373" t="s">
        <v>359</v>
      </c>
      <c r="E73" s="374"/>
      <c r="F73" s="375"/>
      <c r="G73" s="375"/>
      <c r="H73" s="375"/>
      <c r="I73" s="375"/>
      <c r="J73" s="376"/>
      <c r="K73" s="377"/>
    </row>
    <row r="74" spans="2:11" customFormat="1" x14ac:dyDescent="0.25">
      <c r="B74" s="1563"/>
      <c r="C74" s="732">
        <f>IF(dms_Model="CA",1,0)</f>
        <v>0</v>
      </c>
      <c r="D74" s="378" t="s">
        <v>360</v>
      </c>
      <c r="E74" s="379" t="s">
        <v>361</v>
      </c>
      <c r="F74" s="380"/>
      <c r="G74" s="380"/>
      <c r="H74" s="380"/>
      <c r="I74" s="380"/>
      <c r="J74" s="381"/>
      <c r="K74" s="382"/>
    </row>
    <row r="75" spans="2:11" customFormat="1" x14ac:dyDescent="0.25">
      <c r="B75" s="1564"/>
      <c r="C75" s="732">
        <f>IF(dms_Model="ARR",1,0)</f>
        <v>0</v>
      </c>
      <c r="D75" s="378" t="s">
        <v>362</v>
      </c>
      <c r="E75" s="379"/>
      <c r="F75" s="380"/>
      <c r="G75" s="380"/>
      <c r="H75" s="380"/>
      <c r="I75" s="380"/>
      <c r="J75" s="381"/>
      <c r="K75" s="382"/>
    </row>
    <row r="76" spans="2:11" customFormat="1" x14ac:dyDescent="0.25">
      <c r="B76" s="402" t="s">
        <v>816</v>
      </c>
      <c r="C76" s="631" t="str">
        <f>IF(SUM(dms_SingleYear_Model)=1,"yes","no")</f>
        <v>no</v>
      </c>
      <c r="D76" s="379" t="s">
        <v>555</v>
      </c>
      <c r="E76" s="379" t="s">
        <v>535</v>
      </c>
      <c r="F76" s="383"/>
      <c r="G76" s="383"/>
      <c r="H76" s="383"/>
      <c r="I76" s="380"/>
      <c r="J76" s="381"/>
      <c r="K76" s="382"/>
    </row>
    <row r="77" spans="2:11" customFormat="1" x14ac:dyDescent="0.25">
      <c r="B77" s="413" t="s">
        <v>363</v>
      </c>
      <c r="C77" s="414">
        <f>IF(AND(dms_SingleYearModel="yes",dms_MultiYear_Flag=0),CRY,0)</f>
        <v>0</v>
      </c>
      <c r="D77" s="385" t="s">
        <v>364</v>
      </c>
      <c r="E77" s="386" t="s">
        <v>439</v>
      </c>
      <c r="F77" s="387"/>
      <c r="G77" s="387"/>
      <c r="H77" s="387"/>
      <c r="I77" s="387"/>
      <c r="J77" s="387"/>
      <c r="K77" s="388"/>
    </row>
    <row r="78" spans="2:11" customFormat="1" x14ac:dyDescent="0.25">
      <c r="B78" s="407" t="s">
        <v>813</v>
      </c>
      <c r="C78" s="393"/>
      <c r="D78" s="394"/>
      <c r="E78" s="395"/>
      <c r="F78" s="375"/>
      <c r="G78" s="375"/>
      <c r="H78" s="375"/>
      <c r="I78" s="375"/>
      <c r="J78" s="375"/>
      <c r="K78" s="392"/>
    </row>
    <row r="79" spans="2:11" customFormat="1" x14ac:dyDescent="0.25">
      <c r="B79" s="401"/>
      <c r="C79" s="393"/>
      <c r="D79" s="394"/>
      <c r="E79" s="395"/>
      <c r="F79" s="375"/>
      <c r="G79" s="375"/>
      <c r="H79" s="375"/>
      <c r="I79" s="375"/>
      <c r="J79" s="375"/>
      <c r="K79" s="392"/>
    </row>
    <row r="80" spans="2:11" customFormat="1" x14ac:dyDescent="0.25">
      <c r="B80" s="401" t="s">
        <v>820</v>
      </c>
      <c r="C80" s="393" t="str">
        <f>IF(dms_Model_Span&gt;1,"yes","no")</f>
        <v>yes</v>
      </c>
      <c r="D80" s="394"/>
      <c r="E80" s="395"/>
      <c r="F80" s="375"/>
      <c r="G80" s="375"/>
      <c r="H80" s="375"/>
      <c r="I80" s="375"/>
      <c r="J80" s="375"/>
      <c r="K80" s="392"/>
    </row>
    <row r="81" spans="2:12" customFormat="1" x14ac:dyDescent="0.25">
      <c r="B81" s="401" t="s">
        <v>819</v>
      </c>
      <c r="C81" s="412" t="str">
        <f ca="1">IF(dms_Model_Span&gt;1,dms_Reset_final_year,0)</f>
        <v>2031-32</v>
      </c>
      <c r="D81" s="394" t="s">
        <v>916</v>
      </c>
      <c r="E81" s="395"/>
      <c r="F81" s="375"/>
      <c r="G81" s="375"/>
      <c r="H81" s="375"/>
      <c r="I81" s="375"/>
      <c r="J81" s="375"/>
      <c r="K81" s="392"/>
    </row>
    <row r="82" spans="2:12" customFormat="1" x14ac:dyDescent="0.25">
      <c r="B82" s="401"/>
      <c r="C82" s="393"/>
      <c r="D82" s="394"/>
      <c r="E82" s="395"/>
      <c r="F82" s="375"/>
      <c r="G82" s="375"/>
      <c r="H82" s="375"/>
      <c r="I82" s="375"/>
      <c r="J82" s="375"/>
      <c r="K82" s="392"/>
    </row>
    <row r="83" spans="2:12" customFormat="1" x14ac:dyDescent="0.25">
      <c r="B83" s="401" t="s">
        <v>814</v>
      </c>
      <c r="C83" s="393" t="str">
        <f>IF(dms_MultiYear_Flag=1,"yes","no")</f>
        <v>no</v>
      </c>
      <c r="D83" s="394" t="s">
        <v>917</v>
      </c>
      <c r="E83" s="395"/>
      <c r="F83" s="375"/>
      <c r="G83" s="375"/>
      <c r="H83" s="375"/>
      <c r="I83" s="375"/>
      <c r="J83" s="375"/>
      <c r="K83" s="392"/>
    </row>
    <row r="84" spans="2:12" customFormat="1" x14ac:dyDescent="0.25">
      <c r="B84" s="403" t="s">
        <v>818</v>
      </c>
      <c r="C84" s="409">
        <f>IF(dms_MultiYear_Flag=1,C51,0)</f>
        <v>0</v>
      </c>
      <c r="D84" s="410"/>
      <c r="E84" s="411"/>
      <c r="F84" s="405"/>
      <c r="G84" s="405"/>
      <c r="H84" s="405"/>
      <c r="I84" s="405"/>
      <c r="J84" s="405"/>
      <c r="K84" s="406"/>
    </row>
    <row r="85" spans="2:12" customFormat="1" ht="15.75" thickBot="1" x14ac:dyDescent="0.3">
      <c r="B85" s="401"/>
      <c r="C85" s="393"/>
      <c r="D85" s="394"/>
      <c r="E85" s="395"/>
      <c r="F85" s="375"/>
      <c r="G85" s="375"/>
      <c r="H85" s="375"/>
      <c r="I85" s="375"/>
      <c r="J85" s="375"/>
      <c r="K85" s="392"/>
    </row>
    <row r="86" spans="2:12" customFormat="1" ht="28.7" customHeight="1" thickBot="1" x14ac:dyDescent="0.3">
      <c r="B86" s="181" t="s">
        <v>522</v>
      </c>
      <c r="C86" s="182"/>
      <c r="D86" s="182"/>
      <c r="E86" s="182"/>
      <c r="F86" s="183"/>
      <c r="G86" s="183"/>
      <c r="H86" s="183"/>
      <c r="I86" s="183"/>
      <c r="J86" s="183"/>
      <c r="K86" s="184"/>
    </row>
    <row r="87" spans="2:12" s="4" customFormat="1" ht="24.75" customHeight="1" thickBot="1" x14ac:dyDescent="0.3">
      <c r="B87" s="632" t="s">
        <v>352</v>
      </c>
      <c r="C87" s="90" t="str">
        <f>IFERROR(IF(dms_Segment="Transmission",dms_Cal_Year_B4_CRY,CRY),"CRY not present")</f>
        <v>CRY not present</v>
      </c>
      <c r="D87" s="633" t="s">
        <v>353</v>
      </c>
      <c r="E87" s="634" t="s">
        <v>623</v>
      </c>
      <c r="F87" s="635"/>
      <c r="G87" s="635"/>
      <c r="H87" s="635"/>
      <c r="I87" s="635"/>
      <c r="J87" s="636"/>
      <c r="K87" s="637"/>
    </row>
    <row r="88" spans="2:12" customFormat="1" ht="27.2" customHeight="1" thickBot="1" x14ac:dyDescent="0.3">
      <c r="B88" s="181" t="s">
        <v>524</v>
      </c>
      <c r="C88" s="182"/>
      <c r="D88" s="182"/>
      <c r="E88" s="182"/>
      <c r="F88" s="183"/>
      <c r="G88" s="183"/>
      <c r="H88" s="183"/>
      <c r="I88" s="183"/>
      <c r="J88" s="183"/>
      <c r="K88" s="184"/>
    </row>
    <row r="89" spans="2:12" customFormat="1" x14ac:dyDescent="0.25">
      <c r="B89" s="132" t="s">
        <v>529</v>
      </c>
      <c r="C89" s="153"/>
      <c r="D89" s="151"/>
      <c r="E89" s="232" t="s">
        <v>530</v>
      </c>
      <c r="F89" s="63"/>
      <c r="G89" s="63"/>
      <c r="H89" s="63"/>
      <c r="I89" s="63"/>
      <c r="J89" s="63"/>
      <c r="K89" s="64"/>
    </row>
    <row r="90" spans="2:12" customFormat="1" x14ac:dyDescent="0.25">
      <c r="B90" s="132"/>
      <c r="C90" s="153" t="str">
        <f>IF(dms_Model&lt;&gt;"CA","not a CA","Is a CA")</f>
        <v>not a CA</v>
      </c>
      <c r="D90" s="151"/>
      <c r="E90" s="138" t="s">
        <v>532</v>
      </c>
      <c r="F90" s="63"/>
      <c r="G90" s="63"/>
      <c r="H90" s="63"/>
      <c r="I90" s="63"/>
      <c r="J90" s="63"/>
      <c r="K90" s="64"/>
    </row>
    <row r="91" spans="2:12" customFormat="1" x14ac:dyDescent="0.25">
      <c r="B91" s="229" t="s">
        <v>533</v>
      </c>
      <c r="C91" s="153" t="str">
        <f>IFERROR(IF(INDEX(dms_060301_Avg_Duration_Sustained_Int_Values,1,1)&lt;&gt;"","yes","no"),"no")</f>
        <v>no</v>
      </c>
      <c r="D91" s="151" t="s">
        <v>538</v>
      </c>
      <c r="E91" s="86" t="s">
        <v>541</v>
      </c>
      <c r="F91" s="63"/>
      <c r="G91" s="63"/>
      <c r="H91" s="63"/>
      <c r="I91" s="63"/>
      <c r="J91" s="63"/>
      <c r="K91" s="64"/>
    </row>
    <row r="92" spans="2:12" customFormat="1" x14ac:dyDescent="0.25">
      <c r="B92" s="229"/>
      <c r="C92" s="236" t="str">
        <f>IF(AND(dms_Model="CA",(dms_060301_checkvalue="no")),"error - NR not present","no errors")</f>
        <v>no errors</v>
      </c>
      <c r="D92" s="151"/>
      <c r="E92" s="86" t="s">
        <v>537</v>
      </c>
      <c r="F92" s="63"/>
      <c r="G92" s="63"/>
      <c r="H92" s="63"/>
      <c r="I92" s="63"/>
      <c r="J92" s="63"/>
      <c r="K92" s="64"/>
    </row>
    <row r="93" spans="2:12" customFormat="1" x14ac:dyDescent="0.25">
      <c r="B93" s="133" t="s">
        <v>474</v>
      </c>
      <c r="C93" s="153" t="str">
        <f>IFERROR(IF(dms_Model="CA",LOOKUP(2,1/(dms_060301_Avg_Duration_Sustained_Int_Values&lt;&gt;""),(ROW(dms_060301_Avg_Duration_Sustained_Int_Values))),"not a CA"),"6.3 not present")</f>
        <v>not a CA</v>
      </c>
      <c r="D93" s="151" t="s">
        <v>473</v>
      </c>
      <c r="E93" s="86" t="s">
        <v>472</v>
      </c>
      <c r="F93" s="63"/>
      <c r="G93" s="63"/>
      <c r="H93" s="63"/>
      <c r="I93" s="63"/>
      <c r="J93" s="63"/>
      <c r="K93" s="64"/>
    </row>
    <row r="94" spans="2:12" customFormat="1" x14ac:dyDescent="0.25">
      <c r="B94" s="135" t="s">
        <v>475</v>
      </c>
      <c r="C94" s="235" t="str">
        <f>IFERROR(IF(dms_Model="CA",(dms_060301_LastRow-15),"not a CA"),"error")</f>
        <v>not a CA</v>
      </c>
      <c r="D94" s="152" t="s">
        <v>427</v>
      </c>
      <c r="E94" s="230" t="s">
        <v>531</v>
      </c>
      <c r="F94" s="74"/>
      <c r="G94" s="74"/>
      <c r="H94" s="74"/>
      <c r="I94" s="74"/>
      <c r="J94" s="74"/>
      <c r="K94" s="75"/>
      <c r="L94" s="62"/>
    </row>
    <row r="95" spans="2:12" ht="15.75" thickBot="1" x14ac:dyDescent="0.3">
      <c r="B95" s="155" t="s">
        <v>371</v>
      </c>
      <c r="C95" s="156" t="str">
        <f>INDEX(dms_663_List,MATCH(dms_TradingName,dms_TradingName_List))</f>
        <v>x</v>
      </c>
      <c r="D95" s="128" t="s">
        <v>372</v>
      </c>
      <c r="E95" s="86" t="s">
        <v>373</v>
      </c>
      <c r="F95" s="83"/>
      <c r="G95" s="83"/>
      <c r="H95" s="83"/>
      <c r="I95" s="83"/>
      <c r="J95" s="83"/>
      <c r="K95" s="84"/>
    </row>
    <row r="96" spans="2:12" customFormat="1" ht="21" customHeight="1" thickBot="1" x14ac:dyDescent="0.3">
      <c r="B96" s="181" t="s">
        <v>525</v>
      </c>
      <c r="C96" s="182"/>
      <c r="D96" s="182"/>
      <c r="E96" s="182"/>
      <c r="F96" s="183"/>
      <c r="G96" s="183"/>
      <c r="H96" s="183"/>
      <c r="I96" s="183"/>
      <c r="J96" s="183"/>
      <c r="K96" s="184"/>
    </row>
    <row r="97" spans="2:12" ht="25.5" x14ac:dyDescent="0.25">
      <c r="B97" s="132" t="s">
        <v>432</v>
      </c>
      <c r="C97" s="150" t="s">
        <v>471</v>
      </c>
      <c r="D97" s="145"/>
      <c r="E97" s="233" t="s">
        <v>536</v>
      </c>
      <c r="F97" s="144"/>
      <c r="G97" s="144"/>
      <c r="H97" s="83"/>
      <c r="I97" s="83"/>
      <c r="J97" s="83"/>
      <c r="K97" s="84"/>
    </row>
    <row r="98" spans="2:12" x14ac:dyDescent="0.25">
      <c r="B98" s="133" t="s">
        <v>477</v>
      </c>
      <c r="C98" s="150" t="str">
        <f>IFERROR(IF(dms_LeapYear,"yes"),"no")</f>
        <v>no</v>
      </c>
      <c r="D98" s="145"/>
      <c r="E98" s="137"/>
      <c r="F98" s="144"/>
      <c r="G98" s="144"/>
      <c r="H98" s="83"/>
      <c r="I98" s="83"/>
      <c r="J98" s="83"/>
      <c r="K98" s="84"/>
    </row>
    <row r="99" spans="2:12" x14ac:dyDescent="0.25">
      <c r="B99" s="222" t="s">
        <v>374</v>
      </c>
      <c r="C99" s="180" t="str">
        <f xml:space="preserve">
IFERROR(IF(MONTH(DATE(YEAR(dms_LeapYear),2,29))=2,"is a leap year","not a leap year"),
"dms_LeapYear not present")</f>
        <v>dms_LeapYear not present</v>
      </c>
      <c r="D99" s="128" t="s">
        <v>443</v>
      </c>
      <c r="E99" s="128" t="s">
        <v>442</v>
      </c>
      <c r="F99" s="83"/>
      <c r="G99" s="83"/>
      <c r="H99" s="83"/>
      <c r="I99" s="83"/>
      <c r="J99" s="83"/>
      <c r="K99" s="84"/>
    </row>
    <row r="100" spans="2:12" x14ac:dyDescent="0.25">
      <c r="B100" s="222" t="s">
        <v>511</v>
      </c>
      <c r="C100" s="221">
        <f>IF(dms_LeapYear_Result="is a leap year",1827,1826)</f>
        <v>1826</v>
      </c>
      <c r="D100" s="128" t="s">
        <v>512</v>
      </c>
      <c r="E100" s="88" t="s">
        <v>513</v>
      </c>
      <c r="F100" s="83"/>
      <c r="G100" s="83"/>
      <c r="H100" s="68" t="s">
        <v>517</v>
      </c>
      <c r="I100" s="83"/>
      <c r="J100" s="83"/>
      <c r="K100" s="84"/>
    </row>
    <row r="101" spans="2:12" x14ac:dyDescent="0.25">
      <c r="B101" s="222" t="s">
        <v>514</v>
      </c>
      <c r="C101" s="221">
        <f>IF(dms_LeapYear_Result="is a leap year",366,365)</f>
        <v>365</v>
      </c>
      <c r="D101" s="128" t="s">
        <v>515</v>
      </c>
      <c r="E101" s="88" t="s">
        <v>516</v>
      </c>
      <c r="F101" s="83"/>
      <c r="G101" s="83"/>
      <c r="H101" s="68" t="s">
        <v>518</v>
      </c>
      <c r="I101" s="83"/>
      <c r="J101" s="83"/>
      <c r="K101" s="84"/>
    </row>
    <row r="102" spans="2:12" ht="15.75" thickBot="1" x14ac:dyDescent="0.3">
      <c r="B102" s="134" t="s">
        <v>519</v>
      </c>
      <c r="C102" s="220">
        <f>IF(dms_Model="ARR",dms_060701_ARR_MaxRows,IF(dms_Model="Reset",dms_060701_Reset_MaxRows,"not a relevant RIN type"))</f>
        <v>1826</v>
      </c>
      <c r="D102" s="140" t="s">
        <v>375</v>
      </c>
      <c r="E102" s="130" t="s">
        <v>520</v>
      </c>
      <c r="F102" s="131"/>
      <c r="G102" s="131"/>
      <c r="H102" s="131"/>
      <c r="I102" s="131"/>
      <c r="J102" s="131"/>
      <c r="K102" s="171"/>
    </row>
    <row r="103" spans="2:12" ht="24" customHeight="1" x14ac:dyDescent="0.25">
      <c r="B103" s="223" t="s">
        <v>433</v>
      </c>
      <c r="C103" s="224" t="str">
        <f>IF(dms_FifthFeeder_flag_NSP="NO","This NSP has only 4 feeder categories","This NSP has 5 feeder categories")</f>
        <v>This NSP has only 4 feeder categories</v>
      </c>
      <c r="D103" s="225"/>
      <c r="E103" s="226"/>
      <c r="F103" s="227"/>
      <c r="G103" s="227"/>
      <c r="H103" s="227"/>
      <c r="I103" s="227"/>
      <c r="J103" s="227"/>
      <c r="K103" s="228"/>
    </row>
    <row r="104" spans="2:12" x14ac:dyDescent="0.25">
      <c r="B104" s="133" t="s">
        <v>376</v>
      </c>
      <c r="C104" s="219">
        <f>IF(dms_FifthFeeder_flag_NSP="NO",10,12)</f>
        <v>10</v>
      </c>
      <c r="D104" s="128" t="s">
        <v>377</v>
      </c>
      <c r="E104" s="86" t="s">
        <v>378</v>
      </c>
      <c r="F104" s="83"/>
      <c r="G104" s="83"/>
      <c r="H104" s="83"/>
      <c r="I104" s="83"/>
      <c r="J104" s="83"/>
      <c r="K104" s="84"/>
    </row>
    <row r="105" spans="2:12" x14ac:dyDescent="0.25">
      <c r="B105" s="135" t="s">
        <v>379</v>
      </c>
      <c r="C105" s="87">
        <f>IF(dms_Model="ARR",15,9)</f>
        <v>9</v>
      </c>
      <c r="D105" s="129" t="s">
        <v>380</v>
      </c>
      <c r="E105" s="234" t="s">
        <v>444</v>
      </c>
      <c r="F105" s="81"/>
      <c r="G105" s="81"/>
      <c r="H105" s="81"/>
      <c r="I105" s="81"/>
      <c r="J105" s="81"/>
      <c r="K105" s="82"/>
    </row>
    <row r="106" spans="2:12" x14ac:dyDescent="0.25">
      <c r="B106" s="132" t="s">
        <v>430</v>
      </c>
      <c r="C106" s="85"/>
      <c r="D106" s="139"/>
      <c r="E106" s="232" t="s">
        <v>539</v>
      </c>
      <c r="F106" s="83"/>
      <c r="G106" s="83"/>
      <c r="H106" s="83"/>
      <c r="I106" s="83"/>
      <c r="J106" s="83"/>
      <c r="K106" s="84"/>
    </row>
    <row r="107" spans="2:12" x14ac:dyDescent="0.25">
      <c r="B107" s="133" t="s">
        <v>381</v>
      </c>
      <c r="C107" s="85" t="str">
        <f ca="1">IF(dms_SingleYearModel="yes",(CONCATENATE(IF(LEN(CRY)=4,"1-Jan-","1-Jul-"),LEFT(CRY,4))),(CONCATENATE(IF(LEN(PRCP_y4)=4,"1-Jan-","1-Jul-"),LEFT(PRCP_y4,4))))</f>
        <v>1-Jul-2020</v>
      </c>
      <c r="D107" s="128" t="s">
        <v>446</v>
      </c>
      <c r="E107" s="138" t="s">
        <v>438</v>
      </c>
      <c r="F107" s="83"/>
      <c r="G107" s="83"/>
      <c r="H107" s="83"/>
      <c r="I107" s="83"/>
      <c r="J107" s="83"/>
      <c r="K107" s="84"/>
    </row>
    <row r="108" spans="2:12" ht="15.75" thickBot="1" x14ac:dyDescent="0.3">
      <c r="B108" s="154" t="s">
        <v>382</v>
      </c>
      <c r="C108" s="160">
        <f ca="1">DATEVALUE(dms_060701_StartDateTxt)</f>
        <v>44013</v>
      </c>
      <c r="D108" s="143" t="s">
        <v>540</v>
      </c>
      <c r="E108" s="161" t="s">
        <v>434</v>
      </c>
      <c r="F108" s="162"/>
      <c r="G108" s="162"/>
      <c r="H108" s="162"/>
      <c r="I108" s="162"/>
      <c r="J108" s="162"/>
      <c r="K108" s="163"/>
      <c r="L108" s="62"/>
    </row>
    <row r="109" spans="2:12" customFormat="1" ht="15.75" thickBot="1" x14ac:dyDescent="0.3">
      <c r="B109" s="181" t="s">
        <v>526</v>
      </c>
      <c r="C109" s="182"/>
      <c r="D109" s="182"/>
      <c r="E109" s="182"/>
      <c r="F109" s="183"/>
      <c r="G109" s="183"/>
      <c r="H109" s="183"/>
      <c r="I109" s="183"/>
      <c r="J109" s="183"/>
      <c r="K109" s="184"/>
    </row>
    <row r="110" spans="2:12" ht="38.25" x14ac:dyDescent="0.25">
      <c r="B110" s="157" t="s">
        <v>431</v>
      </c>
      <c r="C110" s="150" t="s">
        <v>476</v>
      </c>
      <c r="D110" s="232"/>
      <c r="E110" s="232" t="s">
        <v>440</v>
      </c>
      <c r="F110" s="158"/>
      <c r="G110" s="158"/>
      <c r="H110" s="158"/>
      <c r="I110" s="158"/>
      <c r="J110" s="158"/>
      <c r="K110" s="159"/>
      <c r="L110" s="62"/>
    </row>
    <row r="111" spans="2:12" x14ac:dyDescent="0.25">
      <c r="B111" s="132" t="s">
        <v>549</v>
      </c>
      <c r="C111" s="150" t="s">
        <v>412</v>
      </c>
      <c r="D111" s="237"/>
      <c r="E111" s="86" t="s">
        <v>552</v>
      </c>
      <c r="F111" s="83"/>
      <c r="G111" s="83"/>
      <c r="H111" s="83"/>
      <c r="I111" s="83"/>
      <c r="J111" s="83"/>
      <c r="K111" s="84"/>
      <c r="L111" s="62"/>
    </row>
    <row r="112" spans="2:12" x14ac:dyDescent="0.25">
      <c r="B112" s="133" t="s">
        <v>383</v>
      </c>
      <c r="C112" s="85">
        <v>12</v>
      </c>
      <c r="D112" s="128" t="s">
        <v>384</v>
      </c>
      <c r="E112" s="86" t="s">
        <v>550</v>
      </c>
      <c r="F112" s="83"/>
      <c r="G112" s="83"/>
      <c r="H112" s="83"/>
      <c r="I112" s="83"/>
      <c r="J112" s="83"/>
      <c r="K112" s="84"/>
    </row>
    <row r="113" spans="2:11" x14ac:dyDescent="0.25">
      <c r="B113" s="133" t="s">
        <v>385</v>
      </c>
      <c r="C113" s="254" t="s">
        <v>652</v>
      </c>
      <c r="D113" s="128" t="s">
        <v>386</v>
      </c>
      <c r="E113" s="88" t="s">
        <v>587</v>
      </c>
      <c r="F113" s="83"/>
      <c r="G113" s="83"/>
      <c r="H113" s="83"/>
      <c r="I113" s="83"/>
      <c r="J113" s="83"/>
      <c r="K113" s="84"/>
    </row>
    <row r="114" spans="2:11" ht="15.75" thickBot="1" x14ac:dyDescent="0.3">
      <c r="B114" s="154" t="s">
        <v>387</v>
      </c>
      <c r="C114" s="256" t="str">
        <f>IFERROR(IF(dms_Model="ARR",(MAX(0,dms_0608_LastRow-dms_0608_OffsetRows)),"not an ARR"),"0")</f>
        <v>not an ARR</v>
      </c>
      <c r="D114" s="143" t="s">
        <v>426</v>
      </c>
      <c r="E114" s="100" t="s">
        <v>588</v>
      </c>
      <c r="F114" s="164"/>
      <c r="G114" s="162"/>
      <c r="H114" s="162"/>
      <c r="I114" s="162"/>
      <c r="J114" s="162"/>
      <c r="K114" s="163"/>
    </row>
    <row r="115" spans="2:11" customFormat="1" ht="15.75" thickBot="1" x14ac:dyDescent="0.3">
      <c r="B115" s="181" t="s">
        <v>527</v>
      </c>
      <c r="C115" s="182"/>
      <c r="D115" s="182"/>
      <c r="E115" s="182"/>
      <c r="F115" s="183"/>
      <c r="G115" s="183"/>
      <c r="H115" s="183"/>
      <c r="I115" s="183"/>
      <c r="J115" s="183"/>
      <c r="K115" s="184"/>
    </row>
    <row r="116" spans="2:11" x14ac:dyDescent="0.25">
      <c r="B116" s="132" t="s">
        <v>441</v>
      </c>
      <c r="C116" s="136"/>
      <c r="D116" s="128"/>
      <c r="E116" s="86"/>
      <c r="F116" s="147"/>
      <c r="G116" s="83"/>
      <c r="H116" s="83"/>
      <c r="I116" s="83"/>
      <c r="J116" s="83"/>
      <c r="K116" s="84"/>
    </row>
    <row r="117" spans="2:11" x14ac:dyDescent="0.25">
      <c r="B117" s="133" t="s">
        <v>388</v>
      </c>
      <c r="C117" s="85" t="str">
        <f ca="1">LEFT(PRCP_y3,4)</f>
        <v>2019</v>
      </c>
      <c r="D117" s="128" t="s">
        <v>389</v>
      </c>
      <c r="E117" s="89" t="s">
        <v>390</v>
      </c>
      <c r="F117" s="83"/>
      <c r="G117" s="83"/>
      <c r="H117" s="83"/>
      <c r="I117" s="83"/>
      <c r="J117" s="83"/>
      <c r="K117" s="84"/>
    </row>
    <row r="118" spans="2:11" ht="15.75" thickBot="1" x14ac:dyDescent="0.3">
      <c r="B118" s="416"/>
      <c r="C118" s="417"/>
      <c r="D118" s="418"/>
      <c r="E118" s="419"/>
      <c r="F118" s="420"/>
      <c r="G118" s="420"/>
      <c r="H118" s="420"/>
      <c r="I118" s="420"/>
      <c r="J118" s="420"/>
      <c r="K118" s="421"/>
    </row>
    <row r="119" spans="2:11" customFormat="1" ht="15.75" thickBot="1" x14ac:dyDescent="0.3">
      <c r="B119" s="181" t="s">
        <v>478</v>
      </c>
      <c r="C119" s="182"/>
      <c r="D119" s="182"/>
      <c r="E119" s="182"/>
      <c r="F119" s="183"/>
      <c r="G119" s="183"/>
      <c r="H119" s="183"/>
      <c r="I119" s="183"/>
      <c r="J119" s="183"/>
      <c r="K119" s="184"/>
    </row>
    <row r="120" spans="2:11" customFormat="1" ht="14.25" customHeight="1" x14ac:dyDescent="0.25">
      <c r="B120" s="192" t="s">
        <v>391</v>
      </c>
      <c r="C120" s="202" t="e">
        <f>INDEX(dms_DeterminationRef_List,MATCH(dms_TradingName,dms_TradingName_List))</f>
        <v>#NAME?</v>
      </c>
      <c r="D120" s="193" t="s">
        <v>392</v>
      </c>
      <c r="E120" s="194"/>
      <c r="F120" s="195"/>
      <c r="G120" s="195"/>
      <c r="H120" s="195"/>
      <c r="I120" s="195"/>
      <c r="J120" s="195"/>
      <c r="K120" s="196"/>
    </row>
    <row r="121" spans="2:11" customFormat="1" ht="14.25" customHeight="1" x14ac:dyDescent="0.25">
      <c r="B121" s="206" t="s">
        <v>490</v>
      </c>
      <c r="C121" s="207" t="str">
        <f>INDEX(dms_Public_Lighting_List,MATCH(dms_TradingName,dms_TradingName_List))</f>
        <v>NO</v>
      </c>
      <c r="D121" s="208" t="s">
        <v>493</v>
      </c>
      <c r="E121" s="211" t="s">
        <v>492</v>
      </c>
      <c r="F121" s="209"/>
      <c r="G121" s="209"/>
      <c r="H121" s="209"/>
      <c r="I121" s="209"/>
      <c r="J121" s="209"/>
      <c r="K121" s="210"/>
    </row>
    <row r="122" spans="2:11" ht="15" customHeight="1" x14ac:dyDescent="0.25">
      <c r="B122" s="78" t="s">
        <v>400</v>
      </c>
      <c r="C122" s="79" t="str">
        <f>INDEX(dms_CBD_flag,MATCH(dms_TradingName,dms_TradingName_List))</f>
        <v>NO</v>
      </c>
      <c r="D122" s="142" t="s">
        <v>401</v>
      </c>
      <c r="E122" s="142"/>
      <c r="F122" s="190"/>
      <c r="G122" s="190"/>
      <c r="H122" s="190"/>
      <c r="I122" s="190"/>
      <c r="J122" s="190"/>
      <c r="K122" s="191"/>
    </row>
    <row r="123" spans="2:11" ht="15" customHeight="1" x14ac:dyDescent="0.25">
      <c r="B123" s="80" t="s">
        <v>402</v>
      </c>
      <c r="C123" s="66" t="str">
        <f>INDEX(dms_Urban_flag,MATCH(dms_TradingName,dms_TradingName_List))</f>
        <v>NO</v>
      </c>
      <c r="D123" s="95" t="s">
        <v>403</v>
      </c>
      <c r="E123" s="95"/>
      <c r="F123" s="96"/>
      <c r="G123" s="96"/>
      <c r="H123" s="96"/>
      <c r="I123" s="96"/>
      <c r="J123" s="96"/>
      <c r="K123" s="97"/>
    </row>
    <row r="124" spans="2:11" ht="15" customHeight="1" x14ac:dyDescent="0.25">
      <c r="B124" s="80" t="s">
        <v>404</v>
      </c>
      <c r="C124" s="66" t="str">
        <f>INDEX(dms_ShortRural_flag,MATCH(dms_TradingName,dms_TradingName_List))</f>
        <v>NO</v>
      </c>
      <c r="D124" s="95" t="s">
        <v>405</v>
      </c>
      <c r="E124" s="95"/>
      <c r="F124" s="96"/>
      <c r="G124" s="96"/>
      <c r="H124" s="96"/>
      <c r="I124" s="96"/>
      <c r="J124" s="96"/>
      <c r="K124" s="97"/>
    </row>
    <row r="125" spans="2:11" ht="15" customHeight="1" x14ac:dyDescent="0.25">
      <c r="B125" s="197" t="s">
        <v>406</v>
      </c>
      <c r="C125" s="198" t="str">
        <f>INDEX(dms_LongRural_flag,MATCH(dms_TradingName,dms_TradingName_List))</f>
        <v>NO</v>
      </c>
      <c r="D125" s="199" t="s">
        <v>407</v>
      </c>
      <c r="E125" s="199"/>
      <c r="F125" s="200"/>
      <c r="G125" s="200"/>
      <c r="H125" s="200"/>
      <c r="I125" s="200"/>
      <c r="J125" s="200"/>
      <c r="K125" s="201"/>
    </row>
    <row r="126" spans="2:11" ht="15.75" thickBot="1" x14ac:dyDescent="0.3">
      <c r="B126" s="98" t="s">
        <v>408</v>
      </c>
      <c r="C126" s="99" t="str">
        <f>INDEX(dms_FeederType_5_flag,MATCH(dms_TradingName,dms_TradingName_List))</f>
        <v>NO</v>
      </c>
      <c r="D126" s="143" t="s">
        <v>409</v>
      </c>
      <c r="E126" s="100" t="s">
        <v>410</v>
      </c>
      <c r="F126" s="101"/>
      <c r="G126" s="101"/>
      <c r="H126" s="101"/>
      <c r="I126" s="101"/>
      <c r="J126" s="101"/>
      <c r="K126" s="102"/>
    </row>
    <row r="127" spans="2:11" ht="15.75" thickBot="1" x14ac:dyDescent="0.3">
      <c r="B127" s="416"/>
      <c r="C127" s="417"/>
      <c r="D127" s="418"/>
      <c r="E127" s="419"/>
      <c r="F127" s="420"/>
      <c r="G127" s="420"/>
      <c r="H127" s="420"/>
      <c r="I127" s="420"/>
      <c r="J127" s="420"/>
      <c r="K127" s="421"/>
    </row>
    <row r="128" spans="2:11" customFormat="1" ht="15.75" thickBot="1" x14ac:dyDescent="0.3">
      <c r="B128" s="691" t="s">
        <v>481</v>
      </c>
      <c r="C128" s="692"/>
      <c r="D128" s="692"/>
      <c r="E128" s="692"/>
      <c r="F128" s="693"/>
      <c r="G128" s="693"/>
      <c r="H128" s="693"/>
      <c r="I128" s="693"/>
      <c r="J128" s="693"/>
      <c r="K128" s="694"/>
    </row>
    <row r="129" spans="2:11" ht="15.75" thickBot="1" x14ac:dyDescent="0.3">
      <c r="B129" s="172" t="s">
        <v>397</v>
      </c>
      <c r="C129" s="173" t="s">
        <v>51</v>
      </c>
      <c r="D129" s="174" t="s">
        <v>398</v>
      </c>
      <c r="E129" s="175" t="s">
        <v>399</v>
      </c>
      <c r="F129" s="176"/>
      <c r="G129" s="176"/>
      <c r="H129" s="176"/>
      <c r="I129" s="176"/>
      <c r="J129" s="176"/>
      <c r="K129" s="177"/>
    </row>
    <row r="130" spans="2:11" customFormat="1" ht="15.75" thickBot="1" x14ac:dyDescent="0.3"/>
    <row r="131" spans="2:11" customFormat="1" ht="15.75" thickBot="1" x14ac:dyDescent="0.3">
      <c r="B131" s="691" t="s">
        <v>528</v>
      </c>
      <c r="C131" s="692"/>
      <c r="D131" s="692"/>
      <c r="E131" s="692"/>
      <c r="F131" s="693"/>
      <c r="G131" s="693"/>
      <c r="H131" s="693"/>
      <c r="I131" s="693"/>
      <c r="J131" s="693"/>
      <c r="K131" s="694"/>
    </row>
    <row r="132" spans="2:11" x14ac:dyDescent="0.25">
      <c r="B132" s="65" t="s">
        <v>395</v>
      </c>
      <c r="C132" s="94" t="s">
        <v>51</v>
      </c>
      <c r="D132" s="95" t="s">
        <v>396</v>
      </c>
      <c r="E132" s="91"/>
      <c r="F132" s="92"/>
      <c r="G132" s="92"/>
      <c r="H132" s="92"/>
      <c r="I132" s="92"/>
      <c r="J132" s="92"/>
      <c r="K132" s="93"/>
    </row>
    <row r="133" spans="2:11" customFormat="1" x14ac:dyDescent="0.25"/>
    <row r="134" spans="2:11" ht="15.75" thickBot="1" x14ac:dyDescent="0.3">
      <c r="B134" s="416"/>
      <c r="C134" s="417"/>
      <c r="D134" s="418"/>
      <c r="E134" s="419"/>
      <c r="F134" s="420"/>
      <c r="G134" s="420"/>
      <c r="H134" s="420"/>
      <c r="I134" s="420"/>
      <c r="J134" s="420"/>
      <c r="K134" s="421"/>
    </row>
    <row r="135" spans="2:11" ht="15.75" thickBot="1" x14ac:dyDescent="0.3">
      <c r="B135" s="695" t="s">
        <v>414</v>
      </c>
      <c r="C135" s="696"/>
      <c r="D135" s="696"/>
      <c r="E135" s="696"/>
      <c r="F135" s="697"/>
      <c r="G135" s="697"/>
      <c r="H135" s="697"/>
      <c r="I135" s="697"/>
      <c r="J135" s="697"/>
      <c r="K135" s="698"/>
    </row>
    <row r="136" spans="2:11" x14ac:dyDescent="0.25">
      <c r="B136" s="106" t="s">
        <v>415</v>
      </c>
      <c r="C136" s="94" t="s">
        <v>51</v>
      </c>
      <c r="D136" s="107" t="s">
        <v>416</v>
      </c>
      <c r="E136" s="108"/>
      <c r="F136" s="109"/>
      <c r="G136" s="109"/>
      <c r="H136" s="109"/>
      <c r="I136" s="109"/>
      <c r="J136" s="109"/>
      <c r="K136" s="110"/>
    </row>
    <row r="137" spans="2:11" x14ac:dyDescent="0.25">
      <c r="B137" s="111"/>
      <c r="C137" s="112" t="s">
        <v>417</v>
      </c>
      <c r="D137" s="113" t="s">
        <v>418</v>
      </c>
      <c r="E137" s="114"/>
      <c r="F137" s="115"/>
      <c r="G137" s="115"/>
      <c r="H137" s="115"/>
      <c r="I137" s="115"/>
      <c r="J137" s="115"/>
      <c r="K137" s="116"/>
    </row>
    <row r="138" spans="2:11" x14ac:dyDescent="0.25">
      <c r="B138" s="111"/>
      <c r="C138" s="117">
        <v>2013</v>
      </c>
      <c r="D138" s="118" t="s">
        <v>419</v>
      </c>
      <c r="E138" s="119"/>
      <c r="F138" s="120"/>
      <c r="G138" s="120"/>
      <c r="H138" s="120"/>
      <c r="I138" s="120"/>
      <c r="J138" s="120"/>
      <c r="K138" s="121"/>
    </row>
    <row r="139" spans="2:11" x14ac:dyDescent="0.25">
      <c r="B139" s="111"/>
      <c r="C139" s="117">
        <v>2014</v>
      </c>
      <c r="D139" s="118" t="s">
        <v>420</v>
      </c>
      <c r="E139" s="119"/>
      <c r="F139" s="120"/>
      <c r="G139" s="120"/>
      <c r="H139" s="120"/>
      <c r="I139" s="120"/>
      <c r="J139" s="120"/>
      <c r="K139" s="121"/>
    </row>
    <row r="140" spans="2:11" x14ac:dyDescent="0.25">
      <c r="B140" s="111"/>
      <c r="C140" s="117">
        <v>2015</v>
      </c>
      <c r="D140" s="118" t="s">
        <v>421</v>
      </c>
      <c r="E140" s="119"/>
      <c r="F140" s="120"/>
      <c r="G140" s="120"/>
      <c r="H140" s="120"/>
      <c r="I140" s="120"/>
      <c r="J140" s="120"/>
      <c r="K140" s="121"/>
    </row>
    <row r="141" spans="2:11" x14ac:dyDescent="0.25">
      <c r="B141" s="111"/>
      <c r="C141" s="117">
        <v>2016</v>
      </c>
      <c r="D141" s="118" t="s">
        <v>422</v>
      </c>
      <c r="E141" s="119"/>
      <c r="F141" s="120"/>
      <c r="G141" s="120"/>
      <c r="H141" s="120"/>
      <c r="I141" s="120"/>
      <c r="J141" s="120"/>
      <c r="K141" s="121"/>
    </row>
    <row r="142" spans="2:11" x14ac:dyDescent="0.25">
      <c r="B142" s="212"/>
      <c r="C142" s="213">
        <v>2017</v>
      </c>
      <c r="D142" s="214" t="s">
        <v>423</v>
      </c>
      <c r="E142" s="215"/>
      <c r="F142" s="216"/>
      <c r="G142" s="216"/>
      <c r="H142" s="216"/>
      <c r="I142" s="216"/>
      <c r="J142" s="216"/>
      <c r="K142" s="217"/>
    </row>
    <row r="143" spans="2:11" x14ac:dyDescent="0.25">
      <c r="B143" s="212"/>
      <c r="C143" s="213">
        <v>2018</v>
      </c>
      <c r="D143" s="214" t="s">
        <v>494</v>
      </c>
      <c r="E143" s="215"/>
      <c r="F143" s="216"/>
      <c r="G143" s="216"/>
      <c r="H143" s="216"/>
      <c r="I143" s="216"/>
      <c r="J143" s="216"/>
      <c r="K143" s="217"/>
    </row>
    <row r="144" spans="2:11" x14ac:dyDescent="0.25">
      <c r="B144" s="212"/>
      <c r="C144" s="213">
        <v>2019</v>
      </c>
      <c r="D144" s="214" t="s">
        <v>495</v>
      </c>
      <c r="E144" s="215"/>
      <c r="F144" s="216"/>
      <c r="G144" s="216"/>
      <c r="H144" s="216"/>
      <c r="I144" s="216"/>
      <c r="J144" s="216"/>
      <c r="K144" s="217"/>
    </row>
    <row r="145" spans="2:11" x14ac:dyDescent="0.25">
      <c r="B145" s="212"/>
      <c r="C145" s="213">
        <v>2020</v>
      </c>
      <c r="D145" s="214" t="s">
        <v>496</v>
      </c>
      <c r="E145" s="215"/>
      <c r="F145" s="216"/>
      <c r="G145" s="216"/>
      <c r="H145" s="216"/>
      <c r="I145" s="216"/>
      <c r="J145" s="216"/>
      <c r="K145" s="217"/>
    </row>
    <row r="146" spans="2:11" ht="15.75" thickBot="1" x14ac:dyDescent="0.3">
      <c r="B146" s="122"/>
      <c r="C146" s="123">
        <v>2021</v>
      </c>
      <c r="D146" s="124" t="s">
        <v>497</v>
      </c>
      <c r="E146" s="125"/>
      <c r="F146" s="126"/>
      <c r="G146" s="126"/>
      <c r="H146" s="126"/>
      <c r="I146" s="126"/>
      <c r="J146" s="126"/>
      <c r="K146" s="127"/>
    </row>
    <row r="147" spans="2:11" x14ac:dyDescent="0.25">
      <c r="B147"/>
      <c r="C147"/>
    </row>
    <row r="148" spans="2:11" x14ac:dyDescent="0.25">
      <c r="B148"/>
      <c r="C148"/>
    </row>
    <row r="149" spans="2:11" x14ac:dyDescent="0.25">
      <c r="B149"/>
      <c r="C149"/>
      <c r="D149"/>
      <c r="E149"/>
      <c r="F149"/>
      <c r="G149"/>
      <c r="H149"/>
      <c r="I149"/>
    </row>
    <row r="150" spans="2:11" x14ac:dyDescent="0.25">
      <c r="B150"/>
      <c r="C150"/>
      <c r="D150"/>
      <c r="E150"/>
      <c r="F150"/>
      <c r="G150"/>
      <c r="H150"/>
      <c r="I150"/>
    </row>
    <row r="151" spans="2:11" x14ac:dyDescent="0.25">
      <c r="B151"/>
      <c r="C151"/>
      <c r="D151"/>
      <c r="E151"/>
      <c r="F151"/>
      <c r="G151"/>
      <c r="H151"/>
      <c r="I151"/>
    </row>
    <row r="152" spans="2:11" x14ac:dyDescent="0.25">
      <c r="B152"/>
      <c r="C152"/>
      <c r="D152"/>
      <c r="E152"/>
      <c r="F152"/>
      <c r="G152"/>
      <c r="H152"/>
      <c r="I152"/>
    </row>
    <row r="153" spans="2:11" x14ac:dyDescent="0.25">
      <c r="B153"/>
      <c r="C153"/>
      <c r="D153"/>
      <c r="E153"/>
      <c r="F153"/>
      <c r="G153"/>
      <c r="H153"/>
      <c r="I153"/>
    </row>
  </sheetData>
  <sheetProtection algorithmName="SHA-256" hashValue="apkbJ9pEgS2EqaoHsMS8PvlDRZU9nSXTY6oMH6omaxo=" saltValue="IHyK0fSQWfjPpwfxVZ6xcw==" spinCount="100000" sheet="1" objects="1" scenarios="1" formatCells="0" insertRows="0" deleteRows="0"/>
  <dataConsolidate/>
  <mergeCells count="13">
    <mergeCell ref="AL34:BG34"/>
    <mergeCell ref="AL35:BG35"/>
    <mergeCell ref="AL36:BG36"/>
    <mergeCell ref="BQ34:CL34"/>
    <mergeCell ref="BQ35:CL35"/>
    <mergeCell ref="BQ36:CL36"/>
    <mergeCell ref="E14:I14"/>
    <mergeCell ref="B73:B75"/>
    <mergeCell ref="A13:A17"/>
    <mergeCell ref="A20:A27"/>
    <mergeCell ref="A28:A33"/>
    <mergeCell ref="A36:A61"/>
    <mergeCell ref="C16:E16"/>
  </mergeCells>
  <conditionalFormatting sqref="B86">
    <cfRule type="expression" dxfId="12" priority="13">
      <formula>dms_Model="EB"</formula>
    </cfRule>
  </conditionalFormatting>
  <conditionalFormatting sqref="B88">
    <cfRule type="expression" dxfId="11" priority="14">
      <formula>dms_Model="CA"</formula>
    </cfRule>
  </conditionalFormatting>
  <conditionalFormatting sqref="B96">
    <cfRule type="expression" dxfId="10" priority="11">
      <formula>IF(OR(dms_Model="ARR",dms_Model="Reset"),"True")</formula>
    </cfRule>
  </conditionalFormatting>
  <conditionalFormatting sqref="B109">
    <cfRule type="expression" dxfId="9" priority="12">
      <formula>dms_Model="ARR"</formula>
    </cfRule>
  </conditionalFormatting>
  <conditionalFormatting sqref="B115">
    <cfRule type="expression" dxfId="8" priority="5">
      <formula>AND(dms_Model="Reset",dms_Segment="Transmission")</formula>
    </cfRule>
  </conditionalFormatting>
  <conditionalFormatting sqref="C25">
    <cfRule type="expression" dxfId="7" priority="53">
      <formula>SUM(dms_SingleYear_Model)&gt;0</formula>
    </cfRule>
  </conditionalFormatting>
  <conditionalFormatting sqref="C63">
    <cfRule type="cellIs" dxfId="6" priority="6" operator="equal">
      <formula>"YES"</formula>
    </cfRule>
  </conditionalFormatting>
  <conditionalFormatting sqref="C65">
    <cfRule type="expression" dxfId="5" priority="52">
      <formula>dms_MultiYear_Flag=1</formula>
    </cfRule>
  </conditionalFormatting>
  <conditionalFormatting sqref="C77">
    <cfRule type="cellIs" dxfId="4" priority="2" operator="greaterThan">
      <formula>0</formula>
    </cfRule>
  </conditionalFormatting>
  <conditionalFormatting sqref="C81 C84">
    <cfRule type="cellIs" dxfId="3" priority="4" operator="greaterThan">
      <formula>0</formula>
    </cfRule>
  </conditionalFormatting>
  <conditionalFormatting sqref="C94">
    <cfRule type="cellIs" dxfId="1" priority="9" operator="equal">
      <formula>"error"</formula>
    </cfRule>
  </conditionalFormatting>
  <conditionalFormatting sqref="C132 C136">
    <cfRule type="cellIs" dxfId="0" priority="7" operator="equal">
      <formula>"YES"</formula>
    </cfRule>
  </conditionalFormatting>
  <dataValidations xWindow="933" yWindow="345" count="9">
    <dataValidation type="list" allowBlank="1" showInputMessage="1" showErrorMessage="1" sqref="C13" xr:uid="{00000000-0002-0000-1700-000000000000}">
      <formula1>dms_SourceList</formula1>
    </dataValidation>
    <dataValidation type="list" allowBlank="1" showInputMessage="1" showErrorMessage="1" sqref="C19 C63" xr:uid="{00000000-0002-0000-1700-000001000000}">
      <formula1>"Yes, No"</formula1>
    </dataValidation>
    <dataValidation type="list" allowBlank="1" showInputMessage="1" showErrorMessage="1" sqref="C26" xr:uid="{00000000-0002-0000-1700-000002000000}">
      <formula1>"Public, Confidential"</formula1>
    </dataValidation>
    <dataValidation type="list" allowBlank="1" showInputMessage="1" showErrorMessage="1" sqref="C24" xr:uid="{00000000-0002-0000-1700-000003000000}">
      <formula1>"Financial, Calendar, Other"</formula1>
    </dataValidation>
    <dataValidation type="list" allowBlank="1" showInputMessage="1" showErrorMessage="1" sqref="C14" xr:uid="{00000000-0002-0000-1700-000004000000}">
      <formula1>dms_DataQuality_List</formula1>
    </dataValidation>
    <dataValidation type="list" allowBlank="1" showInputMessage="1" showErrorMessage="1" promptTitle="Model" prompt="Make sure corresponding Source type is correctly selected !!!_x000a__x000a_eg: ABC=Reporting, Reset=Regulatory proposal  etc" sqref="C12" xr:uid="{00000000-0002-0000-1700-000005000000}">
      <formula1>dms_Model_List</formula1>
    </dataValidation>
    <dataValidation allowBlank="1" showInputMessage="1" showErrorMessage="1" prompt="If this is a MultiRYE historical ABC RIN then this value is set from the value specified in cell C75 - otherwise it is taken from the values calculated in FRCP_y5 (or whichever is last relevant year)." sqref="C85" xr:uid="{00000000-0002-0000-1700-000006000000}"/>
    <dataValidation type="list" allowBlank="1" showInputMessage="1" showErrorMessage="1" sqref="C129 C136 C132" xr:uid="{00000000-0002-0000-1700-000007000000}">
      <formula1>"YES, NO"</formula1>
    </dataValidation>
    <dataValidation type="list" allowBlank="1" showInputMessage="1" showErrorMessage="1" sqref="C15" xr:uid="{00000000-0002-0000-1700-000008000000}">
      <formula1>dms_Confid_status_List</formula1>
    </dataValidation>
  </dataValidations>
  <pageMargins left="0.25" right="0.25" top="0.75" bottom="0.75" header="0.3" footer="0.3"/>
  <pageSetup paperSize="9" scale="90" orientation="landscape" r:id="rId1"/>
  <headerFooter>
    <oddFooter>&amp;C_x000D_&amp;1#&amp;"Aptos"&amp;10&amp;K008000 APA-INTERNAL</oddFooter>
  </headerFooter>
  <ignoredErrors>
    <ignoredError sqref="C14:C17" unlockedFormula="1"/>
  </ignoredErrors>
  <extLst>
    <ext xmlns:x14="http://schemas.microsoft.com/office/spreadsheetml/2009/9/main" uri="{78C0D931-6437-407d-A8EE-F0AAD7539E65}">
      <x14:conditionalFormattings>
        <x14:conditionalFormatting xmlns:xm="http://schemas.microsoft.com/office/excel/2006/main">
          <x14:cfRule type="containsText" priority="8" operator="containsText" id="{5F162DA5-441B-415D-AFC2-6045F606FD20}">
            <xm:f>NOT(ISERROR(SEARCH("error - NR not present",C92)))</xm:f>
            <xm:f>"error - NR not present"</xm:f>
            <x14:dxf>
              <font>
                <color rgb="FF9C0006"/>
              </font>
              <fill>
                <patternFill>
                  <bgColor rgb="FFFFC7CE"/>
                </patternFill>
              </fill>
            </x14:dxf>
          </x14:cfRule>
          <xm:sqref>C92</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tabColor theme="3" tint="0.59999389629810485"/>
  </sheetPr>
  <dimension ref="A1:CU77"/>
  <sheetViews>
    <sheetView showGridLines="0" tabSelected="1" topLeftCell="M1" zoomScaleNormal="100" workbookViewId="0">
      <selection activeCell="V7" sqref="V7:BX7"/>
    </sheetView>
  </sheetViews>
  <sheetFormatPr defaultRowHeight="15" x14ac:dyDescent="0.25"/>
  <cols>
    <col min="1" max="96" width="2.7109375" customWidth="1"/>
  </cols>
  <sheetData>
    <row r="1" spans="1:96" ht="44.25" customHeight="1" x14ac:dyDescent="0.25">
      <c r="H1" s="1398"/>
      <c r="I1" s="1398"/>
      <c r="J1" s="1398"/>
      <c r="K1" s="1398"/>
      <c r="L1" s="1398"/>
      <c r="M1" s="1398"/>
      <c r="N1" s="1398"/>
      <c r="O1" s="1398"/>
      <c r="P1" s="1398"/>
      <c r="Q1" s="281"/>
      <c r="R1" s="281"/>
      <c r="S1" s="281"/>
      <c r="T1" s="281"/>
      <c r="U1" s="281"/>
      <c r="V1" s="422" t="str">
        <f>INDEX(dms_Worksheet_List,MATCH(dms_Model,dms_Model_List))</f>
        <v>REGULATORY REPORTING STATEMENT</v>
      </c>
      <c r="W1" s="423"/>
      <c r="X1" s="423"/>
      <c r="Y1" s="423"/>
      <c r="Z1" s="423"/>
      <c r="AA1" s="423"/>
      <c r="AB1" s="423"/>
      <c r="AC1" s="423"/>
      <c r="AD1" s="423"/>
      <c r="AE1" s="423"/>
      <c r="AF1" s="423"/>
      <c r="AG1" s="423"/>
      <c r="AH1" s="423"/>
      <c r="AI1" s="423"/>
      <c r="AJ1" s="423"/>
      <c r="AK1" s="423"/>
      <c r="AL1" s="423"/>
      <c r="AM1" s="423"/>
      <c r="AN1" s="423"/>
      <c r="AO1" s="423"/>
      <c r="AP1" s="423"/>
      <c r="AQ1" s="423"/>
      <c r="AR1" s="423"/>
      <c r="AS1" s="423"/>
      <c r="AT1" s="423"/>
      <c r="AU1" s="423"/>
      <c r="AV1" s="423"/>
      <c r="AW1" s="423"/>
      <c r="AX1" s="423"/>
      <c r="AY1" s="423"/>
      <c r="AZ1" s="423"/>
      <c r="BA1" s="423"/>
      <c r="BB1" s="423"/>
      <c r="BC1" s="423"/>
      <c r="BD1" s="423"/>
      <c r="BE1" s="423"/>
      <c r="BF1" s="423"/>
      <c r="BG1" s="423"/>
      <c r="BH1" s="423"/>
      <c r="BI1" s="281"/>
      <c r="BJ1" s="281"/>
      <c r="BK1" s="281"/>
      <c r="BL1" s="281"/>
      <c r="BM1" s="281"/>
      <c r="BN1" s="281"/>
      <c r="BO1" s="281"/>
      <c r="BP1" s="281"/>
      <c r="BQ1" s="281"/>
      <c r="BR1" s="281"/>
      <c r="BS1" s="281"/>
      <c r="BT1" s="281"/>
      <c r="BU1" s="281"/>
      <c r="BV1" s="281"/>
      <c r="BW1" s="281"/>
      <c r="BX1" s="281"/>
      <c r="BY1" s="281"/>
      <c r="BZ1" s="281"/>
      <c r="CA1" s="281"/>
      <c r="CB1" s="281"/>
      <c r="CC1" s="281"/>
      <c r="CD1" s="281"/>
      <c r="CE1" s="281"/>
      <c r="CF1" s="281"/>
      <c r="CG1" s="281"/>
      <c r="CH1" s="281"/>
      <c r="CI1" s="281"/>
      <c r="CJ1" s="281"/>
      <c r="CK1" s="281"/>
      <c r="CL1" s="281"/>
      <c r="CM1" s="281"/>
      <c r="CN1" s="281"/>
      <c r="CO1" s="281"/>
      <c r="CP1" s="281"/>
    </row>
    <row r="2" spans="1:96" ht="44.25" customHeight="1" x14ac:dyDescent="0.25">
      <c r="H2" s="1398"/>
      <c r="I2" s="1398"/>
      <c r="J2" s="1398"/>
      <c r="K2" s="1398"/>
      <c r="L2" s="1398"/>
      <c r="M2" s="1398"/>
      <c r="N2" s="1398"/>
      <c r="O2" s="1398"/>
      <c r="P2" s="1398"/>
      <c r="Q2" s="281"/>
      <c r="R2" s="281"/>
      <c r="S2" s="281"/>
      <c r="T2" s="281"/>
      <c r="U2" s="281"/>
      <c r="V2" s="424" t="str">
        <f>INDEX(dms_TradingNameFull_List,MATCH(dms_TradingName,dms_TradingName_List))</f>
        <v>APT Petroleum Pipelines Limited t/a Roma to Brisbane Pipeline</v>
      </c>
      <c r="W2" s="424"/>
      <c r="X2" s="424"/>
      <c r="Y2" s="424"/>
      <c r="Z2" s="424"/>
      <c r="AA2" s="424"/>
      <c r="AB2" s="424"/>
      <c r="AC2" s="424"/>
      <c r="AD2" s="424"/>
      <c r="AE2" s="424"/>
      <c r="AF2" s="424"/>
      <c r="AG2" s="424"/>
      <c r="AH2" s="424"/>
      <c r="AI2" s="424"/>
      <c r="AJ2" s="424"/>
      <c r="AK2" s="424"/>
      <c r="AL2" s="424"/>
      <c r="AM2" s="424"/>
      <c r="AN2" s="424"/>
      <c r="AO2" s="424"/>
      <c r="AP2" s="424"/>
      <c r="AQ2" s="424"/>
      <c r="AR2" s="424"/>
      <c r="AS2" s="424"/>
      <c r="AT2" s="424"/>
      <c r="AU2" s="424"/>
      <c r="AV2" s="424"/>
      <c r="AW2" s="424"/>
      <c r="AX2" s="424"/>
      <c r="AY2" s="424"/>
      <c r="AZ2" s="424"/>
      <c r="BA2" s="424"/>
      <c r="BB2" s="424"/>
      <c r="BC2" s="424"/>
      <c r="BD2" s="424"/>
      <c r="BE2" s="424"/>
      <c r="BF2" s="424"/>
      <c r="BG2" s="424"/>
      <c r="BH2" s="424"/>
      <c r="BI2" s="281"/>
      <c r="BJ2" s="281"/>
      <c r="BK2" s="281"/>
      <c r="BL2" s="281"/>
      <c r="BM2" s="281"/>
      <c r="BN2" s="281"/>
      <c r="BO2" s="281"/>
      <c r="BP2" s="281"/>
      <c r="BQ2" s="281"/>
      <c r="BR2" s="281"/>
      <c r="BS2" s="281"/>
      <c r="BT2" s="281"/>
      <c r="BU2" s="281"/>
      <c r="BV2" s="281"/>
      <c r="BW2" s="281"/>
      <c r="BX2" s="281"/>
      <c r="BY2" s="281"/>
      <c r="BZ2" s="281"/>
      <c r="CA2" s="281"/>
      <c r="CB2" s="281"/>
      <c r="CC2" s="281"/>
      <c r="CD2" s="281"/>
      <c r="CE2" s="281"/>
      <c r="CF2" s="281"/>
      <c r="CG2" s="281"/>
      <c r="CH2" s="281"/>
      <c r="CI2" s="281"/>
      <c r="CJ2" s="281"/>
      <c r="CK2" s="281"/>
      <c r="CL2" s="281"/>
      <c r="CM2" s="281"/>
      <c r="CN2" s="281"/>
      <c r="CO2" s="281"/>
      <c r="CP2" s="281"/>
    </row>
    <row r="3" spans="1:96" ht="44.25" customHeight="1" x14ac:dyDescent="0.25">
      <c r="H3" s="1398"/>
      <c r="I3" s="1398"/>
      <c r="J3" s="1398"/>
      <c r="K3" s="1398"/>
      <c r="L3" s="1398"/>
      <c r="M3" s="1398"/>
      <c r="N3" s="1398"/>
      <c r="O3" s="1398"/>
      <c r="P3" s="1398"/>
      <c r="Q3" s="281"/>
      <c r="R3" s="281"/>
      <c r="S3" s="281"/>
      <c r="T3" s="281"/>
      <c r="U3" s="281"/>
      <c r="V3" s="627" t="str">
        <f ca="1">dms_Header_Span</f>
        <v>Data Span 2025-26 - 2031-32</v>
      </c>
      <c r="W3" s="627"/>
      <c r="X3" s="627"/>
      <c r="Y3" s="627"/>
      <c r="Z3" s="627"/>
      <c r="AA3" s="627"/>
      <c r="AB3" s="627"/>
      <c r="AC3" s="627"/>
      <c r="AD3" s="627"/>
      <c r="AE3" s="627"/>
      <c r="AF3" s="627"/>
      <c r="AG3" s="627"/>
      <c r="AH3" s="627"/>
      <c r="AI3" s="627"/>
      <c r="AJ3" s="627"/>
      <c r="AK3" s="627"/>
      <c r="AL3" s="627"/>
      <c r="AM3" s="627"/>
      <c r="AN3" s="627"/>
      <c r="AO3" s="627"/>
      <c r="AP3" s="627"/>
      <c r="AQ3" s="627"/>
      <c r="AR3" s="627"/>
      <c r="AS3" s="627"/>
      <c r="AT3" s="627"/>
      <c r="AU3" s="627"/>
      <c r="AV3" s="627"/>
      <c r="AW3" s="627"/>
      <c r="AX3" s="627"/>
      <c r="AY3" s="627"/>
      <c r="AZ3" s="627"/>
      <c r="BA3" s="627"/>
      <c r="BB3" s="627"/>
      <c r="BC3" s="627"/>
      <c r="BD3" s="627"/>
      <c r="BE3" s="627"/>
      <c r="BF3" s="627"/>
      <c r="BG3" s="627"/>
      <c r="BH3" s="627"/>
      <c r="BI3" s="281"/>
      <c r="BJ3" s="281"/>
      <c r="BK3" s="281"/>
      <c r="BL3" s="281"/>
      <c r="BM3" s="281"/>
      <c r="BN3" s="281"/>
      <c r="BO3" s="281"/>
      <c r="BP3" s="281"/>
      <c r="BQ3" s="281"/>
      <c r="BR3" s="281"/>
      <c r="BS3" s="281"/>
      <c r="BT3" s="281"/>
      <c r="BU3" s="281"/>
      <c r="BV3" s="281"/>
      <c r="BW3" s="281"/>
      <c r="BX3" s="281"/>
      <c r="BY3" s="281"/>
      <c r="BZ3" s="281"/>
      <c r="CA3" s="281"/>
      <c r="CB3" s="281"/>
      <c r="CC3" s="281"/>
      <c r="CD3" s="281"/>
      <c r="CE3" s="281"/>
      <c r="CF3" s="281"/>
      <c r="CG3" s="281"/>
      <c r="CH3" s="281"/>
      <c r="CI3" s="281"/>
      <c r="CJ3" s="281"/>
      <c r="CK3" s="281"/>
      <c r="CL3" s="281"/>
      <c r="CM3" s="281"/>
      <c r="CN3" s="281"/>
      <c r="CO3" s="281"/>
      <c r="CP3" s="281"/>
    </row>
    <row r="4" spans="1:96" ht="31.5" customHeight="1" x14ac:dyDescent="0.25">
      <c r="Q4" s="263"/>
      <c r="R4" s="263"/>
      <c r="S4" s="263"/>
      <c r="T4" s="263"/>
      <c r="U4" s="263"/>
      <c r="V4" s="1402" t="s">
        <v>311</v>
      </c>
      <c r="W4" s="1402"/>
      <c r="X4" s="1402"/>
      <c r="Y4" s="1402"/>
      <c r="Z4" s="1402"/>
      <c r="AA4" s="1402"/>
      <c r="AB4" s="1402"/>
      <c r="AC4" s="1402"/>
      <c r="AD4" s="1402"/>
      <c r="AE4" s="1402"/>
      <c r="AF4" s="1402"/>
      <c r="AG4" s="1402"/>
      <c r="AH4" s="1402"/>
      <c r="AI4" s="1402"/>
      <c r="AJ4" s="1402"/>
      <c r="AK4" s="1402"/>
      <c r="AL4" s="1402"/>
      <c r="AM4" s="1402"/>
      <c r="AN4" s="1402"/>
      <c r="AO4" s="1402"/>
      <c r="AP4" s="1402"/>
      <c r="AQ4" s="1402"/>
      <c r="AR4" s="1402"/>
      <c r="AS4" s="1402"/>
      <c r="AT4" s="1402"/>
      <c r="AU4" s="1402"/>
      <c r="AV4" s="1402"/>
      <c r="AW4" s="1402"/>
      <c r="AX4" s="1402"/>
      <c r="AY4" s="1402"/>
      <c r="AZ4" s="1402"/>
      <c r="BA4" s="1402"/>
      <c r="BB4" s="1402"/>
      <c r="BC4" s="1402"/>
      <c r="BD4" s="1402"/>
      <c r="BE4" s="1402"/>
      <c r="BF4" s="1402"/>
      <c r="BG4" s="263"/>
      <c r="BH4" s="263"/>
      <c r="BI4" s="263"/>
      <c r="BJ4" s="263"/>
      <c r="BK4" s="263"/>
      <c r="BL4" s="263"/>
      <c r="BM4" s="263"/>
      <c r="BN4" s="263"/>
      <c r="BO4" s="263"/>
      <c r="BP4" s="263"/>
      <c r="BQ4" s="263"/>
      <c r="BR4" s="263"/>
      <c r="BS4" s="263"/>
      <c r="BT4" s="263"/>
      <c r="BU4" s="263"/>
      <c r="BV4" s="263"/>
      <c r="BW4" s="263"/>
      <c r="BX4" s="263"/>
      <c r="BY4" s="263"/>
      <c r="BZ4" s="263"/>
      <c r="CA4" s="263"/>
      <c r="CB4" s="263"/>
      <c r="CC4" s="263"/>
      <c r="CD4" s="263"/>
      <c r="CE4" s="263"/>
      <c r="CF4" s="263"/>
      <c r="CG4" s="263"/>
      <c r="CH4" s="263"/>
      <c r="CI4" s="263"/>
      <c r="CJ4" s="263"/>
      <c r="CK4" s="263"/>
      <c r="CL4" s="263"/>
      <c r="CM4" s="263"/>
      <c r="CN4" s="263"/>
      <c r="CO4" s="263"/>
      <c r="CP4" s="263"/>
    </row>
    <row r="6" spans="1:96" ht="20.25" x14ac:dyDescent="0.25">
      <c r="H6" s="296"/>
      <c r="I6" s="296"/>
      <c r="J6" s="296"/>
      <c r="K6" s="296"/>
      <c r="L6" s="296"/>
      <c r="M6" s="296"/>
      <c r="N6" s="296"/>
      <c r="O6" s="296"/>
      <c r="P6" s="296"/>
      <c r="Q6" s="324"/>
      <c r="R6" s="324"/>
      <c r="S6" s="324"/>
      <c r="T6" s="324"/>
      <c r="U6" s="324"/>
      <c r="V6" s="325" t="s">
        <v>653</v>
      </c>
      <c r="W6" s="324"/>
      <c r="X6" s="324"/>
      <c r="Y6" s="324"/>
      <c r="Z6" s="324"/>
      <c r="AA6" s="324"/>
      <c r="AB6" s="324"/>
      <c r="AC6" s="324"/>
      <c r="AD6" s="324"/>
      <c r="AE6" s="324"/>
      <c r="AF6" s="324"/>
      <c r="AG6" s="324"/>
      <c r="AH6" s="324"/>
      <c r="AI6" s="324"/>
      <c r="AJ6" s="324"/>
      <c r="AK6" s="324"/>
      <c r="AL6" s="324"/>
      <c r="AM6" s="324"/>
      <c r="AN6" s="324"/>
      <c r="AO6" s="324"/>
      <c r="AP6" s="324"/>
      <c r="AQ6" s="324"/>
      <c r="AR6" s="324"/>
      <c r="AS6" s="324"/>
      <c r="AT6" s="324"/>
      <c r="AU6" s="324"/>
      <c r="AV6" s="324"/>
      <c r="AW6" s="324"/>
      <c r="AX6" s="324"/>
      <c r="AY6" s="324"/>
      <c r="AZ6" s="324"/>
      <c r="BA6" s="324"/>
      <c r="BB6" s="324"/>
      <c r="BC6" s="324"/>
      <c r="BD6" s="324"/>
      <c r="BE6" s="324"/>
      <c r="BF6" s="324"/>
      <c r="BG6" s="324"/>
      <c r="BH6" s="324"/>
      <c r="BI6" s="324"/>
      <c r="BJ6" s="324"/>
      <c r="BK6" s="324"/>
      <c r="BL6" s="324"/>
      <c r="BM6" s="324"/>
      <c r="BN6" s="324"/>
      <c r="BO6" s="324"/>
      <c r="BP6" s="324"/>
      <c r="BQ6" s="324"/>
      <c r="BR6" s="324"/>
      <c r="BS6" s="324"/>
      <c r="BT6" s="324"/>
      <c r="BU6" s="324"/>
      <c r="BV6" s="324"/>
      <c r="BW6" s="324"/>
      <c r="BX6" s="324"/>
      <c r="BY6" s="324"/>
      <c r="BZ6" s="324"/>
      <c r="CA6" s="324"/>
      <c r="CB6" s="324"/>
      <c r="CC6" s="324"/>
      <c r="CD6" s="324"/>
      <c r="CE6" s="324"/>
      <c r="CF6" s="324"/>
      <c r="CG6" s="324"/>
      <c r="CH6" s="324"/>
      <c r="CI6" s="324"/>
      <c r="CJ6" s="324"/>
      <c r="CK6" s="324"/>
      <c r="CL6" s="324"/>
      <c r="CM6" s="324"/>
      <c r="CN6" s="324"/>
      <c r="CO6" s="324"/>
      <c r="CP6" s="324"/>
    </row>
    <row r="7" spans="1:96" ht="50.25" customHeight="1" x14ac:dyDescent="0.25">
      <c r="H7" s="296"/>
      <c r="I7" s="296"/>
      <c r="J7" s="296"/>
      <c r="K7" s="296"/>
      <c r="L7" s="296"/>
      <c r="M7" s="296"/>
      <c r="N7" s="296"/>
      <c r="O7" s="296"/>
      <c r="P7" s="296"/>
      <c r="Q7" s="324"/>
      <c r="R7" s="324"/>
      <c r="S7" s="324"/>
      <c r="T7" s="324"/>
      <c r="U7" s="324"/>
      <c r="V7" s="1399" t="s">
        <v>654</v>
      </c>
      <c r="W7" s="1399"/>
      <c r="X7" s="1399"/>
      <c r="Y7" s="1399"/>
      <c r="Z7" s="1399"/>
      <c r="AA7" s="1399"/>
      <c r="AB7" s="1399"/>
      <c r="AC7" s="1399"/>
      <c r="AD7" s="1399"/>
      <c r="AE7" s="1399"/>
      <c r="AF7" s="1399"/>
      <c r="AG7" s="1399"/>
      <c r="AH7" s="1399"/>
      <c r="AI7" s="1399"/>
      <c r="AJ7" s="1399"/>
      <c r="AK7" s="1399"/>
      <c r="AL7" s="1399"/>
      <c r="AM7" s="1399"/>
      <c r="AN7" s="1399"/>
      <c r="AO7" s="1399"/>
      <c r="AP7" s="1399"/>
      <c r="AQ7" s="1399"/>
      <c r="AR7" s="1399"/>
      <c r="AS7" s="1399"/>
      <c r="AT7" s="1399"/>
      <c r="AU7" s="1399"/>
      <c r="AV7" s="1399"/>
      <c r="AW7" s="1399"/>
      <c r="AX7" s="1399"/>
      <c r="AY7" s="1399"/>
      <c r="AZ7" s="1399"/>
      <c r="BA7" s="1399"/>
      <c r="BB7" s="1399"/>
      <c r="BC7" s="1399"/>
      <c r="BD7" s="1399"/>
      <c r="BE7" s="1399"/>
      <c r="BF7" s="1399"/>
      <c r="BG7" s="1399"/>
      <c r="BH7" s="1399"/>
      <c r="BI7" s="1399"/>
      <c r="BJ7" s="1399"/>
      <c r="BK7" s="1399"/>
      <c r="BL7" s="1399"/>
      <c r="BM7" s="1399"/>
      <c r="BN7" s="1399"/>
      <c r="BO7" s="1399"/>
      <c r="BP7" s="1399"/>
      <c r="BQ7" s="1399"/>
      <c r="BR7" s="1399"/>
      <c r="BS7" s="1399"/>
      <c r="BT7" s="1399"/>
      <c r="BU7" s="1399"/>
      <c r="BV7" s="1399"/>
      <c r="BW7" s="1399"/>
      <c r="BX7" s="1399"/>
      <c r="BY7" s="324"/>
      <c r="BZ7" s="324"/>
      <c r="CA7" s="324"/>
      <c r="CB7" s="324"/>
      <c r="CC7" s="324"/>
      <c r="CD7" s="324"/>
      <c r="CE7" s="324"/>
      <c r="CF7" s="324"/>
      <c r="CG7" s="324"/>
      <c r="CH7" s="324"/>
      <c r="CI7" s="324"/>
      <c r="CJ7" s="324"/>
      <c r="CK7" s="324"/>
      <c r="CL7" s="324"/>
      <c r="CM7" s="324"/>
      <c r="CN7" s="324"/>
      <c r="CO7" s="324"/>
      <c r="CP7" s="324"/>
    </row>
    <row r="8" spans="1:96" ht="20.25" x14ac:dyDescent="0.25">
      <c r="H8" s="296"/>
      <c r="I8" s="296"/>
      <c r="J8" s="296"/>
      <c r="K8" s="296"/>
      <c r="L8" s="296"/>
      <c r="M8" s="296"/>
      <c r="N8" s="296"/>
      <c r="O8" s="296"/>
      <c r="P8" s="296"/>
      <c r="Q8" s="296"/>
      <c r="R8" s="296"/>
      <c r="S8" s="296"/>
      <c r="T8" s="296"/>
      <c r="U8" s="296"/>
      <c r="V8" s="309"/>
      <c r="W8" s="309"/>
      <c r="X8" s="309"/>
      <c r="Y8" s="309"/>
      <c r="Z8" s="309"/>
      <c r="AA8" s="309"/>
      <c r="AB8" s="309"/>
      <c r="AC8" s="309"/>
      <c r="AD8" s="309"/>
      <c r="AE8" s="309"/>
      <c r="AF8" s="309"/>
      <c r="AG8" s="309"/>
      <c r="AH8" s="309"/>
      <c r="AI8" s="309"/>
      <c r="AJ8" s="309"/>
      <c r="AK8" s="309"/>
      <c r="AL8" s="309"/>
      <c r="AM8" s="309"/>
      <c r="AN8" s="309"/>
      <c r="AO8" s="309"/>
      <c r="AP8" s="309"/>
      <c r="AQ8" s="309"/>
      <c r="AR8" s="309"/>
      <c r="AS8" s="309"/>
      <c r="AT8" s="309"/>
      <c r="AU8" s="309"/>
      <c r="AV8" s="309"/>
      <c r="AW8" s="309"/>
      <c r="AX8" s="309"/>
      <c r="AY8" s="309"/>
      <c r="AZ8" s="309"/>
      <c r="BA8" s="309"/>
      <c r="BB8" s="309"/>
      <c r="BC8" s="309"/>
      <c r="BD8" s="309"/>
      <c r="BE8" s="309"/>
      <c r="BF8" s="309"/>
      <c r="BG8" s="309"/>
      <c r="BH8" s="309"/>
      <c r="BI8" s="309"/>
      <c r="BJ8" s="309"/>
      <c r="BK8" s="309"/>
      <c r="BL8" s="309"/>
      <c r="BM8" s="309"/>
      <c r="BN8" s="309"/>
      <c r="BO8" s="309"/>
      <c r="BP8" s="309"/>
      <c r="BQ8" s="309"/>
      <c r="BR8" s="309"/>
      <c r="BS8" s="309"/>
      <c r="BT8" s="309"/>
      <c r="BU8" s="309"/>
      <c r="BV8" s="309"/>
      <c r="BW8" s="309"/>
      <c r="BX8" s="309"/>
      <c r="BY8" s="296"/>
      <c r="BZ8" s="296"/>
      <c r="CA8" s="296"/>
      <c r="CB8" s="296"/>
      <c r="CC8" s="296"/>
      <c r="CD8" s="296"/>
      <c r="CE8" s="296"/>
      <c r="CF8" s="296"/>
      <c r="CG8" s="296"/>
      <c r="CH8" s="296"/>
      <c r="CI8" s="296"/>
      <c r="CJ8" s="296"/>
      <c r="CK8" s="296"/>
      <c r="CL8" s="296"/>
      <c r="CM8" s="296"/>
      <c r="CN8" s="296"/>
      <c r="CO8" s="296"/>
      <c r="CP8" s="296"/>
    </row>
    <row r="9" spans="1:96" s="29" customFormat="1" ht="45.2" customHeight="1" x14ac:dyDescent="0.25">
      <c r="H9" s="323"/>
      <c r="I9" s="323"/>
      <c r="J9" s="323"/>
      <c r="K9" s="323"/>
      <c r="L9" s="323"/>
      <c r="M9" s="323"/>
      <c r="N9" s="323"/>
      <c r="O9" s="323"/>
      <c r="P9" s="323"/>
      <c r="Q9" s="1403" t="s">
        <v>655</v>
      </c>
      <c r="R9" s="1403"/>
      <c r="S9" s="1403"/>
      <c r="T9" s="1403"/>
      <c r="U9" s="1403"/>
      <c r="V9" s="1403"/>
      <c r="W9" s="1403"/>
      <c r="X9" s="1403"/>
      <c r="Y9" s="1403"/>
      <c r="Z9" s="1403"/>
      <c r="AA9" s="1403"/>
      <c r="AB9" s="1403"/>
      <c r="AC9" s="1403"/>
      <c r="AD9" s="1403"/>
      <c r="AE9" s="1403"/>
      <c r="AF9" s="1403"/>
      <c r="AG9" s="1403"/>
      <c r="AH9" s="1403"/>
      <c r="AI9" s="1403"/>
      <c r="AJ9" s="1403"/>
      <c r="AK9" s="1403"/>
      <c r="AL9" s="1403"/>
      <c r="AM9" s="1403"/>
      <c r="AN9" s="1403"/>
      <c r="AO9" s="1403"/>
      <c r="AP9" s="1403"/>
      <c r="AQ9" s="1403"/>
      <c r="AR9" s="1403"/>
      <c r="AS9" s="1403"/>
      <c r="AT9" s="1403"/>
      <c r="AU9" s="1403"/>
      <c r="AV9" s="1403"/>
      <c r="AW9" s="1403"/>
      <c r="AX9" s="1403"/>
      <c r="AY9" s="1403"/>
      <c r="AZ9" s="1403"/>
      <c r="BA9" s="1403"/>
      <c r="BB9" s="1403"/>
      <c r="BC9" s="1403"/>
      <c r="BD9" s="1403"/>
      <c r="BE9" s="1403"/>
      <c r="BF9" s="1403"/>
      <c r="BG9" s="1403"/>
      <c r="BH9" s="1403"/>
      <c r="BI9" s="1403"/>
      <c r="BJ9" s="1403"/>
      <c r="BK9" s="1403"/>
      <c r="BL9" s="1403"/>
      <c r="BM9" s="1403"/>
      <c r="BN9" s="1403"/>
      <c r="BO9" s="1403"/>
      <c r="BP9" s="1403"/>
      <c r="BQ9" s="1403"/>
      <c r="BR9" s="1403"/>
      <c r="BS9" s="1403"/>
      <c r="BT9" s="1403"/>
      <c r="BU9" s="1403"/>
      <c r="BV9" s="1403"/>
      <c r="BW9" s="1403"/>
      <c r="BX9" s="1403"/>
      <c r="BY9" s="1403"/>
      <c r="BZ9" s="1403"/>
      <c r="CA9" s="1403"/>
      <c r="CB9" s="1403"/>
      <c r="CC9" s="1403"/>
      <c r="CD9" s="1403"/>
      <c r="CE9" s="1403"/>
      <c r="CF9" s="1403"/>
      <c r="CG9" s="1403"/>
      <c r="CH9" s="1403"/>
      <c r="CI9" s="1403"/>
      <c r="CJ9" s="1403"/>
      <c r="CK9" s="1403"/>
      <c r="CL9" s="1403"/>
      <c r="CM9" s="1403"/>
      <c r="CN9" s="1403"/>
      <c r="CO9" s="1403"/>
      <c r="CP9" s="1403"/>
      <c r="CQ9"/>
      <c r="CR9"/>
    </row>
    <row r="10" spans="1:96" x14ac:dyDescent="0.25">
      <c r="H10" s="297"/>
      <c r="I10" s="297"/>
      <c r="J10" s="297"/>
      <c r="K10" s="297"/>
      <c r="L10" s="297"/>
      <c r="M10" s="297"/>
      <c r="N10" s="297"/>
      <c r="O10" s="297"/>
      <c r="P10" s="297"/>
      <c r="Q10" s="297"/>
      <c r="R10" s="297"/>
      <c r="S10" s="297"/>
      <c r="T10" s="297"/>
      <c r="U10" s="297"/>
      <c r="V10" s="297"/>
      <c r="W10" s="297"/>
      <c r="X10" s="297"/>
      <c r="Y10" s="297"/>
      <c r="Z10" s="297"/>
      <c r="AA10" s="297"/>
      <c r="AB10" s="297"/>
      <c r="AC10" s="297"/>
      <c r="AD10" s="297"/>
      <c r="AE10" s="297"/>
      <c r="AF10" s="297"/>
      <c r="AG10" s="297"/>
      <c r="AH10" s="297"/>
      <c r="AI10" s="297"/>
      <c r="AJ10" s="297"/>
      <c r="AK10" s="297"/>
      <c r="AL10" s="297"/>
      <c r="AM10" s="297"/>
      <c r="AN10" s="297"/>
      <c r="AO10" s="297"/>
      <c r="AP10" s="297"/>
      <c r="AQ10" s="297"/>
      <c r="AR10" s="297"/>
      <c r="AS10" s="297"/>
      <c r="AT10" s="297"/>
      <c r="AU10" s="297"/>
      <c r="AV10" s="297"/>
      <c r="AW10" s="297"/>
      <c r="AX10" s="297"/>
      <c r="AY10" s="297"/>
      <c r="AZ10" s="297"/>
      <c r="BA10" s="297"/>
      <c r="BB10" s="297"/>
      <c r="BC10" s="297"/>
      <c r="BD10" s="297"/>
      <c r="BE10" s="297"/>
      <c r="BF10" s="297"/>
      <c r="BG10" s="297"/>
      <c r="BH10" s="297"/>
      <c r="BI10" s="297"/>
      <c r="BJ10" s="297"/>
      <c r="BK10" s="297"/>
      <c r="BL10" s="297"/>
      <c r="BM10" s="297"/>
      <c r="BN10" s="297"/>
      <c r="BO10" s="297"/>
      <c r="BP10" s="297"/>
      <c r="BQ10" s="297"/>
      <c r="BR10" s="297"/>
      <c r="BS10" s="297"/>
      <c r="BT10" s="297"/>
      <c r="BU10" s="297"/>
      <c r="BV10" s="297"/>
      <c r="BW10" s="297"/>
      <c r="BX10" s="297"/>
      <c r="BY10" s="297"/>
      <c r="BZ10" s="297"/>
      <c r="CA10" s="297"/>
      <c r="CB10" s="297"/>
      <c r="CC10" s="297"/>
      <c r="CD10" s="297"/>
      <c r="CE10" s="297"/>
      <c r="CF10" s="297"/>
      <c r="CG10" s="297"/>
      <c r="CH10" s="297"/>
      <c r="CI10" s="297"/>
      <c r="CJ10" s="297"/>
      <c r="CK10" s="297"/>
      <c r="CL10" s="297"/>
      <c r="CM10" s="297"/>
      <c r="CN10" s="297"/>
      <c r="CO10" s="297"/>
      <c r="CP10" s="297"/>
    </row>
    <row r="11" spans="1:96" ht="12.2" customHeight="1" x14ac:dyDescent="0.4">
      <c r="H11" s="320"/>
      <c r="I11" s="320"/>
      <c r="J11" s="320"/>
      <c r="K11" s="320"/>
      <c r="L11" s="320"/>
      <c r="M11" s="320"/>
      <c r="N11" s="320"/>
      <c r="O11" s="320"/>
      <c r="P11" s="320"/>
      <c r="Q11" s="315"/>
      <c r="R11" s="315"/>
      <c r="S11" s="315"/>
      <c r="T11" s="315"/>
      <c r="U11" s="315"/>
      <c r="V11" s="315"/>
      <c r="W11" s="315"/>
      <c r="X11" s="315"/>
      <c r="Y11" s="315"/>
      <c r="Z11" s="315"/>
      <c r="AA11" s="315"/>
      <c r="AB11" s="315"/>
      <c r="AC11" s="315"/>
      <c r="AD11" s="315"/>
      <c r="AE11" s="315"/>
      <c r="AF11" s="315"/>
      <c r="AG11" s="315"/>
      <c r="AH11" s="315"/>
      <c r="AI11" s="315"/>
      <c r="AJ11" s="315"/>
      <c r="AK11" s="315"/>
      <c r="AL11" s="315"/>
      <c r="AM11" s="315"/>
      <c r="AN11" s="315"/>
      <c r="AO11" s="315"/>
      <c r="AP11" s="315"/>
      <c r="AQ11" s="315"/>
      <c r="AR11" s="315"/>
      <c r="AS11" s="315"/>
      <c r="AT11" s="315"/>
      <c r="AU11" s="315"/>
      <c r="AV11" s="315"/>
      <c r="AW11" s="315"/>
      <c r="AX11" s="315"/>
      <c r="AY11" s="315"/>
      <c r="AZ11" s="315"/>
      <c r="BA11" s="315"/>
      <c r="BB11" s="315"/>
      <c r="BC11" s="315"/>
      <c r="BD11" s="315"/>
      <c r="BE11" s="315"/>
      <c r="BF11" s="315"/>
      <c r="BG11" s="315"/>
      <c r="BH11" s="315"/>
      <c r="BI11" s="315"/>
      <c r="BJ11" s="315"/>
      <c r="BK11" s="315"/>
      <c r="BL11" s="315"/>
      <c r="BM11" s="315"/>
      <c r="BN11" s="315"/>
      <c r="BO11" s="315"/>
      <c r="BP11" s="315"/>
      <c r="BQ11" s="315"/>
      <c r="BR11" s="315"/>
      <c r="BS11" s="315"/>
      <c r="BT11" s="315"/>
      <c r="BU11" s="315"/>
      <c r="BV11" s="315"/>
      <c r="BW11" s="315"/>
      <c r="BX11" s="315"/>
      <c r="BY11" s="315"/>
      <c r="BZ11" s="315"/>
      <c r="CA11" s="315"/>
      <c r="CB11" s="315"/>
      <c r="CC11" s="315"/>
      <c r="CD11" s="315"/>
      <c r="CE11" s="315"/>
      <c r="CF11" s="315"/>
      <c r="CG11" s="315"/>
      <c r="CH11" s="315"/>
      <c r="CI11" s="315"/>
      <c r="CJ11" s="315"/>
      <c r="CK11" s="315"/>
      <c r="CL11" s="315"/>
      <c r="CM11" s="315"/>
      <c r="CN11" s="315"/>
      <c r="CO11" s="315"/>
      <c r="CP11" s="315"/>
    </row>
    <row r="12" spans="1:96" ht="30" x14ac:dyDescent="0.4">
      <c r="H12" s="320"/>
      <c r="I12" s="320"/>
      <c r="J12" s="320"/>
      <c r="K12" s="320"/>
      <c r="L12" s="320"/>
      <c r="M12" s="320"/>
      <c r="N12" s="320"/>
      <c r="O12" s="320"/>
      <c r="P12" s="320"/>
      <c r="Q12" s="314"/>
      <c r="R12" s="314"/>
      <c r="S12" s="314"/>
      <c r="T12" s="314"/>
      <c r="U12" s="314"/>
      <c r="V12" s="328" t="s">
        <v>312</v>
      </c>
      <c r="W12" s="328"/>
      <c r="X12" s="328"/>
      <c r="Y12" s="328"/>
      <c r="Z12" s="328"/>
      <c r="AA12" s="328"/>
      <c r="AB12" s="328"/>
      <c r="AC12" s="328"/>
      <c r="AD12" s="328"/>
      <c r="AE12" s="328"/>
      <c r="AF12" s="328"/>
      <c r="AG12" s="328"/>
      <c r="AH12" s="328"/>
      <c r="AI12" s="328"/>
      <c r="AJ12" s="328"/>
      <c r="AK12" s="328"/>
      <c r="AL12" s="328"/>
      <c r="AM12" s="328"/>
      <c r="AN12" s="328"/>
      <c r="AO12" s="328"/>
      <c r="AP12" s="328"/>
      <c r="AQ12" s="328"/>
      <c r="AR12" s="328"/>
      <c r="AS12" s="328"/>
      <c r="AT12" s="328"/>
      <c r="AU12" s="328"/>
      <c r="AV12" s="328"/>
      <c r="AW12" s="328"/>
      <c r="AX12" s="328"/>
      <c r="AY12" s="328"/>
      <c r="AZ12" s="328"/>
      <c r="BA12" s="328"/>
      <c r="BB12" s="328"/>
      <c r="BC12" s="328"/>
      <c r="BD12" s="328"/>
      <c r="BE12" s="328"/>
      <c r="BF12" s="328"/>
      <c r="BG12" s="328"/>
      <c r="BH12" s="328"/>
      <c r="BI12" s="328"/>
      <c r="BJ12" s="328"/>
      <c r="BK12" s="328"/>
      <c r="BL12" s="328"/>
      <c r="BM12" s="328"/>
      <c r="BN12" s="328"/>
      <c r="BO12" s="328"/>
      <c r="BP12" s="328"/>
      <c r="BQ12" s="328"/>
      <c r="BR12" s="328"/>
      <c r="BS12" s="328"/>
      <c r="BT12" s="328"/>
      <c r="BU12" s="328"/>
      <c r="BV12" s="328"/>
      <c r="BW12" s="328"/>
      <c r="BX12" s="328"/>
      <c r="BY12" s="328"/>
      <c r="BZ12" s="328"/>
      <c r="CA12" s="328"/>
      <c r="CB12" s="328"/>
      <c r="CC12" s="328"/>
      <c r="CD12" s="328"/>
      <c r="CE12" s="328"/>
      <c r="CF12" s="328"/>
      <c r="CG12" s="328"/>
      <c r="CH12" s="328"/>
      <c r="CI12" s="328"/>
      <c r="CJ12" s="318"/>
      <c r="CK12" s="318"/>
      <c r="CL12" s="318"/>
      <c r="CM12" s="314"/>
      <c r="CN12" s="314"/>
      <c r="CO12" s="314"/>
      <c r="CP12" s="314"/>
    </row>
    <row r="13" spans="1:96" x14ac:dyDescent="0.25">
      <c r="H13" s="297"/>
      <c r="I13" s="297"/>
      <c r="J13" s="297"/>
      <c r="K13" s="297"/>
      <c r="L13" s="297"/>
      <c r="M13" s="297"/>
      <c r="N13" s="297"/>
      <c r="O13" s="297"/>
      <c r="P13" s="297"/>
      <c r="Q13" s="298"/>
      <c r="R13" s="298"/>
      <c r="S13" s="298"/>
      <c r="T13" s="298"/>
      <c r="U13" s="298"/>
      <c r="V13" s="298"/>
      <c r="W13" s="298"/>
      <c r="X13" s="298"/>
      <c r="Y13" s="298"/>
      <c r="Z13" s="298"/>
      <c r="AA13" s="298"/>
      <c r="AB13" s="298"/>
      <c r="AC13" s="298"/>
      <c r="AD13" s="298"/>
      <c r="AE13" s="298"/>
      <c r="AF13" s="298"/>
      <c r="AG13" s="298"/>
      <c r="AH13" s="298"/>
      <c r="AI13" s="298"/>
      <c r="AJ13" s="298"/>
      <c r="AK13" s="298"/>
      <c r="AL13" s="298"/>
      <c r="AM13" s="298"/>
      <c r="AN13" s="298"/>
      <c r="AO13" s="298"/>
      <c r="AP13" s="298"/>
      <c r="AQ13" s="298"/>
      <c r="AR13" s="298"/>
      <c r="AS13" s="298"/>
      <c r="AT13" s="298"/>
      <c r="AU13" s="298"/>
      <c r="AV13" s="298"/>
      <c r="AW13" s="298"/>
      <c r="AX13" s="298"/>
      <c r="AY13" s="298"/>
      <c r="AZ13" s="298"/>
      <c r="BA13" s="298"/>
      <c r="BB13" s="298"/>
      <c r="BC13" s="298"/>
      <c r="BD13" s="298"/>
      <c r="BE13" s="298"/>
      <c r="BF13" s="298"/>
      <c r="BG13" s="298"/>
      <c r="BH13" s="298"/>
      <c r="BI13" s="298"/>
      <c r="BJ13" s="298"/>
      <c r="BK13" s="298"/>
      <c r="BL13" s="298"/>
      <c r="BM13" s="298"/>
      <c r="BN13" s="298"/>
      <c r="BO13" s="298"/>
      <c r="BP13" s="298"/>
      <c r="BQ13" s="298"/>
      <c r="BR13" s="298"/>
      <c r="BS13" s="298"/>
      <c r="BT13" s="298"/>
      <c r="BU13" s="298"/>
      <c r="BV13" s="298"/>
      <c r="BW13" s="298"/>
      <c r="BX13" s="298"/>
      <c r="BY13" s="298"/>
      <c r="BZ13" s="298"/>
      <c r="CA13" s="298"/>
      <c r="CB13" s="298"/>
      <c r="CC13" s="298"/>
      <c r="CD13" s="298"/>
      <c r="CE13" s="298"/>
      <c r="CF13" s="298"/>
      <c r="CG13" s="298"/>
      <c r="CH13" s="298"/>
      <c r="CI13" s="298"/>
      <c r="CJ13" s="298"/>
      <c r="CK13" s="298"/>
      <c r="CL13" s="298"/>
      <c r="CM13" s="298"/>
      <c r="CN13" s="298"/>
      <c r="CO13" s="298"/>
      <c r="CP13" s="298"/>
    </row>
    <row r="14" spans="1:96" ht="18" x14ac:dyDescent="0.25">
      <c r="H14" s="5"/>
      <c r="I14" s="5"/>
      <c r="J14" s="5"/>
      <c r="K14" s="5"/>
      <c r="L14" s="5"/>
      <c r="M14" s="5"/>
      <c r="N14" s="5"/>
      <c r="O14" s="5"/>
      <c r="P14" s="5"/>
      <c r="Q14" s="299"/>
      <c r="R14" s="299"/>
      <c r="S14" s="299"/>
      <c r="T14" s="299"/>
      <c r="U14" s="299"/>
      <c r="V14" s="341" t="s">
        <v>659</v>
      </c>
      <c r="W14" s="341"/>
      <c r="X14" s="341"/>
      <c r="Y14" s="341"/>
      <c r="Z14" s="341"/>
      <c r="AA14" s="341"/>
      <c r="AB14" s="341"/>
      <c r="AC14" s="341"/>
      <c r="AD14" s="341"/>
      <c r="AE14" s="341"/>
      <c r="AF14" s="341"/>
      <c r="AG14" s="341"/>
      <c r="AH14" s="341"/>
      <c r="AI14" s="341"/>
      <c r="AJ14" s="341"/>
      <c r="AK14" s="341"/>
      <c r="AL14" s="341"/>
      <c r="AM14" s="341"/>
      <c r="AN14" s="341"/>
      <c r="AO14" s="341"/>
      <c r="AP14" s="341"/>
      <c r="AQ14" s="341"/>
      <c r="AR14" s="341"/>
      <c r="AS14" s="341"/>
      <c r="AT14" s="341"/>
      <c r="AU14" s="341"/>
      <c r="AV14" s="341"/>
      <c r="AW14" s="341"/>
      <c r="AX14" s="341"/>
      <c r="AY14" s="341"/>
      <c r="AZ14" s="341"/>
      <c r="BA14" s="341"/>
      <c r="BB14" s="341"/>
      <c r="BC14" s="341"/>
      <c r="BD14" s="341"/>
      <c r="BE14" s="341"/>
      <c r="BF14" s="341"/>
      <c r="BG14" s="341"/>
      <c r="BH14" s="299"/>
      <c r="BI14" s="299"/>
      <c r="BJ14" s="299"/>
      <c r="BK14" s="299"/>
      <c r="BL14" s="299"/>
      <c r="BM14" s="299"/>
      <c r="BN14" s="299"/>
      <c r="BO14" s="299"/>
      <c r="BP14" s="299"/>
      <c r="BQ14" s="299"/>
      <c r="BR14" s="299"/>
      <c r="BS14" s="299"/>
      <c r="BT14" s="299"/>
      <c r="BU14" s="299"/>
      <c r="BV14" s="299"/>
      <c r="BW14" s="299"/>
      <c r="BX14" s="299"/>
      <c r="BY14" s="299"/>
      <c r="BZ14" s="299"/>
      <c r="CA14" s="299"/>
      <c r="CB14" s="299"/>
      <c r="CC14" s="299"/>
      <c r="CD14" s="299"/>
      <c r="CE14" s="299"/>
      <c r="CF14" s="299"/>
      <c r="CG14" s="299"/>
      <c r="CH14" s="299"/>
      <c r="CI14" s="299"/>
      <c r="CJ14" s="299"/>
      <c r="CK14" s="299"/>
      <c r="CL14" s="299"/>
      <c r="CM14" s="299"/>
      <c r="CN14" s="299"/>
      <c r="CO14" s="299"/>
      <c r="CP14" s="299"/>
    </row>
    <row r="15" spans="1:96" x14ac:dyDescent="0.25">
      <c r="H15" s="5"/>
      <c r="I15" s="5"/>
      <c r="J15" s="5"/>
      <c r="K15" s="5"/>
      <c r="L15" s="5"/>
      <c r="M15" s="5"/>
      <c r="N15" s="5"/>
      <c r="O15" s="5"/>
      <c r="P15" s="5"/>
      <c r="Q15" s="299"/>
      <c r="R15" s="299"/>
      <c r="S15" s="299"/>
      <c r="T15" s="299"/>
      <c r="U15" s="299"/>
      <c r="V15" s="299"/>
      <c r="W15" s="299"/>
      <c r="X15" s="299"/>
      <c r="Y15" s="299"/>
      <c r="Z15" s="299"/>
      <c r="AA15" s="299"/>
      <c r="AB15" s="299"/>
      <c r="AC15" s="299"/>
      <c r="AD15" s="299"/>
      <c r="AE15" s="299"/>
      <c r="AF15" s="299"/>
      <c r="AG15" s="299"/>
      <c r="AH15" s="299"/>
      <c r="AI15" s="299"/>
      <c r="AJ15" s="299"/>
      <c r="AK15" s="299"/>
      <c r="AL15" s="299"/>
      <c r="AM15" s="299"/>
      <c r="AN15" s="299"/>
      <c r="AO15" s="299"/>
      <c r="AP15" s="299"/>
      <c r="AQ15" s="299"/>
      <c r="AR15" s="299"/>
      <c r="AS15" s="299"/>
      <c r="AT15" s="299"/>
      <c r="AU15" s="299"/>
      <c r="AV15" s="299"/>
      <c r="AW15" s="299"/>
      <c r="AX15" s="299"/>
      <c r="AY15" s="299"/>
      <c r="AZ15" s="299"/>
      <c r="BA15" s="299"/>
      <c r="BB15" s="299"/>
      <c r="BC15" s="299"/>
      <c r="BD15" s="299"/>
      <c r="BE15" s="299"/>
      <c r="BF15" s="299"/>
      <c r="BG15" s="299"/>
      <c r="BH15" s="299"/>
      <c r="BI15" s="299"/>
      <c r="BJ15" s="299"/>
      <c r="BK15" s="299"/>
      <c r="BL15" s="299"/>
      <c r="BM15" s="299"/>
      <c r="BN15" s="299"/>
      <c r="BO15" s="299"/>
      <c r="BP15" s="299"/>
      <c r="BQ15" s="299"/>
      <c r="BR15" s="299"/>
      <c r="BS15" s="299"/>
      <c r="BT15" s="299"/>
      <c r="BU15" s="299"/>
      <c r="BV15" s="299"/>
      <c r="BW15" s="299"/>
      <c r="BX15" s="299"/>
      <c r="BY15" s="299"/>
      <c r="BZ15" s="299"/>
      <c r="CA15" s="299"/>
      <c r="CB15" s="299"/>
      <c r="CC15" s="299"/>
      <c r="CD15" s="299"/>
      <c r="CE15" s="299"/>
      <c r="CF15" s="299"/>
      <c r="CG15" s="299"/>
      <c r="CH15" s="299"/>
      <c r="CI15" s="299"/>
      <c r="CJ15" s="299"/>
      <c r="CK15" s="299"/>
      <c r="CL15" s="299"/>
      <c r="CM15" s="299"/>
      <c r="CN15" s="299"/>
      <c r="CO15" s="299"/>
      <c r="CP15" s="299"/>
    </row>
    <row r="16" spans="1:96" s="4" customFormat="1" ht="27.95" customHeight="1" x14ac:dyDescent="0.25">
      <c r="A16"/>
      <c r="H16" s="27"/>
      <c r="I16" s="27"/>
      <c r="J16" s="27"/>
      <c r="K16" s="27"/>
      <c r="L16" s="27"/>
      <c r="M16" s="27"/>
      <c r="N16" s="27"/>
      <c r="O16" s="27"/>
      <c r="P16" s="27"/>
      <c r="Q16" s="305"/>
      <c r="R16" s="305"/>
      <c r="S16" s="305"/>
      <c r="T16" s="305"/>
      <c r="U16" s="305"/>
      <c r="V16" s="1411" t="s">
        <v>313</v>
      </c>
      <c r="W16" s="1411"/>
      <c r="X16" s="1411"/>
      <c r="Y16" s="1411"/>
      <c r="Z16" s="1411"/>
      <c r="AA16" s="1411"/>
      <c r="AB16" s="1411"/>
      <c r="AC16" s="1411"/>
      <c r="AD16" s="1411"/>
      <c r="AE16" s="1411"/>
      <c r="AF16" s="1411"/>
      <c r="AG16" s="1411"/>
      <c r="AH16" s="1411"/>
      <c r="AI16" s="1411"/>
      <c r="AJ16" s="1411"/>
      <c r="AK16" s="305"/>
      <c r="AL16" s="1412" t="s">
        <v>88</v>
      </c>
      <c r="AM16" s="1412"/>
      <c r="AN16" s="1412"/>
      <c r="AO16" s="1412"/>
      <c r="AP16" s="1412"/>
      <c r="AQ16" s="1412"/>
      <c r="AR16" s="1412"/>
      <c r="AS16" s="1412"/>
      <c r="AT16" s="1412"/>
      <c r="AU16" s="1412"/>
      <c r="AV16" s="1412"/>
      <c r="AW16" s="1412"/>
      <c r="AX16" s="1412"/>
      <c r="AY16" s="1412"/>
      <c r="AZ16" s="1412"/>
      <c r="BA16" s="1412"/>
      <c r="BB16" s="1412"/>
      <c r="BC16" s="1412"/>
      <c r="BD16" s="1412"/>
      <c r="BE16" s="1412"/>
      <c r="BF16" s="1412"/>
      <c r="BG16" s="1412"/>
      <c r="BH16" s="305"/>
      <c r="BI16" s="305"/>
      <c r="BJ16" s="305"/>
      <c r="BK16" s="305"/>
      <c r="BL16" s="305"/>
      <c r="BM16" s="305"/>
      <c r="BN16" s="305"/>
      <c r="BO16" s="305"/>
      <c r="BP16" s="305"/>
      <c r="BQ16" s="305"/>
      <c r="BR16" s="305"/>
      <c r="BS16" s="305"/>
      <c r="BT16" s="305"/>
      <c r="BU16" s="305"/>
      <c r="BV16" s="305"/>
      <c r="BW16" s="305"/>
      <c r="BX16" s="305"/>
      <c r="BY16" s="305"/>
      <c r="BZ16" s="305"/>
      <c r="CA16" s="305"/>
      <c r="CB16" s="305"/>
      <c r="CC16" s="305"/>
      <c r="CD16" s="305"/>
      <c r="CE16" s="305"/>
      <c r="CF16" s="305"/>
      <c r="CG16" s="305"/>
      <c r="CH16" s="305"/>
      <c r="CI16" s="305"/>
      <c r="CJ16" s="305"/>
      <c r="CK16" s="305"/>
      <c r="CL16" s="305"/>
      <c r="CM16" s="305"/>
      <c r="CN16" s="305"/>
      <c r="CO16" s="305"/>
      <c r="CP16" s="305"/>
      <c r="CQ16"/>
      <c r="CR16"/>
    </row>
    <row r="17" spans="1:99" s="307" customFormat="1" ht="25.5" customHeight="1" x14ac:dyDescent="0.25">
      <c r="A17"/>
      <c r="H17" s="321"/>
      <c r="I17" s="321"/>
      <c r="J17" s="321"/>
      <c r="K17" s="321"/>
      <c r="L17" s="321"/>
      <c r="M17" s="321"/>
      <c r="N17" s="321"/>
      <c r="O17" s="321"/>
      <c r="P17" s="321"/>
      <c r="Q17" s="306"/>
      <c r="R17" s="306"/>
      <c r="S17" s="306"/>
      <c r="T17" s="306"/>
      <c r="U17" s="306"/>
      <c r="V17" s="1408" t="s">
        <v>660</v>
      </c>
      <c r="W17" s="1409"/>
      <c r="X17" s="1409"/>
      <c r="Y17" s="1409"/>
      <c r="Z17" s="1409"/>
      <c r="AA17" s="1409"/>
      <c r="AB17" s="1409"/>
      <c r="AC17" s="1409"/>
      <c r="AD17" s="1409"/>
      <c r="AE17" s="1409"/>
      <c r="AF17" s="1409"/>
      <c r="AG17" s="1409"/>
      <c r="AH17" s="1409"/>
      <c r="AI17" s="1409"/>
      <c r="AJ17" s="1409"/>
      <c r="AK17" s="306"/>
      <c r="AL17" s="1410" t="s">
        <v>1155</v>
      </c>
      <c r="AM17" s="1410"/>
      <c r="AN17" s="1410"/>
      <c r="AO17" s="1410"/>
      <c r="AP17" s="1410"/>
      <c r="AQ17" s="1410"/>
      <c r="AR17" s="1410"/>
      <c r="AS17" s="1410"/>
      <c r="AT17" s="1410"/>
      <c r="AU17" s="1410"/>
      <c r="AV17" s="1410"/>
      <c r="AW17" s="1410"/>
      <c r="AX17" s="306"/>
      <c r="AY17" s="306"/>
      <c r="AZ17" s="306"/>
      <c r="BA17" s="306"/>
      <c r="BB17" s="306"/>
      <c r="BC17" s="306"/>
      <c r="BD17" s="306"/>
      <c r="BE17" s="306"/>
      <c r="BF17" s="306"/>
      <c r="BG17" s="306"/>
      <c r="BH17" s="306"/>
      <c r="BI17" s="306"/>
      <c r="BJ17" s="306"/>
      <c r="BK17" s="306"/>
      <c r="BL17" s="306"/>
      <c r="BM17" s="306"/>
      <c r="BN17" s="306"/>
      <c r="BO17" s="306"/>
      <c r="BP17" s="306"/>
      <c r="BQ17" s="306"/>
      <c r="BR17" s="306"/>
      <c r="BS17" s="306"/>
      <c r="BT17" s="306"/>
      <c r="BU17" s="306"/>
      <c r="BV17" s="306"/>
      <c r="BW17" s="306"/>
      <c r="BX17" s="306"/>
      <c r="BY17" s="306"/>
      <c r="BZ17" s="306"/>
      <c r="CA17" s="306"/>
      <c r="CB17" s="306"/>
      <c r="CC17" s="306"/>
      <c r="CD17" s="306"/>
      <c r="CE17" s="306"/>
      <c r="CF17" s="306"/>
      <c r="CG17" s="306"/>
      <c r="CH17" s="306"/>
      <c r="CI17" s="306"/>
      <c r="CJ17" s="306"/>
      <c r="CK17" s="306"/>
      <c r="CL17" s="306"/>
      <c r="CM17" s="306"/>
      <c r="CN17" s="306"/>
      <c r="CO17" s="306"/>
      <c r="CP17" s="306"/>
      <c r="CQ17"/>
      <c r="CR17"/>
    </row>
    <row r="18" spans="1:99" x14ac:dyDescent="0.25">
      <c r="H18" s="5"/>
      <c r="I18" s="5"/>
      <c r="J18" s="5"/>
      <c r="K18" s="5"/>
      <c r="L18" s="5"/>
      <c r="M18" s="5"/>
      <c r="N18" s="5"/>
      <c r="O18" s="5"/>
      <c r="P18" s="5"/>
      <c r="Q18" s="299"/>
      <c r="R18" s="299"/>
      <c r="S18" s="299"/>
      <c r="T18" s="299"/>
      <c r="U18" s="299"/>
      <c r="V18" s="299"/>
      <c r="W18" s="299"/>
      <c r="X18" s="299"/>
      <c r="Y18" s="299"/>
      <c r="Z18" s="299"/>
      <c r="AA18" s="299"/>
      <c r="AB18" s="299"/>
      <c r="AC18" s="299"/>
      <c r="AD18" s="299"/>
      <c r="AE18" s="299"/>
      <c r="AF18" s="299"/>
      <c r="AG18" s="299"/>
      <c r="AH18" s="299"/>
      <c r="AI18" s="299"/>
      <c r="AJ18" s="299"/>
      <c r="AK18" s="299"/>
      <c r="AL18" s="299"/>
      <c r="AM18" s="299"/>
      <c r="AN18" s="299"/>
      <c r="AO18" s="299"/>
      <c r="AP18" s="299"/>
      <c r="AQ18" s="299"/>
      <c r="AR18" s="299"/>
      <c r="AS18" s="299"/>
      <c r="AT18" s="299"/>
      <c r="AU18" s="299"/>
      <c r="AV18" s="299"/>
      <c r="AW18" s="299"/>
      <c r="AX18" s="299"/>
      <c r="AY18" s="299"/>
      <c r="AZ18" s="299"/>
      <c r="BA18" s="299"/>
      <c r="BB18" s="299"/>
      <c r="BC18" s="299"/>
      <c r="BD18" s="299"/>
      <c r="BE18" s="299"/>
      <c r="BF18" s="299"/>
      <c r="BG18" s="299"/>
      <c r="BH18" s="299"/>
      <c r="BI18" s="299"/>
      <c r="BJ18" s="299"/>
      <c r="BK18" s="299"/>
      <c r="BL18" s="299"/>
      <c r="BM18" s="299"/>
      <c r="BN18" s="299"/>
      <c r="BO18" s="299"/>
      <c r="BP18" s="299"/>
      <c r="BQ18" s="299"/>
      <c r="BR18" s="299"/>
      <c r="BS18" s="299"/>
      <c r="BT18" s="299"/>
      <c r="BU18" s="299"/>
      <c r="BV18" s="299"/>
      <c r="BW18" s="299"/>
      <c r="BX18" s="299"/>
      <c r="BY18" s="299"/>
      <c r="BZ18" s="299"/>
      <c r="CA18" s="299"/>
      <c r="CB18" s="299"/>
      <c r="CC18" s="299"/>
      <c r="CD18" s="299"/>
      <c r="CE18" s="299"/>
      <c r="CF18" s="299"/>
      <c r="CG18" s="299"/>
      <c r="CH18" s="299"/>
      <c r="CI18" s="299"/>
      <c r="CJ18" s="299"/>
      <c r="CK18" s="299"/>
      <c r="CL18" s="299"/>
      <c r="CM18" s="299"/>
      <c r="CN18" s="299"/>
      <c r="CO18" s="299"/>
      <c r="CP18" s="299"/>
    </row>
    <row r="19" spans="1:99" x14ac:dyDescent="0.25">
      <c r="H19" s="5"/>
      <c r="I19" s="5"/>
      <c r="J19" s="5"/>
      <c r="K19" s="5"/>
      <c r="L19" s="5"/>
      <c r="M19" s="5"/>
      <c r="N19" s="5"/>
      <c r="O19" s="5"/>
      <c r="P19" s="5"/>
      <c r="Q19" s="299"/>
      <c r="R19" s="299"/>
      <c r="S19" s="299"/>
      <c r="T19" s="299"/>
      <c r="U19" s="299"/>
      <c r="V19" s="299"/>
      <c r="W19" s="299"/>
      <c r="X19" s="299"/>
      <c r="Y19" s="299"/>
      <c r="Z19" s="299"/>
      <c r="AA19" s="299"/>
      <c r="AB19" s="299"/>
      <c r="AC19" s="299"/>
      <c r="AD19" s="299"/>
      <c r="AE19" s="299"/>
      <c r="AF19" s="299"/>
      <c r="AG19" s="299"/>
      <c r="AH19" s="299"/>
      <c r="AI19" s="299"/>
      <c r="AJ19" s="299"/>
      <c r="AK19" s="299"/>
      <c r="AL19" s="299"/>
      <c r="AM19" s="299"/>
      <c r="AN19" s="299"/>
      <c r="AO19" s="299"/>
      <c r="AP19" s="299"/>
      <c r="AQ19" s="299"/>
      <c r="AR19" s="299"/>
      <c r="AS19" s="299"/>
      <c r="AT19" s="299"/>
      <c r="AU19" s="299"/>
      <c r="AV19" s="299"/>
      <c r="AW19" s="299"/>
      <c r="AX19" s="299"/>
      <c r="AY19" s="299"/>
      <c r="AZ19" s="299"/>
      <c r="BA19" s="299"/>
      <c r="BB19" s="299"/>
      <c r="BC19" s="299"/>
      <c r="BD19" s="299"/>
      <c r="BE19" s="299"/>
      <c r="BF19" s="299"/>
      <c r="BG19" s="299"/>
      <c r="BH19" s="299"/>
      <c r="BI19" s="299"/>
      <c r="BJ19" s="299"/>
      <c r="BK19" s="299"/>
      <c r="BL19" s="299"/>
      <c r="BM19" s="299"/>
      <c r="BN19" s="299"/>
      <c r="BO19" s="299"/>
      <c r="BP19" s="299"/>
      <c r="BQ19" s="299"/>
      <c r="BR19" s="299"/>
      <c r="BS19" s="299"/>
      <c r="BT19" s="299"/>
      <c r="BU19" s="299"/>
      <c r="BV19" s="299"/>
      <c r="BW19" s="299"/>
      <c r="BX19" s="299"/>
      <c r="BY19" s="299"/>
      <c r="BZ19" s="299"/>
      <c r="CA19" s="299"/>
      <c r="CB19" s="299"/>
      <c r="CC19" s="299"/>
      <c r="CD19" s="299"/>
      <c r="CE19" s="299"/>
      <c r="CF19" s="299"/>
      <c r="CG19" s="299"/>
      <c r="CH19" s="299"/>
      <c r="CI19" s="299"/>
      <c r="CJ19" s="299"/>
      <c r="CK19" s="299"/>
      <c r="CL19" s="299"/>
      <c r="CM19" s="299"/>
      <c r="CN19" s="299"/>
      <c r="CO19" s="299"/>
      <c r="CP19" s="299"/>
    </row>
    <row r="20" spans="1:99" x14ac:dyDescent="0.25">
      <c r="H20" s="5"/>
      <c r="I20" s="5"/>
      <c r="J20" s="5"/>
      <c r="K20" s="5"/>
      <c r="L20" s="5"/>
      <c r="M20" s="5"/>
      <c r="N20" s="5"/>
      <c r="O20" s="5"/>
      <c r="P20" s="5"/>
      <c r="Q20" s="299"/>
      <c r="R20" s="299"/>
      <c r="S20" s="299"/>
      <c r="T20" s="299"/>
      <c r="U20" s="299"/>
      <c r="V20" s="299"/>
      <c r="W20" s="299"/>
      <c r="X20" s="299"/>
      <c r="Y20" s="299"/>
      <c r="Z20" s="299"/>
      <c r="AA20" s="299"/>
      <c r="AB20" s="299"/>
      <c r="AC20" s="299"/>
      <c r="AD20" s="299"/>
      <c r="AE20" s="299"/>
      <c r="AF20" s="299"/>
      <c r="AG20" s="299"/>
      <c r="AH20" s="299"/>
      <c r="AI20" s="299"/>
      <c r="AJ20" s="299"/>
      <c r="AK20" s="299"/>
      <c r="AL20" s="299"/>
      <c r="AM20" s="299"/>
      <c r="AN20" s="299"/>
      <c r="AO20" s="299"/>
      <c r="AP20" s="299"/>
      <c r="AQ20" s="299"/>
      <c r="AR20" s="299"/>
      <c r="AS20" s="299"/>
      <c r="AT20" s="299"/>
      <c r="AU20" s="299"/>
      <c r="AV20" s="299"/>
      <c r="AW20" s="299"/>
      <c r="AX20" s="299"/>
      <c r="AY20" s="299"/>
      <c r="AZ20" s="299"/>
      <c r="BA20" s="299"/>
      <c r="BB20" s="299"/>
      <c r="BC20" s="299"/>
      <c r="BD20" s="299"/>
      <c r="BE20" s="299"/>
      <c r="BF20" s="299"/>
      <c r="BG20" s="299"/>
      <c r="BH20" s="299"/>
      <c r="BI20" s="299"/>
      <c r="BJ20" s="299"/>
      <c r="BK20" s="299"/>
      <c r="BL20" s="299"/>
      <c r="BM20" s="299"/>
      <c r="BN20" s="299"/>
      <c r="BO20" s="299"/>
      <c r="BP20" s="299"/>
      <c r="BQ20" s="299"/>
      <c r="BR20" s="299"/>
      <c r="BS20" s="299"/>
      <c r="BT20" s="299"/>
      <c r="BU20" s="299"/>
      <c r="BV20" s="299"/>
      <c r="BW20" s="299"/>
      <c r="BX20" s="299"/>
      <c r="BY20" s="299"/>
      <c r="BZ20" s="299"/>
      <c r="CA20" s="299"/>
      <c r="CB20" s="299"/>
      <c r="CC20" s="299"/>
      <c r="CD20" s="299"/>
      <c r="CE20" s="299"/>
      <c r="CF20" s="299"/>
      <c r="CG20" s="299"/>
      <c r="CH20" s="299"/>
      <c r="CI20" s="299"/>
      <c r="CJ20" s="299"/>
      <c r="CK20" s="299"/>
      <c r="CL20" s="299"/>
      <c r="CM20" s="299"/>
      <c r="CN20" s="299"/>
      <c r="CO20" s="299"/>
      <c r="CP20" s="299"/>
    </row>
    <row r="21" spans="1:99" ht="15" customHeight="1" x14ac:dyDescent="0.25">
      <c r="H21" s="5"/>
      <c r="I21" s="5"/>
      <c r="J21" s="5"/>
      <c r="K21" s="5"/>
      <c r="L21" s="5"/>
      <c r="M21" s="5"/>
      <c r="N21" s="5"/>
      <c r="O21" s="5"/>
      <c r="P21" s="5"/>
      <c r="Q21" s="299"/>
      <c r="R21" s="299"/>
      <c r="S21" s="299"/>
      <c r="T21" s="299"/>
      <c r="U21" s="300"/>
      <c r="V21" s="341" t="s">
        <v>656</v>
      </c>
      <c r="W21" s="341"/>
      <c r="X21" s="341"/>
      <c r="Y21" s="341"/>
      <c r="Z21" s="341"/>
      <c r="AA21" s="341"/>
      <c r="AB21" s="341"/>
      <c r="AC21" s="341"/>
      <c r="AD21" s="341"/>
      <c r="AE21" s="341"/>
      <c r="AF21" s="341"/>
      <c r="AG21" s="341"/>
      <c r="AH21" s="341"/>
      <c r="AI21" s="341"/>
      <c r="AJ21" s="341"/>
      <c r="AK21" s="341"/>
      <c r="AL21" s="341"/>
      <c r="AM21" s="341"/>
      <c r="AN21" s="341"/>
      <c r="AO21" s="341"/>
      <c r="AP21" s="341"/>
      <c r="AQ21" s="341"/>
      <c r="AR21" s="341"/>
      <c r="AS21" s="341"/>
      <c r="AT21" s="341"/>
      <c r="AU21" s="341"/>
      <c r="AV21" s="341"/>
      <c r="AW21" s="341"/>
      <c r="AX21" s="341"/>
      <c r="AY21" s="341"/>
      <c r="AZ21" s="341"/>
      <c r="BA21" s="341"/>
      <c r="BB21" s="341"/>
      <c r="BC21" s="341"/>
      <c r="BD21" s="341"/>
      <c r="BE21" s="341"/>
      <c r="BF21" s="341"/>
      <c r="BG21" s="341"/>
      <c r="BH21" s="299"/>
      <c r="BI21" s="300"/>
      <c r="BJ21" s="301"/>
      <c r="BK21" s="301"/>
      <c r="BL21" s="301"/>
      <c r="BM21" s="301"/>
      <c r="BN21" s="301"/>
      <c r="BO21" s="301"/>
      <c r="BP21" s="301"/>
      <c r="BQ21" s="319" t="s">
        <v>657</v>
      </c>
      <c r="BR21" s="319"/>
      <c r="BS21" s="319"/>
      <c r="BT21" s="319"/>
      <c r="BU21" s="319"/>
      <c r="BV21" s="319"/>
      <c r="BW21" s="319"/>
      <c r="BX21" s="319"/>
      <c r="BY21" s="319"/>
      <c r="BZ21" s="319"/>
      <c r="CA21" s="319"/>
      <c r="CB21" s="319"/>
      <c r="CC21" s="319"/>
      <c r="CD21" s="319"/>
      <c r="CE21" s="319"/>
      <c r="CF21" s="319"/>
      <c r="CG21" s="319"/>
      <c r="CH21" s="319"/>
      <c r="CI21" s="319"/>
      <c r="CJ21" s="319"/>
      <c r="CK21" s="319"/>
      <c r="CL21" s="319"/>
      <c r="CM21" s="319"/>
      <c r="CN21" s="319"/>
      <c r="CO21" s="319"/>
      <c r="CP21" s="319"/>
    </row>
    <row r="22" spans="1:99" x14ac:dyDescent="0.25">
      <c r="H22" s="5"/>
      <c r="I22" s="5"/>
      <c r="J22" s="5"/>
      <c r="K22" s="5"/>
      <c r="L22" s="5"/>
      <c r="M22" s="5"/>
      <c r="N22" s="5"/>
      <c r="O22" s="5"/>
      <c r="P22" s="5"/>
      <c r="Q22" s="299"/>
      <c r="R22" s="299"/>
      <c r="S22" s="299"/>
      <c r="T22" s="299"/>
      <c r="U22" s="299"/>
      <c r="V22" s="299"/>
      <c r="W22" s="299"/>
      <c r="X22" s="299"/>
      <c r="Y22" s="299"/>
      <c r="Z22" s="299"/>
      <c r="AA22" s="299"/>
      <c r="AB22" s="299"/>
      <c r="AC22" s="299"/>
      <c r="AD22" s="299"/>
      <c r="AE22" s="299"/>
      <c r="AF22" s="299"/>
      <c r="AG22" s="299"/>
      <c r="AH22" s="299"/>
      <c r="AI22" s="299"/>
      <c r="AJ22" s="299"/>
      <c r="AK22" s="300"/>
      <c r="AL22" s="300"/>
      <c r="AM22" s="301"/>
      <c r="AN22" s="301"/>
      <c r="AO22" s="301"/>
      <c r="AP22" s="301"/>
      <c r="AQ22" s="301"/>
      <c r="AR22" s="301"/>
      <c r="AS22" s="301"/>
      <c r="AT22" s="301"/>
      <c r="AU22" s="301"/>
      <c r="AV22" s="301"/>
      <c r="AW22" s="301"/>
      <c r="AX22" s="301"/>
      <c r="AY22" s="301"/>
      <c r="AZ22" s="301"/>
      <c r="BA22" s="301"/>
      <c r="BB22" s="301"/>
      <c r="BC22" s="301"/>
      <c r="BD22" s="301"/>
      <c r="BE22" s="301"/>
      <c r="BF22" s="301"/>
      <c r="BG22" s="301"/>
      <c r="BH22" s="299"/>
      <c r="BI22" s="299"/>
      <c r="BJ22" s="299"/>
      <c r="BK22" s="299"/>
      <c r="BL22" s="299"/>
      <c r="BM22" s="299"/>
      <c r="BN22" s="299"/>
      <c r="BO22" s="299"/>
      <c r="BP22" s="299"/>
      <c r="BQ22" s="300"/>
      <c r="BR22" s="301"/>
      <c r="BS22" s="301"/>
      <c r="BT22" s="301"/>
      <c r="BU22" s="301"/>
      <c r="BV22" s="301"/>
      <c r="BW22" s="301"/>
      <c r="BX22" s="301"/>
      <c r="BY22" s="301"/>
      <c r="BZ22" s="301"/>
      <c r="CA22" s="301"/>
      <c r="CB22" s="301"/>
      <c r="CC22" s="301"/>
      <c r="CD22" s="301"/>
      <c r="CE22" s="301"/>
      <c r="CF22" s="301"/>
      <c r="CG22" s="301"/>
      <c r="CH22" s="301"/>
      <c r="CI22" s="301"/>
      <c r="CJ22" s="301"/>
      <c r="CK22" s="301"/>
      <c r="CL22" s="301"/>
      <c r="CM22" s="299"/>
      <c r="CN22" s="299"/>
      <c r="CO22" s="299"/>
      <c r="CP22" s="299"/>
    </row>
    <row r="23" spans="1:99" x14ac:dyDescent="0.25">
      <c r="H23" s="5"/>
      <c r="I23" s="5"/>
      <c r="J23" s="5"/>
      <c r="K23" s="5"/>
      <c r="L23" s="5"/>
      <c r="M23" s="5"/>
      <c r="N23" s="5"/>
      <c r="O23" s="5"/>
      <c r="P23" s="5"/>
      <c r="Q23" s="299"/>
      <c r="R23" s="299"/>
      <c r="S23" s="299"/>
      <c r="T23" s="299"/>
      <c r="U23" s="299"/>
      <c r="V23" s="1400" t="s">
        <v>314</v>
      </c>
      <c r="W23" s="1400"/>
      <c r="X23" s="1400"/>
      <c r="Y23" s="1400"/>
      <c r="Z23" s="1400"/>
      <c r="AA23" s="1400"/>
      <c r="AB23" s="1400"/>
      <c r="AC23" s="1400"/>
      <c r="AD23" s="1400"/>
      <c r="AE23" s="1400"/>
      <c r="AF23" s="1400"/>
      <c r="AG23" s="1400"/>
      <c r="AH23" s="1400"/>
      <c r="AI23" s="1400"/>
      <c r="AJ23" s="1400"/>
      <c r="AK23" s="299"/>
      <c r="AL23" s="1404"/>
      <c r="AM23" s="1405"/>
      <c r="AN23" s="1405"/>
      <c r="AO23" s="1405"/>
      <c r="AP23" s="1405"/>
      <c r="AQ23" s="1405"/>
      <c r="AR23" s="1405"/>
      <c r="AS23" s="1405"/>
      <c r="AT23" s="1405"/>
      <c r="AU23" s="1405"/>
      <c r="AV23" s="1405"/>
      <c r="AW23" s="1405"/>
      <c r="AX23" s="1405"/>
      <c r="AY23" s="1405"/>
      <c r="AZ23" s="1405"/>
      <c r="BA23" s="1405"/>
      <c r="BB23" s="1405"/>
      <c r="BC23" s="1405"/>
      <c r="BD23" s="1405"/>
      <c r="BE23" s="1405"/>
      <c r="BF23" s="1405"/>
      <c r="BG23" s="1406"/>
      <c r="BH23" s="299"/>
      <c r="BI23" s="1400" t="s">
        <v>314</v>
      </c>
      <c r="BJ23" s="1400"/>
      <c r="BK23" s="1400"/>
      <c r="BL23" s="1400"/>
      <c r="BM23" s="1400"/>
      <c r="BN23" s="1400"/>
      <c r="BO23" s="1400"/>
      <c r="BP23" s="303"/>
      <c r="BQ23" s="1404"/>
      <c r="BR23" s="1405"/>
      <c r="BS23" s="1405"/>
      <c r="BT23" s="1405"/>
      <c r="BU23" s="1405"/>
      <c r="BV23" s="1405"/>
      <c r="BW23" s="1405"/>
      <c r="BX23" s="1405"/>
      <c r="BY23" s="1405"/>
      <c r="BZ23" s="1405"/>
      <c r="CA23" s="1405"/>
      <c r="CB23" s="1405"/>
      <c r="CC23" s="1405"/>
      <c r="CD23" s="1405"/>
      <c r="CE23" s="1405"/>
      <c r="CF23" s="1405"/>
      <c r="CG23" s="1405"/>
      <c r="CH23" s="1405"/>
      <c r="CI23" s="1405"/>
      <c r="CJ23" s="1405"/>
      <c r="CK23" s="1405"/>
      <c r="CL23" s="1406"/>
      <c r="CM23" s="299"/>
      <c r="CN23" s="299"/>
      <c r="CO23" s="299"/>
      <c r="CP23" s="299"/>
    </row>
    <row r="24" spans="1:99" x14ac:dyDescent="0.25">
      <c r="H24" s="5"/>
      <c r="I24" s="5"/>
      <c r="J24" s="5"/>
      <c r="K24" s="5"/>
      <c r="L24" s="5"/>
      <c r="M24" s="5"/>
      <c r="N24" s="5"/>
      <c r="O24" s="5"/>
      <c r="P24" s="5"/>
      <c r="Q24" s="299"/>
      <c r="R24" s="299"/>
      <c r="S24" s="299"/>
      <c r="T24" s="299"/>
      <c r="U24" s="299"/>
      <c r="V24" s="1400" t="s">
        <v>315</v>
      </c>
      <c r="W24" s="1400"/>
      <c r="X24" s="1400"/>
      <c r="Y24" s="1400"/>
      <c r="Z24" s="1400"/>
      <c r="AA24" s="1400"/>
      <c r="AB24" s="1400"/>
      <c r="AC24" s="1400"/>
      <c r="AD24" s="1400"/>
      <c r="AE24" s="1400"/>
      <c r="AF24" s="1400"/>
      <c r="AG24" s="1400"/>
      <c r="AH24" s="1400"/>
      <c r="AI24" s="1400"/>
      <c r="AJ24" s="1400"/>
      <c r="AK24" s="299"/>
      <c r="AL24" s="1404"/>
      <c r="AM24" s="1405"/>
      <c r="AN24" s="1405"/>
      <c r="AO24" s="1405"/>
      <c r="AP24" s="1405"/>
      <c r="AQ24" s="1405"/>
      <c r="AR24" s="1405"/>
      <c r="AS24" s="1405"/>
      <c r="AT24" s="1405"/>
      <c r="AU24" s="1405"/>
      <c r="AV24" s="1405"/>
      <c r="AW24" s="1405"/>
      <c r="AX24" s="1405"/>
      <c r="AY24" s="1405"/>
      <c r="AZ24" s="1405"/>
      <c r="BA24" s="1405"/>
      <c r="BB24" s="1405"/>
      <c r="BC24" s="1405"/>
      <c r="BD24" s="1405"/>
      <c r="BE24" s="1405"/>
      <c r="BF24" s="1405"/>
      <c r="BG24" s="1406"/>
      <c r="BH24" s="299"/>
      <c r="BI24" s="1400" t="s">
        <v>315</v>
      </c>
      <c r="BJ24" s="1400"/>
      <c r="BK24" s="1400"/>
      <c r="BL24" s="1400"/>
      <c r="BM24" s="1400"/>
      <c r="BN24" s="1400"/>
      <c r="BO24" s="1400"/>
      <c r="BP24" s="303"/>
      <c r="BQ24" s="1404"/>
      <c r="BR24" s="1405"/>
      <c r="BS24" s="1405"/>
      <c r="BT24" s="1405"/>
      <c r="BU24" s="1405"/>
      <c r="BV24" s="1405"/>
      <c r="BW24" s="1405"/>
      <c r="BX24" s="1405"/>
      <c r="BY24" s="1405"/>
      <c r="BZ24" s="1405"/>
      <c r="CA24" s="1405"/>
      <c r="CB24" s="1405"/>
      <c r="CC24" s="1405"/>
      <c r="CD24" s="1405"/>
      <c r="CE24" s="1405"/>
      <c r="CF24" s="1405"/>
      <c r="CG24" s="1405"/>
      <c r="CH24" s="1405"/>
      <c r="CI24" s="1405"/>
      <c r="CJ24" s="1405"/>
      <c r="CK24" s="1405"/>
      <c r="CL24" s="1406"/>
      <c r="CM24" s="299"/>
      <c r="CN24" s="299"/>
      <c r="CO24" s="299"/>
      <c r="CP24" s="299"/>
    </row>
    <row r="25" spans="1:99" x14ac:dyDescent="0.25">
      <c r="H25" s="5"/>
      <c r="I25" s="5"/>
      <c r="J25" s="5"/>
      <c r="K25" s="5"/>
      <c r="L25" s="5"/>
      <c r="M25" s="5"/>
      <c r="N25" s="5"/>
      <c r="O25" s="5"/>
      <c r="P25" s="5"/>
      <c r="Q25" s="299"/>
      <c r="R25" s="299"/>
      <c r="S25" s="299"/>
      <c r="T25" s="299"/>
      <c r="U25" s="299"/>
      <c r="V25" s="1400" t="s">
        <v>316</v>
      </c>
      <c r="W25" s="1400"/>
      <c r="X25" s="1400"/>
      <c r="Y25" s="1400"/>
      <c r="Z25" s="1400"/>
      <c r="AA25" s="1400"/>
      <c r="AB25" s="1400"/>
      <c r="AC25" s="1400"/>
      <c r="AD25" s="1400"/>
      <c r="AE25" s="1400"/>
      <c r="AF25" s="1400"/>
      <c r="AG25" s="1400"/>
      <c r="AH25" s="1400"/>
      <c r="AI25" s="1400"/>
      <c r="AJ25" s="1400"/>
      <c r="AK25" s="299"/>
      <c r="AL25" s="1404"/>
      <c r="AM25" s="1405"/>
      <c r="AN25" s="1405"/>
      <c r="AO25" s="1405"/>
      <c r="AP25" s="1405"/>
      <c r="AQ25" s="1405"/>
      <c r="AR25" s="1405"/>
      <c r="AS25" s="1405"/>
      <c r="AT25" s="1405"/>
      <c r="AU25" s="1405"/>
      <c r="AV25" s="1405"/>
      <c r="AW25" s="1405"/>
      <c r="AX25" s="1405"/>
      <c r="AY25" s="1405"/>
      <c r="AZ25" s="1405"/>
      <c r="BA25" s="302"/>
      <c r="BB25" s="302"/>
      <c r="BC25" s="302"/>
      <c r="BD25" s="302"/>
      <c r="BE25" s="302"/>
      <c r="BF25" s="302"/>
      <c r="BG25" s="302"/>
      <c r="BH25" s="299"/>
      <c r="BI25" s="1400" t="s">
        <v>316</v>
      </c>
      <c r="BJ25" s="1400"/>
      <c r="BK25" s="1400"/>
      <c r="BL25" s="1400"/>
      <c r="BM25" s="1400"/>
      <c r="BN25" s="1400"/>
      <c r="BO25" s="1400"/>
      <c r="BP25" s="303"/>
      <c r="BQ25" s="1404"/>
      <c r="BR25" s="1405"/>
      <c r="BS25" s="1405"/>
      <c r="BT25" s="1405"/>
      <c r="BU25" s="1405"/>
      <c r="BV25" s="1405"/>
      <c r="BW25" s="1405"/>
      <c r="BX25" s="1405"/>
      <c r="BY25" s="1405"/>
      <c r="BZ25" s="1405"/>
      <c r="CA25" s="1405"/>
      <c r="CB25" s="1405"/>
      <c r="CC25" s="1405"/>
      <c r="CD25" s="1405"/>
      <c r="CE25" s="1405"/>
      <c r="CF25" s="302"/>
      <c r="CG25" s="302"/>
      <c r="CH25" s="302"/>
      <c r="CI25" s="302"/>
      <c r="CJ25" s="302"/>
      <c r="CK25" s="302"/>
      <c r="CL25" s="302"/>
      <c r="CM25" s="299"/>
      <c r="CN25" s="299"/>
      <c r="CO25" s="299"/>
      <c r="CP25" s="299"/>
    </row>
    <row r="26" spans="1:99" x14ac:dyDescent="0.25">
      <c r="H26" s="5"/>
      <c r="I26" s="5"/>
      <c r="J26" s="5"/>
      <c r="K26" s="5"/>
      <c r="L26" s="5"/>
      <c r="M26" s="5"/>
      <c r="N26" s="5"/>
      <c r="O26" s="5"/>
      <c r="P26" s="5"/>
      <c r="Q26" s="299"/>
      <c r="R26" s="299"/>
      <c r="S26" s="299"/>
      <c r="T26" s="299"/>
      <c r="U26" s="299"/>
      <c r="V26" s="1400" t="s">
        <v>317</v>
      </c>
      <c r="W26" s="1400"/>
      <c r="X26" s="1400"/>
      <c r="Y26" s="1400"/>
      <c r="Z26" s="1400"/>
      <c r="AA26" s="1400"/>
      <c r="AB26" s="1400"/>
      <c r="AC26" s="1400"/>
      <c r="AD26" s="1400"/>
      <c r="AE26" s="1400"/>
      <c r="AF26" s="1400"/>
      <c r="AG26" s="1400"/>
      <c r="AH26" s="1400"/>
      <c r="AI26" s="1400"/>
      <c r="AJ26" s="1400"/>
      <c r="AK26" s="299"/>
      <c r="AL26" s="1407"/>
      <c r="AM26" s="1407"/>
      <c r="AN26" s="1407"/>
      <c r="AO26" s="1338"/>
      <c r="AP26" s="299"/>
      <c r="AQ26" s="304"/>
      <c r="AR26" s="299"/>
      <c r="AS26" s="299"/>
      <c r="AT26" s="299"/>
      <c r="AU26" s="299"/>
      <c r="AV26" s="304" t="s">
        <v>658</v>
      </c>
      <c r="AW26" s="304"/>
      <c r="AX26" s="1407"/>
      <c r="AY26" s="1407"/>
      <c r="AZ26" s="1407"/>
      <c r="BA26" s="299"/>
      <c r="BB26" s="299"/>
      <c r="BC26" s="299"/>
      <c r="BD26" s="299"/>
      <c r="BE26" s="299"/>
      <c r="BF26" s="299"/>
      <c r="BG26" s="299"/>
      <c r="BH26" s="299"/>
      <c r="BI26" s="1400" t="s">
        <v>317</v>
      </c>
      <c r="BJ26" s="1400"/>
      <c r="BK26" s="1400"/>
      <c r="BL26" s="1400"/>
      <c r="BM26" s="1400"/>
      <c r="BN26" s="1400"/>
      <c r="BO26" s="1400"/>
      <c r="BP26" s="303"/>
      <c r="BQ26" s="1407"/>
      <c r="BR26" s="1407"/>
      <c r="BS26" s="1407"/>
      <c r="BT26" s="1338"/>
      <c r="BU26" s="299"/>
      <c r="BV26" s="299"/>
      <c r="BW26" s="303"/>
      <c r="BX26" s="299"/>
      <c r="BY26" s="299"/>
      <c r="BZ26" s="299"/>
      <c r="CA26" s="304" t="s">
        <v>658</v>
      </c>
      <c r="CB26" s="299"/>
      <c r="CC26" s="1407"/>
      <c r="CD26" s="1407"/>
      <c r="CE26" s="1407"/>
      <c r="CF26" s="299"/>
      <c r="CG26" s="299"/>
      <c r="CH26" s="299"/>
      <c r="CI26" s="299"/>
      <c r="CJ26" s="299"/>
      <c r="CK26" s="299"/>
      <c r="CL26" s="299"/>
      <c r="CM26" s="299"/>
      <c r="CN26" s="299"/>
      <c r="CO26" s="299"/>
      <c r="CP26" s="299"/>
    </row>
    <row r="27" spans="1:99" x14ac:dyDescent="0.25">
      <c r="H27" s="5"/>
      <c r="I27" s="5"/>
      <c r="J27" s="5"/>
      <c r="K27" s="5"/>
      <c r="L27" s="5"/>
      <c r="M27" s="5"/>
      <c r="N27" s="5"/>
      <c r="O27" s="5"/>
      <c r="P27" s="5"/>
      <c r="Q27" s="299"/>
      <c r="R27" s="299"/>
      <c r="S27" s="299"/>
      <c r="T27" s="299"/>
      <c r="U27" s="299"/>
      <c r="V27" s="299"/>
      <c r="W27" s="299"/>
      <c r="X27" s="299"/>
      <c r="Y27" s="299"/>
      <c r="Z27" s="299"/>
      <c r="AA27" s="299"/>
      <c r="AB27" s="299"/>
      <c r="AC27" s="299"/>
      <c r="AD27" s="299"/>
      <c r="AE27" s="299"/>
      <c r="AF27" s="299"/>
      <c r="AG27" s="299"/>
      <c r="AH27" s="299"/>
      <c r="AI27" s="299"/>
      <c r="AJ27" s="299"/>
      <c r="AK27" s="299"/>
      <c r="AL27" s="299"/>
      <c r="AM27" s="299"/>
      <c r="AN27" s="299"/>
      <c r="AO27" s="299"/>
      <c r="AP27" s="299"/>
      <c r="AQ27" s="299"/>
      <c r="AR27" s="299"/>
      <c r="AS27" s="299"/>
      <c r="AT27" s="299"/>
      <c r="AU27" s="299"/>
      <c r="AV27" s="299"/>
      <c r="AW27" s="299"/>
      <c r="AX27" s="299"/>
      <c r="AY27" s="299"/>
      <c r="AZ27" s="299"/>
      <c r="BA27" s="299"/>
      <c r="BB27" s="299"/>
      <c r="BC27" s="299"/>
      <c r="BD27" s="299"/>
      <c r="BE27" s="299"/>
      <c r="BF27" s="299"/>
      <c r="BG27" s="299"/>
      <c r="BH27" s="299"/>
      <c r="BI27" s="299"/>
      <c r="BJ27" s="299"/>
      <c r="BK27" s="299"/>
      <c r="BL27" s="299"/>
      <c r="BM27" s="299"/>
      <c r="BN27" s="299"/>
      <c r="BO27" s="299"/>
      <c r="BP27" s="299"/>
      <c r="BQ27" s="299"/>
      <c r="BR27" s="299"/>
      <c r="BS27" s="299"/>
      <c r="BT27" s="299"/>
      <c r="BU27" s="299"/>
      <c r="BV27" s="299"/>
      <c r="BW27" s="299"/>
      <c r="BX27" s="299"/>
      <c r="BY27" s="299"/>
      <c r="BZ27" s="299"/>
      <c r="CA27" s="299"/>
      <c r="CB27" s="299"/>
      <c r="CC27" s="299"/>
      <c r="CD27" s="299"/>
      <c r="CE27" s="299"/>
      <c r="CF27" s="299"/>
      <c r="CG27" s="299"/>
      <c r="CH27" s="299"/>
      <c r="CI27" s="299"/>
      <c r="CJ27" s="299"/>
      <c r="CK27" s="299"/>
      <c r="CL27" s="299"/>
      <c r="CM27" s="299"/>
      <c r="CN27" s="299"/>
      <c r="CO27" s="299"/>
      <c r="CP27" s="299"/>
      <c r="CU27" s="62"/>
    </row>
    <row r="28" spans="1:99" x14ac:dyDescent="0.25">
      <c r="H28" s="5"/>
      <c r="I28" s="5"/>
      <c r="J28" s="5"/>
      <c r="K28" s="5"/>
      <c r="L28" s="5"/>
      <c r="M28" s="5"/>
      <c r="N28" s="5"/>
      <c r="O28" s="5"/>
      <c r="P28" s="5"/>
      <c r="Q28" s="299"/>
      <c r="R28" s="299"/>
      <c r="S28" s="299"/>
      <c r="T28" s="299"/>
      <c r="U28" s="299"/>
      <c r="V28" s="299"/>
      <c r="W28" s="299"/>
      <c r="X28" s="299"/>
      <c r="Y28" s="299"/>
      <c r="Z28" s="299"/>
      <c r="AA28" s="299"/>
      <c r="AB28" s="299"/>
      <c r="AC28" s="299"/>
      <c r="AD28" s="299"/>
      <c r="AE28" s="299"/>
      <c r="AF28" s="299"/>
      <c r="AG28" s="299"/>
      <c r="AH28" s="299"/>
      <c r="AI28" s="299"/>
      <c r="AJ28" s="299"/>
      <c r="AK28" s="299"/>
      <c r="AL28" s="299"/>
      <c r="AM28" s="299"/>
      <c r="AN28" s="299"/>
      <c r="AO28" s="299"/>
      <c r="AP28" s="299"/>
      <c r="AQ28" s="299"/>
      <c r="AR28" s="299"/>
      <c r="AS28" s="299"/>
      <c r="AT28" s="299"/>
      <c r="AU28" s="299"/>
      <c r="AV28" s="299"/>
      <c r="AW28" s="299"/>
      <c r="AX28" s="299"/>
      <c r="AY28" s="299"/>
      <c r="AZ28" s="299"/>
      <c r="BA28" s="299" t="s">
        <v>661</v>
      </c>
      <c r="BB28" s="299"/>
      <c r="BC28" s="299"/>
      <c r="BD28" s="299"/>
      <c r="BE28" s="299"/>
      <c r="BF28" s="299"/>
      <c r="BG28" s="299"/>
      <c r="BH28" s="299"/>
      <c r="BI28" s="299"/>
      <c r="BJ28" s="299"/>
      <c r="BK28" s="299"/>
      <c r="BL28" s="299"/>
      <c r="BM28" s="299"/>
      <c r="BN28" s="299"/>
      <c r="BO28" s="299"/>
      <c r="BP28" s="299"/>
      <c r="BQ28" s="299"/>
      <c r="BR28" s="299"/>
      <c r="BS28" s="299"/>
      <c r="BT28" s="299"/>
      <c r="BU28" s="299"/>
      <c r="BV28" s="299"/>
      <c r="BW28" s="299"/>
      <c r="BX28" s="299"/>
      <c r="BY28" s="299"/>
      <c r="BZ28" s="299"/>
      <c r="CA28" s="299"/>
      <c r="CB28" s="299"/>
      <c r="CC28" s="299"/>
      <c r="CD28" s="299"/>
      <c r="CE28" s="299"/>
      <c r="CF28" s="299"/>
      <c r="CG28" s="299"/>
      <c r="CH28" s="299"/>
      <c r="CI28" s="299"/>
      <c r="CJ28" s="299"/>
      <c r="CK28" s="299"/>
      <c r="CL28" s="299"/>
      <c r="CM28" s="299"/>
      <c r="CN28" s="299"/>
      <c r="CO28" s="299"/>
      <c r="CP28" s="299"/>
    </row>
    <row r="29" spans="1:99" x14ac:dyDescent="0.25">
      <c r="H29" s="5"/>
      <c r="I29" s="5"/>
      <c r="J29" s="5"/>
      <c r="K29" s="5"/>
      <c r="L29" s="5"/>
      <c r="M29" s="5"/>
      <c r="N29" s="5"/>
      <c r="O29" s="5"/>
      <c r="P29" s="5"/>
      <c r="Q29" s="299"/>
      <c r="R29" s="299"/>
      <c r="S29" s="299"/>
      <c r="T29" s="299"/>
      <c r="U29" s="299"/>
      <c r="V29" s="299"/>
      <c r="W29" s="299"/>
      <c r="X29" s="299"/>
      <c r="Y29" s="299"/>
      <c r="Z29" s="299"/>
      <c r="AA29" s="299"/>
      <c r="AB29" s="299"/>
      <c r="AC29" s="299"/>
      <c r="AD29" s="299"/>
      <c r="AE29" s="299"/>
      <c r="AF29" s="299"/>
      <c r="AG29" s="299"/>
      <c r="AH29" s="299"/>
      <c r="AI29" s="299"/>
      <c r="AJ29" s="299"/>
      <c r="AK29" s="299"/>
      <c r="AL29" s="299"/>
      <c r="AM29" s="299"/>
      <c r="AN29" s="299"/>
      <c r="AO29" s="299"/>
      <c r="AP29" s="299"/>
      <c r="AQ29" s="299"/>
      <c r="AR29" s="299"/>
      <c r="AS29" s="299"/>
      <c r="AT29" s="299"/>
      <c r="AU29" s="299"/>
      <c r="AV29" s="299"/>
      <c r="AW29" s="299"/>
      <c r="AX29" s="299"/>
      <c r="AY29" s="299"/>
      <c r="AZ29" s="299"/>
      <c r="BA29" s="299"/>
      <c r="BB29" s="299"/>
      <c r="BC29" s="299"/>
      <c r="BD29" s="299"/>
      <c r="BE29" s="299"/>
      <c r="BF29" s="299"/>
      <c r="BG29" s="299"/>
      <c r="BH29" s="299"/>
      <c r="BI29" s="299"/>
      <c r="BJ29" s="299"/>
      <c r="BK29" s="299"/>
      <c r="BL29" s="299"/>
      <c r="BM29" s="299"/>
      <c r="BN29" s="299"/>
      <c r="BO29" s="299"/>
      <c r="BP29" s="299"/>
      <c r="BQ29" s="299"/>
      <c r="BR29" s="299"/>
      <c r="BS29" s="299"/>
      <c r="BT29" s="299"/>
      <c r="BU29" s="299"/>
      <c r="BV29" s="299"/>
      <c r="BW29" s="299"/>
      <c r="BX29" s="299"/>
      <c r="BY29" s="299"/>
      <c r="BZ29" s="299"/>
      <c r="CA29" s="299"/>
      <c r="CB29" s="299"/>
      <c r="CC29" s="299"/>
      <c r="CD29" s="299"/>
      <c r="CE29" s="299"/>
      <c r="CF29" s="299"/>
      <c r="CG29" s="299"/>
      <c r="CH29" s="299"/>
      <c r="CI29" s="299"/>
      <c r="CJ29" s="299"/>
      <c r="CK29" s="299"/>
      <c r="CL29" s="299"/>
      <c r="CM29" s="299"/>
      <c r="CN29" s="299"/>
      <c r="CO29" s="299"/>
      <c r="CP29" s="299"/>
    </row>
    <row r="30" spans="1:99" ht="18" hidden="1" x14ac:dyDescent="0.25">
      <c r="H30" s="5"/>
      <c r="I30" s="5"/>
      <c r="J30" s="5"/>
      <c r="K30" s="5"/>
      <c r="L30" s="5"/>
      <c r="M30" s="5"/>
      <c r="N30" s="5"/>
      <c r="O30" s="5"/>
      <c r="P30" s="5"/>
      <c r="Q30" s="299"/>
      <c r="R30" s="299"/>
      <c r="S30" s="299"/>
      <c r="T30" s="299"/>
      <c r="U30" s="299"/>
      <c r="V30" s="341" t="s">
        <v>662</v>
      </c>
      <c r="W30" s="341"/>
      <c r="X30" s="341"/>
      <c r="Y30" s="341"/>
      <c r="Z30" s="341"/>
      <c r="AA30" s="341"/>
      <c r="AB30" s="341"/>
      <c r="AC30" s="341"/>
      <c r="AD30" s="341"/>
      <c r="AE30" s="341"/>
      <c r="AF30" s="341"/>
      <c r="AG30" s="341"/>
      <c r="AH30" s="341"/>
      <c r="AI30" s="341"/>
      <c r="AJ30" s="341"/>
      <c r="AK30" s="341"/>
      <c r="AL30" s="341"/>
      <c r="AM30" s="341"/>
      <c r="AN30" s="341"/>
      <c r="AO30" s="341"/>
      <c r="AP30" s="341"/>
      <c r="AQ30" s="341"/>
      <c r="AR30" s="341"/>
      <c r="AS30" s="341"/>
      <c r="AT30" s="341"/>
      <c r="AU30" s="341"/>
      <c r="AV30" s="341"/>
      <c r="AW30" s="341"/>
      <c r="AX30" s="341"/>
      <c r="AY30" s="341"/>
      <c r="AZ30" s="341"/>
      <c r="BA30" s="341"/>
      <c r="BB30" s="341"/>
      <c r="BC30" s="341"/>
      <c r="BD30" s="341"/>
      <c r="BE30" s="341"/>
      <c r="BF30" s="341"/>
      <c r="BG30" s="341"/>
      <c r="BH30" s="299"/>
      <c r="BI30" s="299"/>
      <c r="BJ30" s="299"/>
      <c r="BK30" s="299"/>
      <c r="BL30" s="299"/>
      <c r="BM30" s="299"/>
      <c r="BN30" s="299"/>
      <c r="BO30" s="299"/>
      <c r="BP30" s="299"/>
      <c r="BQ30" s="299"/>
      <c r="BR30" s="299"/>
      <c r="BS30" s="299"/>
      <c r="BT30" s="299"/>
      <c r="BU30" s="299"/>
      <c r="BV30" s="299"/>
      <c r="BW30" s="299"/>
      <c r="BX30" s="299"/>
      <c r="BY30" s="299"/>
      <c r="BZ30" s="299"/>
      <c r="CA30" s="299"/>
      <c r="CB30" s="299"/>
      <c r="CC30" s="299"/>
      <c r="CD30" s="299"/>
      <c r="CE30" s="299"/>
      <c r="CF30" s="299"/>
      <c r="CG30" s="299"/>
      <c r="CH30" s="299"/>
      <c r="CI30" s="299"/>
      <c r="CJ30" s="299"/>
      <c r="CK30" s="299"/>
      <c r="CL30" s="299"/>
      <c r="CM30" s="299"/>
      <c r="CN30" s="299"/>
      <c r="CO30" s="299"/>
      <c r="CP30" s="299"/>
    </row>
    <row r="31" spans="1:99" hidden="1" x14ac:dyDescent="0.25">
      <c r="H31" s="5"/>
      <c r="I31" s="5"/>
      <c r="J31" s="5"/>
      <c r="K31" s="5"/>
      <c r="L31" s="5"/>
      <c r="M31" s="5"/>
      <c r="N31" s="5"/>
      <c r="O31" s="5"/>
      <c r="P31" s="5"/>
      <c r="Q31" s="299"/>
      <c r="R31" s="299"/>
      <c r="S31" s="299"/>
      <c r="T31" s="299"/>
      <c r="U31" s="299"/>
      <c r="V31" s="299"/>
      <c r="W31" s="299"/>
      <c r="X31" s="299"/>
      <c r="Y31" s="299"/>
      <c r="Z31" s="299"/>
      <c r="AA31" s="299"/>
      <c r="AB31" s="299"/>
      <c r="AC31" s="299"/>
      <c r="AD31" s="299"/>
      <c r="AE31" s="299"/>
      <c r="AF31" s="299"/>
      <c r="AG31" s="299"/>
      <c r="AH31" s="299"/>
      <c r="AI31" s="299"/>
      <c r="AJ31" s="299"/>
      <c r="AK31" s="299"/>
      <c r="AL31" s="299"/>
      <c r="AM31" s="299"/>
      <c r="AN31" s="299"/>
      <c r="AO31" s="299"/>
      <c r="AP31" s="299"/>
      <c r="AQ31" s="299"/>
      <c r="AR31" s="299"/>
      <c r="AS31" s="299"/>
      <c r="AT31" s="299"/>
      <c r="AU31" s="299"/>
      <c r="AV31" s="299"/>
      <c r="AW31" s="299"/>
      <c r="AX31" s="299"/>
      <c r="AY31" s="299"/>
      <c r="AZ31" s="299"/>
      <c r="BA31" s="299"/>
      <c r="BB31" s="299"/>
      <c r="BC31" s="299"/>
      <c r="BD31" s="299"/>
      <c r="BE31" s="299"/>
      <c r="BF31" s="299"/>
      <c r="BG31" s="299"/>
      <c r="BH31" s="299"/>
      <c r="BI31" s="299"/>
      <c r="BJ31" s="299"/>
      <c r="BK31" s="299"/>
      <c r="BL31" s="299"/>
      <c r="BM31" s="299"/>
      <c r="BN31" s="299"/>
      <c r="BO31" s="299"/>
      <c r="BP31" s="299"/>
      <c r="BQ31" s="299"/>
      <c r="BR31" s="299"/>
      <c r="BS31" s="299"/>
      <c r="BT31" s="299"/>
      <c r="BU31" s="299"/>
      <c r="BV31" s="299"/>
      <c r="BW31" s="299"/>
      <c r="BX31" s="299"/>
      <c r="BY31" s="299"/>
      <c r="BZ31" s="299"/>
      <c r="CA31" s="299"/>
      <c r="CB31" s="299"/>
      <c r="CC31" s="299"/>
      <c r="CD31" s="299"/>
      <c r="CE31" s="299"/>
      <c r="CF31" s="299"/>
      <c r="CG31" s="299"/>
      <c r="CH31" s="299"/>
      <c r="CI31" s="299"/>
      <c r="CJ31" s="299"/>
      <c r="CK31" s="299"/>
      <c r="CL31" s="299"/>
      <c r="CM31" s="299"/>
      <c r="CN31" s="299"/>
      <c r="CO31" s="299"/>
      <c r="CP31" s="299"/>
    </row>
    <row r="32" spans="1:99" hidden="1" x14ac:dyDescent="0.25">
      <c r="H32" s="5"/>
      <c r="I32" s="5"/>
      <c r="J32" s="5"/>
      <c r="K32" s="5"/>
      <c r="L32" s="5"/>
      <c r="M32" s="5"/>
      <c r="N32" s="5"/>
      <c r="O32" s="5"/>
      <c r="P32" s="5"/>
      <c r="Q32" s="299"/>
      <c r="R32" s="299"/>
      <c r="S32" s="299"/>
      <c r="T32" s="299"/>
      <c r="U32" s="299"/>
      <c r="V32" s="1400" t="s">
        <v>663</v>
      </c>
      <c r="W32" s="1400"/>
      <c r="X32" s="1400"/>
      <c r="Y32" s="1400"/>
      <c r="Z32" s="1400"/>
      <c r="AA32" s="1400"/>
      <c r="AB32" s="1400"/>
      <c r="AC32" s="1400"/>
      <c r="AD32" s="1400"/>
      <c r="AE32" s="1400"/>
      <c r="AF32" s="1400"/>
      <c r="AG32" s="1400"/>
      <c r="AH32" s="1400"/>
      <c r="AI32" s="1400"/>
      <c r="AJ32" s="1400"/>
      <c r="AK32" s="299"/>
      <c r="AL32" s="1414"/>
      <c r="AM32" s="1414"/>
      <c r="AN32" s="1414"/>
      <c r="AO32" s="1414"/>
      <c r="AP32" s="1414"/>
      <c r="AQ32" s="1414"/>
      <c r="AR32" s="1414"/>
      <c r="AS32" s="1414"/>
      <c r="AT32" s="1414"/>
      <c r="AU32" s="1414"/>
      <c r="AV32" s="1414"/>
      <c r="AW32" s="1414"/>
      <c r="AX32" s="1414"/>
      <c r="AY32" s="1414"/>
      <c r="AZ32" s="1414"/>
      <c r="BA32" s="1414"/>
      <c r="BB32" s="1414"/>
      <c r="BC32" s="1414"/>
      <c r="BD32" s="1414"/>
      <c r="BE32" s="1414"/>
      <c r="BF32" s="1414"/>
      <c r="BG32" s="1414"/>
      <c r="BH32" s="299"/>
      <c r="BI32" s="1400" t="s">
        <v>663</v>
      </c>
      <c r="BJ32" s="1400"/>
      <c r="BK32" s="1400"/>
      <c r="BL32" s="1400"/>
      <c r="BM32" s="1400"/>
      <c r="BN32" s="1400"/>
      <c r="BO32" s="1400"/>
      <c r="BP32" s="303"/>
      <c r="BQ32" s="1414"/>
      <c r="BR32" s="1414"/>
      <c r="BS32" s="1414"/>
      <c r="BT32" s="1414"/>
      <c r="BU32" s="1414"/>
      <c r="BV32" s="1414"/>
      <c r="BW32" s="1414"/>
      <c r="BX32" s="1414"/>
      <c r="BY32" s="1414"/>
      <c r="BZ32" s="1414"/>
      <c r="CA32" s="1414"/>
      <c r="CB32" s="1414"/>
      <c r="CC32" s="1414"/>
      <c r="CD32" s="1414"/>
      <c r="CE32" s="1414"/>
      <c r="CF32" s="1414"/>
      <c r="CG32" s="1414"/>
      <c r="CH32" s="1414"/>
      <c r="CI32" s="1414"/>
      <c r="CJ32" s="1414"/>
      <c r="CK32" s="1414"/>
      <c r="CL32" s="1414"/>
      <c r="CM32" s="299"/>
      <c r="CN32" s="299"/>
      <c r="CO32" s="299"/>
      <c r="CP32" s="299"/>
    </row>
    <row r="33" spans="2:94" hidden="1" x14ac:dyDescent="0.25">
      <c r="H33" s="5"/>
      <c r="I33" s="5"/>
      <c r="J33" s="5"/>
      <c r="K33" s="5"/>
      <c r="L33" s="5"/>
      <c r="M33" s="5"/>
      <c r="N33" s="5"/>
      <c r="O33" s="5"/>
      <c r="P33" s="5"/>
      <c r="Q33" s="299"/>
      <c r="R33" s="299"/>
      <c r="S33" s="299"/>
      <c r="T33" s="299"/>
      <c r="U33" s="299"/>
      <c r="V33" s="1400" t="s">
        <v>664</v>
      </c>
      <c r="W33" s="1400"/>
      <c r="X33" s="1400"/>
      <c r="Y33" s="1400"/>
      <c r="Z33" s="1400"/>
      <c r="AA33" s="1400"/>
      <c r="AB33" s="1400"/>
      <c r="AC33" s="1400"/>
      <c r="AD33" s="1400"/>
      <c r="AE33" s="1400"/>
      <c r="AF33" s="1400"/>
      <c r="AG33" s="1400"/>
      <c r="AH33" s="1400"/>
      <c r="AI33" s="1400"/>
      <c r="AJ33" s="1400"/>
      <c r="AK33" s="299"/>
      <c r="AL33" s="1415"/>
      <c r="AM33" s="1415"/>
      <c r="AN33" s="1415"/>
      <c r="AO33" s="1415"/>
      <c r="AP33" s="1415"/>
      <c r="AQ33" s="1415"/>
      <c r="AR33" s="1415"/>
      <c r="AS33" s="1415"/>
      <c r="AT33" s="1415"/>
      <c r="AU33" s="1415"/>
      <c r="AV33" s="1415"/>
      <c r="AW33" s="1415"/>
      <c r="AX33" s="1415"/>
      <c r="AY33" s="1415"/>
      <c r="AZ33" s="1415"/>
      <c r="BA33" s="1415"/>
      <c r="BB33" s="1415"/>
      <c r="BC33" s="1415"/>
      <c r="BD33" s="1415"/>
      <c r="BE33" s="1415"/>
      <c r="BF33" s="1415"/>
      <c r="BG33" s="1415"/>
      <c r="BH33" s="300"/>
      <c r="BI33" s="1400" t="s">
        <v>664</v>
      </c>
      <c r="BJ33" s="1400"/>
      <c r="BK33" s="1400"/>
      <c r="BL33" s="1400"/>
      <c r="BM33" s="1400"/>
      <c r="BN33" s="1400"/>
      <c r="BO33" s="1400"/>
      <c r="BP33" s="303"/>
      <c r="BQ33" s="1415"/>
      <c r="BR33" s="1415"/>
      <c r="BS33" s="1415"/>
      <c r="BT33" s="1415"/>
      <c r="BU33" s="1415"/>
      <c r="BV33" s="1415"/>
      <c r="BW33" s="1415"/>
      <c r="BX33" s="1415"/>
      <c r="BY33" s="1415"/>
      <c r="BZ33" s="1415"/>
      <c r="CA33" s="1415"/>
      <c r="CB33" s="1415"/>
      <c r="CC33" s="1415"/>
      <c r="CD33" s="1415"/>
      <c r="CE33" s="1415"/>
      <c r="CF33" s="1415"/>
      <c r="CG33" s="1415"/>
      <c r="CH33" s="1415"/>
      <c r="CI33" s="1415"/>
      <c r="CJ33" s="1415"/>
      <c r="CK33" s="1415"/>
      <c r="CL33" s="1415"/>
      <c r="CM33" s="299"/>
      <c r="CN33" s="299"/>
      <c r="CO33" s="299"/>
      <c r="CP33" s="299"/>
    </row>
    <row r="34" spans="2:94" hidden="1" x14ac:dyDescent="0.25">
      <c r="H34" s="5"/>
      <c r="I34" s="5"/>
      <c r="J34" s="5"/>
      <c r="K34" s="5"/>
      <c r="L34" s="5"/>
      <c r="M34" s="5"/>
      <c r="N34" s="5"/>
      <c r="O34" s="5"/>
      <c r="P34" s="5"/>
      <c r="Q34" s="299"/>
      <c r="R34" s="299"/>
      <c r="S34" s="299"/>
      <c r="T34" s="299"/>
      <c r="U34" s="299"/>
      <c r="V34" s="1400" t="s">
        <v>665</v>
      </c>
      <c r="W34" s="1400"/>
      <c r="X34" s="1400"/>
      <c r="Y34" s="1400"/>
      <c r="Z34" s="1400"/>
      <c r="AA34" s="1400"/>
      <c r="AB34" s="1400"/>
      <c r="AC34" s="1400"/>
      <c r="AD34" s="1400"/>
      <c r="AE34" s="1400"/>
      <c r="AF34" s="1400"/>
      <c r="AG34" s="1400"/>
      <c r="AH34" s="1400"/>
      <c r="AI34" s="1400"/>
      <c r="AJ34" s="1400"/>
      <c r="AK34" s="299"/>
      <c r="AL34" s="1414"/>
      <c r="AM34" s="1414"/>
      <c r="AN34" s="1414"/>
      <c r="AO34" s="1414"/>
      <c r="AP34" s="1414"/>
      <c r="AQ34" s="1414"/>
      <c r="AR34" s="1414"/>
      <c r="AS34" s="1414"/>
      <c r="AT34" s="1414"/>
      <c r="AU34" s="1414"/>
      <c r="AV34" s="1414"/>
      <c r="AW34" s="1414"/>
      <c r="AX34" s="1414"/>
      <c r="AY34" s="1414"/>
      <c r="AZ34" s="1414"/>
      <c r="BA34" s="1414"/>
      <c r="BB34" s="1414"/>
      <c r="BC34" s="1414"/>
      <c r="BD34" s="1414"/>
      <c r="BE34" s="1414"/>
      <c r="BF34" s="1414"/>
      <c r="BG34" s="1414"/>
      <c r="BH34" s="299"/>
      <c r="BI34" s="1400" t="s">
        <v>665</v>
      </c>
      <c r="BJ34" s="1400"/>
      <c r="BK34" s="1400"/>
      <c r="BL34" s="1400"/>
      <c r="BM34" s="1400"/>
      <c r="BN34" s="1400"/>
      <c r="BO34" s="1400"/>
      <c r="BP34" s="303"/>
      <c r="BQ34" s="1414"/>
      <c r="BR34" s="1414"/>
      <c r="BS34" s="1414"/>
      <c r="BT34" s="1414"/>
      <c r="BU34" s="1414"/>
      <c r="BV34" s="1414"/>
      <c r="BW34" s="1414"/>
      <c r="BX34" s="1414"/>
      <c r="BY34" s="1414"/>
      <c r="BZ34" s="1414"/>
      <c r="CA34" s="1414"/>
      <c r="CB34" s="1414"/>
      <c r="CC34" s="1414"/>
      <c r="CD34" s="1414"/>
      <c r="CE34" s="1414"/>
      <c r="CF34" s="1414"/>
      <c r="CG34" s="1414"/>
      <c r="CH34" s="1414"/>
      <c r="CI34" s="1414"/>
      <c r="CJ34" s="1414"/>
      <c r="CK34" s="1414"/>
      <c r="CL34" s="1414"/>
      <c r="CM34" s="299"/>
      <c r="CN34" s="299"/>
      <c r="CO34" s="299"/>
      <c r="CP34" s="299"/>
    </row>
    <row r="35" spans="2:94" hidden="1" x14ac:dyDescent="0.25">
      <c r="H35" s="5"/>
      <c r="I35" s="5"/>
      <c r="J35" s="5"/>
      <c r="K35" s="5"/>
      <c r="L35" s="5"/>
      <c r="M35" s="5"/>
      <c r="N35" s="5"/>
      <c r="O35" s="5"/>
      <c r="P35" s="5"/>
      <c r="Q35" s="299"/>
      <c r="R35" s="299"/>
      <c r="S35" s="299"/>
      <c r="T35" s="299"/>
      <c r="U35" s="299"/>
      <c r="V35" s="299"/>
      <c r="W35" s="299"/>
      <c r="X35" s="299"/>
      <c r="Y35" s="299"/>
      <c r="Z35" s="299"/>
      <c r="AA35" s="299"/>
      <c r="AB35" s="299"/>
      <c r="AC35" s="299"/>
      <c r="AD35" s="299"/>
      <c r="AE35" s="299"/>
      <c r="AF35" s="299"/>
      <c r="AG35" s="299"/>
      <c r="AH35" s="299"/>
      <c r="AI35" s="299"/>
      <c r="AJ35" s="299"/>
      <c r="AK35" s="299"/>
      <c r="AL35" s="299"/>
      <c r="AM35" s="299"/>
      <c r="AN35" s="299"/>
      <c r="AO35" s="299"/>
      <c r="AP35" s="299"/>
      <c r="AQ35" s="299"/>
      <c r="AR35" s="299"/>
      <c r="AS35" s="299"/>
      <c r="AT35" s="299"/>
      <c r="AU35" s="299"/>
      <c r="AV35" s="299"/>
      <c r="AW35" s="299"/>
      <c r="AX35" s="299"/>
      <c r="AY35" s="299"/>
      <c r="AZ35" s="299"/>
      <c r="BA35" s="299"/>
      <c r="BB35" s="299"/>
      <c r="BC35" s="299"/>
      <c r="BD35" s="299"/>
      <c r="BE35" s="299"/>
      <c r="BF35" s="299"/>
      <c r="BG35" s="299"/>
      <c r="BH35" s="299"/>
      <c r="BI35" s="299"/>
      <c r="BJ35" s="299"/>
      <c r="BK35" s="299"/>
      <c r="BL35" s="299"/>
      <c r="BM35" s="299"/>
      <c r="BN35" s="299"/>
      <c r="BO35" s="299"/>
      <c r="BP35" s="299"/>
      <c r="BQ35" s="299"/>
      <c r="BR35" s="299"/>
      <c r="BS35" s="299"/>
      <c r="BT35" s="299"/>
      <c r="BU35" s="299"/>
      <c r="BV35" s="299"/>
      <c r="BW35" s="299"/>
      <c r="BX35" s="299"/>
      <c r="BY35" s="299"/>
      <c r="BZ35" s="299"/>
      <c r="CA35" s="299"/>
      <c r="CB35" s="299"/>
      <c r="CC35" s="299"/>
      <c r="CD35" s="299"/>
      <c r="CE35" s="299"/>
      <c r="CF35" s="299"/>
      <c r="CG35" s="299"/>
      <c r="CH35" s="299"/>
      <c r="CI35" s="299"/>
      <c r="CJ35" s="299"/>
      <c r="CK35" s="299"/>
      <c r="CL35" s="299"/>
      <c r="CM35" s="299"/>
      <c r="CN35" s="299"/>
      <c r="CO35" s="299"/>
      <c r="CP35" s="299"/>
    </row>
    <row r="36" spans="2:94" x14ac:dyDescent="0.25">
      <c r="H36" s="5"/>
      <c r="I36" s="5"/>
      <c r="J36" s="5"/>
      <c r="K36" s="5"/>
      <c r="L36" s="5"/>
      <c r="M36" s="5"/>
      <c r="N36" s="5"/>
      <c r="O36" s="5"/>
      <c r="P36" s="5"/>
      <c r="Q36" s="299"/>
      <c r="R36" s="299"/>
      <c r="S36" s="299"/>
      <c r="T36" s="299"/>
      <c r="U36" s="299"/>
      <c r="V36" s="299"/>
      <c r="W36" s="299"/>
      <c r="X36" s="299"/>
      <c r="Y36" s="299"/>
      <c r="Z36" s="299"/>
      <c r="AA36" s="299"/>
      <c r="AB36" s="299"/>
      <c r="AC36" s="299"/>
      <c r="AD36" s="299"/>
      <c r="AE36" s="299"/>
      <c r="AF36" s="299"/>
      <c r="AG36" s="299"/>
      <c r="AH36" s="299"/>
      <c r="AI36" s="299"/>
      <c r="AJ36" s="299"/>
      <c r="AK36" s="299"/>
      <c r="AL36" s="299"/>
      <c r="AM36" s="299"/>
      <c r="AN36" s="299"/>
      <c r="AO36" s="299"/>
      <c r="AP36" s="299"/>
      <c r="AQ36" s="299"/>
      <c r="AR36" s="299"/>
      <c r="AS36" s="299"/>
      <c r="AT36" s="299"/>
      <c r="AU36" s="299"/>
      <c r="AV36" s="299"/>
      <c r="AW36" s="299"/>
      <c r="AX36" s="299"/>
      <c r="AY36" s="299"/>
      <c r="AZ36" s="299"/>
      <c r="BA36" s="299"/>
      <c r="BB36" s="299"/>
      <c r="BC36" s="299"/>
      <c r="BD36" s="299"/>
      <c r="BE36" s="299"/>
      <c r="BF36" s="299"/>
      <c r="BG36" s="299"/>
      <c r="BH36" s="299"/>
      <c r="BI36" s="299"/>
      <c r="BJ36" s="299"/>
      <c r="BK36" s="299"/>
      <c r="BL36" s="299"/>
      <c r="BM36" s="299"/>
      <c r="BN36" s="299"/>
      <c r="BO36" s="299"/>
      <c r="BP36" s="299"/>
      <c r="BQ36" s="299"/>
      <c r="BR36" s="299"/>
      <c r="BS36" s="299"/>
      <c r="BT36" s="299"/>
      <c r="BU36" s="299"/>
      <c r="BV36" s="299"/>
      <c r="BW36" s="299"/>
      <c r="BX36" s="299"/>
      <c r="BY36" s="299"/>
      <c r="BZ36" s="299"/>
      <c r="CA36" s="299"/>
      <c r="CB36" s="299"/>
      <c r="CC36" s="299"/>
      <c r="CD36" s="299"/>
      <c r="CE36" s="299"/>
      <c r="CF36" s="299"/>
      <c r="CG36" s="299"/>
      <c r="CH36" s="299"/>
      <c r="CI36" s="299"/>
      <c r="CJ36" s="299"/>
      <c r="CK36" s="299"/>
      <c r="CL36" s="299"/>
      <c r="CM36" s="299"/>
      <c r="CN36" s="299"/>
      <c r="CO36" s="299"/>
      <c r="CP36" s="299"/>
    </row>
    <row r="37" spans="2:94" x14ac:dyDescent="0.25">
      <c r="H37" s="316"/>
      <c r="I37" s="316"/>
      <c r="J37" s="316"/>
      <c r="K37" s="316"/>
      <c r="L37" s="316"/>
      <c r="M37" s="316"/>
      <c r="N37" s="316"/>
      <c r="O37" s="316"/>
      <c r="P37" s="316"/>
      <c r="Q37" s="316"/>
      <c r="R37" s="316"/>
      <c r="S37" s="316"/>
      <c r="T37" s="316"/>
      <c r="U37" s="316"/>
      <c r="V37" s="316"/>
      <c r="W37" s="316"/>
      <c r="X37" s="316"/>
      <c r="Y37" s="316"/>
      <c r="Z37" s="316"/>
      <c r="AA37" s="316"/>
      <c r="AB37" s="316"/>
      <c r="AC37" s="316"/>
      <c r="AD37" s="316"/>
      <c r="AE37" s="316"/>
      <c r="AF37" s="317"/>
      <c r="AG37" s="317"/>
      <c r="AH37" s="317"/>
      <c r="AI37" s="317"/>
      <c r="AJ37" s="317"/>
      <c r="AK37" s="317"/>
      <c r="AL37" s="317"/>
      <c r="AM37" s="317"/>
      <c r="AN37" s="317"/>
      <c r="AO37" s="317"/>
      <c r="AP37" s="317"/>
      <c r="AQ37" s="317"/>
      <c r="AR37" s="317"/>
      <c r="AS37" s="317"/>
      <c r="AT37" s="317"/>
      <c r="AU37" s="317"/>
      <c r="AV37" s="317"/>
      <c r="AW37" s="317"/>
      <c r="AX37" s="317"/>
      <c r="AY37" s="316"/>
      <c r="AZ37" s="316"/>
      <c r="BA37" s="316"/>
      <c r="BB37" s="316"/>
      <c r="BC37" s="316"/>
      <c r="BD37" s="316"/>
      <c r="BE37" s="316"/>
      <c r="BF37" s="316"/>
      <c r="BG37" s="316"/>
      <c r="BH37" s="316"/>
      <c r="BI37" s="316"/>
      <c r="BJ37" s="316"/>
      <c r="BK37" s="316"/>
      <c r="BL37" s="316"/>
      <c r="BM37" s="316"/>
      <c r="BN37" s="316"/>
      <c r="BO37" s="316"/>
      <c r="BP37" s="316"/>
      <c r="BQ37" s="316"/>
      <c r="BR37" s="316"/>
      <c r="BS37" s="316"/>
      <c r="BT37" s="316"/>
      <c r="BU37" s="316"/>
      <c r="BV37" s="316"/>
      <c r="BW37" s="316"/>
      <c r="BX37" s="316"/>
      <c r="BY37" s="316"/>
      <c r="BZ37" s="316"/>
      <c r="CA37" s="316"/>
      <c r="CB37" s="316"/>
      <c r="CC37" s="316"/>
      <c r="CD37" s="316"/>
      <c r="CE37" s="316"/>
      <c r="CF37" s="316"/>
      <c r="CG37" s="316"/>
      <c r="CH37" s="316"/>
      <c r="CI37" s="316"/>
      <c r="CJ37" s="316"/>
      <c r="CK37" s="316"/>
      <c r="CL37" s="316"/>
      <c r="CM37" s="316"/>
      <c r="CN37" s="316"/>
      <c r="CO37" s="316"/>
      <c r="CP37" s="316"/>
    </row>
    <row r="38" spans="2:94" x14ac:dyDescent="0.25">
      <c r="H38" s="5"/>
      <c r="I38" s="5"/>
      <c r="J38" s="5"/>
      <c r="Q38" s="299"/>
      <c r="R38" s="299"/>
      <c r="S38" s="299"/>
      <c r="T38" s="299"/>
      <c r="U38" s="299"/>
      <c r="V38" s="299"/>
      <c r="W38" s="299"/>
      <c r="X38" s="299"/>
      <c r="Y38" s="299"/>
      <c r="Z38" s="299"/>
      <c r="AA38" s="299"/>
      <c r="AB38" s="299"/>
      <c r="AC38" s="299"/>
      <c r="AD38" s="299"/>
      <c r="AE38" s="299"/>
      <c r="AF38" s="299"/>
      <c r="AG38" s="299"/>
      <c r="AH38" s="299"/>
      <c r="AI38" s="299"/>
      <c r="AJ38" s="299"/>
      <c r="AK38" s="299"/>
      <c r="AL38" s="299"/>
      <c r="AM38" s="299"/>
      <c r="AN38" s="299"/>
      <c r="AO38" s="299"/>
      <c r="AP38" s="299"/>
      <c r="AQ38" s="299"/>
      <c r="AR38" s="299"/>
      <c r="AS38" s="299"/>
      <c r="AT38" s="299"/>
      <c r="AU38" s="299"/>
      <c r="AV38" s="299"/>
      <c r="AW38" s="299"/>
      <c r="AX38" s="299"/>
      <c r="AY38" s="299"/>
      <c r="AZ38" s="299"/>
      <c r="BA38" s="299"/>
      <c r="BB38" s="299"/>
      <c r="BC38" s="299"/>
      <c r="BD38" s="299"/>
      <c r="BE38" s="299"/>
      <c r="BF38" s="299"/>
      <c r="BG38" s="299"/>
      <c r="BH38" s="299"/>
      <c r="BI38" s="299"/>
      <c r="BJ38" s="299"/>
      <c r="BK38" s="299"/>
      <c r="BL38" s="299"/>
      <c r="BM38" s="299"/>
      <c r="BN38" s="299"/>
      <c r="BO38" s="299"/>
      <c r="BP38" s="299"/>
      <c r="BQ38" s="299"/>
      <c r="BR38" s="299"/>
      <c r="BS38" s="299"/>
      <c r="BT38" s="299"/>
      <c r="BU38" s="299"/>
      <c r="BV38" s="299"/>
      <c r="BW38" s="299"/>
      <c r="BX38" s="299"/>
      <c r="BY38" s="299"/>
      <c r="BZ38" s="299"/>
      <c r="CA38" s="299"/>
      <c r="CB38" s="299"/>
      <c r="CC38" s="299"/>
      <c r="CD38" s="299"/>
      <c r="CE38" s="299"/>
      <c r="CF38" s="299"/>
      <c r="CG38" s="299"/>
      <c r="CH38" s="299"/>
      <c r="CI38" s="299"/>
      <c r="CJ38" s="299"/>
      <c r="CK38" s="299"/>
      <c r="CL38" s="299"/>
      <c r="CM38" s="299"/>
      <c r="CN38" s="299"/>
      <c r="CO38" s="299"/>
      <c r="CP38" s="299"/>
    </row>
    <row r="39" spans="2:94" ht="30" x14ac:dyDescent="0.25">
      <c r="H39" s="322"/>
      <c r="I39" s="322"/>
      <c r="J39" s="322"/>
      <c r="Q39" s="328" t="s">
        <v>318</v>
      </c>
      <c r="R39" s="328"/>
      <c r="S39" s="328"/>
      <c r="T39" s="328"/>
      <c r="U39" s="328"/>
      <c r="V39" s="328"/>
      <c r="W39" s="328"/>
      <c r="X39" s="328"/>
      <c r="Y39" s="328"/>
      <c r="Z39" s="328"/>
      <c r="AA39" s="328"/>
      <c r="AB39" s="328"/>
      <c r="AC39" s="328"/>
      <c r="AD39" s="328"/>
      <c r="AE39" s="328"/>
      <c r="AF39" s="328"/>
      <c r="AG39" s="328"/>
      <c r="AH39" s="328"/>
      <c r="AI39" s="328"/>
      <c r="AJ39" s="328"/>
      <c r="AK39" s="328"/>
      <c r="AL39" s="328"/>
      <c r="AM39" s="328"/>
      <c r="AN39" s="328"/>
      <c r="AO39" s="328"/>
      <c r="AP39" s="328"/>
      <c r="AQ39" s="328"/>
      <c r="AR39" s="328"/>
      <c r="AS39" s="328"/>
      <c r="AT39" s="328"/>
      <c r="AU39" s="328"/>
      <c r="AV39" s="328"/>
      <c r="AW39" s="328"/>
      <c r="AX39" s="328"/>
      <c r="AY39" s="328"/>
      <c r="AZ39" s="328"/>
      <c r="BA39" s="328"/>
      <c r="BB39" s="328"/>
      <c r="BC39" s="328"/>
      <c r="BD39" s="328"/>
      <c r="BE39" s="328"/>
      <c r="BF39" s="328"/>
      <c r="BG39" s="328"/>
      <c r="BH39" s="328"/>
      <c r="BI39" s="328"/>
      <c r="BJ39" s="328"/>
      <c r="BK39" s="328"/>
      <c r="BL39" s="328"/>
      <c r="BM39" s="328"/>
      <c r="BN39" s="328"/>
      <c r="BO39" s="328"/>
      <c r="BP39" s="328"/>
      <c r="BQ39" s="328"/>
      <c r="BR39" s="328"/>
      <c r="BS39" s="328"/>
      <c r="BT39" s="328"/>
      <c r="BU39" s="328"/>
      <c r="BV39" s="328"/>
      <c r="BW39" s="328"/>
      <c r="BX39" s="328"/>
      <c r="BY39" s="328"/>
      <c r="BZ39" s="328"/>
      <c r="CA39" s="328"/>
      <c r="CB39" s="328"/>
      <c r="CC39" s="328"/>
      <c r="CD39" s="328"/>
      <c r="CE39" s="328"/>
      <c r="CF39" s="328"/>
      <c r="CG39" s="328"/>
      <c r="CH39" s="328"/>
      <c r="CI39" s="328"/>
      <c r="CJ39" s="328"/>
      <c r="CK39" s="328"/>
      <c r="CL39" s="328"/>
      <c r="CM39" s="328"/>
      <c r="CN39" s="328"/>
      <c r="CO39" s="328"/>
      <c r="CP39" s="328"/>
    </row>
    <row r="40" spans="2:94" x14ac:dyDescent="0.25">
      <c r="H40" s="316"/>
      <c r="I40" s="316"/>
      <c r="J40" s="316"/>
      <c r="Q40" s="310"/>
      <c r="R40" s="310"/>
      <c r="S40" s="310"/>
      <c r="T40" s="310"/>
      <c r="U40" s="310"/>
      <c r="V40" s="310"/>
      <c r="W40" s="310"/>
      <c r="X40" s="310"/>
      <c r="Y40" s="310"/>
      <c r="Z40" s="310"/>
      <c r="AA40" s="310"/>
      <c r="AB40" s="310"/>
      <c r="AC40" s="310"/>
      <c r="AD40" s="310"/>
      <c r="AE40" s="310"/>
      <c r="AF40" s="310"/>
      <c r="AG40" s="310"/>
      <c r="AH40" s="310"/>
      <c r="AI40" s="310"/>
      <c r="AJ40" s="310"/>
      <c r="AK40" s="310"/>
      <c r="AL40" s="310"/>
      <c r="AM40" s="310"/>
      <c r="AN40" s="310"/>
      <c r="AO40" s="310"/>
      <c r="AP40" s="310"/>
      <c r="AQ40" s="310"/>
      <c r="AR40" s="310"/>
      <c r="AS40" s="310"/>
      <c r="AT40" s="310"/>
      <c r="AU40" s="310"/>
      <c r="AV40" s="310"/>
      <c r="AW40" s="310"/>
      <c r="AX40" s="310"/>
      <c r="AY40" s="310"/>
      <c r="AZ40" s="310"/>
      <c r="BA40" s="310"/>
      <c r="BB40" s="310"/>
      <c r="BC40" s="310"/>
      <c r="BD40" s="310"/>
      <c r="BE40" s="310"/>
      <c r="BF40" s="310"/>
      <c r="BG40" s="310"/>
      <c r="BH40" s="310"/>
      <c r="BI40" s="310"/>
      <c r="BJ40" s="310"/>
      <c r="BK40" s="310"/>
      <c r="BL40" s="310"/>
      <c r="BM40" s="310"/>
      <c r="BN40" s="310"/>
      <c r="BO40" s="310"/>
      <c r="BP40" s="310"/>
      <c r="BQ40" s="310"/>
      <c r="BR40" s="310"/>
      <c r="BS40" s="310"/>
      <c r="BT40" s="310"/>
      <c r="BU40" s="310"/>
      <c r="BV40" s="310"/>
      <c r="BW40" s="310"/>
      <c r="BX40" s="310"/>
      <c r="BY40" s="310"/>
      <c r="BZ40" s="310"/>
      <c r="CA40" s="310"/>
      <c r="CB40" s="310"/>
      <c r="CC40" s="310"/>
      <c r="CD40" s="310"/>
      <c r="CE40" s="310"/>
      <c r="CF40" s="310"/>
      <c r="CG40" s="310"/>
      <c r="CH40" s="310"/>
      <c r="CI40" s="310"/>
      <c r="CJ40" s="310"/>
      <c r="CK40" s="310"/>
      <c r="CL40" s="310"/>
      <c r="CM40" s="310"/>
      <c r="CN40" s="310"/>
      <c r="CO40" s="310"/>
      <c r="CP40" s="310"/>
    </row>
    <row r="41" spans="2:94" x14ac:dyDescent="0.25">
      <c r="H41" s="316"/>
      <c r="I41" s="316"/>
      <c r="J41" s="316"/>
      <c r="Q41" s="310"/>
      <c r="R41" s="310"/>
      <c r="S41" s="310"/>
      <c r="T41" s="310"/>
      <c r="U41" s="310"/>
      <c r="V41" s="310"/>
      <c r="W41" s="310"/>
      <c r="X41" s="310"/>
      <c r="Y41" s="310"/>
      <c r="Z41" s="310"/>
      <c r="AA41" s="310"/>
      <c r="AB41" s="310"/>
      <c r="AC41" s="310"/>
      <c r="AD41" s="310"/>
      <c r="AE41" s="310"/>
      <c r="AF41" s="310"/>
      <c r="AG41" s="310"/>
      <c r="AH41" s="310"/>
      <c r="AI41" s="310"/>
      <c r="AJ41" s="310"/>
      <c r="AK41" s="310"/>
      <c r="AL41" s="327"/>
      <c r="AM41" s="326"/>
      <c r="AN41" s="326"/>
      <c r="AO41" s="326"/>
      <c r="AP41" s="326"/>
      <c r="AQ41" s="326"/>
      <c r="AR41" s="326"/>
      <c r="AS41" s="326"/>
      <c r="AT41" s="326"/>
      <c r="AU41" s="327"/>
      <c r="AV41" s="326"/>
      <c r="AW41" s="326"/>
      <c r="AX41" s="326"/>
      <c r="AY41" s="326"/>
      <c r="AZ41" s="326"/>
      <c r="BA41" s="326"/>
      <c r="BB41" s="326"/>
      <c r="BC41" s="326"/>
      <c r="BD41" s="327"/>
      <c r="BE41" s="326"/>
      <c r="BF41" s="326"/>
      <c r="BG41" s="326"/>
      <c r="BH41" s="326"/>
      <c r="BI41" s="326"/>
      <c r="BJ41" s="326"/>
      <c r="BK41" s="326"/>
      <c r="BL41" s="326"/>
      <c r="BM41" s="327"/>
      <c r="BN41" s="326"/>
      <c r="BO41" s="326"/>
      <c r="BP41" s="326"/>
      <c r="BQ41" s="326"/>
      <c r="BR41" s="326"/>
      <c r="BS41" s="326"/>
      <c r="BT41" s="326"/>
      <c r="BU41" s="326"/>
      <c r="BV41" s="327"/>
      <c r="BW41" s="326"/>
      <c r="BX41" s="326"/>
      <c r="BY41" s="326"/>
      <c r="BZ41" s="326"/>
      <c r="CA41" s="326"/>
      <c r="CB41" s="326"/>
      <c r="CC41" s="326"/>
      <c r="CD41" s="326"/>
      <c r="CE41" s="310"/>
      <c r="CF41" s="310"/>
      <c r="CG41" s="310"/>
      <c r="CH41" s="310"/>
      <c r="CI41" s="310"/>
      <c r="CJ41" s="310"/>
      <c r="CK41" s="310"/>
      <c r="CL41" s="310"/>
      <c r="CM41" s="310"/>
      <c r="CN41" s="310"/>
      <c r="CO41" s="310"/>
      <c r="CP41" s="310"/>
    </row>
    <row r="42" spans="2:94" ht="15.75" customHeight="1" x14ac:dyDescent="0.25">
      <c r="B42" s="62"/>
      <c r="H42" s="316"/>
      <c r="I42" s="316"/>
      <c r="J42" s="316"/>
      <c r="Q42" s="820"/>
      <c r="R42" s="820"/>
      <c r="S42" s="820"/>
      <c r="T42" s="820"/>
      <c r="U42" s="820"/>
      <c r="V42" s="820"/>
      <c r="W42" s="310"/>
      <c r="X42" s="310"/>
      <c r="Y42" s="310"/>
      <c r="Z42" s="1416" t="s">
        <v>666</v>
      </c>
      <c r="AA42" s="1416"/>
      <c r="AB42" s="1416"/>
      <c r="AC42" s="1416"/>
      <c r="AD42" s="1416"/>
      <c r="AE42" s="1416"/>
      <c r="AF42" s="1416"/>
      <c r="AG42" s="1416"/>
      <c r="AH42" s="1416"/>
      <c r="AI42" s="1416"/>
      <c r="AJ42" s="311"/>
      <c r="AK42" s="311"/>
      <c r="AL42" s="1419" t="s">
        <v>298</v>
      </c>
      <c r="AM42" s="1419"/>
      <c r="AN42" s="1419"/>
      <c r="AO42" s="1419"/>
      <c r="AP42" s="1419"/>
      <c r="AQ42" s="1419"/>
      <c r="AR42" s="1419"/>
      <c r="AS42" s="1419"/>
      <c r="AT42" s="329"/>
      <c r="AU42" s="1413" t="str">
        <f ca="1">FRCP_y2</f>
        <v>2028-29</v>
      </c>
      <c r="AV42" s="1413"/>
      <c r="AW42" s="1413"/>
      <c r="AX42" s="1413"/>
      <c r="AY42" s="1413"/>
      <c r="AZ42" s="1413"/>
      <c r="BA42" s="1413"/>
      <c r="BB42" s="1413"/>
      <c r="BC42" s="329"/>
      <c r="BD42" s="1413" t="str">
        <f ca="1">FRCP_y3</f>
        <v>2029-30</v>
      </c>
      <c r="BE42" s="1413"/>
      <c r="BF42" s="1413"/>
      <c r="BG42" s="1413"/>
      <c r="BH42" s="1413"/>
      <c r="BI42" s="1413"/>
      <c r="BJ42" s="1413"/>
      <c r="BK42" s="1413"/>
      <c r="BL42" s="329"/>
      <c r="BM42" s="1413" t="str">
        <f ca="1">FRCP_y4</f>
        <v>2030-31</v>
      </c>
      <c r="BN42" s="1413"/>
      <c r="BO42" s="1413"/>
      <c r="BP42" s="1413"/>
      <c r="BQ42" s="1413"/>
      <c r="BR42" s="1413"/>
      <c r="BS42" s="1413"/>
      <c r="BT42" s="1413"/>
      <c r="BU42" s="329"/>
      <c r="BV42" s="1413" t="str">
        <f ca="1">FRCP_y5</f>
        <v>2031-32</v>
      </c>
      <c r="BW42" s="1413"/>
      <c r="BX42" s="1413"/>
      <c r="BY42" s="1413"/>
      <c r="BZ42" s="1413"/>
      <c r="CA42" s="1413"/>
      <c r="CB42" s="1413"/>
      <c r="CC42" s="1413"/>
      <c r="CD42" s="310"/>
      <c r="CE42" s="310"/>
      <c r="CF42" s="310"/>
      <c r="CG42" s="310"/>
      <c r="CH42" s="310"/>
      <c r="CI42" s="310"/>
      <c r="CJ42" s="310"/>
      <c r="CK42" s="310"/>
      <c r="CL42" s="310"/>
      <c r="CM42" s="310"/>
      <c r="CN42" s="310"/>
      <c r="CO42" s="310"/>
      <c r="CP42" s="310"/>
    </row>
    <row r="43" spans="2:94" ht="18" x14ac:dyDescent="0.25">
      <c r="B43" s="62"/>
      <c r="H43" s="316"/>
      <c r="I43" s="316"/>
      <c r="J43" s="316"/>
      <c r="Q43" s="820"/>
      <c r="R43" s="820"/>
      <c r="S43" s="820"/>
      <c r="T43" s="820"/>
      <c r="U43" s="820"/>
      <c r="V43" s="820"/>
      <c r="W43" s="310"/>
      <c r="X43" s="310"/>
      <c r="Y43" s="310"/>
      <c r="Z43" s="311"/>
      <c r="AA43" s="312"/>
      <c r="AB43" s="312"/>
      <c r="AC43" s="312"/>
      <c r="AD43" s="312"/>
      <c r="AE43" s="312"/>
      <c r="AF43" s="312"/>
      <c r="AG43" s="312"/>
      <c r="AH43" s="312"/>
      <c r="AI43" s="312"/>
      <c r="AJ43" s="312"/>
      <c r="AK43" s="312"/>
      <c r="AL43" s="1401" t="str">
        <f ca="1">FRCP_y6</f>
        <v>2032-33</v>
      </c>
      <c r="AM43" s="1401"/>
      <c r="AN43" s="1401"/>
      <c r="AO43" s="1401"/>
      <c r="AP43" s="1401"/>
      <c r="AQ43" s="1401"/>
      <c r="AR43" s="1401"/>
      <c r="AS43" s="1401"/>
      <c r="AT43" s="338"/>
      <c r="AU43" s="1401" t="str">
        <f ca="1">FRCP_y7</f>
        <v>2033-34</v>
      </c>
      <c r="AV43" s="1401"/>
      <c r="AW43" s="1401"/>
      <c r="AX43" s="1401"/>
      <c r="AY43" s="1401"/>
      <c r="AZ43" s="1401"/>
      <c r="BA43" s="1401"/>
      <c r="BB43" s="1401"/>
      <c r="BC43" s="338"/>
      <c r="BD43" s="1401" t="str">
        <f ca="1">FRCP_y8</f>
        <v>2034-35</v>
      </c>
      <c r="BE43" s="1401"/>
      <c r="BF43" s="1401"/>
      <c r="BG43" s="1401"/>
      <c r="BH43" s="1401"/>
      <c r="BI43" s="1401"/>
      <c r="BJ43" s="1401"/>
      <c r="BK43" s="1401"/>
      <c r="BL43" s="336"/>
      <c r="BM43" s="1401" t="str">
        <f ca="1">FRCP_y9</f>
        <v>2035-36</v>
      </c>
      <c r="BN43" s="1401"/>
      <c r="BO43" s="1401"/>
      <c r="BP43" s="1401"/>
      <c r="BQ43" s="1401"/>
      <c r="BR43" s="1401"/>
      <c r="BS43" s="1401"/>
      <c r="BT43" s="1401"/>
      <c r="BU43" s="336"/>
      <c r="BV43" s="1401" t="str">
        <f ca="1">FRCP_y10</f>
        <v>2036-37</v>
      </c>
      <c r="BW43" s="1401"/>
      <c r="BX43" s="1401"/>
      <c r="BY43" s="1401"/>
      <c r="BZ43" s="1401"/>
      <c r="CA43" s="1401"/>
      <c r="CB43" s="1401"/>
      <c r="CC43" s="1401"/>
      <c r="CD43" s="310"/>
      <c r="CE43" s="310"/>
      <c r="CF43" s="310"/>
      <c r="CG43" s="310"/>
      <c r="CH43" s="310"/>
      <c r="CI43" s="310"/>
      <c r="CJ43" s="310"/>
      <c r="CK43" s="310"/>
      <c r="CL43" s="310"/>
      <c r="CM43" s="310"/>
      <c r="CN43" s="310"/>
      <c r="CO43" s="310"/>
      <c r="CP43" s="310"/>
    </row>
    <row r="44" spans="2:94" ht="15" customHeight="1" x14ac:dyDescent="0.25">
      <c r="H44" s="316"/>
      <c r="I44" s="316"/>
      <c r="J44" s="316"/>
      <c r="Q44" s="820"/>
      <c r="R44" s="820"/>
      <c r="S44" s="820"/>
      <c r="T44" s="820"/>
      <c r="U44" s="820"/>
      <c r="V44" s="820"/>
      <c r="W44" s="310"/>
      <c r="X44" s="310"/>
      <c r="Y44" s="310"/>
      <c r="Z44" s="311"/>
      <c r="AA44" s="311"/>
      <c r="AB44" s="311"/>
      <c r="AC44" s="311"/>
      <c r="AD44" s="311"/>
      <c r="AE44" s="311"/>
      <c r="AF44" s="311"/>
      <c r="AG44" s="311"/>
      <c r="AH44" s="311"/>
      <c r="AI44" s="311"/>
      <c r="AJ44" s="311"/>
      <c r="AK44" s="311"/>
      <c r="AL44" s="1401" t="e">
        <f>FRCP_y11</f>
        <v>#NAME?</v>
      </c>
      <c r="AM44" s="1401"/>
      <c r="AN44" s="1401"/>
      <c r="AO44" s="1401"/>
      <c r="AP44" s="1401"/>
      <c r="AQ44" s="1401"/>
      <c r="AR44" s="1401"/>
      <c r="AS44" s="1401"/>
      <c r="AT44" s="331"/>
      <c r="AU44" s="1401" t="e">
        <f>FRCP_y12</f>
        <v>#NAME?</v>
      </c>
      <c r="AV44" s="1401"/>
      <c r="AW44" s="1401"/>
      <c r="AX44" s="1401"/>
      <c r="AY44" s="1401"/>
      <c r="AZ44" s="1401"/>
      <c r="BA44" s="1401"/>
      <c r="BB44" s="1401"/>
      <c r="BC44" s="331"/>
      <c r="BD44" s="1401" t="e">
        <f>FRCP_y13</f>
        <v>#NAME?</v>
      </c>
      <c r="BE44" s="1401"/>
      <c r="BF44" s="1401"/>
      <c r="BG44" s="1401"/>
      <c r="BH44" s="1401"/>
      <c r="BI44" s="1401"/>
      <c r="BJ44" s="1401"/>
      <c r="BK44" s="1401"/>
      <c r="BL44" s="331"/>
      <c r="BM44" s="1401" t="e">
        <f>FRCP_y14</f>
        <v>#NAME?</v>
      </c>
      <c r="BN44" s="1401"/>
      <c r="BO44" s="1401"/>
      <c r="BP44" s="1401"/>
      <c r="BQ44" s="1401"/>
      <c r="BR44" s="1401"/>
      <c r="BS44" s="1401"/>
      <c r="BT44" s="1401"/>
      <c r="BU44" s="331"/>
      <c r="BV44" s="1401" t="e">
        <f>FRCP_y15</f>
        <v>#NAME?</v>
      </c>
      <c r="BW44" s="1401"/>
      <c r="BX44" s="1401"/>
      <c r="BY44" s="1401"/>
      <c r="BZ44" s="1401"/>
      <c r="CA44" s="1401"/>
      <c r="CB44" s="1401"/>
      <c r="CC44" s="1401"/>
      <c r="CD44" s="310"/>
      <c r="CE44" s="310"/>
      <c r="CF44" s="310"/>
      <c r="CG44" s="310"/>
      <c r="CH44" s="310"/>
      <c r="CI44" s="310"/>
      <c r="CJ44" s="310"/>
      <c r="CK44" s="310"/>
      <c r="CL44" s="310"/>
      <c r="CM44" s="310"/>
      <c r="CN44" s="310"/>
      <c r="CO44" s="310"/>
      <c r="CP44" s="820"/>
    </row>
    <row r="45" spans="2:94" ht="15" customHeight="1" x14ac:dyDescent="0.25">
      <c r="B45" s="62"/>
      <c r="H45" s="316"/>
      <c r="I45" s="316"/>
      <c r="J45" s="316"/>
      <c r="Q45" s="820"/>
      <c r="R45" s="820"/>
      <c r="S45" s="820"/>
      <c r="T45" s="820"/>
      <c r="U45" s="820"/>
      <c r="V45" s="820"/>
      <c r="W45" s="310"/>
      <c r="X45" s="310"/>
      <c r="Y45" s="310"/>
      <c r="Z45" s="311"/>
      <c r="AA45" s="311"/>
      <c r="AB45" s="311"/>
      <c r="AC45" s="311"/>
      <c r="AD45" s="311"/>
      <c r="AE45" s="311"/>
      <c r="AF45" s="311"/>
      <c r="AG45" s="311"/>
      <c r="AH45" s="311"/>
      <c r="AI45" s="311"/>
      <c r="AJ45" s="311"/>
      <c r="AK45" s="311"/>
      <c r="AL45" s="330"/>
      <c r="AM45" s="331"/>
      <c r="AN45" s="331"/>
      <c r="AO45" s="331"/>
      <c r="AP45" s="331"/>
      <c r="AQ45" s="331"/>
      <c r="AR45" s="331"/>
      <c r="AS45" s="331"/>
      <c r="AT45" s="331"/>
      <c r="AU45" s="330"/>
      <c r="AV45" s="331"/>
      <c r="AW45" s="331"/>
      <c r="AX45" s="331"/>
      <c r="AY45" s="331"/>
      <c r="AZ45" s="331"/>
      <c r="BA45" s="331"/>
      <c r="BB45" s="331"/>
      <c r="BC45" s="331"/>
      <c r="BD45" s="330"/>
      <c r="BE45" s="331"/>
      <c r="BF45" s="331"/>
      <c r="BG45" s="331"/>
      <c r="BH45" s="331"/>
      <c r="BI45" s="331"/>
      <c r="BJ45" s="331"/>
      <c r="BK45" s="331"/>
      <c r="BL45" s="331"/>
      <c r="BM45" s="330"/>
      <c r="BN45" s="331"/>
      <c r="BO45" s="331"/>
      <c r="BP45" s="331"/>
      <c r="BQ45" s="331"/>
      <c r="BR45" s="331"/>
      <c r="BS45" s="331"/>
      <c r="BT45" s="331"/>
      <c r="BU45" s="331"/>
      <c r="BV45" s="330"/>
      <c r="BW45" s="331"/>
      <c r="BX45" s="331"/>
      <c r="BY45" s="331"/>
      <c r="BZ45" s="331"/>
      <c r="CA45" s="331"/>
      <c r="CB45" s="331"/>
      <c r="CC45" s="331"/>
      <c r="CD45" s="310"/>
      <c r="CE45" s="310"/>
      <c r="CF45" s="310"/>
      <c r="CG45" s="310"/>
      <c r="CH45" s="310"/>
      <c r="CI45" s="310"/>
      <c r="CJ45" s="310"/>
      <c r="CK45" s="310"/>
      <c r="CL45" s="310"/>
      <c r="CM45" s="310"/>
      <c r="CN45" s="310"/>
      <c r="CO45" s="310"/>
      <c r="CP45" s="820"/>
    </row>
    <row r="46" spans="2:94" ht="15.75" customHeight="1" x14ac:dyDescent="0.25">
      <c r="B46" s="62"/>
      <c r="H46" s="316"/>
      <c r="I46" s="316"/>
      <c r="J46" s="316"/>
      <c r="Q46" s="820"/>
      <c r="R46" s="820"/>
      <c r="S46" s="820"/>
      <c r="T46" s="820"/>
      <c r="U46" s="820"/>
      <c r="V46" s="820"/>
      <c r="W46" s="310"/>
      <c r="X46" s="820" t="s">
        <v>669</v>
      </c>
      <c r="Y46" s="310"/>
      <c r="Z46" s="1416" t="s">
        <v>667</v>
      </c>
      <c r="AA46" s="1416"/>
      <c r="AB46" s="1416"/>
      <c r="AC46" s="1416"/>
      <c r="AD46" s="1416"/>
      <c r="AE46" s="1416"/>
      <c r="AF46" s="1416"/>
      <c r="AG46" s="1416"/>
      <c r="AH46" s="1416"/>
      <c r="AI46" s="1416"/>
      <c r="AJ46" s="311"/>
      <c r="AK46" s="311"/>
      <c r="AL46" s="1413" t="str">
        <f ca="1">CRCP_y1</f>
        <v>2022-23</v>
      </c>
      <c r="AM46" s="1413"/>
      <c r="AN46" s="1413"/>
      <c r="AO46" s="1413"/>
      <c r="AP46" s="1413"/>
      <c r="AQ46" s="1413"/>
      <c r="AR46" s="1413"/>
      <c r="AS46" s="1413"/>
      <c r="AT46" s="329"/>
      <c r="AU46" s="1413" t="str">
        <f ca="1">CRCP_y2</f>
        <v>2023-24</v>
      </c>
      <c r="AV46" s="1413"/>
      <c r="AW46" s="1413"/>
      <c r="AX46" s="1413"/>
      <c r="AY46" s="1413"/>
      <c r="AZ46" s="1413"/>
      <c r="BA46" s="1413"/>
      <c r="BB46" s="1413"/>
      <c r="BC46" s="329"/>
      <c r="BD46" s="1413" t="str">
        <f ca="1">CRCP_y3</f>
        <v>2024-25</v>
      </c>
      <c r="BE46" s="1413"/>
      <c r="BF46" s="1413"/>
      <c r="BG46" s="1413"/>
      <c r="BH46" s="1413"/>
      <c r="BI46" s="1413"/>
      <c r="BJ46" s="1413"/>
      <c r="BK46" s="1413"/>
      <c r="BL46" s="329"/>
      <c r="BM46" s="1413" t="str">
        <f ca="1">CRCP_y4</f>
        <v>2025-26</v>
      </c>
      <c r="BN46" s="1413"/>
      <c r="BO46" s="1413"/>
      <c r="BP46" s="1413"/>
      <c r="BQ46" s="1413"/>
      <c r="BR46" s="1413"/>
      <c r="BS46" s="1413"/>
      <c r="BT46" s="1413"/>
      <c r="BU46" s="329"/>
      <c r="BV46" s="1413" t="str">
        <f ca="1">CRCP_y5</f>
        <v>2026-27</v>
      </c>
      <c r="BW46" s="1413"/>
      <c r="BX46" s="1413"/>
      <c r="BY46" s="1413"/>
      <c r="BZ46" s="1413"/>
      <c r="CA46" s="1413"/>
      <c r="CB46" s="1413"/>
      <c r="CC46" s="1413"/>
      <c r="CD46" s="310"/>
      <c r="CE46" s="310"/>
      <c r="CF46" s="310"/>
      <c r="CG46" s="310"/>
      <c r="CH46" s="310"/>
      <c r="CI46" s="310"/>
      <c r="CJ46" s="310"/>
      <c r="CK46" s="310"/>
      <c r="CL46" s="310"/>
      <c r="CM46" s="310"/>
      <c r="CN46" s="310"/>
      <c r="CO46" s="310"/>
      <c r="CP46" s="820"/>
    </row>
    <row r="47" spans="2:94" ht="15" customHeight="1" x14ac:dyDescent="0.25">
      <c r="H47" s="316"/>
      <c r="I47" s="316"/>
      <c r="J47" s="316"/>
      <c r="Q47" s="820"/>
      <c r="R47" s="820"/>
      <c r="S47" s="820"/>
      <c r="T47" s="820"/>
      <c r="U47" s="820"/>
      <c r="V47" s="820"/>
      <c r="W47" s="310"/>
      <c r="X47" s="310"/>
      <c r="Y47" s="310"/>
      <c r="Z47" s="311"/>
      <c r="AA47" s="311"/>
      <c r="AB47" s="311"/>
      <c r="AC47" s="311"/>
      <c r="AD47" s="311"/>
      <c r="AE47" s="311"/>
      <c r="AF47" s="311"/>
      <c r="AG47" s="311"/>
      <c r="AH47" s="311"/>
      <c r="AI47" s="311"/>
      <c r="AJ47" s="311"/>
      <c r="AK47" s="311"/>
      <c r="AL47" s="1401" t="str">
        <f ca="1">CRCP_y6</f>
        <v>2027-28</v>
      </c>
      <c r="AM47" s="1401"/>
      <c r="AN47" s="1401"/>
      <c r="AO47" s="1401"/>
      <c r="AP47" s="1401"/>
      <c r="AQ47" s="1401"/>
      <c r="AR47" s="1401"/>
      <c r="AS47" s="1401"/>
      <c r="AT47" s="334"/>
      <c r="AU47" s="1401" t="str">
        <f ca="1">CRCP_y7</f>
        <v>2028-29</v>
      </c>
      <c r="AV47" s="1401"/>
      <c r="AW47" s="1401"/>
      <c r="AX47" s="1401"/>
      <c r="AY47" s="1401"/>
      <c r="AZ47" s="1401"/>
      <c r="BA47" s="1401"/>
      <c r="BB47" s="1401"/>
      <c r="BC47" s="335"/>
      <c r="BD47" s="1401" t="str">
        <f ca="1">CRCP_y8</f>
        <v>2029-30</v>
      </c>
      <c r="BE47" s="1401"/>
      <c r="BF47" s="1401"/>
      <c r="BG47" s="1401"/>
      <c r="BH47" s="1401"/>
      <c r="BI47" s="1401"/>
      <c r="BJ47" s="1401"/>
      <c r="BK47" s="1401"/>
      <c r="BL47" s="335"/>
      <c r="BM47" s="1401" t="str">
        <f ca="1">CRCP_y9</f>
        <v>2030-31</v>
      </c>
      <c r="BN47" s="1401"/>
      <c r="BO47" s="1401"/>
      <c r="BP47" s="1401"/>
      <c r="BQ47" s="1401"/>
      <c r="BR47" s="1401"/>
      <c r="BS47" s="1401"/>
      <c r="BT47" s="1401"/>
      <c r="BU47" s="335"/>
      <c r="BV47" s="1401" t="str">
        <f ca="1">CRCP_y10</f>
        <v>2031-32</v>
      </c>
      <c r="BW47" s="1401"/>
      <c r="BX47" s="1401"/>
      <c r="BY47" s="1401"/>
      <c r="BZ47" s="1401"/>
      <c r="CA47" s="1401"/>
      <c r="CB47" s="1401"/>
      <c r="CC47" s="1401"/>
      <c r="CD47" s="310"/>
      <c r="CE47" s="310"/>
      <c r="CF47" s="310"/>
      <c r="CG47" s="310"/>
      <c r="CH47" s="310"/>
      <c r="CI47" s="310"/>
      <c r="CJ47" s="310"/>
      <c r="CK47" s="310"/>
      <c r="CL47" s="310"/>
      <c r="CM47" s="310"/>
      <c r="CN47" s="310"/>
      <c r="CO47" s="310"/>
      <c r="CP47" s="820"/>
    </row>
    <row r="48" spans="2:94" ht="15" customHeight="1" x14ac:dyDescent="0.25">
      <c r="H48" s="316"/>
      <c r="I48" s="316"/>
      <c r="J48" s="316"/>
      <c r="Q48" s="820"/>
      <c r="R48" s="820"/>
      <c r="S48" s="820"/>
      <c r="T48" s="820"/>
      <c r="U48" s="820"/>
      <c r="V48" s="820"/>
      <c r="W48" s="310"/>
      <c r="X48" s="310"/>
      <c r="Y48" s="310"/>
      <c r="Z48" s="311"/>
      <c r="AA48" s="311"/>
      <c r="AB48" s="311"/>
      <c r="AC48" s="311"/>
      <c r="AD48" s="311"/>
      <c r="AE48" s="311"/>
      <c r="AF48" s="311"/>
      <c r="AG48" s="311"/>
      <c r="AH48" s="311"/>
      <c r="AI48" s="311"/>
      <c r="AJ48" s="311"/>
      <c r="AK48" s="311"/>
      <c r="AL48" s="1401" t="str">
        <f ca="1">CRCP_y11</f>
        <v>2032-33</v>
      </c>
      <c r="AM48" s="1401"/>
      <c r="AN48" s="1401"/>
      <c r="AO48" s="1401"/>
      <c r="AP48" s="1401"/>
      <c r="AQ48" s="1401"/>
      <c r="AR48" s="1401"/>
      <c r="AS48" s="1401"/>
      <c r="AT48" s="334"/>
      <c r="AU48" s="1401" t="str">
        <f ca="1">CRCP_y12</f>
        <v>2033-34</v>
      </c>
      <c r="AV48" s="1401"/>
      <c r="AW48" s="1401"/>
      <c r="AX48" s="1401"/>
      <c r="AY48" s="1401"/>
      <c r="AZ48" s="1401"/>
      <c r="BA48" s="1401"/>
      <c r="BB48" s="1401"/>
      <c r="BC48" s="335"/>
      <c r="BD48" s="1401" t="str">
        <f ca="1">CRCP_y13</f>
        <v>2034-35</v>
      </c>
      <c r="BE48" s="1401"/>
      <c r="BF48" s="1401"/>
      <c r="BG48" s="1401"/>
      <c r="BH48" s="1401"/>
      <c r="BI48" s="1401"/>
      <c r="BJ48" s="1401"/>
      <c r="BK48" s="1401"/>
      <c r="BL48" s="335"/>
      <c r="BM48" s="1401" t="str">
        <f ca="1">CRCP_y14</f>
        <v>2035-36</v>
      </c>
      <c r="BN48" s="1401"/>
      <c r="BO48" s="1401"/>
      <c r="BP48" s="1401"/>
      <c r="BQ48" s="1401"/>
      <c r="BR48" s="1401"/>
      <c r="BS48" s="1401"/>
      <c r="BT48" s="1401"/>
      <c r="BU48" s="335"/>
      <c r="BV48" s="1401" t="str">
        <f ca="1">CRCP_y15</f>
        <v>2036-37</v>
      </c>
      <c r="BW48" s="1401"/>
      <c r="BX48" s="1401"/>
      <c r="BY48" s="1401"/>
      <c r="BZ48" s="1401"/>
      <c r="CA48" s="1401"/>
      <c r="CB48" s="1401"/>
      <c r="CC48" s="1401"/>
      <c r="CD48" s="310"/>
      <c r="CE48" s="310"/>
      <c r="CF48" s="310"/>
      <c r="CG48" s="310"/>
      <c r="CH48" s="310"/>
      <c r="CI48" s="310"/>
      <c r="CJ48" s="310"/>
      <c r="CK48" s="310"/>
      <c r="CL48" s="310"/>
      <c r="CM48" s="310"/>
      <c r="CN48" s="310"/>
      <c r="CO48" s="310"/>
      <c r="CP48" s="820"/>
    </row>
    <row r="49" spans="5:94" ht="15" customHeight="1" x14ac:dyDescent="0.25">
      <c r="H49" s="316"/>
      <c r="I49" s="316"/>
      <c r="J49" s="316"/>
      <c r="Q49" s="820"/>
      <c r="R49" s="820"/>
      <c r="S49" s="820"/>
      <c r="T49" s="820"/>
      <c r="U49" s="820"/>
      <c r="V49" s="820"/>
      <c r="W49" s="310"/>
      <c r="X49" s="310"/>
      <c r="Y49" s="310"/>
      <c r="Z49" s="311"/>
      <c r="AA49" s="311"/>
      <c r="AB49" s="311"/>
      <c r="AC49" s="311"/>
      <c r="AD49" s="311"/>
      <c r="AE49" s="311"/>
      <c r="AF49" s="311"/>
      <c r="AG49" s="311"/>
      <c r="AH49" s="311"/>
      <c r="AI49" s="311"/>
      <c r="AJ49" s="311"/>
      <c r="AK49" s="311"/>
      <c r="AL49" s="336"/>
      <c r="AM49" s="336"/>
      <c r="AN49" s="336"/>
      <c r="AO49" s="336"/>
      <c r="AP49" s="336"/>
      <c r="AQ49" s="336"/>
      <c r="AR49" s="336"/>
      <c r="AS49" s="336"/>
      <c r="AT49" s="336"/>
      <c r="AU49" s="336"/>
      <c r="AV49" s="336"/>
      <c r="AW49" s="336"/>
      <c r="AX49" s="336"/>
      <c r="AY49" s="336"/>
      <c r="AZ49" s="336"/>
      <c r="BA49" s="336"/>
      <c r="BB49" s="336"/>
      <c r="BC49" s="336"/>
      <c r="BD49" s="336"/>
      <c r="BE49" s="336"/>
      <c r="BF49" s="336"/>
      <c r="BG49" s="336"/>
      <c r="BH49" s="336"/>
      <c r="BI49" s="336"/>
      <c r="BJ49" s="336"/>
      <c r="BK49" s="336"/>
      <c r="BL49" s="336"/>
      <c r="BM49" s="336"/>
      <c r="BN49" s="336"/>
      <c r="BO49" s="336"/>
      <c r="BP49" s="336"/>
      <c r="BQ49" s="336"/>
      <c r="BR49" s="336"/>
      <c r="BS49" s="336"/>
      <c r="BT49" s="336"/>
      <c r="BU49" s="336"/>
      <c r="BV49" s="336"/>
      <c r="BW49" s="336"/>
      <c r="BX49" s="336"/>
      <c r="BY49" s="336"/>
      <c r="BZ49" s="336"/>
      <c r="CA49" s="336"/>
      <c r="CB49" s="336"/>
      <c r="CC49" s="337"/>
      <c r="CD49" s="310"/>
      <c r="CE49" s="310"/>
      <c r="CF49" s="310"/>
      <c r="CG49" s="310"/>
      <c r="CH49" s="310"/>
      <c r="CI49" s="310"/>
      <c r="CJ49" s="310"/>
      <c r="CK49" s="310"/>
      <c r="CL49" s="310"/>
      <c r="CM49" s="310"/>
      <c r="CN49" s="310"/>
      <c r="CO49" s="310"/>
      <c r="CP49" s="820"/>
    </row>
    <row r="50" spans="5:94" ht="15.75" customHeight="1" x14ac:dyDescent="0.25">
      <c r="H50" s="316"/>
      <c r="I50" s="316"/>
      <c r="J50" s="316"/>
      <c r="Q50" s="820"/>
      <c r="R50" s="820"/>
      <c r="S50" s="820"/>
      <c r="T50" s="820"/>
      <c r="U50" s="820"/>
      <c r="V50" s="820"/>
      <c r="W50" s="310"/>
      <c r="X50" s="310"/>
      <c r="Y50" s="310"/>
      <c r="Z50" s="1416" t="s">
        <v>668</v>
      </c>
      <c r="AA50" s="1416"/>
      <c r="AB50" s="1416"/>
      <c r="AC50" s="1416"/>
      <c r="AD50" s="1416"/>
      <c r="AE50" s="1416"/>
      <c r="AF50" s="1416"/>
      <c r="AG50" s="1416"/>
      <c r="AH50" s="1416"/>
      <c r="AI50" s="1416"/>
      <c r="AJ50" s="311"/>
      <c r="AK50" s="311"/>
      <c r="AL50" s="1413" t="str">
        <f ca="1">PRCP_y1</f>
        <v>2017-18</v>
      </c>
      <c r="AM50" s="1413"/>
      <c r="AN50" s="1413"/>
      <c r="AO50" s="1413"/>
      <c r="AP50" s="1413"/>
      <c r="AQ50" s="1413"/>
      <c r="AR50" s="1413"/>
      <c r="AS50" s="1413"/>
      <c r="AT50" s="329"/>
      <c r="AU50" s="1413" t="str">
        <f ca="1">PRCP_y2</f>
        <v>2018-19</v>
      </c>
      <c r="AV50" s="1413"/>
      <c r="AW50" s="1413"/>
      <c r="AX50" s="1413"/>
      <c r="AY50" s="1413"/>
      <c r="AZ50" s="1413"/>
      <c r="BA50" s="1413"/>
      <c r="BB50" s="1413"/>
      <c r="BC50" s="329"/>
      <c r="BD50" s="1413" t="str">
        <f ca="1">PRCP_y3</f>
        <v>2019-20</v>
      </c>
      <c r="BE50" s="1413"/>
      <c r="BF50" s="1413"/>
      <c r="BG50" s="1413"/>
      <c r="BH50" s="1413"/>
      <c r="BI50" s="1413"/>
      <c r="BJ50" s="1413"/>
      <c r="BK50" s="1413"/>
      <c r="BL50" s="329"/>
      <c r="BM50" s="1413" t="str">
        <f ca="1">PRCP_y4</f>
        <v>2020-21</v>
      </c>
      <c r="BN50" s="1413"/>
      <c r="BO50" s="1413"/>
      <c r="BP50" s="1413"/>
      <c r="BQ50" s="1413"/>
      <c r="BR50" s="1413"/>
      <c r="BS50" s="1413"/>
      <c r="BT50" s="1413"/>
      <c r="BU50" s="329"/>
      <c r="BV50" s="1413" t="str">
        <f ca="1">PRCP_y5</f>
        <v>2021-22</v>
      </c>
      <c r="BW50" s="1413"/>
      <c r="BX50" s="1413"/>
      <c r="BY50" s="1413"/>
      <c r="BZ50" s="1413"/>
      <c r="CA50" s="1413"/>
      <c r="CB50" s="1413"/>
      <c r="CC50" s="1413"/>
      <c r="CD50" s="310"/>
      <c r="CE50" s="310"/>
      <c r="CF50" s="310"/>
      <c r="CG50" s="310"/>
      <c r="CH50" s="310"/>
      <c r="CI50" s="310"/>
      <c r="CJ50" s="310"/>
      <c r="CK50" s="310"/>
      <c r="CL50" s="310"/>
      <c r="CM50" s="310"/>
      <c r="CN50" s="310"/>
      <c r="CO50" s="310"/>
      <c r="CP50" s="820"/>
    </row>
    <row r="51" spans="5:94" ht="15.75" x14ac:dyDescent="0.25">
      <c r="H51" s="316"/>
      <c r="I51" s="316"/>
      <c r="J51" s="316"/>
      <c r="Q51" s="310"/>
      <c r="R51" s="310"/>
      <c r="S51" s="310"/>
      <c r="T51" s="310"/>
      <c r="U51" s="310"/>
      <c r="V51" s="310"/>
      <c r="W51" s="310"/>
      <c r="X51" s="310"/>
      <c r="Y51" s="310"/>
      <c r="Z51" s="311"/>
      <c r="AA51" s="311"/>
      <c r="AB51" s="311"/>
      <c r="AC51" s="311"/>
      <c r="AD51" s="311"/>
      <c r="AE51" s="311"/>
      <c r="AF51" s="311"/>
      <c r="AG51" s="311"/>
      <c r="AH51" s="311"/>
      <c r="AI51" s="311"/>
      <c r="AJ51" s="311"/>
      <c r="AK51" s="311"/>
      <c r="AL51" s="1401" t="str">
        <f ca="1">PRCP_y6</f>
        <v>2022-23</v>
      </c>
      <c r="AM51" s="1401"/>
      <c r="AN51" s="1401"/>
      <c r="AO51" s="1401"/>
      <c r="AP51" s="1401"/>
      <c r="AQ51" s="1401"/>
      <c r="AR51" s="1401"/>
      <c r="AS51" s="1401"/>
      <c r="AT51" s="334"/>
      <c r="AU51" s="1401" t="str">
        <f ca="1">PRCP_y7</f>
        <v>2023-24</v>
      </c>
      <c r="AV51" s="1401"/>
      <c r="AW51" s="1401"/>
      <c r="AX51" s="1401"/>
      <c r="AY51" s="1401"/>
      <c r="AZ51" s="1401"/>
      <c r="BA51" s="1401"/>
      <c r="BB51" s="1401"/>
      <c r="BC51" s="335"/>
      <c r="BD51" s="1401" t="str">
        <f ca="1">PRCP_y8</f>
        <v>2024-25</v>
      </c>
      <c r="BE51" s="1401"/>
      <c r="BF51" s="1401"/>
      <c r="BG51" s="1401"/>
      <c r="BH51" s="1401"/>
      <c r="BI51" s="1401"/>
      <c r="BJ51" s="1401"/>
      <c r="BK51" s="1401"/>
      <c r="BL51" s="335"/>
      <c r="BM51" s="1401" t="str">
        <f ca="1">PRCP_y9</f>
        <v>2025-26</v>
      </c>
      <c r="BN51" s="1401"/>
      <c r="BO51" s="1401"/>
      <c r="BP51" s="1401"/>
      <c r="BQ51" s="1401"/>
      <c r="BR51" s="1401"/>
      <c r="BS51" s="1401"/>
      <c r="BT51" s="1401"/>
      <c r="BU51" s="335"/>
      <c r="BV51" s="1401" t="str">
        <f ca="1">PRCP_y10</f>
        <v>2026-27</v>
      </c>
      <c r="BW51" s="1401"/>
      <c r="BX51" s="1401"/>
      <c r="BY51" s="1401"/>
      <c r="BZ51" s="1401"/>
      <c r="CA51" s="1401"/>
      <c r="CB51" s="1401"/>
      <c r="CC51" s="1401"/>
      <c r="CD51" s="310"/>
      <c r="CE51" s="310"/>
      <c r="CF51" s="310"/>
      <c r="CG51" s="310"/>
      <c r="CH51" s="310"/>
      <c r="CI51" s="310"/>
      <c r="CJ51" s="310"/>
      <c r="CK51" s="310"/>
      <c r="CL51" s="310"/>
      <c r="CM51" s="310"/>
      <c r="CN51" s="310"/>
      <c r="CO51" s="310"/>
      <c r="CP51" s="310"/>
    </row>
    <row r="52" spans="5:94" ht="15.75" x14ac:dyDescent="0.25">
      <c r="H52" s="316"/>
      <c r="I52" s="316"/>
      <c r="J52" s="316"/>
      <c r="Q52" s="310"/>
      <c r="R52" s="310"/>
      <c r="S52" s="310"/>
      <c r="T52" s="310"/>
      <c r="U52" s="310"/>
      <c r="V52" s="310"/>
      <c r="W52" s="310"/>
      <c r="X52" s="310"/>
      <c r="Y52" s="310"/>
      <c r="Z52" s="311"/>
      <c r="AA52" s="311"/>
      <c r="AB52" s="311"/>
      <c r="AC52" s="311"/>
      <c r="AD52" s="311"/>
      <c r="AE52" s="311"/>
      <c r="AF52" s="311"/>
      <c r="AG52" s="311"/>
      <c r="AH52" s="311"/>
      <c r="AI52" s="311"/>
      <c r="AJ52" s="311"/>
      <c r="AK52" s="311"/>
      <c r="AL52" s="1401" t="str">
        <f ca="1">PRCP_y11</f>
        <v>2027-28</v>
      </c>
      <c r="AM52" s="1401"/>
      <c r="AN52" s="1401"/>
      <c r="AO52" s="1401"/>
      <c r="AP52" s="1401"/>
      <c r="AQ52" s="1401"/>
      <c r="AR52" s="1401"/>
      <c r="AS52" s="1401"/>
      <c r="AT52" s="334"/>
      <c r="AU52" s="1401" t="str">
        <f ca="1">PRCP_y12</f>
        <v>2028-29</v>
      </c>
      <c r="AV52" s="1401"/>
      <c r="AW52" s="1401"/>
      <c r="AX52" s="1401"/>
      <c r="AY52" s="1401"/>
      <c r="AZ52" s="1401"/>
      <c r="BA52" s="1401"/>
      <c r="BB52" s="1401"/>
      <c r="BC52" s="335"/>
      <c r="BD52" s="1401" t="str">
        <f ca="1">PRCP_y13</f>
        <v>2029-30</v>
      </c>
      <c r="BE52" s="1401"/>
      <c r="BF52" s="1401"/>
      <c r="BG52" s="1401"/>
      <c r="BH52" s="1401"/>
      <c r="BI52" s="1401"/>
      <c r="BJ52" s="1401"/>
      <c r="BK52" s="1401"/>
      <c r="BL52" s="335"/>
      <c r="BM52" s="1401" t="str">
        <f ca="1">PRCP_y14</f>
        <v>2030-31</v>
      </c>
      <c r="BN52" s="1401"/>
      <c r="BO52" s="1401"/>
      <c r="BP52" s="1401"/>
      <c r="BQ52" s="1401"/>
      <c r="BR52" s="1401"/>
      <c r="BS52" s="1401"/>
      <c r="BT52" s="1401"/>
      <c r="BU52" s="335"/>
      <c r="BV52" s="1401" t="str">
        <f ca="1">PRCP_y15</f>
        <v>2031-32</v>
      </c>
      <c r="BW52" s="1401"/>
      <c r="BX52" s="1401"/>
      <c r="BY52" s="1401"/>
      <c r="BZ52" s="1401"/>
      <c r="CA52" s="1401"/>
      <c r="CB52" s="1401"/>
      <c r="CC52" s="1401"/>
      <c r="CD52" s="310"/>
      <c r="CE52" s="310"/>
      <c r="CF52" s="310"/>
      <c r="CG52" s="310"/>
      <c r="CH52" s="310"/>
      <c r="CI52" s="310"/>
      <c r="CJ52" s="310"/>
      <c r="CK52" s="310"/>
      <c r="CL52" s="310"/>
      <c r="CM52" s="310"/>
      <c r="CN52" s="310"/>
      <c r="CO52" s="310"/>
      <c r="CP52" s="310"/>
    </row>
    <row r="53" spans="5:94" hidden="1" x14ac:dyDescent="0.25">
      <c r="E53" s="342"/>
      <c r="H53" s="316"/>
      <c r="I53" s="316"/>
      <c r="J53" s="316"/>
      <c r="Q53" s="310"/>
      <c r="R53" s="310"/>
      <c r="S53" s="310"/>
      <c r="T53" s="310"/>
      <c r="U53" s="310"/>
      <c r="V53" s="310"/>
      <c r="W53" s="310"/>
      <c r="X53" s="310"/>
      <c r="Y53" s="310"/>
      <c r="Z53" s="311"/>
      <c r="AA53" s="311"/>
      <c r="AB53" s="311"/>
      <c r="AC53" s="311"/>
      <c r="AD53" s="311"/>
      <c r="AE53" s="311"/>
      <c r="AF53" s="311"/>
      <c r="AG53" s="311"/>
      <c r="AH53" s="311"/>
      <c r="AI53" s="311"/>
      <c r="AJ53" s="311"/>
      <c r="AK53" s="311"/>
      <c r="AL53" s="311"/>
      <c r="AM53" s="311"/>
      <c r="AN53" s="311"/>
      <c r="AO53" s="311"/>
      <c r="AP53" s="311"/>
      <c r="AQ53" s="311"/>
      <c r="AR53" s="311"/>
      <c r="AS53" s="310"/>
      <c r="AT53" s="310"/>
      <c r="AU53" s="310"/>
      <c r="AV53" s="310"/>
      <c r="AW53" s="310"/>
      <c r="AX53" s="310"/>
      <c r="AY53" s="310"/>
      <c r="AZ53" s="310"/>
      <c r="BA53" s="310"/>
      <c r="BB53" s="310"/>
      <c r="BC53" s="310"/>
      <c r="BD53" s="310"/>
      <c r="BE53" s="310"/>
      <c r="BF53" s="310"/>
      <c r="BG53" s="310"/>
      <c r="BH53" s="310"/>
      <c r="BI53" s="310"/>
      <c r="BJ53" s="310"/>
      <c r="BK53" s="310"/>
      <c r="BL53" s="310"/>
      <c r="BM53" s="310"/>
      <c r="BN53" s="310"/>
      <c r="BO53" s="310"/>
      <c r="BP53" s="310"/>
      <c r="BQ53" s="310"/>
      <c r="BR53" s="310"/>
      <c r="BS53" s="310"/>
      <c r="BT53" s="310"/>
      <c r="BU53" s="310"/>
      <c r="BV53" s="310"/>
      <c r="BW53" s="310"/>
      <c r="BX53" s="310"/>
      <c r="BY53" s="310"/>
      <c r="BZ53" s="310"/>
      <c r="CA53" s="310"/>
      <c r="CB53" s="310"/>
      <c r="CC53" s="310"/>
      <c r="CD53" s="310"/>
      <c r="CE53" s="310"/>
      <c r="CF53" s="310"/>
      <c r="CG53" s="310"/>
      <c r="CH53" s="310"/>
      <c r="CI53" s="310"/>
      <c r="CJ53" s="310"/>
      <c r="CK53" s="310"/>
      <c r="CL53" s="310"/>
      <c r="CM53" s="310"/>
      <c r="CN53" s="310"/>
      <c r="CO53" s="310"/>
      <c r="CP53" s="310"/>
    </row>
    <row r="54" spans="5:94" ht="15.75" hidden="1" customHeight="1" x14ac:dyDescent="0.25">
      <c r="H54" s="316"/>
      <c r="I54" s="316"/>
      <c r="J54" s="316"/>
      <c r="Q54" s="820"/>
      <c r="R54" s="820"/>
      <c r="S54" s="820"/>
      <c r="T54" s="820"/>
      <c r="U54" s="820"/>
      <c r="V54" s="820"/>
      <c r="W54" s="313"/>
      <c r="X54" s="820"/>
      <c r="Y54" s="310"/>
      <c r="Z54" s="1416" t="s">
        <v>671</v>
      </c>
      <c r="AA54" s="1416"/>
      <c r="AB54" s="1416"/>
      <c r="AC54" s="1416"/>
      <c r="AD54" s="1416"/>
      <c r="AE54" s="1416"/>
      <c r="AF54" s="1416"/>
      <c r="AG54" s="1416"/>
      <c r="AH54" s="1416"/>
      <c r="AI54" s="1416"/>
      <c r="AJ54" s="311"/>
      <c r="AK54" s="311"/>
      <c r="AL54" s="1419" t="s">
        <v>281</v>
      </c>
      <c r="AM54" s="1419"/>
      <c r="AN54" s="1419"/>
      <c r="AO54" s="1419"/>
      <c r="AP54" s="1419"/>
      <c r="AQ54" s="1419"/>
      <c r="AR54" s="1419"/>
      <c r="AS54" s="1419"/>
      <c r="AT54" s="310"/>
      <c r="AU54" s="310"/>
      <c r="AV54" s="310"/>
      <c r="AW54" s="310"/>
      <c r="AX54" s="310"/>
      <c r="AY54" s="310"/>
      <c r="AZ54" s="310"/>
      <c r="BA54" s="310"/>
      <c r="BB54" s="310"/>
      <c r="BC54" s="310"/>
      <c r="BD54" s="310"/>
      <c r="BE54" s="310"/>
      <c r="BF54" s="310"/>
      <c r="BG54" s="310"/>
      <c r="BH54" s="310"/>
      <c r="BI54" s="310"/>
      <c r="BJ54" s="310"/>
      <c r="BK54" s="310"/>
      <c r="BL54" s="310"/>
      <c r="BM54" s="310"/>
      <c r="BN54" s="310"/>
      <c r="BO54" s="310"/>
      <c r="BP54" s="310"/>
      <c r="BQ54" s="310"/>
      <c r="BR54" s="310"/>
      <c r="BS54" s="310"/>
      <c r="BT54" s="310"/>
      <c r="BU54" s="310"/>
      <c r="BV54" s="310"/>
      <c r="BW54" s="310"/>
      <c r="BX54" s="310"/>
      <c r="BY54" s="310"/>
      <c r="BZ54" s="310"/>
      <c r="CA54" s="310"/>
      <c r="CB54" s="310"/>
      <c r="CC54" s="310"/>
      <c r="CD54" s="310"/>
      <c r="CE54" s="310"/>
      <c r="CF54" s="310"/>
      <c r="CG54" s="310"/>
      <c r="CH54" s="310"/>
      <c r="CI54" s="310"/>
      <c r="CJ54" s="310"/>
      <c r="CK54" s="310"/>
      <c r="CL54" s="310"/>
      <c r="CM54" s="310"/>
      <c r="CN54" s="310"/>
      <c r="CO54" s="310"/>
      <c r="CP54" s="310"/>
    </row>
    <row r="55" spans="5:94" ht="15.75" hidden="1" customHeight="1" x14ac:dyDescent="0.25">
      <c r="H55" s="316"/>
      <c r="I55" s="316"/>
      <c r="J55" s="316"/>
      <c r="Q55" s="820"/>
      <c r="R55" s="820"/>
      <c r="S55" s="820"/>
      <c r="T55" s="820"/>
      <c r="U55" s="820"/>
      <c r="V55" s="820"/>
      <c r="W55" s="313"/>
      <c r="X55" s="820" t="s">
        <v>670</v>
      </c>
      <c r="Y55" s="310"/>
      <c r="Z55" s="311"/>
      <c r="AA55" s="311"/>
      <c r="AB55" s="311"/>
      <c r="AC55" s="311"/>
      <c r="AD55" s="311"/>
      <c r="AE55" s="311"/>
      <c r="AF55" s="311"/>
      <c r="AG55" s="311"/>
      <c r="AH55" s="311"/>
      <c r="AI55" s="311"/>
      <c r="AJ55" s="311"/>
      <c r="AK55" s="311"/>
      <c r="AL55" s="311"/>
      <c r="AM55" s="311"/>
      <c r="AN55" s="311"/>
      <c r="AO55" s="311"/>
      <c r="AP55" s="311"/>
      <c r="AQ55" s="311"/>
      <c r="AR55" s="311"/>
      <c r="AS55" s="310"/>
      <c r="AT55" s="310"/>
      <c r="AU55" s="310"/>
      <c r="AV55" s="310"/>
      <c r="AW55" s="310"/>
      <c r="AX55" s="310"/>
      <c r="AY55" s="310"/>
      <c r="AZ55" s="310"/>
      <c r="BA55" s="310"/>
      <c r="BB55" s="310"/>
      <c r="BC55" s="310"/>
      <c r="BD55" s="310"/>
      <c r="BE55" s="310"/>
      <c r="BF55" s="310"/>
      <c r="BG55" s="310"/>
      <c r="BH55" s="310"/>
      <c r="BI55" s="310"/>
      <c r="BJ55" s="310"/>
      <c r="BK55" s="310"/>
      <c r="BL55" s="310"/>
      <c r="BM55" s="310"/>
      <c r="BN55" s="310"/>
      <c r="BO55" s="310"/>
      <c r="BP55" s="310"/>
      <c r="BQ55" s="310"/>
      <c r="BR55" s="310"/>
      <c r="BS55" s="310"/>
      <c r="BT55" s="310"/>
      <c r="BU55" s="310"/>
      <c r="BV55" s="310"/>
      <c r="BW55" s="310"/>
      <c r="BX55" s="310"/>
      <c r="BY55" s="310"/>
      <c r="BZ55" s="310"/>
      <c r="CA55" s="310"/>
      <c r="CB55" s="310"/>
      <c r="CC55" s="310"/>
      <c r="CD55" s="310"/>
      <c r="CE55" s="310"/>
      <c r="CF55" s="310"/>
      <c r="CG55" s="310"/>
      <c r="CH55" s="310"/>
      <c r="CI55" s="310"/>
      <c r="CJ55" s="310"/>
      <c r="CK55" s="310"/>
      <c r="CL55" s="310"/>
      <c r="CM55" s="310"/>
      <c r="CN55" s="310"/>
      <c r="CO55" s="310"/>
      <c r="CP55" s="310"/>
    </row>
    <row r="56" spans="5:94" ht="15.75" hidden="1" customHeight="1" x14ac:dyDescent="0.25">
      <c r="H56" s="316"/>
      <c r="I56" s="316"/>
      <c r="J56" s="316"/>
      <c r="Q56" s="820"/>
      <c r="R56" s="820"/>
      <c r="S56" s="820"/>
      <c r="T56" s="820"/>
      <c r="U56" s="820"/>
      <c r="V56" s="820"/>
      <c r="W56" s="313"/>
      <c r="X56" s="313"/>
      <c r="Y56" s="310"/>
      <c r="Z56" s="1416" t="s">
        <v>672</v>
      </c>
      <c r="AA56" s="1416"/>
      <c r="AB56" s="1416"/>
      <c r="AC56" s="1416"/>
      <c r="AD56" s="1416"/>
      <c r="AE56" s="1416"/>
      <c r="AF56" s="1416"/>
      <c r="AG56" s="1416"/>
      <c r="AH56" s="1416"/>
      <c r="AI56" s="1416"/>
      <c r="AJ56" s="311"/>
      <c r="AK56" s="311"/>
      <c r="AL56" s="1419" t="s">
        <v>296</v>
      </c>
      <c r="AM56" s="1419"/>
      <c r="AN56" s="1419"/>
      <c r="AO56" s="1419"/>
      <c r="AP56" s="1419"/>
      <c r="AQ56" s="1419"/>
      <c r="AR56" s="1419"/>
      <c r="AS56" s="1419"/>
      <c r="AT56" s="310"/>
      <c r="AU56" s="310"/>
      <c r="AV56" s="310"/>
      <c r="AW56" s="310"/>
      <c r="AX56" s="310"/>
      <c r="AY56" s="310"/>
      <c r="AZ56" s="310"/>
      <c r="BA56" s="310"/>
      <c r="BB56" s="310"/>
      <c r="BC56" s="310"/>
      <c r="BD56" s="310"/>
      <c r="BE56" s="310"/>
      <c r="BF56" s="310"/>
      <c r="BG56" s="310"/>
      <c r="BH56" s="310"/>
      <c r="BI56" s="310"/>
      <c r="BJ56" s="310"/>
      <c r="BK56" s="310"/>
      <c r="BL56" s="310"/>
      <c r="BM56" s="310"/>
      <c r="BN56" s="310"/>
      <c r="BO56" s="310"/>
      <c r="BP56" s="310"/>
      <c r="BQ56" s="310"/>
      <c r="BR56" s="310"/>
      <c r="BS56" s="310"/>
      <c r="BT56" s="310"/>
      <c r="BU56" s="310"/>
      <c r="BV56" s="310"/>
      <c r="BW56" s="310"/>
      <c r="BX56" s="310"/>
      <c r="BY56" s="310"/>
      <c r="BZ56" s="310"/>
      <c r="CA56" s="310"/>
      <c r="CB56" s="310"/>
      <c r="CC56" s="310"/>
      <c r="CD56" s="310"/>
      <c r="CE56" s="310"/>
      <c r="CF56" s="310"/>
      <c r="CG56" s="310"/>
      <c r="CH56" s="310"/>
      <c r="CI56" s="310"/>
      <c r="CJ56" s="310"/>
      <c r="CK56" s="310"/>
      <c r="CL56" s="310"/>
      <c r="CM56" s="310"/>
      <c r="CN56" s="310"/>
      <c r="CO56" s="310"/>
      <c r="CP56" s="820"/>
    </row>
    <row r="57" spans="5:94" hidden="1" x14ac:dyDescent="0.25">
      <c r="H57" s="316"/>
      <c r="I57" s="316"/>
      <c r="J57" s="316"/>
      <c r="Q57" s="310"/>
      <c r="R57" s="310"/>
      <c r="S57" s="310"/>
      <c r="T57" s="310"/>
      <c r="U57" s="310"/>
      <c r="V57" s="310"/>
      <c r="W57" s="310"/>
      <c r="X57" s="310"/>
      <c r="Y57" s="310"/>
      <c r="Z57" s="311"/>
      <c r="AA57" s="311"/>
      <c r="AB57" s="311"/>
      <c r="AC57" s="311"/>
      <c r="AD57" s="311"/>
      <c r="AE57" s="311"/>
      <c r="AF57" s="311"/>
      <c r="AG57" s="311"/>
      <c r="AH57" s="311"/>
      <c r="AI57" s="311"/>
      <c r="AJ57" s="311"/>
      <c r="AK57" s="311"/>
      <c r="AL57" s="311"/>
      <c r="AM57" s="311"/>
      <c r="AN57" s="311"/>
      <c r="AO57" s="311"/>
      <c r="AP57" s="311"/>
      <c r="AQ57" s="311"/>
      <c r="AR57" s="311"/>
      <c r="AS57" s="310"/>
      <c r="AT57" s="310"/>
      <c r="AU57" s="310"/>
      <c r="AV57" s="310"/>
      <c r="AW57" s="310"/>
      <c r="AX57" s="310"/>
      <c r="AY57" s="310"/>
      <c r="AZ57" s="310"/>
      <c r="BA57" s="310"/>
      <c r="BB57" s="310"/>
      <c r="BC57" s="310"/>
      <c r="BD57" s="310"/>
      <c r="BE57" s="310"/>
      <c r="BF57" s="310"/>
      <c r="BG57" s="310"/>
      <c r="BH57" s="310"/>
      <c r="BI57" s="310"/>
      <c r="BJ57" s="310"/>
      <c r="BK57" s="310"/>
      <c r="BL57" s="310"/>
      <c r="BM57" s="310"/>
      <c r="BN57" s="310"/>
      <c r="BO57" s="310"/>
      <c r="BP57" s="310"/>
      <c r="BQ57" s="310"/>
      <c r="BR57" s="310"/>
      <c r="BS57" s="310"/>
      <c r="BT57" s="310"/>
      <c r="BU57" s="310"/>
      <c r="BV57" s="310"/>
      <c r="BW57" s="310"/>
      <c r="BX57" s="310"/>
      <c r="BY57" s="310"/>
      <c r="BZ57" s="310"/>
      <c r="CA57" s="310"/>
      <c r="CB57" s="310"/>
      <c r="CC57" s="310"/>
      <c r="CD57" s="310"/>
      <c r="CE57" s="310"/>
      <c r="CF57" s="310"/>
      <c r="CG57" s="310"/>
      <c r="CH57" s="310"/>
      <c r="CI57" s="310"/>
      <c r="CJ57" s="310"/>
      <c r="CK57" s="310"/>
      <c r="CL57" s="310"/>
      <c r="CM57" s="310"/>
      <c r="CN57" s="310"/>
      <c r="CO57" s="310"/>
      <c r="CP57" s="310"/>
    </row>
    <row r="58" spans="5:94" x14ac:dyDescent="0.25">
      <c r="H58" s="316"/>
      <c r="I58" s="316"/>
      <c r="J58" s="316"/>
      <c r="Q58" s="316"/>
      <c r="R58" s="316"/>
      <c r="S58" s="316"/>
      <c r="T58" s="316"/>
      <c r="U58" s="316"/>
      <c r="V58" s="316"/>
      <c r="W58" s="316"/>
      <c r="X58" s="316"/>
      <c r="Y58" s="316"/>
      <c r="Z58" s="317"/>
      <c r="AA58" s="317"/>
      <c r="AB58" s="317"/>
      <c r="AC58" s="317"/>
      <c r="AD58" s="317"/>
      <c r="AE58" s="317"/>
      <c r="AF58" s="317"/>
      <c r="AG58" s="317"/>
      <c r="AH58" s="317"/>
      <c r="AI58" s="317"/>
      <c r="AJ58" s="317"/>
      <c r="AK58" s="317"/>
      <c r="AL58" s="317"/>
      <c r="AM58" s="317"/>
      <c r="AN58" s="317"/>
      <c r="AO58" s="317"/>
      <c r="AP58" s="317"/>
      <c r="AQ58" s="317"/>
      <c r="AR58" s="317"/>
      <c r="AS58" s="316"/>
      <c r="AT58" s="316"/>
      <c r="AU58" s="316"/>
      <c r="AV58" s="316"/>
      <c r="AW58" s="316"/>
      <c r="AX58" s="316"/>
      <c r="AY58" s="316"/>
      <c r="AZ58" s="316"/>
      <c r="BA58" s="316"/>
      <c r="BB58" s="316"/>
      <c r="BC58" s="316"/>
      <c r="BD58" s="316"/>
      <c r="BE58" s="316"/>
      <c r="BF58" s="316"/>
      <c r="BG58" s="316"/>
      <c r="BH58" s="316"/>
      <c r="BI58" s="316"/>
      <c r="BJ58" s="316"/>
      <c r="BK58" s="316"/>
      <c r="BL58" s="316"/>
      <c r="BM58" s="316"/>
      <c r="BN58" s="316"/>
      <c r="BO58" s="316"/>
      <c r="BP58" s="316"/>
      <c r="BQ58" s="316"/>
      <c r="BR58" s="316"/>
      <c r="BS58" s="316"/>
      <c r="BT58" s="316"/>
      <c r="BU58" s="316"/>
      <c r="BV58" s="316"/>
      <c r="BW58" s="316"/>
      <c r="BX58" s="316"/>
      <c r="BY58" s="316"/>
      <c r="BZ58" s="316"/>
      <c r="CA58" s="316"/>
      <c r="CB58" s="316"/>
      <c r="CC58" s="316"/>
      <c r="CD58" s="316"/>
      <c r="CE58" s="316"/>
      <c r="CF58" s="316"/>
      <c r="CG58" s="316"/>
      <c r="CH58" s="316"/>
      <c r="CI58" s="316"/>
      <c r="CJ58" s="316"/>
      <c r="CK58" s="316"/>
      <c r="CL58" s="316"/>
      <c r="CM58" s="316"/>
      <c r="CN58" s="316"/>
      <c r="CO58" s="316"/>
      <c r="CP58" s="316"/>
    </row>
    <row r="59" spans="5:94" ht="15.75" customHeight="1" x14ac:dyDescent="0.25">
      <c r="H59" s="316"/>
      <c r="I59" s="316"/>
      <c r="J59" s="316"/>
      <c r="Q59" s="310"/>
      <c r="R59" s="310"/>
      <c r="S59" s="310"/>
      <c r="T59" s="310"/>
      <c r="U59" s="313"/>
      <c r="V59" s="313"/>
      <c r="W59" s="313"/>
      <c r="X59" s="313"/>
      <c r="Y59" s="310"/>
      <c r="Z59" s="311"/>
      <c r="AA59" s="311"/>
      <c r="AB59" s="311"/>
      <c r="AC59" s="311"/>
      <c r="AD59" s="311"/>
      <c r="AE59" s="311"/>
      <c r="AF59" s="311"/>
      <c r="AG59" s="311"/>
      <c r="AH59" s="311"/>
      <c r="AI59" s="311"/>
      <c r="AJ59" s="311"/>
      <c r="AK59" s="311"/>
      <c r="AL59" s="311"/>
      <c r="AM59" s="311"/>
      <c r="AN59" s="311"/>
      <c r="AO59" s="311"/>
      <c r="AP59" s="311"/>
      <c r="AQ59" s="311"/>
      <c r="AR59" s="311"/>
      <c r="AS59" s="310"/>
      <c r="AT59" s="310"/>
      <c r="AU59" s="310"/>
      <c r="AV59" s="310"/>
      <c r="AW59" s="310"/>
      <c r="AX59" s="310"/>
      <c r="AY59" s="310"/>
      <c r="AZ59" s="310"/>
      <c r="BA59" s="310"/>
      <c r="BB59" s="310"/>
      <c r="BC59" s="310"/>
      <c r="BD59" s="310"/>
      <c r="BE59" s="310"/>
      <c r="BF59" s="310"/>
      <c r="BG59" s="310"/>
      <c r="BH59" s="310"/>
      <c r="BI59" s="310"/>
      <c r="BJ59" s="310"/>
      <c r="BK59" s="310"/>
      <c r="BL59" s="310"/>
      <c r="BM59" s="310"/>
      <c r="BN59" s="310"/>
      <c r="BO59" s="310"/>
      <c r="BP59" s="310"/>
      <c r="BQ59" s="310"/>
      <c r="BR59" s="310"/>
      <c r="BS59" s="310"/>
      <c r="BT59" s="310"/>
      <c r="BU59" s="310"/>
      <c r="BV59" s="310"/>
      <c r="BW59" s="310"/>
      <c r="BX59" s="310"/>
      <c r="BY59" s="310"/>
      <c r="BZ59" s="310"/>
      <c r="CA59" s="310"/>
      <c r="CB59" s="310"/>
      <c r="CC59" s="310"/>
      <c r="CD59" s="310"/>
      <c r="CE59" s="310"/>
      <c r="CF59" s="310"/>
      <c r="CG59" s="310"/>
      <c r="CH59" s="310"/>
      <c r="CI59" s="310"/>
      <c r="CJ59" s="310"/>
      <c r="CK59" s="310"/>
      <c r="CL59" s="310"/>
      <c r="CM59" s="310"/>
      <c r="CN59" s="310"/>
      <c r="CO59" s="310"/>
      <c r="CP59" s="310"/>
    </row>
    <row r="60" spans="5:94" ht="30" x14ac:dyDescent="0.25">
      <c r="H60" s="322"/>
      <c r="I60" s="322"/>
      <c r="J60" s="322"/>
      <c r="Q60" s="328" t="s">
        <v>676</v>
      </c>
      <c r="R60" s="328"/>
      <c r="S60" s="328"/>
      <c r="T60" s="328"/>
      <c r="U60" s="328"/>
      <c r="V60" s="328"/>
      <c r="W60" s="328"/>
      <c r="X60" s="328"/>
      <c r="Y60" s="328"/>
      <c r="Z60" s="328"/>
      <c r="AA60" s="328"/>
      <c r="AB60" s="328"/>
      <c r="AC60" s="328"/>
      <c r="AD60" s="328"/>
      <c r="AE60" s="328"/>
      <c r="AF60" s="328"/>
      <c r="AG60" s="328"/>
      <c r="AH60" s="328"/>
      <c r="AI60" s="328"/>
      <c r="AJ60" s="328"/>
      <c r="AK60" s="328"/>
      <c r="AL60" s="328"/>
      <c r="AM60" s="328"/>
      <c r="AN60" s="328"/>
      <c r="AO60" s="328"/>
      <c r="AP60" s="328"/>
      <c r="AQ60" s="328"/>
      <c r="AR60" s="328"/>
      <c r="AS60" s="328"/>
      <c r="AT60" s="328"/>
      <c r="AU60" s="328"/>
      <c r="AV60" s="328"/>
      <c r="AW60" s="328"/>
      <c r="AX60" s="328"/>
      <c r="AY60" s="328"/>
      <c r="AZ60" s="328"/>
      <c r="BA60" s="328"/>
      <c r="BB60" s="328"/>
      <c r="BC60" s="328"/>
      <c r="BD60" s="328"/>
      <c r="BE60" s="328"/>
      <c r="BF60" s="328"/>
      <c r="BG60" s="328"/>
      <c r="BH60" s="328"/>
      <c r="BI60" s="328"/>
      <c r="BJ60" s="328"/>
      <c r="BK60" s="328"/>
      <c r="BL60" s="328"/>
      <c r="BM60" s="328"/>
      <c r="BN60" s="328"/>
      <c r="BO60" s="328"/>
      <c r="BP60" s="328"/>
      <c r="BQ60" s="328"/>
      <c r="BR60" s="328"/>
      <c r="BS60" s="328"/>
      <c r="BT60" s="328"/>
      <c r="BU60" s="328"/>
      <c r="BV60" s="328"/>
      <c r="BW60" s="328"/>
      <c r="BX60" s="328"/>
      <c r="BY60" s="328"/>
      <c r="BZ60" s="328"/>
      <c r="CA60" s="328"/>
      <c r="CB60" s="328"/>
      <c r="CC60" s="328"/>
      <c r="CD60" s="328"/>
      <c r="CE60" s="328"/>
      <c r="CF60" s="328"/>
      <c r="CG60" s="328"/>
      <c r="CH60" s="328"/>
      <c r="CI60" s="328"/>
      <c r="CJ60" s="328"/>
      <c r="CK60" s="328"/>
      <c r="CL60" s="328"/>
      <c r="CM60" s="328"/>
      <c r="CN60" s="328"/>
      <c r="CO60" s="328"/>
      <c r="CP60" s="328"/>
    </row>
    <row r="61" spans="5:94" ht="18" x14ac:dyDescent="0.25">
      <c r="Q61" s="310"/>
      <c r="R61" s="310"/>
      <c r="S61" s="310"/>
      <c r="T61" s="310"/>
      <c r="U61" s="313"/>
      <c r="V61" s="313"/>
      <c r="W61" s="313"/>
      <c r="X61" s="313"/>
      <c r="Y61" s="310"/>
      <c r="Z61" s="311"/>
      <c r="AA61" s="311"/>
      <c r="AB61" s="311"/>
      <c r="AC61" s="311"/>
      <c r="AD61" s="311"/>
      <c r="AE61" s="311"/>
      <c r="AF61" s="311"/>
      <c r="AG61" s="311"/>
      <c r="AH61" s="311"/>
      <c r="AI61" s="311"/>
      <c r="AJ61" s="311"/>
      <c r="AK61" s="311"/>
      <c r="AL61" s="311"/>
      <c r="AM61" s="311"/>
      <c r="AN61" s="311"/>
      <c r="AO61" s="311"/>
      <c r="AP61" s="311"/>
      <c r="AQ61" s="311"/>
      <c r="AR61" s="311"/>
      <c r="AS61" s="310"/>
      <c r="AT61" s="310"/>
      <c r="AU61" s="310"/>
      <c r="AV61" s="310"/>
      <c r="AW61" s="310"/>
      <c r="AX61" s="310"/>
      <c r="AY61" s="310"/>
      <c r="AZ61" s="310"/>
      <c r="BA61" s="310"/>
      <c r="BB61" s="310"/>
      <c r="BC61" s="310"/>
      <c r="BD61" s="310"/>
      <c r="BE61" s="310"/>
      <c r="BF61" s="310"/>
      <c r="BG61" s="310"/>
      <c r="BH61" s="310"/>
      <c r="BI61" s="310"/>
      <c r="BJ61" s="310"/>
      <c r="BK61" s="310"/>
      <c r="BL61" s="310"/>
      <c r="BM61" s="310"/>
      <c r="BN61" s="310"/>
      <c r="BO61" s="310"/>
      <c r="BP61" s="310"/>
      <c r="BQ61" s="310"/>
      <c r="BR61" s="310"/>
      <c r="BS61" s="310"/>
      <c r="BT61" s="310"/>
      <c r="BU61" s="310"/>
      <c r="BV61" s="310"/>
      <c r="BW61" s="310"/>
      <c r="BX61" s="310"/>
      <c r="BY61" s="310"/>
      <c r="BZ61" s="310"/>
      <c r="CA61" s="310"/>
      <c r="CB61" s="310"/>
      <c r="CC61" s="310"/>
      <c r="CD61" s="310"/>
      <c r="CE61" s="310"/>
      <c r="CF61" s="310"/>
      <c r="CG61" s="310"/>
      <c r="CH61" s="310"/>
      <c r="CI61" s="310"/>
      <c r="CJ61" s="310"/>
      <c r="CK61" s="310"/>
      <c r="CL61" s="310"/>
      <c r="CM61" s="310"/>
      <c r="CN61" s="310"/>
      <c r="CO61" s="310"/>
      <c r="CP61" s="310"/>
    </row>
    <row r="62" spans="5:94" ht="18" x14ac:dyDescent="0.25">
      <c r="Q62" s="310"/>
      <c r="R62" s="310"/>
      <c r="S62" s="310"/>
      <c r="T62" s="310"/>
      <c r="U62" s="313"/>
      <c r="V62" s="313"/>
      <c r="W62" s="313"/>
      <c r="X62" s="313"/>
      <c r="Y62" s="310"/>
      <c r="Z62" s="1416" t="s">
        <v>687</v>
      </c>
      <c r="AA62" s="1416"/>
      <c r="AB62" s="1416"/>
      <c r="AC62" s="1416"/>
      <c r="AD62" s="1416"/>
      <c r="AE62" s="1416"/>
      <c r="AF62" s="1416"/>
      <c r="AG62" s="1416"/>
      <c r="AH62" s="1416"/>
      <c r="AI62" s="1416"/>
      <c r="AJ62" s="310"/>
      <c r="AK62" s="310"/>
      <c r="AL62" s="1420" t="str">
        <f ca="1">INDIRECT(dms_Model)</f>
        <v>Regulatory Reporting (Reset)</v>
      </c>
      <c r="AM62" s="1420"/>
      <c r="AN62" s="1420"/>
      <c r="AO62" s="1420"/>
      <c r="AP62" s="1420"/>
      <c r="AQ62" s="1420"/>
      <c r="AR62" s="1420"/>
      <c r="AS62" s="1420"/>
      <c r="AT62" s="1420"/>
      <c r="AU62" s="1420"/>
      <c r="AV62" s="1420"/>
      <c r="AW62" s="1420"/>
      <c r="AX62" s="1420"/>
      <c r="AY62" s="1420"/>
      <c r="AZ62" s="1420"/>
      <c r="BA62" s="1420"/>
      <c r="BB62" s="310"/>
      <c r="BC62" s="310"/>
      <c r="BD62" s="310"/>
      <c r="BE62" s="310"/>
      <c r="BF62" s="310"/>
      <c r="BG62" s="310"/>
      <c r="BH62" s="310"/>
      <c r="BI62" s="310"/>
      <c r="BJ62" s="310"/>
      <c r="BK62" s="310"/>
      <c r="BL62" s="310"/>
      <c r="BM62" s="310"/>
      <c r="BN62" s="310"/>
      <c r="BO62" s="310"/>
      <c r="BP62" s="310"/>
      <c r="BQ62" s="310"/>
      <c r="BR62" s="310"/>
      <c r="BS62" s="310"/>
      <c r="BT62" s="310"/>
      <c r="BU62" s="310"/>
      <c r="BV62" s="310"/>
      <c r="BW62" s="310"/>
      <c r="BX62" s="310"/>
      <c r="BY62" s="310"/>
      <c r="BZ62" s="310"/>
      <c r="CA62" s="310"/>
      <c r="CB62" s="310"/>
      <c r="CC62" s="310"/>
      <c r="CD62" s="310"/>
      <c r="CE62" s="310"/>
      <c r="CF62" s="310"/>
      <c r="CG62" s="310"/>
      <c r="CH62" s="310"/>
      <c r="CI62" s="310"/>
      <c r="CJ62" s="310"/>
      <c r="CK62" s="310"/>
      <c r="CL62" s="310"/>
      <c r="CM62" s="310"/>
      <c r="CN62" s="310"/>
      <c r="CO62" s="310"/>
      <c r="CP62" s="310"/>
    </row>
    <row r="63" spans="5:94" ht="18" x14ac:dyDescent="0.25">
      <c r="Q63" s="310"/>
      <c r="R63" s="310"/>
      <c r="S63" s="310"/>
      <c r="T63" s="310"/>
      <c r="U63" s="313"/>
      <c r="V63" s="313"/>
      <c r="W63" s="313"/>
      <c r="X63" s="313"/>
      <c r="Y63" s="310"/>
      <c r="Z63" s="311"/>
      <c r="AA63" s="311"/>
      <c r="AB63" s="311"/>
      <c r="AC63" s="311"/>
      <c r="AD63" s="311"/>
      <c r="AE63" s="311"/>
      <c r="AF63" s="311"/>
      <c r="AG63" s="311"/>
      <c r="AH63" s="311"/>
      <c r="AI63" s="311"/>
      <c r="AJ63" s="311"/>
      <c r="AK63" s="311"/>
      <c r="AL63" s="311"/>
      <c r="AM63" s="311"/>
      <c r="AN63" s="311"/>
      <c r="AO63" s="311"/>
      <c r="AP63" s="311"/>
      <c r="AQ63" s="311"/>
      <c r="AR63" s="311"/>
      <c r="AS63" s="310"/>
      <c r="AT63" s="310"/>
      <c r="AU63" s="310"/>
      <c r="AV63" s="310"/>
      <c r="AW63" s="310"/>
      <c r="AX63" s="310"/>
      <c r="AY63" s="310"/>
      <c r="AZ63" s="310"/>
      <c r="BA63" s="310"/>
      <c r="BB63" s="310"/>
      <c r="BC63" s="310"/>
      <c r="BD63" s="310"/>
      <c r="BE63" s="310"/>
      <c r="BF63" s="310"/>
      <c r="BG63" s="310"/>
      <c r="BH63" s="310"/>
      <c r="BI63" s="310"/>
      <c r="BJ63" s="310"/>
      <c r="BK63" s="310"/>
      <c r="BL63" s="310"/>
      <c r="BM63" s="310"/>
      <c r="BN63" s="310"/>
      <c r="BO63" s="310"/>
      <c r="BP63" s="310"/>
      <c r="BQ63" s="310"/>
      <c r="BR63" s="310"/>
      <c r="BS63" s="310"/>
      <c r="BT63" s="310"/>
      <c r="BU63" s="310"/>
      <c r="BV63" s="310"/>
      <c r="BW63" s="310"/>
      <c r="BX63" s="310"/>
      <c r="BY63" s="310"/>
      <c r="BZ63" s="310"/>
      <c r="CA63" s="310"/>
      <c r="CB63" s="310"/>
      <c r="CC63" s="310"/>
      <c r="CD63" s="310"/>
      <c r="CE63" s="310"/>
      <c r="CF63" s="310"/>
      <c r="CG63" s="310"/>
      <c r="CH63" s="310"/>
      <c r="CI63" s="310"/>
      <c r="CJ63" s="310"/>
      <c r="CK63" s="310"/>
      <c r="CL63" s="310"/>
      <c r="CM63" s="310"/>
      <c r="CN63" s="310"/>
      <c r="CO63" s="310"/>
      <c r="CP63" s="310"/>
    </row>
    <row r="64" spans="5:94" ht="15.75" customHeight="1" x14ac:dyDescent="0.25">
      <c r="H64" s="316"/>
      <c r="I64" s="316"/>
      <c r="J64" s="316"/>
      <c r="Q64" s="820"/>
      <c r="R64" s="820"/>
      <c r="S64" s="820"/>
      <c r="T64" s="820"/>
      <c r="U64" s="820"/>
      <c r="V64" s="820"/>
      <c r="W64" s="311"/>
      <c r="X64" s="311"/>
      <c r="Y64" s="311"/>
      <c r="Z64" s="1416" t="s">
        <v>319</v>
      </c>
      <c r="AA64" s="1416"/>
      <c r="AB64" s="1416"/>
      <c r="AC64" s="1416"/>
      <c r="AD64" s="1416"/>
      <c r="AE64" s="1416"/>
      <c r="AF64" s="1416"/>
      <c r="AG64" s="1416"/>
      <c r="AH64" s="1416"/>
      <c r="AI64" s="1416"/>
      <c r="AJ64" s="310"/>
      <c r="AK64" s="310"/>
      <c r="AL64" s="1423" t="s">
        <v>225</v>
      </c>
      <c r="AM64" s="1423"/>
      <c r="AN64" s="1423"/>
      <c r="AO64" s="1423"/>
      <c r="AP64" s="1423"/>
      <c r="AQ64" s="1423"/>
      <c r="AR64" s="1423"/>
      <c r="AS64" s="1423"/>
      <c r="AT64" s="1423"/>
      <c r="AU64" s="1423"/>
      <c r="AV64" s="1423"/>
      <c r="AW64" s="1423"/>
      <c r="AX64" s="1423"/>
      <c r="AY64" s="1423"/>
      <c r="AZ64" s="1423"/>
      <c r="BA64" s="1423"/>
      <c r="BB64" s="310"/>
      <c r="BC64" s="310"/>
      <c r="BD64" s="310"/>
      <c r="BE64" s="310"/>
      <c r="BF64" s="310"/>
      <c r="BG64" s="310"/>
      <c r="BH64" s="310"/>
      <c r="BI64" s="310"/>
      <c r="BJ64" s="310"/>
      <c r="BK64" s="310"/>
      <c r="BL64" s="310"/>
      <c r="BM64" s="310"/>
      <c r="BN64" s="310"/>
      <c r="BO64" s="310"/>
      <c r="BP64" s="310"/>
      <c r="BQ64" s="310"/>
      <c r="BR64" s="310"/>
      <c r="BS64" s="310"/>
      <c r="BT64" s="310"/>
      <c r="BU64" s="310"/>
      <c r="BV64" s="310"/>
      <c r="BW64" s="310"/>
      <c r="BX64" s="310"/>
      <c r="BY64" s="310"/>
      <c r="BZ64" s="310"/>
      <c r="CA64" s="310"/>
      <c r="CB64" s="310"/>
      <c r="CC64" s="310"/>
      <c r="CD64" s="310"/>
      <c r="CE64" s="310"/>
      <c r="CF64" s="310"/>
      <c r="CG64" s="310"/>
      <c r="CH64" s="310"/>
      <c r="CI64" s="310"/>
      <c r="CJ64" s="310"/>
      <c r="CK64" s="310"/>
      <c r="CL64" s="310"/>
      <c r="CM64" s="310"/>
      <c r="CN64" s="310"/>
      <c r="CO64" s="310"/>
      <c r="CP64" s="310"/>
    </row>
    <row r="65" spans="8:94" ht="15" customHeight="1" x14ac:dyDescent="0.25">
      <c r="H65" s="316"/>
      <c r="I65" s="316"/>
      <c r="J65" s="316"/>
      <c r="Q65" s="820"/>
      <c r="R65" s="820"/>
      <c r="S65" s="820"/>
      <c r="T65" s="820"/>
      <c r="U65" s="820"/>
      <c r="V65" s="820"/>
      <c r="W65" s="311"/>
      <c r="X65" s="311"/>
      <c r="Y65" s="311"/>
      <c r="Z65" s="311"/>
      <c r="AA65" s="311"/>
      <c r="AB65" s="311"/>
      <c r="AC65" s="311"/>
      <c r="AD65" s="311"/>
      <c r="AE65" s="311"/>
      <c r="AF65" s="311"/>
      <c r="AG65" s="311"/>
      <c r="AH65" s="311"/>
      <c r="AI65" s="310"/>
      <c r="AJ65" s="310"/>
      <c r="AK65" s="310"/>
      <c r="AL65" s="310"/>
      <c r="AM65" s="310"/>
      <c r="AN65" s="310"/>
      <c r="AO65" s="310"/>
      <c r="AP65" s="310"/>
      <c r="AQ65" s="310"/>
      <c r="AR65" s="310"/>
      <c r="AS65" s="310"/>
      <c r="AT65" s="310"/>
      <c r="AU65" s="310"/>
      <c r="AV65" s="310"/>
      <c r="AW65" s="310"/>
      <c r="AX65" s="310"/>
      <c r="AY65" s="310"/>
      <c r="AZ65" s="310"/>
      <c r="BA65" s="310"/>
      <c r="BB65" s="310"/>
      <c r="BC65" s="310"/>
      <c r="BD65" s="310"/>
      <c r="BE65" s="310"/>
      <c r="BF65" s="310"/>
      <c r="BG65" s="310"/>
      <c r="BH65" s="310"/>
      <c r="BI65" s="310"/>
      <c r="BJ65" s="310"/>
      <c r="BK65" s="310"/>
      <c r="BL65" s="310"/>
      <c r="BM65" s="310"/>
      <c r="BN65" s="310"/>
      <c r="BO65" s="310"/>
      <c r="BP65" s="310"/>
      <c r="BQ65" s="310"/>
      <c r="BR65" s="310"/>
      <c r="BS65" s="310"/>
      <c r="BT65" s="310"/>
      <c r="BU65" s="310"/>
      <c r="BV65" s="310"/>
      <c r="BW65" s="310"/>
      <c r="BX65" s="310"/>
      <c r="BY65" s="310"/>
      <c r="BZ65" s="310"/>
      <c r="CA65" s="310"/>
      <c r="CB65" s="310"/>
      <c r="CC65" s="310"/>
      <c r="CD65" s="310"/>
      <c r="CE65" s="310"/>
      <c r="CF65" s="310"/>
      <c r="CG65" s="310"/>
      <c r="CH65" s="310"/>
      <c r="CI65" s="310"/>
      <c r="CJ65" s="310"/>
      <c r="CK65" s="310"/>
      <c r="CL65" s="310"/>
      <c r="CM65" s="310"/>
      <c r="CN65" s="310"/>
      <c r="CO65" s="310"/>
      <c r="CP65" s="310"/>
    </row>
    <row r="66" spans="8:94" ht="15.75" customHeight="1" x14ac:dyDescent="0.25">
      <c r="H66" s="316"/>
      <c r="I66" s="316"/>
      <c r="J66" s="316"/>
      <c r="Q66" s="820"/>
      <c r="R66" s="820"/>
      <c r="S66" s="820"/>
      <c r="T66" s="820"/>
      <c r="U66" s="820"/>
      <c r="V66" s="820"/>
      <c r="W66" s="820"/>
      <c r="X66" s="820" t="s">
        <v>678</v>
      </c>
      <c r="Y66" s="311"/>
      <c r="Z66" s="1416" t="s">
        <v>673</v>
      </c>
      <c r="AA66" s="1416"/>
      <c r="AB66" s="1416"/>
      <c r="AC66" s="1416"/>
      <c r="AD66" s="1416"/>
      <c r="AE66" s="1416"/>
      <c r="AF66" s="1416"/>
      <c r="AG66" s="1416"/>
      <c r="AH66" s="1416"/>
      <c r="AI66" s="1416"/>
      <c r="AJ66" s="310"/>
      <c r="AK66" s="310"/>
      <c r="AL66" s="1423" t="s">
        <v>194</v>
      </c>
      <c r="AM66" s="1423"/>
      <c r="AN66" s="1423"/>
      <c r="AO66" s="1423"/>
      <c r="AP66" s="1423"/>
      <c r="AQ66" s="1423"/>
      <c r="AR66" s="1423"/>
      <c r="AS66" s="1423"/>
      <c r="AT66" s="1423"/>
      <c r="AU66" s="1423"/>
      <c r="AV66" s="1423"/>
      <c r="AW66" s="1423"/>
      <c r="AX66" s="1423"/>
      <c r="AY66" s="1423"/>
      <c r="AZ66" s="1423"/>
      <c r="BA66" s="1423"/>
      <c r="BB66" s="310"/>
      <c r="BC66" s="310"/>
      <c r="BD66" s="310"/>
      <c r="BE66" s="310"/>
      <c r="BF66" s="310"/>
      <c r="BG66" s="310"/>
      <c r="BH66" s="310"/>
      <c r="BI66" s="310"/>
      <c r="BJ66" s="310"/>
      <c r="BK66" s="310"/>
      <c r="BL66" s="310"/>
      <c r="BM66" s="310"/>
      <c r="BN66" s="310"/>
      <c r="BO66" s="310"/>
      <c r="BP66" s="310"/>
      <c r="BQ66" s="310"/>
      <c r="BR66" s="310"/>
      <c r="BS66" s="310"/>
      <c r="BT66" s="310"/>
      <c r="BU66" s="310"/>
      <c r="BV66" s="310"/>
      <c r="BW66" s="310"/>
      <c r="BX66" s="310"/>
      <c r="BY66" s="310"/>
      <c r="BZ66" s="310"/>
      <c r="CA66" s="310"/>
      <c r="CB66" s="310"/>
      <c r="CC66" s="310"/>
      <c r="CD66" s="310"/>
      <c r="CE66" s="310"/>
      <c r="CF66" s="310"/>
      <c r="CG66" s="310"/>
      <c r="CH66" s="310"/>
      <c r="CI66" s="310"/>
      <c r="CJ66" s="310"/>
      <c r="CK66" s="310"/>
      <c r="CL66" s="310"/>
      <c r="CM66" s="310"/>
      <c r="CN66" s="310"/>
      <c r="CO66" s="311"/>
      <c r="CP66" s="820"/>
    </row>
    <row r="67" spans="8:94" ht="15" customHeight="1" x14ac:dyDescent="0.25">
      <c r="H67" s="316"/>
      <c r="I67" s="316"/>
      <c r="J67" s="316"/>
      <c r="Q67" s="820"/>
      <c r="R67" s="820"/>
      <c r="S67" s="820"/>
      <c r="T67" s="820"/>
      <c r="U67" s="820"/>
      <c r="V67" s="820"/>
      <c r="W67" s="311"/>
      <c r="X67" s="311"/>
      <c r="Y67" s="311"/>
      <c r="Z67" s="311"/>
      <c r="AA67" s="311"/>
      <c r="AB67" s="311"/>
      <c r="AC67" s="311"/>
      <c r="AD67" s="311"/>
      <c r="AE67" s="311"/>
      <c r="AF67" s="311"/>
      <c r="AG67" s="311"/>
      <c r="AH67" s="311"/>
      <c r="AI67" s="310"/>
      <c r="AJ67" s="310"/>
      <c r="AK67" s="310"/>
      <c r="AL67" s="310"/>
      <c r="AM67" s="310"/>
      <c r="AN67" s="310"/>
      <c r="AO67" s="310"/>
      <c r="AP67" s="310"/>
      <c r="AQ67" s="310"/>
      <c r="AR67" s="310"/>
      <c r="AS67" s="310"/>
      <c r="AT67" s="310"/>
      <c r="AU67" s="310"/>
      <c r="AV67" s="310"/>
      <c r="AW67" s="310"/>
      <c r="AX67" s="310"/>
      <c r="AY67" s="310"/>
      <c r="AZ67" s="310"/>
      <c r="BA67" s="310"/>
      <c r="BB67" s="310"/>
      <c r="BC67" s="310"/>
      <c r="BD67" s="310"/>
      <c r="BE67" s="310"/>
      <c r="BF67" s="310"/>
      <c r="BG67" s="310"/>
      <c r="BH67" s="310"/>
      <c r="BI67" s="310"/>
      <c r="BJ67" s="310"/>
      <c r="BK67" s="310"/>
      <c r="BL67" s="310"/>
      <c r="BM67" s="310"/>
      <c r="BN67" s="310"/>
      <c r="BO67" s="310"/>
      <c r="BP67" s="310"/>
      <c r="BQ67" s="310"/>
      <c r="BR67" s="310"/>
      <c r="BS67" s="310"/>
      <c r="BT67" s="310"/>
      <c r="BU67" s="310"/>
      <c r="BV67" s="310"/>
      <c r="BW67" s="310"/>
      <c r="BX67" s="310"/>
      <c r="BY67" s="310"/>
      <c r="BZ67" s="310"/>
      <c r="CA67" s="310"/>
      <c r="CB67" s="310"/>
      <c r="CC67" s="310"/>
      <c r="CD67" s="310"/>
      <c r="CE67" s="310"/>
      <c r="CF67" s="310"/>
      <c r="CG67" s="310"/>
      <c r="CH67" s="310"/>
      <c r="CI67" s="310"/>
      <c r="CJ67" s="310"/>
      <c r="CK67" s="310"/>
      <c r="CL67" s="310"/>
      <c r="CM67" s="310"/>
      <c r="CN67" s="310"/>
      <c r="CO67" s="311"/>
      <c r="CP67" s="820"/>
    </row>
    <row r="68" spans="8:94" ht="15.75" customHeight="1" x14ac:dyDescent="0.25">
      <c r="H68" s="316"/>
      <c r="I68" s="316"/>
      <c r="J68" s="316"/>
      <c r="Q68" s="820"/>
      <c r="R68" s="820"/>
      <c r="S68" s="820"/>
      <c r="T68" s="820"/>
      <c r="U68" s="820"/>
      <c r="V68" s="820"/>
      <c r="W68" s="311"/>
      <c r="X68" s="311"/>
      <c r="Y68" s="311"/>
      <c r="Z68" s="1416" t="s">
        <v>674</v>
      </c>
      <c r="AA68" s="1416"/>
      <c r="AB68" s="1416"/>
      <c r="AC68" s="1416"/>
      <c r="AD68" s="1416"/>
      <c r="AE68" s="1416"/>
      <c r="AF68" s="1416"/>
      <c r="AG68" s="1416"/>
      <c r="AH68" s="1416"/>
      <c r="AI68" s="1416"/>
      <c r="AJ68" s="310"/>
      <c r="AK68" s="310"/>
      <c r="AL68" s="1423" t="s">
        <v>199</v>
      </c>
      <c r="AM68" s="1423"/>
      <c r="AN68" s="1423"/>
      <c r="AO68" s="1423"/>
      <c r="AP68" s="1423"/>
      <c r="AQ68" s="1423"/>
      <c r="AR68" s="1423"/>
      <c r="AS68" s="1423"/>
      <c r="AT68" s="1423"/>
      <c r="AU68" s="1423"/>
      <c r="AV68" s="1423"/>
      <c r="AW68" s="1423"/>
      <c r="AX68" s="1423"/>
      <c r="AY68" s="1423"/>
      <c r="AZ68" s="1423"/>
      <c r="BA68" s="1423"/>
      <c r="BB68" s="310"/>
      <c r="BC68" s="310"/>
      <c r="BD68" s="310"/>
      <c r="BE68" s="310"/>
      <c r="BF68" s="310"/>
      <c r="BG68" s="310"/>
      <c r="BH68" s="310"/>
      <c r="BI68" s="310"/>
      <c r="BJ68" s="310"/>
      <c r="BK68" s="310"/>
      <c r="BL68" s="310"/>
      <c r="BM68" s="310"/>
      <c r="BN68" s="310"/>
      <c r="BO68" s="310"/>
      <c r="BP68" s="310"/>
      <c r="BQ68" s="310"/>
      <c r="BR68" s="310"/>
      <c r="BS68" s="310"/>
      <c r="BT68" s="310"/>
      <c r="BU68" s="310"/>
      <c r="BV68" s="310"/>
      <c r="BW68" s="310"/>
      <c r="BX68" s="310"/>
      <c r="BY68" s="310"/>
      <c r="BZ68" s="310"/>
      <c r="CA68" s="310"/>
      <c r="CB68" s="310"/>
      <c r="CC68" s="310"/>
      <c r="CD68" s="310"/>
      <c r="CE68" s="310"/>
      <c r="CF68" s="310"/>
      <c r="CG68" s="310"/>
      <c r="CH68" s="310"/>
      <c r="CI68" s="310"/>
      <c r="CJ68" s="310"/>
      <c r="CK68" s="310"/>
      <c r="CL68" s="310"/>
      <c r="CM68" s="310"/>
      <c r="CN68" s="310"/>
      <c r="CO68" s="311"/>
      <c r="CP68" s="820"/>
    </row>
    <row r="69" spans="8:94" ht="15" customHeight="1" x14ac:dyDescent="0.25">
      <c r="H69" s="316"/>
      <c r="I69" s="316"/>
      <c r="J69" s="316"/>
      <c r="Q69" s="820"/>
      <c r="R69" s="820"/>
      <c r="S69" s="820"/>
      <c r="T69" s="820"/>
      <c r="U69" s="820"/>
      <c r="V69" s="820"/>
      <c r="W69" s="311"/>
      <c r="X69" s="311"/>
      <c r="Y69" s="311"/>
      <c r="Z69" s="311"/>
      <c r="AA69" s="311"/>
      <c r="AB69" s="311"/>
      <c r="AC69" s="311"/>
      <c r="AD69" s="311"/>
      <c r="AE69" s="311"/>
      <c r="AF69" s="311"/>
      <c r="AG69" s="311"/>
      <c r="AH69" s="311"/>
      <c r="AI69" s="310"/>
      <c r="AJ69" s="310"/>
      <c r="AK69" s="310"/>
      <c r="AL69" s="310"/>
      <c r="AM69" s="310"/>
      <c r="AN69" s="310"/>
      <c r="AO69" s="310"/>
      <c r="AP69" s="310"/>
      <c r="AQ69" s="310"/>
      <c r="AR69" s="310"/>
      <c r="AS69" s="310"/>
      <c r="AT69" s="310"/>
      <c r="AU69" s="310"/>
      <c r="AV69" s="310"/>
      <c r="AW69" s="310"/>
      <c r="AX69" s="310"/>
      <c r="AY69" s="310"/>
      <c r="AZ69" s="310"/>
      <c r="BA69" s="310"/>
      <c r="BB69" s="310"/>
      <c r="BC69" s="310"/>
      <c r="BD69" s="310"/>
      <c r="BE69" s="310"/>
      <c r="BF69" s="310"/>
      <c r="BG69" s="310"/>
      <c r="BH69" s="310"/>
      <c r="BI69" s="310"/>
      <c r="BJ69" s="310"/>
      <c r="BK69" s="310"/>
      <c r="BL69" s="310"/>
      <c r="BM69" s="310"/>
      <c r="BN69" s="310"/>
      <c r="BO69" s="310"/>
      <c r="BP69" s="310"/>
      <c r="BQ69" s="310"/>
      <c r="BR69" s="310"/>
      <c r="BS69" s="310"/>
      <c r="BT69" s="310"/>
      <c r="BU69" s="310"/>
      <c r="BV69" s="310"/>
      <c r="BW69" s="310"/>
      <c r="BX69" s="310"/>
      <c r="BY69" s="310"/>
      <c r="BZ69" s="310"/>
      <c r="CA69" s="310"/>
      <c r="CB69" s="310"/>
      <c r="CC69" s="310"/>
      <c r="CD69" s="310"/>
      <c r="CE69" s="310"/>
      <c r="CF69" s="310"/>
      <c r="CG69" s="310"/>
      <c r="CH69" s="310"/>
      <c r="CI69" s="310"/>
      <c r="CJ69" s="310"/>
      <c r="CK69" s="310"/>
      <c r="CL69" s="310"/>
      <c r="CM69" s="310"/>
      <c r="CN69" s="310"/>
      <c r="CO69" s="311"/>
      <c r="CP69" s="820"/>
    </row>
    <row r="70" spans="8:94" ht="15" customHeight="1" x14ac:dyDescent="0.25">
      <c r="H70" s="316"/>
      <c r="I70" s="316"/>
      <c r="J70" s="316"/>
      <c r="Q70" s="820"/>
      <c r="R70" s="820"/>
      <c r="S70" s="820"/>
      <c r="T70" s="820"/>
      <c r="U70" s="820"/>
      <c r="V70" s="820"/>
      <c r="W70" s="311"/>
      <c r="X70" s="311"/>
      <c r="Y70" s="311"/>
      <c r="Z70" s="1422" t="s">
        <v>675</v>
      </c>
      <c r="AA70" s="1422"/>
      <c r="AB70" s="1422"/>
      <c r="AC70" s="1422"/>
      <c r="AD70" s="1422"/>
      <c r="AE70" s="1422"/>
      <c r="AF70" s="1422"/>
      <c r="AG70" s="1422"/>
      <c r="AH70" s="1422"/>
      <c r="AI70" s="1422"/>
      <c r="AJ70" s="310"/>
      <c r="AK70" s="310"/>
      <c r="AL70" s="1421" t="s">
        <v>320</v>
      </c>
      <c r="AM70" s="1421"/>
      <c r="AN70" s="1421"/>
      <c r="AO70" s="1421"/>
      <c r="AP70" s="1421"/>
      <c r="AQ70" s="1421"/>
      <c r="AR70" s="1421"/>
      <c r="AS70" s="1421"/>
      <c r="AT70" s="1421"/>
      <c r="AU70" s="1421"/>
      <c r="AV70" s="1421"/>
      <c r="AW70" s="1421"/>
      <c r="AX70" s="1421"/>
      <c r="AY70" s="1421"/>
      <c r="AZ70" s="1421"/>
      <c r="BA70" s="1421"/>
      <c r="BB70" s="1421"/>
      <c r="BC70" s="1421"/>
      <c r="BD70" s="1421"/>
      <c r="BE70" s="1421"/>
      <c r="BF70" s="1421"/>
      <c r="BG70" s="1421"/>
      <c r="BH70" s="1421"/>
      <c r="BI70" s="1421"/>
      <c r="BJ70" s="1421"/>
      <c r="BK70" s="1421"/>
      <c r="BL70" s="1421"/>
      <c r="BM70" s="1421"/>
      <c r="BN70" s="1421"/>
      <c r="BO70" s="1421"/>
      <c r="BP70" s="1421"/>
      <c r="BQ70" s="1421"/>
      <c r="BR70" s="1421"/>
      <c r="BS70" s="1421"/>
      <c r="BT70" s="1421"/>
      <c r="BU70" s="1421"/>
      <c r="BV70" s="1421"/>
      <c r="BW70" s="1421"/>
      <c r="BX70" s="1421"/>
      <c r="BY70" s="1421"/>
      <c r="BZ70" s="1421"/>
      <c r="CA70" s="1421"/>
      <c r="CB70" s="1421"/>
      <c r="CC70" s="1421"/>
      <c r="CD70" s="1421"/>
      <c r="CE70" s="310"/>
      <c r="CF70" s="310"/>
      <c r="CG70" s="310"/>
      <c r="CH70" s="310"/>
      <c r="CI70" s="310"/>
      <c r="CJ70" s="310"/>
      <c r="CK70" s="310"/>
      <c r="CL70" s="310"/>
      <c r="CM70" s="310"/>
      <c r="CN70" s="310"/>
      <c r="CO70" s="311"/>
      <c r="CP70" s="820"/>
    </row>
    <row r="71" spans="8:94" ht="15" customHeight="1" x14ac:dyDescent="0.25">
      <c r="H71" s="316"/>
      <c r="I71" s="316"/>
      <c r="J71" s="316"/>
      <c r="Q71" s="820"/>
      <c r="R71" s="820"/>
      <c r="S71" s="820"/>
      <c r="T71" s="820"/>
      <c r="U71" s="820"/>
      <c r="V71" s="820"/>
      <c r="W71" s="311"/>
      <c r="X71" s="311"/>
      <c r="Y71" s="311"/>
      <c r="Z71" s="1422"/>
      <c r="AA71" s="1422"/>
      <c r="AB71" s="1422"/>
      <c r="AC71" s="1422"/>
      <c r="AD71" s="1422"/>
      <c r="AE71" s="1422"/>
      <c r="AF71" s="1422"/>
      <c r="AG71" s="1422"/>
      <c r="AH71" s="1422"/>
      <c r="AI71" s="1422"/>
      <c r="AJ71" s="310"/>
      <c r="AK71" s="310"/>
      <c r="AL71" s="1421"/>
      <c r="AM71" s="1421"/>
      <c r="AN71" s="1421"/>
      <c r="AO71" s="1421"/>
      <c r="AP71" s="1421"/>
      <c r="AQ71" s="1421"/>
      <c r="AR71" s="1421"/>
      <c r="AS71" s="1421"/>
      <c r="AT71" s="1421"/>
      <c r="AU71" s="1421"/>
      <c r="AV71" s="1421"/>
      <c r="AW71" s="1421"/>
      <c r="AX71" s="1421"/>
      <c r="AY71" s="1421"/>
      <c r="AZ71" s="1421"/>
      <c r="BA71" s="1421"/>
      <c r="BB71" s="1421"/>
      <c r="BC71" s="1421"/>
      <c r="BD71" s="1421"/>
      <c r="BE71" s="1421"/>
      <c r="BF71" s="1421"/>
      <c r="BG71" s="1421"/>
      <c r="BH71" s="1421"/>
      <c r="BI71" s="1421"/>
      <c r="BJ71" s="1421"/>
      <c r="BK71" s="1421"/>
      <c r="BL71" s="1421"/>
      <c r="BM71" s="1421"/>
      <c r="BN71" s="1421"/>
      <c r="BO71" s="1421"/>
      <c r="BP71" s="1421"/>
      <c r="BQ71" s="1421"/>
      <c r="BR71" s="1421"/>
      <c r="BS71" s="1421"/>
      <c r="BT71" s="1421"/>
      <c r="BU71" s="1421"/>
      <c r="BV71" s="1421"/>
      <c r="BW71" s="1421"/>
      <c r="BX71" s="1421"/>
      <c r="BY71" s="1421"/>
      <c r="BZ71" s="1421"/>
      <c r="CA71" s="1421"/>
      <c r="CB71" s="1421"/>
      <c r="CC71" s="1421"/>
      <c r="CD71" s="1421"/>
      <c r="CE71" s="310"/>
      <c r="CF71" s="310"/>
      <c r="CG71" s="310"/>
      <c r="CH71" s="310"/>
      <c r="CI71" s="310"/>
      <c r="CJ71" s="310"/>
      <c r="CK71" s="310"/>
      <c r="CL71" s="310"/>
      <c r="CM71" s="310"/>
      <c r="CN71" s="310"/>
      <c r="CO71" s="311"/>
      <c r="CP71" s="820"/>
    </row>
    <row r="72" spans="8:94" ht="15" customHeight="1" x14ac:dyDescent="0.25">
      <c r="H72" s="316"/>
      <c r="I72" s="316"/>
      <c r="J72" s="316"/>
      <c r="Q72" s="820"/>
      <c r="R72" s="820"/>
      <c r="S72" s="820"/>
      <c r="T72" s="820"/>
      <c r="U72" s="820"/>
      <c r="V72" s="820"/>
      <c r="W72" s="311"/>
      <c r="X72" s="311"/>
      <c r="Y72" s="311"/>
      <c r="Z72" s="1422"/>
      <c r="AA72" s="1422"/>
      <c r="AB72" s="1422"/>
      <c r="AC72" s="1422"/>
      <c r="AD72" s="1422"/>
      <c r="AE72" s="1422"/>
      <c r="AF72" s="1422"/>
      <c r="AG72" s="1422"/>
      <c r="AH72" s="1422"/>
      <c r="AI72" s="1422"/>
      <c r="AJ72" s="310"/>
      <c r="AK72" s="310"/>
      <c r="AL72" s="1421"/>
      <c r="AM72" s="1421"/>
      <c r="AN72" s="1421"/>
      <c r="AO72" s="1421"/>
      <c r="AP72" s="1421"/>
      <c r="AQ72" s="1421"/>
      <c r="AR72" s="1421"/>
      <c r="AS72" s="1421"/>
      <c r="AT72" s="1421"/>
      <c r="AU72" s="1421"/>
      <c r="AV72" s="1421"/>
      <c r="AW72" s="1421"/>
      <c r="AX72" s="1421"/>
      <c r="AY72" s="1421"/>
      <c r="AZ72" s="1421"/>
      <c r="BA72" s="1421"/>
      <c r="BB72" s="1421"/>
      <c r="BC72" s="1421"/>
      <c r="BD72" s="1421"/>
      <c r="BE72" s="1421"/>
      <c r="BF72" s="1421"/>
      <c r="BG72" s="1421"/>
      <c r="BH72" s="1421"/>
      <c r="BI72" s="1421"/>
      <c r="BJ72" s="1421"/>
      <c r="BK72" s="1421"/>
      <c r="BL72" s="1421"/>
      <c r="BM72" s="1421"/>
      <c r="BN72" s="1421"/>
      <c r="BO72" s="1421"/>
      <c r="BP72" s="1421"/>
      <c r="BQ72" s="1421"/>
      <c r="BR72" s="1421"/>
      <c r="BS72" s="1421"/>
      <c r="BT72" s="1421"/>
      <c r="BU72" s="1421"/>
      <c r="BV72" s="1421"/>
      <c r="BW72" s="1421"/>
      <c r="BX72" s="1421"/>
      <c r="BY72" s="1421"/>
      <c r="BZ72" s="1421"/>
      <c r="CA72" s="1421"/>
      <c r="CB72" s="1421"/>
      <c r="CC72" s="1421"/>
      <c r="CD72" s="1421"/>
      <c r="CE72" s="310"/>
      <c r="CF72" s="310"/>
      <c r="CG72" s="310"/>
      <c r="CH72" s="310"/>
      <c r="CI72" s="310"/>
      <c r="CJ72" s="310"/>
      <c r="CK72" s="310"/>
      <c r="CL72" s="310"/>
      <c r="CM72" s="310"/>
      <c r="CN72" s="310"/>
      <c r="CO72" s="311"/>
      <c r="CP72" s="820"/>
    </row>
    <row r="73" spans="8:94" ht="15" customHeight="1" x14ac:dyDescent="0.25">
      <c r="H73" s="316"/>
      <c r="I73" s="316"/>
      <c r="J73" s="316"/>
      <c r="Q73" s="820"/>
      <c r="R73" s="820"/>
      <c r="S73" s="820"/>
      <c r="T73" s="820"/>
      <c r="U73" s="820"/>
      <c r="V73" s="820"/>
      <c r="W73" s="311"/>
      <c r="X73" s="311"/>
      <c r="Y73" s="311"/>
      <c r="Z73" s="311"/>
      <c r="AA73" s="311"/>
      <c r="AB73" s="311"/>
      <c r="AC73" s="311"/>
      <c r="AD73" s="311"/>
      <c r="AE73" s="311"/>
      <c r="AF73" s="311"/>
      <c r="AG73" s="311"/>
      <c r="AH73" s="311"/>
      <c r="AI73" s="310"/>
      <c r="AJ73" s="310"/>
      <c r="AK73" s="310"/>
      <c r="AL73" s="310"/>
      <c r="AM73" s="310"/>
      <c r="AN73" s="310"/>
      <c r="AO73" s="310"/>
      <c r="AP73" s="310"/>
      <c r="AQ73" s="310"/>
      <c r="AR73" s="310"/>
      <c r="AS73" s="310"/>
      <c r="AT73" s="310"/>
      <c r="AU73" s="310"/>
      <c r="AV73" s="310"/>
      <c r="AW73" s="310"/>
      <c r="AX73" s="310"/>
      <c r="AY73" s="310"/>
      <c r="AZ73" s="310"/>
      <c r="BA73" s="310"/>
      <c r="BB73" s="310"/>
      <c r="BC73" s="310"/>
      <c r="BD73" s="310"/>
      <c r="BE73" s="310"/>
      <c r="BF73" s="310"/>
      <c r="BG73" s="310"/>
      <c r="BH73" s="310"/>
      <c r="BI73" s="310"/>
      <c r="BJ73" s="310"/>
      <c r="BK73" s="310"/>
      <c r="BL73" s="310"/>
      <c r="BM73" s="310"/>
      <c r="BN73" s="310"/>
      <c r="BO73" s="310"/>
      <c r="BP73" s="310"/>
      <c r="BQ73" s="310"/>
      <c r="BR73" s="310"/>
      <c r="BS73" s="310"/>
      <c r="BT73" s="310"/>
      <c r="BU73" s="310"/>
      <c r="BV73" s="310"/>
      <c r="BW73" s="310"/>
      <c r="BX73" s="310"/>
      <c r="BY73" s="310"/>
      <c r="BZ73" s="310"/>
      <c r="CA73" s="310"/>
      <c r="CB73" s="310"/>
      <c r="CC73" s="310"/>
      <c r="CD73" s="310"/>
      <c r="CE73" s="310"/>
      <c r="CF73" s="310"/>
      <c r="CG73" s="310"/>
      <c r="CH73" s="310"/>
      <c r="CI73" s="310"/>
      <c r="CJ73" s="310"/>
      <c r="CK73" s="310"/>
      <c r="CL73" s="310"/>
      <c r="CM73" s="310"/>
      <c r="CN73" s="310"/>
      <c r="CO73" s="311"/>
      <c r="CP73" s="820"/>
    </row>
    <row r="74" spans="8:94" ht="15.75" customHeight="1" x14ac:dyDescent="0.25">
      <c r="H74" s="316"/>
      <c r="I74" s="316"/>
      <c r="J74" s="316"/>
      <c r="Q74" s="820"/>
      <c r="R74" s="820"/>
      <c r="S74" s="820"/>
      <c r="T74" s="820"/>
      <c r="U74" s="820"/>
      <c r="V74" s="820"/>
      <c r="W74" s="311"/>
      <c r="X74" s="311"/>
      <c r="Y74" s="311"/>
      <c r="Z74" s="1416" t="s">
        <v>321</v>
      </c>
      <c r="AA74" s="1416"/>
      <c r="AB74" s="1416"/>
      <c r="AC74" s="1416"/>
      <c r="AD74" s="1416"/>
      <c r="AE74" s="1416"/>
      <c r="AF74" s="1416"/>
      <c r="AG74" s="1416"/>
      <c r="AH74" s="1416"/>
      <c r="AI74" s="1416"/>
      <c r="AJ74" s="310"/>
      <c r="AK74" s="310"/>
      <c r="AL74" s="1417" t="s">
        <v>425</v>
      </c>
      <c r="AM74" s="1418"/>
      <c r="AN74" s="1418"/>
      <c r="AO74" s="1418"/>
      <c r="AP74" s="1418"/>
      <c r="AQ74" s="1418"/>
      <c r="AR74" s="1418"/>
      <c r="AS74" s="1418"/>
      <c r="AT74" s="1418"/>
      <c r="AU74" s="1418"/>
      <c r="AV74" s="1418"/>
      <c r="AW74" s="1418"/>
      <c r="AX74" s="1418"/>
      <c r="AY74" s="1418"/>
      <c r="AZ74" s="1418"/>
      <c r="BA74" s="1418"/>
      <c r="BB74" s="310"/>
      <c r="BC74" s="310"/>
      <c r="BD74" s="310"/>
      <c r="BE74" s="310"/>
      <c r="BF74" s="310"/>
      <c r="BG74" s="310"/>
      <c r="BH74" s="310"/>
      <c r="BI74" s="310"/>
      <c r="BJ74" s="310"/>
      <c r="BK74" s="310"/>
      <c r="BL74" s="310"/>
      <c r="BM74" s="310"/>
      <c r="BN74" s="310"/>
      <c r="BO74" s="310"/>
      <c r="BP74" s="310"/>
      <c r="BQ74" s="310"/>
      <c r="BR74" s="310"/>
      <c r="BS74" s="310"/>
      <c r="BT74" s="310"/>
      <c r="BU74" s="310"/>
      <c r="BV74" s="310"/>
      <c r="BW74" s="310"/>
      <c r="BX74" s="310"/>
      <c r="BY74" s="310"/>
      <c r="BZ74" s="310"/>
      <c r="CA74" s="310"/>
      <c r="CB74" s="310"/>
      <c r="CC74" s="310"/>
      <c r="CD74" s="310"/>
      <c r="CE74" s="310"/>
      <c r="CF74" s="310"/>
      <c r="CG74" s="310"/>
      <c r="CH74" s="310"/>
      <c r="CI74" s="310"/>
      <c r="CJ74" s="310"/>
      <c r="CK74" s="310"/>
      <c r="CL74" s="310"/>
      <c r="CM74" s="310"/>
      <c r="CN74" s="310"/>
      <c r="CO74" s="311"/>
      <c r="CP74" s="820"/>
    </row>
    <row r="75" spans="8:94" x14ac:dyDescent="0.25">
      <c r="H75" s="316"/>
      <c r="I75" s="316"/>
      <c r="J75" s="316"/>
      <c r="Q75" s="311"/>
      <c r="R75" s="311"/>
      <c r="S75" s="311"/>
      <c r="T75" s="311"/>
      <c r="U75" s="311"/>
      <c r="V75" s="311"/>
      <c r="W75" s="311"/>
      <c r="X75" s="311"/>
      <c r="Y75" s="311"/>
      <c r="Z75" s="311"/>
      <c r="AA75" s="311"/>
      <c r="AB75" s="311"/>
      <c r="AC75" s="311"/>
      <c r="AD75" s="311"/>
      <c r="AE75" s="311"/>
      <c r="AF75" s="311"/>
      <c r="AG75" s="311"/>
      <c r="AH75" s="311"/>
      <c r="AI75" s="310"/>
      <c r="AJ75" s="310"/>
      <c r="AK75" s="310"/>
      <c r="AL75" s="310"/>
      <c r="AM75" s="310"/>
      <c r="AN75" s="310"/>
      <c r="AO75" s="310"/>
      <c r="AP75" s="310"/>
      <c r="AQ75" s="310"/>
      <c r="AR75" s="310"/>
      <c r="AS75" s="310"/>
      <c r="AT75" s="310"/>
      <c r="AU75" s="310"/>
      <c r="AV75" s="310"/>
      <c r="AW75" s="310"/>
      <c r="AX75" s="310"/>
      <c r="AY75" s="310"/>
      <c r="AZ75" s="310"/>
      <c r="BA75" s="310"/>
      <c r="BB75" s="310"/>
      <c r="BC75" s="310"/>
      <c r="BD75" s="310"/>
      <c r="BE75" s="310"/>
      <c r="BF75" s="310"/>
      <c r="BG75" s="310"/>
      <c r="BH75" s="310"/>
      <c r="BI75" s="310"/>
      <c r="BJ75" s="310"/>
      <c r="BK75" s="310"/>
      <c r="BL75" s="310"/>
      <c r="BM75" s="310"/>
      <c r="BN75" s="310"/>
      <c r="BO75" s="310"/>
      <c r="BP75" s="310"/>
      <c r="BQ75" s="310"/>
      <c r="BR75" s="310"/>
      <c r="BS75" s="310"/>
      <c r="BT75" s="310"/>
      <c r="BU75" s="310"/>
      <c r="BV75" s="310"/>
      <c r="BW75" s="310"/>
      <c r="BX75" s="310"/>
      <c r="BY75" s="310"/>
      <c r="BZ75" s="310"/>
      <c r="CA75" s="310"/>
      <c r="CB75" s="310"/>
      <c r="CC75" s="310"/>
      <c r="CD75" s="310"/>
      <c r="CE75" s="310"/>
      <c r="CF75" s="310"/>
      <c r="CG75" s="310"/>
      <c r="CH75" s="310"/>
      <c r="CI75" s="310"/>
      <c r="CJ75" s="310"/>
      <c r="CK75" s="310"/>
      <c r="CL75" s="310"/>
      <c r="CM75" s="310"/>
      <c r="CN75" s="310"/>
      <c r="CO75" s="311"/>
      <c r="CP75" s="311"/>
    </row>
    <row r="76" spans="8:94" x14ac:dyDescent="0.25">
      <c r="H76" s="316"/>
      <c r="I76" s="316"/>
      <c r="J76" s="316"/>
      <c r="Q76" s="311"/>
      <c r="R76" s="311"/>
      <c r="S76" s="311"/>
      <c r="T76" s="311"/>
      <c r="U76" s="311"/>
      <c r="V76" s="311"/>
      <c r="W76" s="311"/>
      <c r="X76" s="311"/>
      <c r="Y76" s="311"/>
      <c r="Z76" s="311"/>
      <c r="AA76" s="311"/>
      <c r="AB76" s="311"/>
      <c r="AC76" s="311"/>
      <c r="AD76" s="311"/>
      <c r="AE76" s="311"/>
      <c r="AF76" s="311"/>
      <c r="AG76" s="311"/>
      <c r="AH76" s="311"/>
      <c r="AI76" s="310"/>
      <c r="AJ76" s="310"/>
      <c r="AK76" s="310"/>
      <c r="AL76" s="310"/>
      <c r="AM76" s="310"/>
      <c r="AN76" s="310"/>
      <c r="AO76" s="310"/>
      <c r="AP76" s="310"/>
      <c r="AQ76" s="310"/>
      <c r="AR76" s="310"/>
      <c r="AS76" s="310"/>
      <c r="AT76" s="310"/>
      <c r="AU76" s="310"/>
      <c r="AV76" s="310"/>
      <c r="AW76" s="310"/>
      <c r="AX76" s="310"/>
      <c r="AY76" s="310"/>
      <c r="AZ76" s="310"/>
      <c r="BA76" s="310"/>
      <c r="BB76" s="310"/>
      <c r="BC76" s="310"/>
      <c r="BD76" s="310"/>
      <c r="BE76" s="310"/>
      <c r="BF76" s="310"/>
      <c r="BG76" s="310"/>
      <c r="BH76" s="310"/>
      <c r="BI76" s="310"/>
      <c r="BJ76" s="310"/>
      <c r="BK76" s="310"/>
      <c r="BL76" s="310"/>
      <c r="BM76" s="310"/>
      <c r="BN76" s="310"/>
      <c r="BO76" s="310"/>
      <c r="BP76" s="310"/>
      <c r="BQ76" s="310"/>
      <c r="BR76" s="310"/>
      <c r="BS76" s="310"/>
      <c r="BT76" s="310"/>
      <c r="BU76" s="310"/>
      <c r="BV76" s="310"/>
      <c r="BW76" s="310"/>
      <c r="BX76" s="310"/>
      <c r="BY76" s="310"/>
      <c r="BZ76" s="310"/>
      <c r="CA76" s="310"/>
      <c r="CB76" s="310"/>
      <c r="CC76" s="310"/>
      <c r="CD76" s="310"/>
      <c r="CE76" s="310"/>
      <c r="CF76" s="310"/>
      <c r="CG76" s="310"/>
      <c r="CH76" s="310"/>
      <c r="CI76" s="310"/>
      <c r="CJ76" s="310"/>
      <c r="CK76" s="310"/>
      <c r="CL76" s="310"/>
      <c r="CM76" s="310"/>
      <c r="CN76" s="310"/>
      <c r="CO76" s="311"/>
      <c r="CP76" s="311"/>
    </row>
    <row r="77" spans="8:94" ht="15.75" x14ac:dyDescent="0.25">
      <c r="H77" s="5"/>
      <c r="I77" s="5"/>
      <c r="J77" s="5"/>
      <c r="Q77" s="308"/>
      <c r="R77" s="308"/>
      <c r="S77" s="308"/>
      <c r="T77" s="308"/>
      <c r="U77" s="308"/>
      <c r="V77" s="308"/>
      <c r="W77" s="308"/>
      <c r="X77" s="308"/>
      <c r="Y77" s="308"/>
      <c r="Z77" s="308"/>
      <c r="AA77" s="308"/>
      <c r="AB77" s="308"/>
      <c r="AC77" s="308"/>
      <c r="AD77" s="308"/>
      <c r="AE77" s="308"/>
      <c r="AF77" s="308"/>
      <c r="AG77" s="308"/>
      <c r="AH77" s="308"/>
      <c r="AI77" s="299"/>
      <c r="AJ77" s="299"/>
      <c r="AK77" s="299"/>
      <c r="AL77" s="299"/>
      <c r="AM77" s="299"/>
      <c r="AN77" s="299"/>
      <c r="AO77" s="299"/>
      <c r="AP77" s="299"/>
      <c r="AQ77" s="299"/>
      <c r="AR77" s="299"/>
      <c r="AS77" s="299"/>
      <c r="AT77" s="299"/>
      <c r="AU77" s="299"/>
      <c r="AV77" s="299"/>
      <c r="AW77" s="299"/>
      <c r="AX77" s="299"/>
      <c r="AY77" s="299"/>
      <c r="AZ77" s="299"/>
      <c r="BA77" s="299"/>
      <c r="BB77" s="299"/>
      <c r="BC77" s="299"/>
      <c r="BD77" s="299"/>
      <c r="BE77" s="299"/>
      <c r="BF77" s="299"/>
      <c r="BG77" s="299"/>
      <c r="BH77" s="299"/>
      <c r="BI77" s="299"/>
      <c r="BJ77" s="299"/>
      <c r="BK77" s="299"/>
      <c r="BL77" s="299"/>
      <c r="BM77" s="299"/>
      <c r="BN77" s="299"/>
      <c r="BO77" s="299"/>
      <c r="BP77" s="299"/>
      <c r="BQ77" s="299"/>
      <c r="BR77" s="299"/>
      <c r="BS77" s="299"/>
      <c r="BT77" s="299"/>
      <c r="BU77" s="299"/>
      <c r="BV77" s="299"/>
      <c r="BW77" s="299"/>
      <c r="BX77" s="299"/>
      <c r="BY77" s="299"/>
      <c r="BZ77" s="299"/>
      <c r="CA77" s="299"/>
      <c r="CB77" s="299"/>
      <c r="CC77" s="299"/>
      <c r="CD77" s="299"/>
      <c r="CE77" s="299"/>
      <c r="CF77" s="299"/>
      <c r="CG77" s="299"/>
      <c r="CH77" s="299"/>
      <c r="CI77" s="299"/>
      <c r="CJ77" s="299"/>
      <c r="CK77" s="299"/>
      <c r="CL77" s="299"/>
      <c r="CM77" s="299"/>
      <c r="CN77" s="299"/>
      <c r="CO77" s="308"/>
      <c r="CP77" s="308"/>
    </row>
  </sheetData>
  <sheetProtection algorithmName="SHA-256" hashValue="WwDmXB/ilpoh0aj0NwoM8myaLI9SVpTIjd4lfq1diWQ=" saltValue="R/2tNfOmLp1NhG0RvV4l3A==" spinCount="100000" sheet="1" objects="1" scenarios="1" formatCells="0" insertRows="0" deleteRows="0"/>
  <mergeCells count="102">
    <mergeCell ref="AL54:AS54"/>
    <mergeCell ref="AU50:BB50"/>
    <mergeCell ref="AL32:BG32"/>
    <mergeCell ref="AL33:BG33"/>
    <mergeCell ref="AL34:BG34"/>
    <mergeCell ref="AL44:AS44"/>
    <mergeCell ref="AU44:BB44"/>
    <mergeCell ref="BD44:BK44"/>
    <mergeCell ref="Z50:AI50"/>
    <mergeCell ref="AL50:AS50"/>
    <mergeCell ref="AU42:BB42"/>
    <mergeCell ref="BD50:BK50"/>
    <mergeCell ref="BD42:BK42"/>
    <mergeCell ref="AU48:BB48"/>
    <mergeCell ref="BD48:BK48"/>
    <mergeCell ref="Z42:AI42"/>
    <mergeCell ref="Z46:AI46"/>
    <mergeCell ref="AL42:AS42"/>
    <mergeCell ref="AU52:BB52"/>
    <mergeCell ref="BV52:CC52"/>
    <mergeCell ref="BM52:BT52"/>
    <mergeCell ref="BI23:BO23"/>
    <mergeCell ref="BI24:BO24"/>
    <mergeCell ref="BI32:BO32"/>
    <mergeCell ref="BQ26:BS26"/>
    <mergeCell ref="BI34:BO34"/>
    <mergeCell ref="BI33:BO33"/>
    <mergeCell ref="Z74:AI74"/>
    <mergeCell ref="AL74:BA74"/>
    <mergeCell ref="Z56:AI56"/>
    <mergeCell ref="Z64:AI64"/>
    <mergeCell ref="Z66:AI66"/>
    <mergeCell ref="AL56:AS56"/>
    <mergeCell ref="Z62:AI62"/>
    <mergeCell ref="AL62:BA62"/>
    <mergeCell ref="AL70:CD72"/>
    <mergeCell ref="Z68:AI68"/>
    <mergeCell ref="Z70:AI72"/>
    <mergeCell ref="AL64:BA64"/>
    <mergeCell ref="AL66:BA66"/>
    <mergeCell ref="AL68:BA68"/>
    <mergeCell ref="Z54:AI54"/>
    <mergeCell ref="AU46:BB46"/>
    <mergeCell ref="AL25:AZ25"/>
    <mergeCell ref="BI26:BO26"/>
    <mergeCell ref="AL52:AS52"/>
    <mergeCell ref="AL48:AS48"/>
    <mergeCell ref="BM44:BT44"/>
    <mergeCell ref="BM51:BT51"/>
    <mergeCell ref="BM47:BT47"/>
    <mergeCell ref="BD47:BK47"/>
    <mergeCell ref="BD51:BK51"/>
    <mergeCell ref="AL46:AS46"/>
    <mergeCell ref="BD52:BK52"/>
    <mergeCell ref="V24:AJ24"/>
    <mergeCell ref="BV46:CC46"/>
    <mergeCell ref="BM46:BT46"/>
    <mergeCell ref="BV47:CC47"/>
    <mergeCell ref="BD46:BK46"/>
    <mergeCell ref="AU51:BB51"/>
    <mergeCell ref="AU47:BB47"/>
    <mergeCell ref="AL47:AS47"/>
    <mergeCell ref="AL51:AS51"/>
    <mergeCell ref="BQ32:CL32"/>
    <mergeCell ref="BV50:CC50"/>
    <mergeCell ref="BQ33:CL33"/>
    <mergeCell ref="BQ34:CL34"/>
    <mergeCell ref="BV44:CC44"/>
    <mergeCell ref="BV42:CC42"/>
    <mergeCell ref="BV51:CC51"/>
    <mergeCell ref="AL26:AN26"/>
    <mergeCell ref="BV48:CC48"/>
    <mergeCell ref="V26:AJ26"/>
    <mergeCell ref="AX26:AZ26"/>
    <mergeCell ref="BI25:BO25"/>
    <mergeCell ref="BM50:BT50"/>
    <mergeCell ref="BM42:BT42"/>
    <mergeCell ref="BM48:BT48"/>
    <mergeCell ref="H1:P3"/>
    <mergeCell ref="V7:BX7"/>
    <mergeCell ref="V25:AJ25"/>
    <mergeCell ref="AL43:AS43"/>
    <mergeCell ref="AU43:BB43"/>
    <mergeCell ref="BD43:BK43"/>
    <mergeCell ref="BM43:BT43"/>
    <mergeCell ref="V4:BF4"/>
    <mergeCell ref="Q9:CP9"/>
    <mergeCell ref="BQ23:CL23"/>
    <mergeCell ref="BQ24:CL24"/>
    <mergeCell ref="CC26:CE26"/>
    <mergeCell ref="BQ25:CE25"/>
    <mergeCell ref="AL23:BG23"/>
    <mergeCell ref="AL24:BG24"/>
    <mergeCell ref="V32:AJ32"/>
    <mergeCell ref="V23:AJ23"/>
    <mergeCell ref="V17:AJ17"/>
    <mergeCell ref="AL17:AW17"/>
    <mergeCell ref="V16:AJ16"/>
    <mergeCell ref="AL16:BG16"/>
    <mergeCell ref="BV43:CC43"/>
    <mergeCell ref="V33:AJ33"/>
    <mergeCell ref="V34:AJ34"/>
  </mergeCells>
  <conditionalFormatting sqref="AL43">
    <cfRule type="expression" dxfId="72" priority="73">
      <formula>dms_FRCPlength_Num&lt;6</formula>
    </cfRule>
  </conditionalFormatting>
  <conditionalFormatting sqref="AL44">
    <cfRule type="expression" dxfId="71" priority="29">
      <formula>dms_FRCPlength_Num&lt;11</formula>
    </cfRule>
  </conditionalFormatting>
  <conditionalFormatting sqref="AL47">
    <cfRule type="expression" dxfId="70" priority="68">
      <formula>dms_CRCPlength_Num&lt;6</formula>
    </cfRule>
  </conditionalFormatting>
  <conditionalFormatting sqref="AL48">
    <cfRule type="expression" dxfId="69" priority="19">
      <formula>dms_CRCPlength_Num&lt;11</formula>
    </cfRule>
  </conditionalFormatting>
  <conditionalFormatting sqref="AL51">
    <cfRule type="expression" dxfId="68" priority="10">
      <formula>dms_PRCPlength_Num&lt;6</formula>
    </cfRule>
  </conditionalFormatting>
  <conditionalFormatting sqref="AL52">
    <cfRule type="expression" dxfId="67" priority="9">
      <formula>dms_PRCPlength_Num&lt;11</formula>
    </cfRule>
  </conditionalFormatting>
  <conditionalFormatting sqref="AL42:AS42">
    <cfRule type="expression" dxfId="66" priority="31" stopIfTrue="1">
      <formula>(INDEX(dms_Model_Span_List,MATCH(dms_Model,dms_Model_List))&gt;1)</formula>
    </cfRule>
  </conditionalFormatting>
  <conditionalFormatting sqref="AL54:AS54">
    <cfRule type="expression" dxfId="65" priority="43" stopIfTrue="1">
      <formula>(INDEX(dms_Model_Span_List,MATCH(dms_Model,dms_Model_List))=1)</formula>
    </cfRule>
  </conditionalFormatting>
  <conditionalFormatting sqref="AL68:BA68">
    <cfRule type="cellIs" dxfId="64" priority="30" operator="equal">
      <formula>"Confidential"</formula>
    </cfRule>
  </conditionalFormatting>
  <conditionalFormatting sqref="AU43">
    <cfRule type="expression" dxfId="63" priority="72">
      <formula>dms_FRCPlength_Num&lt;7</formula>
    </cfRule>
  </conditionalFormatting>
  <conditionalFormatting sqref="AU44">
    <cfRule type="expression" dxfId="62" priority="14">
      <formula>dms_FRCPlength_Num&lt;11</formula>
    </cfRule>
  </conditionalFormatting>
  <conditionalFormatting sqref="AU47">
    <cfRule type="expression" dxfId="61" priority="23">
      <formula>dms_CRCPlength_Num&lt;7</formula>
    </cfRule>
  </conditionalFormatting>
  <conditionalFormatting sqref="AU48">
    <cfRule type="expression" dxfId="60" priority="18">
      <formula>dms_CRCPlength_Num&lt;12</formula>
    </cfRule>
  </conditionalFormatting>
  <conditionalFormatting sqref="AU51">
    <cfRule type="expression" dxfId="59" priority="8">
      <formula>dms_PRCPlength_Num&lt;7</formula>
    </cfRule>
  </conditionalFormatting>
  <conditionalFormatting sqref="AU52">
    <cfRule type="expression" dxfId="58" priority="4">
      <formula>dms_PRCPlength_Num&lt;12</formula>
    </cfRule>
  </conditionalFormatting>
  <conditionalFormatting sqref="BD43">
    <cfRule type="expression" dxfId="57" priority="71">
      <formula>dms_FRCPlength_Num&lt;8</formula>
    </cfRule>
  </conditionalFormatting>
  <conditionalFormatting sqref="BD44">
    <cfRule type="expression" dxfId="56" priority="13">
      <formula>dms_FRCPlength_Num&lt;11</formula>
    </cfRule>
  </conditionalFormatting>
  <conditionalFormatting sqref="BD47">
    <cfRule type="expression" dxfId="55" priority="22">
      <formula>dms_CRCPlength_Num&lt;8</formula>
    </cfRule>
  </conditionalFormatting>
  <conditionalFormatting sqref="BD48">
    <cfRule type="expression" dxfId="54" priority="17">
      <formula>dms_CRCPlength_Num&lt;13</formula>
    </cfRule>
  </conditionalFormatting>
  <conditionalFormatting sqref="BD51">
    <cfRule type="expression" dxfId="53" priority="7">
      <formula>dms_PRCPlength_Num&lt;8</formula>
    </cfRule>
  </conditionalFormatting>
  <conditionalFormatting sqref="BD52">
    <cfRule type="expression" dxfId="52" priority="3">
      <formula>dms_PRCPlength_Num&lt;13</formula>
    </cfRule>
  </conditionalFormatting>
  <conditionalFormatting sqref="BM43">
    <cfRule type="expression" dxfId="51" priority="24">
      <formula>dms_FRCPlength_Num&lt;9</formula>
    </cfRule>
  </conditionalFormatting>
  <conditionalFormatting sqref="BM44">
    <cfRule type="expression" dxfId="50" priority="12">
      <formula>dms_FRCPlength_Num&lt;11</formula>
    </cfRule>
  </conditionalFormatting>
  <conditionalFormatting sqref="BM47">
    <cfRule type="expression" dxfId="49" priority="21">
      <formula>dms_CRCPlength_Num&lt;9</formula>
    </cfRule>
  </conditionalFormatting>
  <conditionalFormatting sqref="BM48">
    <cfRule type="expression" dxfId="48" priority="16">
      <formula>dms_CRCPlength_Num&lt;14</formula>
    </cfRule>
  </conditionalFormatting>
  <conditionalFormatting sqref="BM51">
    <cfRule type="expression" dxfId="47" priority="6">
      <formula>dms_PRCPlength_Num&lt;9</formula>
    </cfRule>
  </conditionalFormatting>
  <conditionalFormatting sqref="BM52">
    <cfRule type="expression" dxfId="46" priority="2">
      <formula>dms_PRCPlength_Num&lt;14</formula>
    </cfRule>
  </conditionalFormatting>
  <conditionalFormatting sqref="BV43">
    <cfRule type="expression" dxfId="45" priority="69">
      <formula>dms_FRCPlength_Num&lt;10</formula>
    </cfRule>
  </conditionalFormatting>
  <conditionalFormatting sqref="BV44">
    <cfRule type="expression" dxfId="44" priority="11">
      <formula>dms_FRCPlength_Num&lt;11</formula>
    </cfRule>
  </conditionalFormatting>
  <conditionalFormatting sqref="BV47">
    <cfRule type="expression" dxfId="43" priority="20">
      <formula>dms_CRCPlength_Num&lt;10</formula>
    </cfRule>
  </conditionalFormatting>
  <conditionalFormatting sqref="BV48">
    <cfRule type="expression" dxfId="42" priority="15">
      <formula>dms_CRCPlength_Num&lt;15</formula>
    </cfRule>
  </conditionalFormatting>
  <conditionalFormatting sqref="BV51">
    <cfRule type="expression" dxfId="41" priority="5">
      <formula>dms_PRCPlength_Num&lt;10</formula>
    </cfRule>
  </conditionalFormatting>
  <conditionalFormatting sqref="BV52">
    <cfRule type="expression" dxfId="40" priority="1">
      <formula>dms_PRCPlength_Num&lt;15</formula>
    </cfRule>
  </conditionalFormatting>
  <dataValidations xWindow="994" yWindow="476" count="6">
    <dataValidation type="list" operator="lessThanOrEqual" showInputMessage="1" showErrorMessage="1" prompt="Please use drop down to select correct business name. ABN will auto populate." sqref="AL16:AN16" xr:uid="{00000000-0002-0000-0200-000000000000}">
      <formula1>dms_TradingName_List</formula1>
    </dataValidation>
    <dataValidation type="list" allowBlank="1" showInputMessage="1" showErrorMessage="1" sqref="AL64:BA64" xr:uid="{00000000-0002-0000-0200-000001000000}">
      <formula1>dms_SourceList</formula1>
    </dataValidation>
    <dataValidation type="list" allowBlank="1" showInputMessage="1" showErrorMessage="1" sqref="AL66:BA66" xr:uid="{00000000-0002-0000-0200-000002000000}">
      <formula1>dms_DataQuality_List</formula1>
    </dataValidation>
    <dataValidation type="list" allowBlank="1" showInputMessage="1" showErrorMessage="1" sqref="AL68:BA68" xr:uid="{00000000-0002-0000-0200-000003000000}">
      <formula1>dms_Confid_status_List</formula1>
    </dataValidation>
    <dataValidation allowBlank="1" showInputMessage="1" showErrorMessage="1" promptTitle="Submission Date" prompt="-- enter date file submitted to AER -- " sqref="AL74:BA74" xr:uid="{00000000-0002-0000-0200-000004000000}"/>
    <dataValidation type="list" allowBlank="1" showInputMessage="1" showErrorMessage="1" sqref="AL42:AS42 AL54:AS54 AL56:AS56" xr:uid="{00000000-0002-0000-0200-000005000000}">
      <formula1>INDIRECT(dms_RPT)</formula1>
    </dataValidation>
  </dataValidations>
  <pageMargins left="0.7" right="0.7" top="0.75" bottom="0.75" header="0.3" footer="0.3"/>
  <pageSetup orientation="portrait" r:id="rId1"/>
  <headerFooter>
    <oddFooter>&amp;C_x000D_&amp;1#&amp;"Aptos"&amp;10&amp;K008000 APA-INTERNAL</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7">
    <tabColor theme="3" tint="-0.249977111117893"/>
  </sheetPr>
  <dimension ref="B1:L10"/>
  <sheetViews>
    <sheetView showGridLines="0" zoomScale="70" zoomScaleNormal="70" workbookViewId="0">
      <selection activeCell="C16" sqref="C16"/>
    </sheetView>
  </sheetViews>
  <sheetFormatPr defaultColWidth="9.140625" defaultRowHeight="15" x14ac:dyDescent="0.25"/>
  <cols>
    <col min="1" max="1" width="22.7109375" customWidth="1"/>
    <col min="2" max="2" width="52" customWidth="1"/>
    <col min="3" max="12" width="20.7109375" customWidth="1"/>
  </cols>
  <sheetData>
    <row r="1" spans="2:12" ht="30.2" customHeight="1" x14ac:dyDescent="0.25">
      <c r="B1" s="422" t="str">
        <f>IF(dms_MultiYear_ResponseFlag="Yes","REGULATORY REPORTING STATEMENT - HISTORICAL INFORMATION",INDEX(dms_Worksheet_List,MATCH(dms_Model,dms_Model_List)))</f>
        <v>REGULATORY REPORTING STATEMENT</v>
      </c>
      <c r="C1" s="280"/>
      <c r="D1" s="280"/>
      <c r="E1" s="280"/>
      <c r="F1" s="280"/>
      <c r="G1" s="280"/>
      <c r="H1" s="280"/>
      <c r="I1" s="280"/>
      <c r="J1" s="280"/>
      <c r="K1" s="280"/>
      <c r="L1" s="280"/>
    </row>
    <row r="2" spans="2:12" ht="30.2" customHeight="1" x14ac:dyDescent="0.25">
      <c r="B2" s="424" t="str">
        <f>INDEX(dms_TradingNameFull_List,MATCH(dms_TradingName,dms_TradingName_List))</f>
        <v>APT Petroleum Pipelines Limited t/a Roma to Brisbane Pipeline</v>
      </c>
      <c r="C2" s="280"/>
      <c r="D2" s="280"/>
      <c r="E2" s="280"/>
      <c r="F2" s="280"/>
      <c r="G2" s="280"/>
      <c r="H2" s="280"/>
      <c r="I2" s="280"/>
      <c r="J2" s="280"/>
      <c r="K2" s="280"/>
      <c r="L2" s="280"/>
    </row>
    <row r="3" spans="2:12" ht="30.2" customHeight="1" x14ac:dyDescent="0.25">
      <c r="B3" s="423"/>
      <c r="C3" s="280"/>
      <c r="D3" s="280"/>
      <c r="E3" s="280"/>
      <c r="F3" s="280"/>
      <c r="G3" s="280"/>
      <c r="H3" s="280"/>
      <c r="I3" s="280"/>
      <c r="J3" s="280"/>
      <c r="K3" s="280"/>
      <c r="L3" s="280"/>
    </row>
    <row r="4" spans="2:12" ht="30.2" customHeight="1" x14ac:dyDescent="0.25">
      <c r="B4" s="263" t="s">
        <v>933</v>
      </c>
      <c r="C4" s="263"/>
      <c r="D4" s="263"/>
      <c r="E4" s="263"/>
      <c r="F4" s="263"/>
      <c r="G4" s="263"/>
      <c r="H4" s="263"/>
      <c r="I4" s="263"/>
      <c r="J4" s="263"/>
      <c r="K4" s="263"/>
      <c r="L4" s="263"/>
    </row>
    <row r="6" spans="2:12" ht="15.75" thickBot="1" x14ac:dyDescent="0.3"/>
    <row r="7" spans="2:12" ht="25.5" customHeight="1" thickBot="1" x14ac:dyDescent="0.3">
      <c r="B7" s="855" t="s">
        <v>934</v>
      </c>
      <c r="C7" s="1424"/>
      <c r="D7" s="1425"/>
      <c r="E7" s="1425"/>
      <c r="F7" s="1425"/>
      <c r="G7" s="1425"/>
      <c r="H7" s="1425"/>
      <c r="I7" s="1426"/>
    </row>
    <row r="8" spans="2:12" ht="15.75" thickBot="1" x14ac:dyDescent="0.3"/>
    <row r="9" spans="2:12" ht="15.75" thickBot="1" x14ac:dyDescent="0.3">
      <c r="C9" s="856" t="str">
        <f ca="1">CRCP_y1</f>
        <v>2022-23</v>
      </c>
      <c r="D9" s="857" t="str">
        <f ca="1">CRCP_y2</f>
        <v>2023-24</v>
      </c>
      <c r="E9" s="857" t="str">
        <f ca="1">CRCP_y3</f>
        <v>2024-25</v>
      </c>
      <c r="F9" s="857" t="str">
        <f ca="1">CRCP_y4</f>
        <v>2025-26</v>
      </c>
      <c r="G9" s="857" t="str">
        <f ca="1">CRCP_y5</f>
        <v>2026-27</v>
      </c>
      <c r="H9" s="858" t="str">
        <f>FRCP_y1</f>
        <v>2027-28</v>
      </c>
      <c r="I9" s="858" t="str">
        <f ca="1">FRCP_y2</f>
        <v>2028-29</v>
      </c>
      <c r="J9" s="858" t="str">
        <f ca="1">FRCP_y3</f>
        <v>2029-30</v>
      </c>
      <c r="K9" s="858" t="str">
        <f ca="1">FRCP_y4</f>
        <v>2030-31</v>
      </c>
      <c r="L9" s="858" t="str">
        <f ca="1">FRCP_y5</f>
        <v>2031-32</v>
      </c>
    </row>
    <row r="10" spans="2:12" ht="26.25" customHeight="1" thickBot="1" x14ac:dyDescent="0.3">
      <c r="B10" s="859" t="s">
        <v>935</v>
      </c>
      <c r="C10" s="860"/>
      <c r="D10" s="861"/>
      <c r="E10" s="861"/>
      <c r="F10" s="861"/>
      <c r="G10" s="861"/>
      <c r="H10" s="861"/>
      <c r="I10" s="1249"/>
      <c r="J10" s="861"/>
      <c r="K10" s="861"/>
      <c r="L10" s="861"/>
    </row>
  </sheetData>
  <sheetProtection algorithmName="SHA-256" hashValue="4+ZAO5OJuz8tfvo7Q5lMuQpGTFerHvmG+/LXnY4SuyI=" saltValue="Sosb5pH36jmPcANnbFSsGA==" spinCount="100000" sheet="1" objects="1" scenarios="1" formatCells="0" insertRows="0" deleteRows="0"/>
  <mergeCells count="1">
    <mergeCell ref="C7:I7"/>
  </mergeCells>
  <pageMargins left="0.7" right="0.7" top="0.75" bottom="0.75" header="0.3" footer="0.3"/>
  <headerFooter>
    <oddFooter>&amp;C_x000D_&amp;1#&amp;"Aptos"&amp;10&amp;K008000 APA-INTERNAL</oddFooter>
  </headerFooter>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8">
    <tabColor theme="3" tint="-0.249977111117893"/>
  </sheetPr>
  <dimension ref="A1:M136"/>
  <sheetViews>
    <sheetView showGridLines="0" zoomScaleNormal="100" workbookViewId="0">
      <selection activeCell="C16" sqref="C16"/>
    </sheetView>
  </sheetViews>
  <sheetFormatPr defaultColWidth="9.140625" defaultRowHeight="15" outlineLevelRow="2" x14ac:dyDescent="0.25"/>
  <cols>
    <col min="1" max="1" width="22.7109375" customWidth="1"/>
    <col min="2" max="2" width="46" customWidth="1"/>
    <col min="3" max="9" width="20.7109375" customWidth="1"/>
    <col min="10" max="10" width="8.7109375" customWidth="1"/>
  </cols>
  <sheetData>
    <row r="1" spans="1:13" ht="30.2" customHeight="1" x14ac:dyDescent="0.25">
      <c r="B1" s="422" t="str">
        <f>INDEX(dms_Worksheet_List,MATCH(dms_Model,dms_Model_List))</f>
        <v>REGULATORY REPORTING STATEMENT</v>
      </c>
      <c r="C1" s="280"/>
      <c r="D1" s="280"/>
      <c r="E1" s="280"/>
      <c r="F1" s="280"/>
      <c r="G1" s="1342" t="s">
        <v>1162</v>
      </c>
      <c r="H1" s="1343" t="s">
        <v>1163</v>
      </c>
      <c r="I1" s="936"/>
    </row>
    <row r="2" spans="1:13" ht="30.2" customHeight="1" x14ac:dyDescent="0.25">
      <c r="B2" s="423" t="str">
        <f>INDEX(dms_TradingNameFull_List,MATCH(dms_TradingName,dms_TradingName_List))</f>
        <v>APT Petroleum Pipelines Limited t/a Roma to Brisbane Pipeline</v>
      </c>
      <c r="C2" s="280"/>
      <c r="D2" s="280"/>
      <c r="E2" s="280"/>
      <c r="F2" s="280"/>
      <c r="G2" s="1344" t="s">
        <v>1164</v>
      </c>
      <c r="H2" s="1345" t="s">
        <v>647</v>
      </c>
      <c r="I2" s="936"/>
    </row>
    <row r="3" spans="1:13" ht="30.2" customHeight="1" x14ac:dyDescent="0.25">
      <c r="B3" s="627" t="str">
        <f ca="1">dms_Header_Span</f>
        <v>Data Span 2025-26 - 2031-32</v>
      </c>
      <c r="C3" s="280"/>
      <c r="D3" s="280"/>
      <c r="E3" s="280"/>
      <c r="F3" s="280"/>
      <c r="G3" s="1346" t="s">
        <v>1165</v>
      </c>
      <c r="H3" s="1347" t="s">
        <v>830</v>
      </c>
      <c r="I3" s="938"/>
    </row>
    <row r="4" spans="1:13" ht="30.2" customHeight="1" x14ac:dyDescent="0.25">
      <c r="B4" s="263" t="s">
        <v>982</v>
      </c>
      <c r="C4" s="263"/>
      <c r="D4" s="263"/>
      <c r="E4" s="263"/>
      <c r="F4" s="263"/>
      <c r="G4" s="1348" t="s">
        <v>1166</v>
      </c>
      <c r="H4" s="1349" t="s">
        <v>1167</v>
      </c>
      <c r="I4" s="263"/>
    </row>
    <row r="5" spans="1:13" x14ac:dyDescent="0.25">
      <c r="B5" s="969"/>
    </row>
    <row r="6" spans="1:13" ht="15.75" thickBot="1" x14ac:dyDescent="0.3"/>
    <row r="7" spans="1:13" s="42" customFormat="1" ht="24.75" customHeight="1" thickBot="1" x14ac:dyDescent="0.3">
      <c r="A7" s="958"/>
      <c r="B7" s="264" t="s">
        <v>981</v>
      </c>
      <c r="C7" s="264"/>
      <c r="D7" s="264"/>
      <c r="E7" s="264"/>
      <c r="F7" s="264"/>
      <c r="G7" s="264"/>
      <c r="H7" s="264"/>
      <c r="I7" s="264"/>
      <c r="J7"/>
      <c r="K7"/>
      <c r="L7"/>
      <c r="M7"/>
    </row>
    <row r="8" spans="1:13" s="42" customFormat="1" ht="24.75" customHeight="1" outlineLevel="1" thickBot="1" x14ac:dyDescent="0.3">
      <c r="A8" s="958"/>
      <c r="B8" s="1006" t="s">
        <v>980</v>
      </c>
      <c r="C8" s="1007"/>
      <c r="D8" s="1007"/>
      <c r="E8" s="1007"/>
      <c r="F8" s="1007"/>
      <c r="G8" s="1007"/>
      <c r="H8" s="1007"/>
      <c r="I8" s="1008"/>
      <c r="J8"/>
      <c r="K8"/>
      <c r="L8"/>
      <c r="M8"/>
    </row>
    <row r="9" spans="1:13" s="951" customFormat="1" ht="17.25" customHeight="1" outlineLevel="2" x14ac:dyDescent="0.25">
      <c r="A9" s="957"/>
      <c r="B9" s="26"/>
      <c r="C9" s="1427" t="s">
        <v>936</v>
      </c>
      <c r="D9" s="1428"/>
      <c r="E9" s="1428"/>
      <c r="F9" s="1428"/>
      <c r="G9" s="1428"/>
      <c r="H9" s="1428"/>
      <c r="I9" s="1429"/>
      <c r="J9"/>
      <c r="K9"/>
      <c r="L9"/>
      <c r="M9"/>
    </row>
    <row r="10" spans="1:13" s="951" customFormat="1" ht="17.25" customHeight="1" outlineLevel="2" thickBot="1" x14ac:dyDescent="0.3">
      <c r="A10" s="957"/>
      <c r="B10"/>
      <c r="C10" s="1430" t="str">
        <f ca="1">CONCATENATE("$0's, real ",dms_DollarReal)</f>
        <v>$0's, real June 2027</v>
      </c>
      <c r="D10" s="1431"/>
      <c r="E10" s="1431"/>
      <c r="F10" s="1431"/>
      <c r="G10" s="1431"/>
      <c r="H10" s="1431"/>
      <c r="I10" s="1432"/>
      <c r="J10"/>
      <c r="K10"/>
      <c r="L10"/>
      <c r="M10"/>
    </row>
    <row r="11" spans="1:13" s="951" customFormat="1" ht="17.25" customHeight="1" outlineLevel="2" thickBot="1" x14ac:dyDescent="0.3">
      <c r="A11" s="957"/>
      <c r="B11" s="943"/>
      <c r="C11" s="956" t="str">
        <f ca="1">CRCP_y4</f>
        <v>2025-26</v>
      </c>
      <c r="D11" s="955" t="str">
        <f ca="1">CRCP_y5</f>
        <v>2026-27</v>
      </c>
      <c r="E11" s="954" t="str">
        <f>FRCP_y1</f>
        <v>2027-28</v>
      </c>
      <c r="F11" s="953" t="str">
        <f ca="1">FRCP_y2</f>
        <v>2028-29</v>
      </c>
      <c r="G11" s="953" t="str">
        <f ca="1">FRCP_y3</f>
        <v>2029-30</v>
      </c>
      <c r="H11" s="953" t="str">
        <f ca="1">FRCP_y4</f>
        <v>2030-31</v>
      </c>
      <c r="I11" s="952" t="str">
        <f ca="1">FRCP_y5</f>
        <v>2031-32</v>
      </c>
      <c r="J11"/>
      <c r="K11"/>
      <c r="L11"/>
      <c r="M11"/>
    </row>
    <row r="12" spans="1:13" outlineLevel="2" x14ac:dyDescent="0.25">
      <c r="A12" s="297"/>
      <c r="B12" s="277" t="s">
        <v>970</v>
      </c>
      <c r="C12" s="923">
        <v>6204522.2174869524</v>
      </c>
      <c r="D12" s="991">
        <v>13399004.910186432</v>
      </c>
      <c r="E12" s="992">
        <v>23366343.72460312</v>
      </c>
      <c r="F12" s="924">
        <v>17198251.850905951</v>
      </c>
      <c r="G12" s="924">
        <v>12059429.224799886</v>
      </c>
      <c r="H12" s="924">
        <v>12942975.040792111</v>
      </c>
      <c r="I12" s="925">
        <v>8607788.7456237637</v>
      </c>
    </row>
    <row r="13" spans="1:13" outlineLevel="2" x14ac:dyDescent="0.25">
      <c r="A13" s="297"/>
      <c r="B13" s="277" t="s">
        <v>969</v>
      </c>
      <c r="C13" s="921">
        <v>0</v>
      </c>
      <c r="D13" s="1095">
        <v>0</v>
      </c>
      <c r="E13" s="1259">
        <v>0</v>
      </c>
      <c r="F13" s="1260">
        <v>0</v>
      </c>
      <c r="G13" s="1258">
        <v>0</v>
      </c>
      <c r="H13" s="920">
        <v>0</v>
      </c>
      <c r="I13" s="922">
        <v>0</v>
      </c>
    </row>
    <row r="14" spans="1:13" outlineLevel="2" x14ac:dyDescent="0.25">
      <c r="A14" s="297"/>
      <c r="B14" s="277" t="s">
        <v>998</v>
      </c>
      <c r="C14" s="921">
        <v>4356840.4650235577</v>
      </c>
      <c r="D14" s="1095">
        <v>1206153.3748192349</v>
      </c>
      <c r="E14" s="1144">
        <v>1159810.8449634383</v>
      </c>
      <c r="F14" s="1257">
        <v>1159810.8449634383</v>
      </c>
      <c r="G14" s="1250">
        <v>1242604.883709081</v>
      </c>
      <c r="H14" s="920">
        <v>1595338.5442959801</v>
      </c>
      <c r="I14" s="922">
        <v>1239261.520236976</v>
      </c>
    </row>
    <row r="15" spans="1:13" outlineLevel="2" x14ac:dyDescent="0.25">
      <c r="A15" s="297"/>
      <c r="B15" s="277" t="s">
        <v>975</v>
      </c>
      <c r="C15" s="921">
        <v>0</v>
      </c>
      <c r="D15" s="1095">
        <v>0</v>
      </c>
      <c r="E15" s="1144">
        <v>0</v>
      </c>
      <c r="F15" s="920">
        <v>0</v>
      </c>
      <c r="G15" s="920">
        <v>0</v>
      </c>
      <c r="H15" s="920">
        <v>0</v>
      </c>
      <c r="I15" s="922">
        <v>0</v>
      </c>
    </row>
    <row r="16" spans="1:13" outlineLevel="2" x14ac:dyDescent="0.25">
      <c r="A16" s="297"/>
      <c r="B16" s="277" t="s">
        <v>974</v>
      </c>
      <c r="C16" s="921">
        <v>950522.64142594603</v>
      </c>
      <c r="D16" s="1095">
        <v>1314411.1892215931</v>
      </c>
      <c r="E16" s="1144">
        <v>2196534.9708059509</v>
      </c>
      <c r="F16" s="920">
        <v>1641310.7614424392</v>
      </c>
      <c r="G16" s="920">
        <v>1185944.73164865</v>
      </c>
      <c r="H16" s="920">
        <v>1290121.6446894505</v>
      </c>
      <c r="I16" s="922">
        <v>872900.40623203502</v>
      </c>
    </row>
    <row r="17" spans="1:13" outlineLevel="2" x14ac:dyDescent="0.25">
      <c r="A17" s="297"/>
      <c r="B17" s="1005" t="s">
        <v>971</v>
      </c>
      <c r="C17" s="950">
        <v>0</v>
      </c>
      <c r="D17" s="1145">
        <v>0</v>
      </c>
      <c r="E17" s="1146">
        <v>0</v>
      </c>
      <c r="F17" s="949">
        <v>0</v>
      </c>
      <c r="G17" s="949">
        <v>0</v>
      </c>
      <c r="H17" s="949">
        <v>0</v>
      </c>
      <c r="I17" s="948">
        <v>0</v>
      </c>
    </row>
    <row r="18" spans="1:13" ht="15.75" outlineLevel="2" thickBot="1" x14ac:dyDescent="0.3">
      <c r="A18" s="297"/>
      <c r="B18" s="947" t="s">
        <v>1043</v>
      </c>
      <c r="C18" s="946">
        <v>0</v>
      </c>
      <c r="D18" s="1">
        <v>0</v>
      </c>
      <c r="E18" s="1147">
        <v>0</v>
      </c>
      <c r="F18" s="945">
        <v>0</v>
      </c>
      <c r="G18" s="945">
        <v>0</v>
      </c>
      <c r="H18" s="945">
        <v>0</v>
      </c>
      <c r="I18" s="944">
        <v>0</v>
      </c>
    </row>
    <row r="19" spans="1:13" ht="15.75" outlineLevel="2" thickBot="1" x14ac:dyDescent="0.3">
      <c r="A19" s="297"/>
      <c r="B19" s="1230" t="s">
        <v>1099</v>
      </c>
      <c r="C19" s="1226">
        <f t="shared" ref="C19:I19" si="0">SUM(C12:C17)-C18</f>
        <v>11511885.323936457</v>
      </c>
      <c r="D19" s="1226">
        <f t="shared" si="0"/>
        <v>15919569.474227259</v>
      </c>
      <c r="E19" s="1226">
        <f t="shared" si="0"/>
        <v>26722689.54037251</v>
      </c>
      <c r="F19" s="1226">
        <f t="shared" si="0"/>
        <v>19999373.457311828</v>
      </c>
      <c r="G19" s="1226">
        <f t="shared" si="0"/>
        <v>14487978.840157617</v>
      </c>
      <c r="H19" s="1226">
        <f t="shared" si="0"/>
        <v>15828435.229777541</v>
      </c>
      <c r="I19" s="1227">
        <f t="shared" si="0"/>
        <v>10719950.672092775</v>
      </c>
    </row>
    <row r="20" spans="1:13" s="297" customFormat="1" ht="15.75" outlineLevel="1" thickBot="1" x14ac:dyDescent="0.3">
      <c r="J20"/>
      <c r="K20"/>
      <c r="L20"/>
      <c r="M20"/>
    </row>
    <row r="21" spans="1:13" s="42" customFormat="1" ht="24.75" customHeight="1" outlineLevel="1" thickBot="1" x14ac:dyDescent="0.3">
      <c r="A21" s="958"/>
      <c r="B21" s="998" t="s">
        <v>1122</v>
      </c>
      <c r="C21" s="899"/>
      <c r="D21" s="899"/>
      <c r="E21" s="899"/>
      <c r="F21" s="899"/>
      <c r="G21" s="899"/>
      <c r="H21" s="899"/>
      <c r="I21" s="999"/>
      <c r="J21"/>
      <c r="K21"/>
      <c r="L21"/>
      <c r="M21"/>
    </row>
    <row r="22" spans="1:13" outlineLevel="2" x14ac:dyDescent="0.25">
      <c r="A22" s="297"/>
      <c r="B22" s="277" t="s">
        <v>970</v>
      </c>
      <c r="C22" s="923"/>
      <c r="D22" s="991"/>
      <c r="E22" s="992"/>
      <c r="F22" s="924"/>
      <c r="G22" s="924"/>
      <c r="H22" s="924"/>
      <c r="I22" s="925"/>
    </row>
    <row r="23" spans="1:13" outlineLevel="2" x14ac:dyDescent="0.25">
      <c r="A23" s="297"/>
      <c r="B23" s="277" t="s">
        <v>969</v>
      </c>
      <c r="C23" s="968"/>
      <c r="D23" s="1095"/>
      <c r="E23" s="1144"/>
      <c r="F23" s="966"/>
      <c r="G23" s="966"/>
      <c r="H23" s="966"/>
      <c r="I23" s="965"/>
    </row>
    <row r="24" spans="1:13" outlineLevel="2" x14ac:dyDescent="0.25">
      <c r="A24" s="297"/>
      <c r="B24" s="277" t="s">
        <v>998</v>
      </c>
      <c r="C24" s="968"/>
      <c r="D24" s="1095"/>
      <c r="E24" s="1144"/>
      <c r="F24" s="966"/>
      <c r="G24" s="966"/>
      <c r="H24" s="966"/>
      <c r="I24" s="965"/>
    </row>
    <row r="25" spans="1:13" outlineLevel="2" x14ac:dyDescent="0.25">
      <c r="A25" s="297"/>
      <c r="B25" s="277" t="s">
        <v>975</v>
      </c>
      <c r="C25" s="968"/>
      <c r="D25" s="1095"/>
      <c r="E25" s="1144"/>
      <c r="F25" s="966"/>
      <c r="G25" s="966"/>
      <c r="H25" s="966"/>
      <c r="I25" s="965"/>
    </row>
    <row r="26" spans="1:13" outlineLevel="2" x14ac:dyDescent="0.25">
      <c r="A26" s="297"/>
      <c r="B26" s="277" t="s">
        <v>974</v>
      </c>
      <c r="C26" s="968"/>
      <c r="D26" s="1095"/>
      <c r="E26" s="1144"/>
      <c r="F26" s="966"/>
      <c r="G26" s="966"/>
      <c r="H26" s="966"/>
      <c r="I26" s="965"/>
    </row>
    <row r="27" spans="1:13" outlineLevel="2" x14ac:dyDescent="0.25">
      <c r="A27" s="297"/>
      <c r="B27" s="1005" t="s">
        <v>971</v>
      </c>
      <c r="C27" s="950"/>
      <c r="D27" s="1145"/>
      <c r="E27" s="1146"/>
      <c r="F27" s="949"/>
      <c r="G27" s="949"/>
      <c r="H27" s="949"/>
      <c r="I27" s="948"/>
    </row>
    <row r="28" spans="1:13" ht="15.75" outlineLevel="2" thickBot="1" x14ac:dyDescent="0.3">
      <c r="A28" s="297"/>
      <c r="B28" s="947" t="s">
        <v>1043</v>
      </c>
      <c r="C28" s="946"/>
      <c r="D28" s="1"/>
      <c r="E28" s="1147"/>
      <c r="F28" s="945"/>
      <c r="G28" s="945"/>
      <c r="H28" s="945"/>
      <c r="I28" s="944"/>
    </row>
    <row r="29" spans="1:13" ht="15.75" outlineLevel="2" thickBot="1" x14ac:dyDescent="0.3">
      <c r="A29" s="297"/>
      <c r="B29" s="1230" t="s">
        <v>1042</v>
      </c>
      <c r="C29" s="1226">
        <f t="shared" ref="C29:I29" si="1">SUM(C22:C27)-C28</f>
        <v>0</v>
      </c>
      <c r="D29" s="1226">
        <f t="shared" si="1"/>
        <v>0</v>
      </c>
      <c r="E29" s="1226">
        <f t="shared" si="1"/>
        <v>0</v>
      </c>
      <c r="F29" s="1226">
        <f t="shared" si="1"/>
        <v>0</v>
      </c>
      <c r="G29" s="1226">
        <f t="shared" si="1"/>
        <v>0</v>
      </c>
      <c r="H29" s="1226">
        <f t="shared" si="1"/>
        <v>0</v>
      </c>
      <c r="I29" s="1227">
        <f t="shared" si="1"/>
        <v>0</v>
      </c>
    </row>
    <row r="30" spans="1:13" s="297" customFormat="1" ht="23.25" customHeight="1" outlineLevel="1" thickBot="1" x14ac:dyDescent="0.3">
      <c r="J30"/>
      <c r="K30"/>
      <c r="L30"/>
      <c r="M30"/>
    </row>
    <row r="31" spans="1:13" s="42" customFormat="1" ht="24.75" customHeight="1" outlineLevel="1" thickBot="1" x14ac:dyDescent="0.3">
      <c r="A31" s="958"/>
      <c r="B31" s="998" t="s">
        <v>1123</v>
      </c>
      <c r="C31" s="899"/>
      <c r="D31" s="899"/>
      <c r="E31" s="899"/>
      <c r="F31" s="899"/>
      <c r="G31" s="899"/>
      <c r="H31" s="899"/>
      <c r="I31" s="999"/>
      <c r="J31"/>
      <c r="K31"/>
      <c r="L31"/>
      <c r="M31"/>
    </row>
    <row r="32" spans="1:13" outlineLevel="2" x14ac:dyDescent="0.25">
      <c r="A32" s="297"/>
      <c r="B32" s="277" t="s">
        <v>970</v>
      </c>
      <c r="C32" s="923">
        <f t="shared" ref="C32:D32" si="2">C12+C22</f>
        <v>6204522.2174869524</v>
      </c>
      <c r="D32" s="991">
        <f t="shared" si="2"/>
        <v>13399004.910186432</v>
      </c>
      <c r="E32" s="992">
        <f>E12+E22</f>
        <v>23366343.72460312</v>
      </c>
      <c r="F32" s="924">
        <f t="shared" ref="F32:I32" si="3">F12+F22</f>
        <v>17198251.850905951</v>
      </c>
      <c r="G32" s="924">
        <f t="shared" si="3"/>
        <v>12059429.224799886</v>
      </c>
      <c r="H32" s="924">
        <f t="shared" si="3"/>
        <v>12942975.040792111</v>
      </c>
      <c r="I32" s="925">
        <f t="shared" si="3"/>
        <v>8607788.7456237637</v>
      </c>
    </row>
    <row r="33" spans="1:13" outlineLevel="2" x14ac:dyDescent="0.25">
      <c r="A33" s="297"/>
      <c r="B33" s="277" t="s">
        <v>969</v>
      </c>
      <c r="C33" s="968">
        <f t="shared" ref="C33:D33" si="4">C13+C23</f>
        <v>0</v>
      </c>
      <c r="D33" s="1095">
        <f t="shared" si="4"/>
        <v>0</v>
      </c>
      <c r="E33" s="1144">
        <f t="shared" ref="E33:E38" si="5">E13+E23</f>
        <v>0</v>
      </c>
      <c r="F33" s="966">
        <f t="shared" ref="F33:I33" si="6">F13+F23</f>
        <v>0</v>
      </c>
      <c r="G33" s="966">
        <f t="shared" si="6"/>
        <v>0</v>
      </c>
      <c r="H33" s="966">
        <f t="shared" si="6"/>
        <v>0</v>
      </c>
      <c r="I33" s="965">
        <f t="shared" si="6"/>
        <v>0</v>
      </c>
    </row>
    <row r="34" spans="1:13" outlineLevel="2" x14ac:dyDescent="0.25">
      <c r="A34" s="297"/>
      <c r="B34" s="277" t="s">
        <v>998</v>
      </c>
      <c r="C34" s="968">
        <f t="shared" ref="C34:D34" si="7">C14+C24</f>
        <v>4356840.4650235577</v>
      </c>
      <c r="D34" s="1095">
        <f t="shared" si="7"/>
        <v>1206153.3748192349</v>
      </c>
      <c r="E34" s="1144">
        <f t="shared" si="5"/>
        <v>1159810.8449634383</v>
      </c>
      <c r="F34" s="966">
        <f t="shared" ref="F34:I34" si="8">F14+F24</f>
        <v>1159810.8449634383</v>
      </c>
      <c r="G34" s="966">
        <f t="shared" si="8"/>
        <v>1242604.883709081</v>
      </c>
      <c r="H34" s="966">
        <f t="shared" si="8"/>
        <v>1595338.5442959801</v>
      </c>
      <c r="I34" s="965">
        <f t="shared" si="8"/>
        <v>1239261.520236976</v>
      </c>
    </row>
    <row r="35" spans="1:13" outlineLevel="2" x14ac:dyDescent="0.25">
      <c r="A35" s="297"/>
      <c r="B35" s="277" t="s">
        <v>975</v>
      </c>
      <c r="C35" s="968">
        <f t="shared" ref="C35:D35" si="9">C15+C25</f>
        <v>0</v>
      </c>
      <c r="D35" s="1095">
        <f t="shared" si="9"/>
        <v>0</v>
      </c>
      <c r="E35" s="1144">
        <f t="shared" si="5"/>
        <v>0</v>
      </c>
      <c r="F35" s="966">
        <f t="shared" ref="F35:I35" si="10">F15+F25</f>
        <v>0</v>
      </c>
      <c r="G35" s="966">
        <f t="shared" si="10"/>
        <v>0</v>
      </c>
      <c r="H35" s="966">
        <f t="shared" si="10"/>
        <v>0</v>
      </c>
      <c r="I35" s="965">
        <f t="shared" si="10"/>
        <v>0</v>
      </c>
    </row>
    <row r="36" spans="1:13" outlineLevel="2" x14ac:dyDescent="0.25">
      <c r="A36" s="297"/>
      <c r="B36" s="277" t="s">
        <v>974</v>
      </c>
      <c r="C36" s="968">
        <f t="shared" ref="C36:D36" si="11">C16+C26</f>
        <v>950522.64142594603</v>
      </c>
      <c r="D36" s="1095">
        <f t="shared" si="11"/>
        <v>1314411.1892215931</v>
      </c>
      <c r="E36" s="1144">
        <f t="shared" si="5"/>
        <v>2196534.9708059509</v>
      </c>
      <c r="F36" s="966">
        <f t="shared" ref="F36:I36" si="12">F16+F26</f>
        <v>1641310.7614424392</v>
      </c>
      <c r="G36" s="966">
        <f t="shared" si="12"/>
        <v>1185944.73164865</v>
      </c>
      <c r="H36" s="966">
        <f t="shared" si="12"/>
        <v>1290121.6446894505</v>
      </c>
      <c r="I36" s="965">
        <f t="shared" si="12"/>
        <v>872900.40623203502</v>
      </c>
    </row>
    <row r="37" spans="1:13" outlineLevel="2" x14ac:dyDescent="0.25">
      <c r="A37" s="297"/>
      <c r="B37" s="1005" t="s">
        <v>971</v>
      </c>
      <c r="C37" s="950">
        <f t="shared" ref="C37:D37" si="13">C17+C27</f>
        <v>0</v>
      </c>
      <c r="D37" s="1145">
        <f t="shared" si="13"/>
        <v>0</v>
      </c>
      <c r="E37" s="1146">
        <f t="shared" si="5"/>
        <v>0</v>
      </c>
      <c r="F37" s="949">
        <f t="shared" ref="F37:I37" si="14">F17+F27</f>
        <v>0</v>
      </c>
      <c r="G37" s="949">
        <f t="shared" si="14"/>
        <v>0</v>
      </c>
      <c r="H37" s="949">
        <f t="shared" si="14"/>
        <v>0</v>
      </c>
      <c r="I37" s="948">
        <f t="shared" si="14"/>
        <v>0</v>
      </c>
    </row>
    <row r="38" spans="1:13" ht="15.75" outlineLevel="2" thickBot="1" x14ac:dyDescent="0.3">
      <c r="A38" s="297"/>
      <c r="B38" s="947" t="s">
        <v>1043</v>
      </c>
      <c r="C38" s="946">
        <f t="shared" ref="C38:D38" si="15">C18+C28</f>
        <v>0</v>
      </c>
      <c r="D38" s="1">
        <f t="shared" si="15"/>
        <v>0</v>
      </c>
      <c r="E38" s="1147">
        <f t="shared" si="5"/>
        <v>0</v>
      </c>
      <c r="F38" s="945">
        <f t="shared" ref="F38:I38" si="16">F18+F28</f>
        <v>0</v>
      </c>
      <c r="G38" s="945">
        <f t="shared" si="16"/>
        <v>0</v>
      </c>
      <c r="H38" s="945">
        <f t="shared" si="16"/>
        <v>0</v>
      </c>
      <c r="I38" s="944">
        <f t="shared" si="16"/>
        <v>0</v>
      </c>
    </row>
    <row r="39" spans="1:13" ht="15.75" outlineLevel="2" thickBot="1" x14ac:dyDescent="0.3">
      <c r="A39" s="297"/>
      <c r="B39" s="1230" t="s">
        <v>1042</v>
      </c>
      <c r="C39" s="1226">
        <f t="shared" ref="C39:I39" si="17">SUM(C32:C37)-C38</f>
        <v>11511885.323936457</v>
      </c>
      <c r="D39" s="1226">
        <f t="shared" si="17"/>
        <v>15919569.474227259</v>
      </c>
      <c r="E39" s="1226">
        <f t="shared" si="17"/>
        <v>26722689.54037251</v>
      </c>
      <c r="F39" s="1226">
        <f t="shared" si="17"/>
        <v>19999373.457311828</v>
      </c>
      <c r="G39" s="1226">
        <f t="shared" si="17"/>
        <v>14487978.840157617</v>
      </c>
      <c r="H39" s="1226">
        <f t="shared" si="17"/>
        <v>15828435.229777541</v>
      </c>
      <c r="I39" s="1227">
        <f t="shared" si="17"/>
        <v>10719950.672092775</v>
      </c>
    </row>
    <row r="40" spans="1:13" s="297" customFormat="1" ht="23.25" customHeight="1" outlineLevel="1" x14ac:dyDescent="0.25">
      <c r="J40"/>
      <c r="K40"/>
      <c r="L40"/>
      <c r="M40"/>
    </row>
    <row r="41" spans="1:13" ht="15.75" thickBot="1" x14ac:dyDescent="0.3">
      <c r="B41" s="42"/>
    </row>
    <row r="42" spans="1:13" s="42" customFormat="1" ht="24.75" customHeight="1" thickBot="1" x14ac:dyDescent="0.3">
      <c r="A42" s="958"/>
      <c r="B42" s="264" t="s">
        <v>979</v>
      </c>
      <c r="C42" s="264"/>
      <c r="D42" s="264"/>
      <c r="E42" s="264"/>
      <c r="F42" s="264"/>
      <c r="G42" s="264"/>
      <c r="H42" s="264"/>
      <c r="I42" s="264"/>
      <c r="J42"/>
      <c r="K42"/>
      <c r="L42"/>
      <c r="M42"/>
    </row>
    <row r="43" spans="1:13" s="42" customFormat="1" ht="24.75" customHeight="1" outlineLevel="1" thickBot="1" x14ac:dyDescent="0.3">
      <c r="A43" s="958"/>
      <c r="B43" s="998" t="s">
        <v>978</v>
      </c>
      <c r="C43" s="899"/>
      <c r="D43" s="899"/>
      <c r="E43" s="899"/>
      <c r="F43" s="899"/>
      <c r="G43" s="899"/>
      <c r="H43" s="899"/>
      <c r="I43" s="999"/>
      <c r="J43"/>
      <c r="K43"/>
      <c r="L43"/>
      <c r="M43"/>
    </row>
    <row r="44" spans="1:13" s="951" customFormat="1" ht="17.25" customHeight="1" outlineLevel="2" x14ac:dyDescent="0.25">
      <c r="A44" s="957"/>
      <c r="B44" s="26"/>
      <c r="C44" s="1427" t="s">
        <v>936</v>
      </c>
      <c r="D44" s="1428"/>
      <c r="E44" s="1428"/>
      <c r="F44" s="1428"/>
      <c r="G44" s="1428"/>
      <c r="H44" s="1428"/>
      <c r="I44" s="1429"/>
      <c r="J44"/>
      <c r="K44"/>
      <c r="L44"/>
      <c r="M44"/>
    </row>
    <row r="45" spans="1:13" s="951" customFormat="1" ht="17.25" customHeight="1" outlineLevel="2" thickBot="1" x14ac:dyDescent="0.3">
      <c r="A45" s="957"/>
      <c r="B45"/>
      <c r="C45" s="1430" t="str">
        <f ca="1">CONCATENATE("$0's, real ",dms_DollarReal)</f>
        <v>$0's, real June 2027</v>
      </c>
      <c r="D45" s="1431"/>
      <c r="E45" s="1431"/>
      <c r="F45" s="1431"/>
      <c r="G45" s="1431"/>
      <c r="H45" s="1431"/>
      <c r="I45" s="1432"/>
      <c r="J45"/>
      <c r="K45"/>
      <c r="L45"/>
      <c r="M45"/>
    </row>
    <row r="46" spans="1:13" s="951" customFormat="1" ht="17.25" customHeight="1" outlineLevel="2" thickBot="1" x14ac:dyDescent="0.3">
      <c r="A46" s="957"/>
      <c r="B46" s="943"/>
      <c r="C46" s="956" t="str">
        <f ca="1">CRCP_y4</f>
        <v>2025-26</v>
      </c>
      <c r="D46" s="955" t="str">
        <f ca="1">CRCP_y5</f>
        <v>2026-27</v>
      </c>
      <c r="E46" s="954" t="str">
        <f>FRCP_y1</f>
        <v>2027-28</v>
      </c>
      <c r="F46" s="953" t="str">
        <f ca="1">FRCP_y2</f>
        <v>2028-29</v>
      </c>
      <c r="G46" s="953" t="str">
        <f ca="1">FRCP_y3</f>
        <v>2029-30</v>
      </c>
      <c r="H46" s="953" t="str">
        <f ca="1">FRCP_y4</f>
        <v>2030-31</v>
      </c>
      <c r="I46" s="952" t="str">
        <f ca="1">FRCP_y5</f>
        <v>2031-32</v>
      </c>
      <c r="J46"/>
      <c r="K46"/>
      <c r="L46"/>
      <c r="M46"/>
    </row>
    <row r="47" spans="1:13" outlineLevel="2" x14ac:dyDescent="0.25">
      <c r="A47" s="297"/>
      <c r="B47" s="1029" t="s">
        <v>1113</v>
      </c>
      <c r="C47" s="923">
        <f>SUM('E20. Opex'!F40:F45)*0.8</f>
        <v>22199139.792278361</v>
      </c>
      <c r="D47" s="991">
        <f>SUM('E20. Opex'!G40:G45)*0.8</f>
        <v>22060648.095132858</v>
      </c>
      <c r="E47" s="992">
        <f>SUM('E20. Opex'!H40:H45)*0.8</f>
        <v>22067395.320219006</v>
      </c>
      <c r="F47" s="924">
        <f>SUM('E20. Opex'!I40:I45)*0.8</f>
        <v>22113435.920402911</v>
      </c>
      <c r="G47" s="924">
        <f>SUM('E20. Opex'!J40:J45)*0.8</f>
        <v>22173199.306513961</v>
      </c>
      <c r="H47" s="924">
        <f>SUM('E20. Opex'!K40:K45)*0.8</f>
        <v>22213815.480939921</v>
      </c>
      <c r="I47" s="925">
        <f>SUM('E20. Opex'!L40:L45)*0.8</f>
        <v>22253236.539369509</v>
      </c>
    </row>
    <row r="48" spans="1:13" outlineLevel="2" x14ac:dyDescent="0.25">
      <c r="A48" s="297"/>
      <c r="B48" s="982" t="s">
        <v>1114</v>
      </c>
      <c r="C48" s="921">
        <f>SUM('E20. Opex'!F40:F45)*0.2</f>
        <v>5549784.9480695901</v>
      </c>
      <c r="D48" s="1095">
        <f>SUM('E20. Opex'!G40:G45)*0.2</f>
        <v>5515162.0237832144</v>
      </c>
      <c r="E48" s="1144">
        <f>SUM('E20. Opex'!H40:H45)*0.2</f>
        <v>5516848.8300547516</v>
      </c>
      <c r="F48" s="920">
        <f>SUM('E20. Opex'!I40:I45)*0.2</f>
        <v>5528358.9801007276</v>
      </c>
      <c r="G48" s="920">
        <f>SUM('E20. Opex'!J40:J45)*0.2</f>
        <v>5543299.8266284904</v>
      </c>
      <c r="H48" s="920">
        <f>SUM('E20. Opex'!K40:K45)*0.2</f>
        <v>5553453.8702349802</v>
      </c>
      <c r="I48" s="922">
        <f>SUM('E20. Opex'!L40:L45)*0.2</f>
        <v>5563309.1348423772</v>
      </c>
    </row>
    <row r="49" spans="1:13" outlineLevel="2" x14ac:dyDescent="0.25">
      <c r="A49" s="297"/>
      <c r="B49" s="982" t="s">
        <v>1115</v>
      </c>
      <c r="C49" s="921">
        <v>324794.38409292797</v>
      </c>
      <c r="D49" s="1095">
        <v>312764.96245985659</v>
      </c>
      <c r="E49" s="1144">
        <v>340019.52336171817</v>
      </c>
      <c r="F49" s="920">
        <v>346576.49328822264</v>
      </c>
      <c r="G49" s="920">
        <v>348434.584370328</v>
      </c>
      <c r="H49" s="920">
        <v>346418.57458517567</v>
      </c>
      <c r="I49" s="922">
        <v>344694.04060254316</v>
      </c>
    </row>
    <row r="50" spans="1:13" ht="15.75" outlineLevel="2" thickBot="1" x14ac:dyDescent="0.3">
      <c r="A50" s="297"/>
      <c r="B50" s="1009" t="s">
        <v>1116</v>
      </c>
      <c r="C50" s="921">
        <v>0</v>
      </c>
      <c r="D50" s="1095">
        <v>0</v>
      </c>
      <c r="E50" s="1144">
        <v>0</v>
      </c>
      <c r="F50" s="920">
        <v>0</v>
      </c>
      <c r="G50" s="920">
        <v>0</v>
      </c>
      <c r="H50" s="920">
        <v>0</v>
      </c>
      <c r="I50" s="922">
        <v>0</v>
      </c>
    </row>
    <row r="51" spans="1:13" ht="15.75" outlineLevel="2" thickBot="1" x14ac:dyDescent="0.3">
      <c r="A51" s="297"/>
      <c r="B51" s="1225" t="s">
        <v>965</v>
      </c>
      <c r="C51" s="1226">
        <f t="shared" ref="C51:I51" si="18">SUM(C47:C50)</f>
        <v>28073719.124440879</v>
      </c>
      <c r="D51" s="1226">
        <f t="shared" si="18"/>
        <v>27888575.081375927</v>
      </c>
      <c r="E51" s="1226">
        <f t="shared" si="18"/>
        <v>27924263.673635475</v>
      </c>
      <c r="F51" s="1226">
        <f t="shared" si="18"/>
        <v>27988371.393791862</v>
      </c>
      <c r="G51" s="1226">
        <f t="shared" si="18"/>
        <v>28064933.717512779</v>
      </c>
      <c r="H51" s="1226">
        <f t="shared" si="18"/>
        <v>28113687.925760079</v>
      </c>
      <c r="I51" s="1227">
        <f t="shared" si="18"/>
        <v>28161239.714814428</v>
      </c>
    </row>
    <row r="52" spans="1:13" s="297" customFormat="1" ht="15.75" outlineLevel="1" thickBot="1" x14ac:dyDescent="0.3">
      <c r="J52"/>
      <c r="K52"/>
      <c r="L52"/>
      <c r="M52"/>
    </row>
    <row r="53" spans="1:13" s="42" customFormat="1" ht="24.75" customHeight="1" outlineLevel="1" thickBot="1" x14ac:dyDescent="0.3">
      <c r="A53" s="958"/>
      <c r="B53" s="998" t="s">
        <v>1110</v>
      </c>
      <c r="C53" s="899"/>
      <c r="D53" s="899"/>
      <c r="E53" s="899"/>
      <c r="F53" s="899"/>
      <c r="G53" s="899"/>
      <c r="H53" s="899"/>
      <c r="I53" s="999"/>
      <c r="J53"/>
      <c r="K53"/>
      <c r="L53"/>
      <c r="M53"/>
    </row>
    <row r="54" spans="1:13" outlineLevel="2" x14ac:dyDescent="0.25">
      <c r="A54" s="297"/>
      <c r="B54" s="1029" t="s">
        <v>1113</v>
      </c>
      <c r="C54" s="923"/>
      <c r="D54" s="991"/>
      <c r="E54" s="992"/>
      <c r="F54" s="924"/>
      <c r="G54" s="924"/>
      <c r="H54" s="924"/>
      <c r="I54" s="925"/>
    </row>
    <row r="55" spans="1:13" outlineLevel="2" x14ac:dyDescent="0.25">
      <c r="A55" s="297"/>
      <c r="B55" s="982" t="s">
        <v>1114</v>
      </c>
      <c r="C55" s="968"/>
      <c r="D55" s="1095"/>
      <c r="E55" s="1144"/>
      <c r="F55" s="966"/>
      <c r="G55" s="966"/>
      <c r="H55" s="966"/>
      <c r="I55" s="965"/>
    </row>
    <row r="56" spans="1:13" outlineLevel="2" x14ac:dyDescent="0.25">
      <c r="A56" s="297"/>
      <c r="B56" s="982" t="s">
        <v>1115</v>
      </c>
      <c r="C56" s="968"/>
      <c r="D56" s="1095"/>
      <c r="E56" s="1144"/>
      <c r="F56" s="966"/>
      <c r="G56" s="966"/>
      <c r="H56" s="966"/>
      <c r="I56" s="965"/>
    </row>
    <row r="57" spans="1:13" ht="15.75" outlineLevel="2" thickBot="1" x14ac:dyDescent="0.3">
      <c r="A57" s="297"/>
      <c r="B57" s="1009" t="s">
        <v>1116</v>
      </c>
      <c r="C57" s="968"/>
      <c r="D57" s="1095"/>
      <c r="E57" s="1144"/>
      <c r="F57" s="966"/>
      <c r="G57" s="966"/>
      <c r="H57" s="966"/>
      <c r="I57" s="965"/>
    </row>
    <row r="58" spans="1:13" ht="15.75" outlineLevel="2" thickBot="1" x14ac:dyDescent="0.3">
      <c r="A58" s="297"/>
      <c r="B58" s="1225" t="s">
        <v>965</v>
      </c>
      <c r="C58" s="1226">
        <f t="shared" ref="C58:I58" si="19">SUM(C54:C57)</f>
        <v>0</v>
      </c>
      <c r="D58" s="1226">
        <f t="shared" si="19"/>
        <v>0</v>
      </c>
      <c r="E58" s="1226">
        <f t="shared" si="19"/>
        <v>0</v>
      </c>
      <c r="F58" s="1226">
        <f t="shared" si="19"/>
        <v>0</v>
      </c>
      <c r="G58" s="1226">
        <f t="shared" si="19"/>
        <v>0</v>
      </c>
      <c r="H58" s="1226">
        <f t="shared" si="19"/>
        <v>0</v>
      </c>
      <c r="I58" s="1227">
        <f t="shared" si="19"/>
        <v>0</v>
      </c>
    </row>
    <row r="59" spans="1:13" s="297" customFormat="1" ht="23.25" customHeight="1" outlineLevel="1" thickBot="1" x14ac:dyDescent="0.3">
      <c r="J59"/>
      <c r="K59"/>
      <c r="L59"/>
      <c r="M59"/>
    </row>
    <row r="60" spans="1:13" s="42" customFormat="1" ht="24.75" customHeight="1" outlineLevel="1" thickBot="1" x14ac:dyDescent="0.3">
      <c r="A60" s="958"/>
      <c r="B60" s="998" t="s">
        <v>1124</v>
      </c>
      <c r="C60" s="899"/>
      <c r="D60" s="899"/>
      <c r="E60" s="899"/>
      <c r="F60" s="899"/>
      <c r="G60" s="899"/>
      <c r="H60" s="899"/>
      <c r="I60" s="999"/>
      <c r="J60"/>
      <c r="K60"/>
      <c r="L60"/>
      <c r="M60"/>
    </row>
    <row r="61" spans="1:13" outlineLevel="2" x14ac:dyDescent="0.25">
      <c r="A61" s="297"/>
      <c r="B61" s="1029" t="s">
        <v>1113</v>
      </c>
      <c r="C61" s="923">
        <f>C47+C54</f>
        <v>22199139.792278361</v>
      </c>
      <c r="D61" s="991">
        <f t="shared" ref="D61:I61" si="20">D47+D54</f>
        <v>22060648.095132858</v>
      </c>
      <c r="E61" s="992">
        <f t="shared" si="20"/>
        <v>22067395.320219006</v>
      </c>
      <c r="F61" s="924">
        <f t="shared" si="20"/>
        <v>22113435.920402911</v>
      </c>
      <c r="G61" s="924">
        <f t="shared" si="20"/>
        <v>22173199.306513961</v>
      </c>
      <c r="H61" s="924">
        <f t="shared" si="20"/>
        <v>22213815.480939921</v>
      </c>
      <c r="I61" s="925">
        <f t="shared" si="20"/>
        <v>22253236.539369509</v>
      </c>
    </row>
    <row r="62" spans="1:13" outlineLevel="2" x14ac:dyDescent="0.25">
      <c r="A62" s="297"/>
      <c r="B62" s="982" t="s">
        <v>1114</v>
      </c>
      <c r="C62" s="968">
        <f t="shared" ref="C62:C64" si="21">C48+C55</f>
        <v>5549784.9480695901</v>
      </c>
      <c r="D62" s="1095">
        <f t="shared" ref="D62:I62" si="22">D48+D55</f>
        <v>5515162.0237832144</v>
      </c>
      <c r="E62" s="1144">
        <f t="shared" si="22"/>
        <v>5516848.8300547516</v>
      </c>
      <c r="F62" s="966">
        <f t="shared" si="22"/>
        <v>5528358.9801007276</v>
      </c>
      <c r="G62" s="966">
        <f t="shared" si="22"/>
        <v>5543299.8266284904</v>
      </c>
      <c r="H62" s="966">
        <f t="shared" si="22"/>
        <v>5553453.8702349802</v>
      </c>
      <c r="I62" s="965">
        <f t="shared" si="22"/>
        <v>5563309.1348423772</v>
      </c>
    </row>
    <row r="63" spans="1:13" outlineLevel="2" x14ac:dyDescent="0.25">
      <c r="A63" s="297"/>
      <c r="B63" s="982" t="s">
        <v>1115</v>
      </c>
      <c r="C63" s="968">
        <f t="shared" si="21"/>
        <v>324794.38409292797</v>
      </c>
      <c r="D63" s="1095">
        <f t="shared" ref="D63:I63" si="23">D49+D56</f>
        <v>312764.96245985659</v>
      </c>
      <c r="E63" s="1144">
        <f t="shared" si="23"/>
        <v>340019.52336171817</v>
      </c>
      <c r="F63" s="966">
        <f t="shared" si="23"/>
        <v>346576.49328822264</v>
      </c>
      <c r="G63" s="966">
        <f t="shared" si="23"/>
        <v>348434.584370328</v>
      </c>
      <c r="H63" s="966">
        <f t="shared" si="23"/>
        <v>346418.57458517567</v>
      </c>
      <c r="I63" s="965">
        <f t="shared" si="23"/>
        <v>344694.04060254316</v>
      </c>
    </row>
    <row r="64" spans="1:13" ht="15.75" outlineLevel="2" thickBot="1" x14ac:dyDescent="0.3">
      <c r="A64" s="297"/>
      <c r="B64" s="1009" t="s">
        <v>1116</v>
      </c>
      <c r="C64" s="968">
        <f t="shared" si="21"/>
        <v>0</v>
      </c>
      <c r="D64" s="1095">
        <f t="shared" ref="D64:I64" si="24">D50+D57</f>
        <v>0</v>
      </c>
      <c r="E64" s="1144">
        <f t="shared" si="24"/>
        <v>0</v>
      </c>
      <c r="F64" s="966">
        <f t="shared" si="24"/>
        <v>0</v>
      </c>
      <c r="G64" s="966">
        <f t="shared" si="24"/>
        <v>0</v>
      </c>
      <c r="H64" s="966">
        <f t="shared" si="24"/>
        <v>0</v>
      </c>
      <c r="I64" s="965">
        <f t="shared" si="24"/>
        <v>0</v>
      </c>
    </row>
    <row r="65" spans="1:13" ht="15.75" outlineLevel="2" thickBot="1" x14ac:dyDescent="0.3">
      <c r="A65" s="297"/>
      <c r="B65" s="1225" t="s">
        <v>965</v>
      </c>
      <c r="C65" s="1226">
        <f t="shared" ref="C65:I65" si="25">SUM(C61:C64)</f>
        <v>28073719.124440879</v>
      </c>
      <c r="D65" s="1226">
        <f t="shared" si="25"/>
        <v>27888575.081375927</v>
      </c>
      <c r="E65" s="1226">
        <f t="shared" si="25"/>
        <v>27924263.673635475</v>
      </c>
      <c r="F65" s="1226">
        <f t="shared" si="25"/>
        <v>27988371.393791862</v>
      </c>
      <c r="G65" s="1226">
        <f t="shared" si="25"/>
        <v>28064933.717512779</v>
      </c>
      <c r="H65" s="1226">
        <f t="shared" si="25"/>
        <v>28113687.925760079</v>
      </c>
      <c r="I65" s="1227">
        <f t="shared" si="25"/>
        <v>28161239.714814428</v>
      </c>
    </row>
    <row r="66" spans="1:13" s="297" customFormat="1" ht="23.25" customHeight="1" outlineLevel="1" x14ac:dyDescent="0.25">
      <c r="J66"/>
      <c r="K66"/>
      <c r="L66"/>
      <c r="M66"/>
    </row>
    <row r="67" spans="1:13" ht="15.75" thickBot="1" x14ac:dyDescent="0.3">
      <c r="B67" s="42"/>
    </row>
    <row r="68" spans="1:13" s="42" customFormat="1" ht="24.75" customHeight="1" thickBot="1" x14ac:dyDescent="0.3">
      <c r="A68" s="958"/>
      <c r="B68" s="264" t="s">
        <v>977</v>
      </c>
      <c r="C68" s="264"/>
      <c r="D68" s="264"/>
      <c r="E68" s="264"/>
      <c r="F68" s="264"/>
      <c r="G68" s="264"/>
      <c r="H68" s="264"/>
      <c r="I68" s="264"/>
      <c r="J68"/>
      <c r="K68"/>
      <c r="L68"/>
      <c r="M68"/>
    </row>
    <row r="69" spans="1:13" s="42" customFormat="1" ht="24.75" customHeight="1" outlineLevel="1" thickBot="1" x14ac:dyDescent="0.3">
      <c r="A69" s="958"/>
      <c r="B69" s="998" t="s">
        <v>976</v>
      </c>
      <c r="C69" s="899"/>
      <c r="D69" s="899"/>
      <c r="E69" s="899"/>
      <c r="F69" s="899"/>
      <c r="G69" s="899"/>
      <c r="H69" s="899"/>
      <c r="I69" s="999"/>
      <c r="J69"/>
      <c r="K69"/>
      <c r="L69"/>
      <c r="M69"/>
    </row>
    <row r="70" spans="1:13" s="951" customFormat="1" ht="17.25" customHeight="1" outlineLevel="2" x14ac:dyDescent="0.25">
      <c r="A70" s="957"/>
      <c r="B70" s="26"/>
      <c r="C70" s="1427" t="s">
        <v>936</v>
      </c>
      <c r="D70" s="1428"/>
      <c r="E70" s="1428"/>
      <c r="F70" s="1428"/>
      <c r="G70" s="1428"/>
      <c r="H70" s="1428"/>
      <c r="I70" s="1429"/>
      <c r="J70"/>
      <c r="K70"/>
      <c r="L70"/>
      <c r="M70"/>
    </row>
    <row r="71" spans="1:13" s="951" customFormat="1" ht="17.25" customHeight="1" outlineLevel="2" thickBot="1" x14ac:dyDescent="0.3">
      <c r="A71" s="957"/>
      <c r="B71"/>
      <c r="C71" s="1430" t="str">
        <f ca="1">CONCATENATE("$0's, real ",dms_DollarReal)</f>
        <v>$0's, real June 2027</v>
      </c>
      <c r="D71" s="1431"/>
      <c r="E71" s="1431"/>
      <c r="F71" s="1431"/>
      <c r="G71" s="1431"/>
      <c r="H71" s="1431"/>
      <c r="I71" s="1432"/>
      <c r="J71"/>
      <c r="K71"/>
      <c r="L71"/>
      <c r="M71"/>
    </row>
    <row r="72" spans="1:13" s="951" customFormat="1" ht="17.25" customHeight="1" outlineLevel="2" thickBot="1" x14ac:dyDescent="0.3">
      <c r="A72" s="957"/>
      <c r="B72" s="943"/>
      <c r="C72" s="956" t="str">
        <f ca="1">CRCP_y4</f>
        <v>2025-26</v>
      </c>
      <c r="D72" s="955" t="str">
        <f ca="1">CRCP_y5</f>
        <v>2026-27</v>
      </c>
      <c r="E72" s="954" t="str">
        <f>FRCP_y1</f>
        <v>2027-28</v>
      </c>
      <c r="F72" s="953" t="str">
        <f ca="1">FRCP_y2</f>
        <v>2028-29</v>
      </c>
      <c r="G72" s="953" t="str">
        <f ca="1">FRCP_y3</f>
        <v>2029-30</v>
      </c>
      <c r="H72" s="953" t="str">
        <f ca="1">FRCP_y4</f>
        <v>2030-31</v>
      </c>
      <c r="I72" s="952" t="str">
        <f ca="1">FRCP_y5</f>
        <v>2031-32</v>
      </c>
      <c r="J72"/>
      <c r="K72"/>
      <c r="L72"/>
      <c r="M72"/>
    </row>
    <row r="73" spans="1:13" outlineLevel="2" x14ac:dyDescent="0.25">
      <c r="A73" s="297"/>
      <c r="B73" s="277" t="s">
        <v>970</v>
      </c>
      <c r="C73" s="964"/>
      <c r="D73" s="1095"/>
      <c r="E73" s="1144"/>
      <c r="F73" s="963"/>
      <c r="G73" s="963"/>
      <c r="H73" s="963"/>
      <c r="I73" s="962"/>
    </row>
    <row r="74" spans="1:13" outlineLevel="2" x14ac:dyDescent="0.25">
      <c r="A74" s="297"/>
      <c r="B74" s="277" t="s">
        <v>969</v>
      </c>
      <c r="C74" s="961"/>
      <c r="D74" s="1095"/>
      <c r="E74" s="1144"/>
      <c r="F74" s="960"/>
      <c r="G74" s="960"/>
      <c r="H74" s="960"/>
      <c r="I74" s="959"/>
    </row>
    <row r="75" spans="1:13" outlineLevel="2" x14ac:dyDescent="0.25">
      <c r="A75" s="297"/>
      <c r="B75" s="277" t="s">
        <v>998</v>
      </c>
      <c r="C75" s="961"/>
      <c r="D75" s="1095"/>
      <c r="E75" s="1144"/>
      <c r="F75" s="960"/>
      <c r="G75" s="960"/>
      <c r="H75" s="960"/>
      <c r="I75" s="959"/>
    </row>
    <row r="76" spans="1:13" outlineLevel="2" x14ac:dyDescent="0.25">
      <c r="A76" s="297"/>
      <c r="B76" s="277" t="s">
        <v>975</v>
      </c>
      <c r="C76" s="961"/>
      <c r="D76" s="1095"/>
      <c r="E76" s="1144"/>
      <c r="F76" s="960"/>
      <c r="G76" s="960"/>
      <c r="H76" s="960"/>
      <c r="I76" s="959"/>
    </row>
    <row r="77" spans="1:13" outlineLevel="2" x14ac:dyDescent="0.25">
      <c r="A77" s="297"/>
      <c r="B77" s="277" t="s">
        <v>974</v>
      </c>
      <c r="C77" s="961"/>
      <c r="D77" s="1095"/>
      <c r="E77" s="1144"/>
      <c r="F77" s="960"/>
      <c r="G77" s="960"/>
      <c r="H77" s="960"/>
      <c r="I77" s="959"/>
    </row>
    <row r="78" spans="1:13" ht="15.75" outlineLevel="2" thickBot="1" x14ac:dyDescent="0.3">
      <c r="A78" s="297"/>
      <c r="B78" s="277" t="s">
        <v>971</v>
      </c>
      <c r="C78" s="961"/>
      <c r="D78" s="1095"/>
      <c r="E78" s="1144"/>
      <c r="F78" s="960"/>
      <c r="G78" s="960"/>
      <c r="H78" s="960"/>
      <c r="I78" s="959"/>
    </row>
    <row r="79" spans="1:13" ht="15.75" outlineLevel="2" thickBot="1" x14ac:dyDescent="0.3">
      <c r="A79" s="297"/>
      <c r="B79" s="1225" t="s">
        <v>965</v>
      </c>
      <c r="C79" s="1226">
        <f t="shared" ref="C79:I79" si="26">SUM(C73:C78)</f>
        <v>0</v>
      </c>
      <c r="D79" s="1226">
        <f t="shared" si="26"/>
        <v>0</v>
      </c>
      <c r="E79" s="1226">
        <f t="shared" si="26"/>
        <v>0</v>
      </c>
      <c r="F79" s="1226">
        <f t="shared" si="26"/>
        <v>0</v>
      </c>
      <c r="G79" s="1226">
        <f t="shared" si="26"/>
        <v>0</v>
      </c>
      <c r="H79" s="1226">
        <f t="shared" si="26"/>
        <v>0</v>
      </c>
      <c r="I79" s="1227">
        <f t="shared" si="26"/>
        <v>0</v>
      </c>
    </row>
    <row r="80" spans="1:13" ht="15.75" outlineLevel="1" thickBot="1" x14ac:dyDescent="0.3"/>
    <row r="81" spans="1:13" s="42" customFormat="1" ht="24.75" customHeight="1" outlineLevel="1" thickBot="1" x14ac:dyDescent="0.3">
      <c r="A81" s="958"/>
      <c r="B81" s="998" t="s">
        <v>1111</v>
      </c>
      <c r="C81" s="899"/>
      <c r="D81" s="899"/>
      <c r="E81" s="899"/>
      <c r="F81" s="899"/>
      <c r="G81" s="899"/>
      <c r="H81" s="899"/>
      <c r="I81" s="999"/>
      <c r="J81"/>
      <c r="K81"/>
      <c r="L81"/>
      <c r="M81"/>
    </row>
    <row r="82" spans="1:13" s="951" customFormat="1" ht="17.25" customHeight="1" outlineLevel="2" x14ac:dyDescent="0.25">
      <c r="A82" s="957"/>
      <c r="B82" s="26"/>
      <c r="C82" s="1427" t="s">
        <v>936</v>
      </c>
      <c r="D82" s="1428"/>
      <c r="E82" s="1428"/>
      <c r="F82" s="1428"/>
      <c r="G82" s="1428"/>
      <c r="H82" s="1428"/>
      <c r="I82" s="1429"/>
      <c r="J82"/>
      <c r="K82"/>
      <c r="L82"/>
      <c r="M82"/>
    </row>
    <row r="83" spans="1:13" s="951" customFormat="1" ht="17.25" customHeight="1" outlineLevel="2" thickBot="1" x14ac:dyDescent="0.3">
      <c r="A83" s="957"/>
      <c r="B83"/>
      <c r="C83" s="1430" t="str">
        <f ca="1">CONCATENATE("$0's, real ",dms_DollarReal)</f>
        <v>$0's, real June 2027</v>
      </c>
      <c r="D83" s="1431"/>
      <c r="E83" s="1431"/>
      <c r="F83" s="1431"/>
      <c r="G83" s="1431"/>
      <c r="H83" s="1431"/>
      <c r="I83" s="1432"/>
      <c r="J83"/>
      <c r="K83"/>
      <c r="L83"/>
      <c r="M83"/>
    </row>
    <row r="84" spans="1:13" s="951" customFormat="1" ht="17.25" customHeight="1" outlineLevel="2" thickBot="1" x14ac:dyDescent="0.3">
      <c r="A84" s="957"/>
      <c r="B84" s="943"/>
      <c r="C84" s="956" t="str">
        <f ca="1">CRCP_y4</f>
        <v>2025-26</v>
      </c>
      <c r="D84" s="955" t="str">
        <f ca="1">CRCP_y5</f>
        <v>2026-27</v>
      </c>
      <c r="E84" s="954" t="str">
        <f>FRCP_y1</f>
        <v>2027-28</v>
      </c>
      <c r="F84" s="953" t="str">
        <f ca="1">FRCP_y2</f>
        <v>2028-29</v>
      </c>
      <c r="G84" s="953" t="str">
        <f ca="1">FRCP_y3</f>
        <v>2029-30</v>
      </c>
      <c r="H84" s="953" t="str">
        <f ca="1">FRCP_y4</f>
        <v>2030-31</v>
      </c>
      <c r="I84" s="952" t="str">
        <f ca="1">FRCP_y5</f>
        <v>2031-32</v>
      </c>
      <c r="J84"/>
      <c r="K84"/>
      <c r="L84"/>
      <c r="M84"/>
    </row>
    <row r="85" spans="1:13" outlineLevel="2" x14ac:dyDescent="0.25">
      <c r="A85" s="297"/>
      <c r="B85" s="277" t="s">
        <v>970</v>
      </c>
      <c r="C85" s="923"/>
      <c r="D85" s="991"/>
      <c r="E85" s="992"/>
      <c r="F85" s="924"/>
      <c r="G85" s="924"/>
      <c r="H85" s="924"/>
      <c r="I85" s="925"/>
    </row>
    <row r="86" spans="1:13" outlineLevel="2" x14ac:dyDescent="0.25">
      <c r="A86" s="297"/>
      <c r="B86" s="277" t="s">
        <v>969</v>
      </c>
      <c r="C86" s="968"/>
      <c r="D86" s="1095"/>
      <c r="E86" s="1144"/>
      <c r="F86" s="966"/>
      <c r="G86" s="966"/>
      <c r="H86" s="966"/>
      <c r="I86" s="965"/>
    </row>
    <row r="87" spans="1:13" outlineLevel="2" x14ac:dyDescent="0.25">
      <c r="A87" s="297"/>
      <c r="B87" s="277" t="s">
        <v>998</v>
      </c>
      <c r="C87" s="968"/>
      <c r="D87" s="1095"/>
      <c r="E87" s="1144"/>
      <c r="F87" s="966"/>
      <c r="G87" s="966"/>
      <c r="H87" s="966"/>
      <c r="I87" s="965"/>
    </row>
    <row r="88" spans="1:13" outlineLevel="2" x14ac:dyDescent="0.25">
      <c r="A88" s="297"/>
      <c r="B88" s="277" t="s">
        <v>975</v>
      </c>
      <c r="C88" s="968"/>
      <c r="D88" s="1095"/>
      <c r="E88" s="1144"/>
      <c r="F88" s="966"/>
      <c r="G88" s="966"/>
      <c r="H88" s="966"/>
      <c r="I88" s="965"/>
    </row>
    <row r="89" spans="1:13" outlineLevel="2" x14ac:dyDescent="0.25">
      <c r="A89" s="297"/>
      <c r="B89" s="277" t="s">
        <v>974</v>
      </c>
      <c r="C89" s="968"/>
      <c r="D89" s="1095"/>
      <c r="E89" s="1144"/>
      <c r="F89" s="966"/>
      <c r="G89" s="966"/>
      <c r="H89" s="966"/>
      <c r="I89" s="965"/>
    </row>
    <row r="90" spans="1:13" ht="15.75" outlineLevel="2" thickBot="1" x14ac:dyDescent="0.3">
      <c r="A90" s="297"/>
      <c r="B90" s="277" t="s">
        <v>971</v>
      </c>
      <c r="C90" s="921"/>
      <c r="D90" s="1095"/>
      <c r="E90" s="1144"/>
      <c r="F90" s="920"/>
      <c r="G90" s="920"/>
      <c r="H90" s="920"/>
      <c r="I90" s="922"/>
    </row>
    <row r="91" spans="1:13" ht="15.75" outlineLevel="2" thickBot="1" x14ac:dyDescent="0.3">
      <c r="A91" s="297"/>
      <c r="B91" s="1225" t="s">
        <v>965</v>
      </c>
      <c r="C91" s="1226">
        <f t="shared" ref="C91:I91" si="27">SUM(C85:C90)</f>
        <v>0</v>
      </c>
      <c r="D91" s="1226">
        <f t="shared" si="27"/>
        <v>0</v>
      </c>
      <c r="E91" s="1226">
        <f t="shared" si="27"/>
        <v>0</v>
      </c>
      <c r="F91" s="1226">
        <f t="shared" si="27"/>
        <v>0</v>
      </c>
      <c r="G91" s="1226">
        <f t="shared" si="27"/>
        <v>0</v>
      </c>
      <c r="H91" s="1226">
        <f t="shared" si="27"/>
        <v>0</v>
      </c>
      <c r="I91" s="1227">
        <f t="shared" si="27"/>
        <v>0</v>
      </c>
    </row>
    <row r="92" spans="1:13" ht="15.75" outlineLevel="1" thickBot="1" x14ac:dyDescent="0.3"/>
    <row r="93" spans="1:13" s="42" customFormat="1" ht="24.75" customHeight="1" outlineLevel="1" thickBot="1" x14ac:dyDescent="0.3">
      <c r="A93" s="958"/>
      <c r="B93" s="998" t="s">
        <v>1125</v>
      </c>
      <c r="C93" s="899"/>
      <c r="D93" s="899"/>
      <c r="E93" s="899"/>
      <c r="F93" s="899"/>
      <c r="G93" s="899"/>
      <c r="H93" s="899"/>
      <c r="I93" s="999"/>
      <c r="J93"/>
      <c r="K93"/>
      <c r="L93"/>
      <c r="M93"/>
    </row>
    <row r="94" spans="1:13" s="951" customFormat="1" ht="17.25" customHeight="1" outlineLevel="2" x14ac:dyDescent="0.25">
      <c r="A94" s="957"/>
      <c r="B94" s="26"/>
      <c r="C94" s="1427" t="s">
        <v>936</v>
      </c>
      <c r="D94" s="1428"/>
      <c r="E94" s="1428"/>
      <c r="F94" s="1428"/>
      <c r="G94" s="1428"/>
      <c r="H94" s="1428"/>
      <c r="I94" s="1429"/>
      <c r="J94"/>
      <c r="K94"/>
      <c r="L94"/>
      <c r="M94"/>
    </row>
    <row r="95" spans="1:13" s="951" customFormat="1" ht="17.25" customHeight="1" outlineLevel="2" thickBot="1" x14ac:dyDescent="0.3">
      <c r="A95" s="957"/>
      <c r="B95"/>
      <c r="C95" s="1430" t="str">
        <f ca="1">CONCATENATE("$0's, real ",dms_DollarReal)</f>
        <v>$0's, real June 2027</v>
      </c>
      <c r="D95" s="1431"/>
      <c r="E95" s="1431"/>
      <c r="F95" s="1431"/>
      <c r="G95" s="1431"/>
      <c r="H95" s="1431"/>
      <c r="I95" s="1432"/>
      <c r="J95"/>
      <c r="K95"/>
      <c r="L95"/>
      <c r="M95"/>
    </row>
    <row r="96" spans="1:13" s="951" customFormat="1" ht="17.25" customHeight="1" outlineLevel="2" thickBot="1" x14ac:dyDescent="0.3">
      <c r="A96" s="957"/>
      <c r="B96" s="943"/>
      <c r="C96" s="956" t="str">
        <f ca="1">CRCP_y4</f>
        <v>2025-26</v>
      </c>
      <c r="D96" s="955" t="str">
        <f ca="1">CRCP_y5</f>
        <v>2026-27</v>
      </c>
      <c r="E96" s="954" t="str">
        <f>FRCP_y1</f>
        <v>2027-28</v>
      </c>
      <c r="F96" s="953" t="str">
        <f ca="1">FRCP_y2</f>
        <v>2028-29</v>
      </c>
      <c r="G96" s="953" t="str">
        <f ca="1">FRCP_y3</f>
        <v>2029-30</v>
      </c>
      <c r="H96" s="953" t="str">
        <f ca="1">FRCP_y4</f>
        <v>2030-31</v>
      </c>
      <c r="I96" s="952" t="str">
        <f ca="1">FRCP_y5</f>
        <v>2031-32</v>
      </c>
      <c r="J96"/>
      <c r="K96"/>
      <c r="L96"/>
      <c r="M96"/>
    </row>
    <row r="97" spans="1:13" outlineLevel="2" x14ac:dyDescent="0.25">
      <c r="A97" s="297"/>
      <c r="B97" s="277" t="s">
        <v>970</v>
      </c>
      <c r="C97" s="923"/>
      <c r="D97" s="991"/>
      <c r="E97" s="992"/>
      <c r="F97" s="924"/>
      <c r="G97" s="924"/>
      <c r="H97" s="924"/>
      <c r="I97" s="925"/>
    </row>
    <row r="98" spans="1:13" outlineLevel="2" x14ac:dyDescent="0.25">
      <c r="A98" s="297"/>
      <c r="B98" s="277" t="s">
        <v>969</v>
      </c>
      <c r="C98" s="968"/>
      <c r="D98" s="1095"/>
      <c r="E98" s="1144"/>
      <c r="F98" s="966"/>
      <c r="G98" s="966"/>
      <c r="H98" s="966"/>
      <c r="I98" s="965"/>
    </row>
    <row r="99" spans="1:13" outlineLevel="2" x14ac:dyDescent="0.25">
      <c r="A99" s="297"/>
      <c r="B99" s="277" t="s">
        <v>998</v>
      </c>
      <c r="C99" s="968"/>
      <c r="D99" s="1095"/>
      <c r="E99" s="1144"/>
      <c r="F99" s="966"/>
      <c r="G99" s="966"/>
      <c r="H99" s="966"/>
      <c r="I99" s="965"/>
    </row>
    <row r="100" spans="1:13" outlineLevel="2" x14ac:dyDescent="0.25">
      <c r="A100" s="297"/>
      <c r="B100" s="277" t="s">
        <v>975</v>
      </c>
      <c r="C100" s="968"/>
      <c r="D100" s="1095"/>
      <c r="E100" s="1144"/>
      <c r="F100" s="966"/>
      <c r="G100" s="966"/>
      <c r="H100" s="966"/>
      <c r="I100" s="965"/>
    </row>
    <row r="101" spans="1:13" outlineLevel="2" x14ac:dyDescent="0.25">
      <c r="A101" s="297"/>
      <c r="B101" s="277" t="s">
        <v>974</v>
      </c>
      <c r="C101" s="968"/>
      <c r="D101" s="1095"/>
      <c r="E101" s="1144"/>
      <c r="F101" s="966"/>
      <c r="G101" s="966"/>
      <c r="H101" s="966"/>
      <c r="I101" s="965"/>
    </row>
    <row r="102" spans="1:13" ht="15.75" outlineLevel="2" thickBot="1" x14ac:dyDescent="0.3">
      <c r="A102" s="297"/>
      <c r="B102" s="277" t="s">
        <v>971</v>
      </c>
      <c r="C102" s="921"/>
      <c r="D102" s="1095"/>
      <c r="E102" s="1144"/>
      <c r="F102" s="920"/>
      <c r="G102" s="920"/>
      <c r="H102" s="920"/>
      <c r="I102" s="922"/>
    </row>
    <row r="103" spans="1:13" ht="15.75" outlineLevel="2" thickBot="1" x14ac:dyDescent="0.3">
      <c r="A103" s="297"/>
      <c r="B103" s="1225" t="s">
        <v>965</v>
      </c>
      <c r="C103" s="1226">
        <f t="shared" ref="C103:I103" si="28">SUM(C97:C102)</f>
        <v>0</v>
      </c>
      <c r="D103" s="1226">
        <f t="shared" si="28"/>
        <v>0</v>
      </c>
      <c r="E103" s="1226">
        <f t="shared" si="28"/>
        <v>0</v>
      </c>
      <c r="F103" s="1226">
        <f t="shared" si="28"/>
        <v>0</v>
      </c>
      <c r="G103" s="1226">
        <f t="shared" si="28"/>
        <v>0</v>
      </c>
      <c r="H103" s="1226">
        <f t="shared" si="28"/>
        <v>0</v>
      </c>
      <c r="I103" s="1227">
        <f t="shared" si="28"/>
        <v>0</v>
      </c>
    </row>
    <row r="104" spans="1:13" outlineLevel="1" x14ac:dyDescent="0.25"/>
    <row r="105" spans="1:13" ht="15.75" thickBot="1" x14ac:dyDescent="0.3"/>
    <row r="106" spans="1:13" s="42" customFormat="1" ht="24.75" customHeight="1" thickBot="1" x14ac:dyDescent="0.3">
      <c r="A106" s="958"/>
      <c r="B106" s="264" t="s">
        <v>973</v>
      </c>
      <c r="C106" s="264"/>
      <c r="D106" s="264"/>
      <c r="E106" s="264"/>
      <c r="F106" s="264"/>
      <c r="G106" s="264"/>
      <c r="H106" s="264"/>
      <c r="I106" s="264"/>
      <c r="J106"/>
      <c r="K106"/>
      <c r="L106"/>
      <c r="M106"/>
    </row>
    <row r="107" spans="1:13" s="42" customFormat="1" ht="24.75" customHeight="1" outlineLevel="1" thickBot="1" x14ac:dyDescent="0.3">
      <c r="A107" s="958"/>
      <c r="B107" s="998" t="s">
        <v>972</v>
      </c>
      <c r="C107" s="899"/>
      <c r="D107" s="899"/>
      <c r="E107" s="899"/>
      <c r="F107" s="899"/>
      <c r="G107" s="899"/>
      <c r="H107" s="899"/>
      <c r="I107" s="999"/>
      <c r="J107"/>
      <c r="K107"/>
      <c r="L107"/>
      <c r="M107"/>
    </row>
    <row r="108" spans="1:13" s="951" customFormat="1" ht="17.25" customHeight="1" outlineLevel="2" x14ac:dyDescent="0.25">
      <c r="A108" s="957"/>
      <c r="B108" s="26"/>
      <c r="C108" s="1427" t="s">
        <v>936</v>
      </c>
      <c r="D108" s="1428"/>
      <c r="E108" s="1428"/>
      <c r="F108" s="1428"/>
      <c r="G108" s="1428"/>
      <c r="H108" s="1428"/>
      <c r="I108" s="1429"/>
      <c r="J108"/>
      <c r="K108"/>
      <c r="L108"/>
      <c r="M108"/>
    </row>
    <row r="109" spans="1:13" s="951" customFormat="1" ht="17.25" customHeight="1" outlineLevel="2" thickBot="1" x14ac:dyDescent="0.3">
      <c r="A109" s="957"/>
      <c r="B109"/>
      <c r="C109" s="1430" t="str">
        <f ca="1">CONCATENATE("$0's, real ",dms_DollarReal)</f>
        <v>$0's, real June 2027</v>
      </c>
      <c r="D109" s="1431"/>
      <c r="E109" s="1431"/>
      <c r="F109" s="1431"/>
      <c r="G109" s="1431"/>
      <c r="H109" s="1431"/>
      <c r="I109" s="1432"/>
      <c r="J109"/>
      <c r="K109"/>
      <c r="L109"/>
      <c r="M109"/>
    </row>
    <row r="110" spans="1:13" s="951" customFormat="1" ht="17.25" customHeight="1" outlineLevel="2" thickBot="1" x14ac:dyDescent="0.3">
      <c r="A110" s="957"/>
      <c r="B110" s="943"/>
      <c r="C110" s="956" t="str">
        <f ca="1">CRCP_y4</f>
        <v>2025-26</v>
      </c>
      <c r="D110" s="955" t="str">
        <f ca="1">CRCP_y5</f>
        <v>2026-27</v>
      </c>
      <c r="E110" s="954" t="str">
        <f>FRCP_y1</f>
        <v>2027-28</v>
      </c>
      <c r="F110" s="953" t="str">
        <f ca="1">FRCP_y2</f>
        <v>2028-29</v>
      </c>
      <c r="G110" s="953" t="str">
        <f ca="1">FRCP_y3</f>
        <v>2029-30</v>
      </c>
      <c r="H110" s="953" t="str">
        <f ca="1">FRCP_y4</f>
        <v>2030-31</v>
      </c>
      <c r="I110" s="952" t="str">
        <f ca="1">FRCP_y5</f>
        <v>2031-32</v>
      </c>
      <c r="J110"/>
      <c r="K110"/>
      <c r="L110"/>
      <c r="M110"/>
    </row>
    <row r="111" spans="1:13" outlineLevel="2" x14ac:dyDescent="0.25">
      <c r="A111" s="297"/>
      <c r="B111" s="277" t="s">
        <v>970</v>
      </c>
      <c r="C111" s="923">
        <v>558406.99957382574</v>
      </c>
      <c r="D111" s="1095">
        <v>1205910.4419167787</v>
      </c>
      <c r="E111" s="1144">
        <v>2092151.9947592416</v>
      </c>
      <c r="F111" s="924">
        <v>1536927.7853957296</v>
      </c>
      <c r="G111" s="924">
        <v>1074309.8693272527</v>
      </c>
      <c r="H111" s="924">
        <v>1148020.8701742697</v>
      </c>
      <c r="I111" s="925">
        <v>761683.48274329386</v>
      </c>
    </row>
    <row r="112" spans="1:13" outlineLevel="2" x14ac:dyDescent="0.25">
      <c r="A112" s="297"/>
      <c r="B112" s="277" t="s">
        <v>969</v>
      </c>
      <c r="C112" s="921">
        <v>0</v>
      </c>
      <c r="D112" s="1095">
        <v>0</v>
      </c>
      <c r="E112" s="1144">
        <v>0</v>
      </c>
      <c r="F112" s="920">
        <v>0</v>
      </c>
      <c r="G112" s="920">
        <v>0</v>
      </c>
      <c r="H112" s="920">
        <v>0</v>
      </c>
      <c r="I112" s="922">
        <v>0</v>
      </c>
    </row>
    <row r="113" spans="1:9" outlineLevel="2" x14ac:dyDescent="0.25">
      <c r="A113" s="297"/>
      <c r="B113" s="277" t="s">
        <v>998</v>
      </c>
      <c r="C113" s="921">
        <v>392115.64185212029</v>
      </c>
      <c r="D113" s="1095">
        <v>108500.74730481447</v>
      </c>
      <c r="E113" s="1144">
        <v>104382.97604670947</v>
      </c>
      <c r="F113" s="920">
        <v>104382.97604670947</v>
      </c>
      <c r="G113" s="920">
        <v>111634.86232139728</v>
      </c>
      <c r="H113" s="920">
        <v>142100.77451518073</v>
      </c>
      <c r="I113" s="922">
        <v>111216.92348874113</v>
      </c>
    </row>
    <row r="114" spans="1:9" ht="15.75" outlineLevel="2" thickBot="1" x14ac:dyDescent="0.3">
      <c r="A114" s="297"/>
      <c r="B114" s="1005" t="s">
        <v>971</v>
      </c>
      <c r="C114" s="950">
        <v>0</v>
      </c>
      <c r="D114" s="1145">
        <v>0</v>
      </c>
      <c r="E114" s="1146">
        <v>0</v>
      </c>
      <c r="F114" s="949">
        <v>0</v>
      </c>
      <c r="G114" s="949">
        <v>0</v>
      </c>
      <c r="H114" s="949">
        <v>0</v>
      </c>
      <c r="I114" s="948">
        <v>0</v>
      </c>
    </row>
    <row r="115" spans="1:9" ht="15.75" outlineLevel="2" thickBot="1" x14ac:dyDescent="0.3">
      <c r="A115" s="297"/>
      <c r="B115" s="1225" t="s">
        <v>965</v>
      </c>
      <c r="C115" s="1226">
        <f>SUM(C111:C114)</f>
        <v>950522.64142594603</v>
      </c>
      <c r="D115" s="1226">
        <f t="shared" ref="D115:I115" si="29">SUM(D111:D114)</f>
        <v>1314411.1892215931</v>
      </c>
      <c r="E115" s="1226">
        <f t="shared" si="29"/>
        <v>2196534.9708059509</v>
      </c>
      <c r="F115" s="1226">
        <f t="shared" si="29"/>
        <v>1641310.7614424392</v>
      </c>
      <c r="G115" s="1226">
        <f t="shared" si="29"/>
        <v>1185944.73164865</v>
      </c>
      <c r="H115" s="1226">
        <f t="shared" si="29"/>
        <v>1290121.6446894505</v>
      </c>
      <c r="I115" s="1227">
        <f t="shared" si="29"/>
        <v>872900.40623203502</v>
      </c>
    </row>
    <row r="116" spans="1:9" x14ac:dyDescent="0.25">
      <c r="B116" s="42"/>
    </row>
    <row r="117" spans="1:9" ht="15.75" thickBot="1" x14ac:dyDescent="0.3">
      <c r="B117" s="42"/>
    </row>
    <row r="118" spans="1:9" ht="24.75" customHeight="1" thickBot="1" x14ac:dyDescent="0.3">
      <c r="B118" s="998" t="s">
        <v>1112</v>
      </c>
      <c r="C118" s="899"/>
      <c r="D118" s="899"/>
      <c r="E118" s="899"/>
      <c r="F118" s="899"/>
      <c r="G118" s="899"/>
      <c r="H118" s="899"/>
      <c r="I118" s="999"/>
    </row>
    <row r="119" spans="1:9" x14ac:dyDescent="0.25">
      <c r="B119" s="26"/>
      <c r="C119" s="1427" t="s">
        <v>936</v>
      </c>
      <c r="D119" s="1428"/>
      <c r="E119" s="1428"/>
      <c r="F119" s="1428"/>
      <c r="G119" s="1428"/>
      <c r="H119" s="1428"/>
      <c r="I119" s="1429"/>
    </row>
    <row r="120" spans="1:9" ht="15.75" thickBot="1" x14ac:dyDescent="0.3">
      <c r="C120" s="1430" t="str">
        <f ca="1">CONCATENATE("$0's, real ",dms_DollarReal)</f>
        <v>$0's, real June 2027</v>
      </c>
      <c r="D120" s="1431"/>
      <c r="E120" s="1431"/>
      <c r="F120" s="1431"/>
      <c r="G120" s="1431"/>
      <c r="H120" s="1431"/>
      <c r="I120" s="1432"/>
    </row>
    <row r="121" spans="1:9" ht="15.75" thickBot="1" x14ac:dyDescent="0.3">
      <c r="B121" s="943"/>
      <c r="C121" s="1208" t="str">
        <f ca="1">CRCP_y4</f>
        <v>2025-26</v>
      </c>
      <c r="D121" s="1209" t="str">
        <f ca="1">CRCP_y5</f>
        <v>2026-27</v>
      </c>
      <c r="E121" s="1210" t="str">
        <f>FRCP_y1</f>
        <v>2027-28</v>
      </c>
      <c r="F121" s="1211" t="str">
        <f ca="1">FRCP_y2</f>
        <v>2028-29</v>
      </c>
      <c r="G121" s="1211" t="str">
        <f ca="1">FRCP_y3</f>
        <v>2029-30</v>
      </c>
      <c r="H121" s="1211" t="str">
        <f ca="1">FRCP_y4</f>
        <v>2030-31</v>
      </c>
      <c r="I121" s="1212" t="str">
        <f ca="1">FRCP_y5</f>
        <v>2031-32</v>
      </c>
    </row>
    <row r="122" spans="1:9" x14ac:dyDescent="0.25">
      <c r="B122" s="898" t="s">
        <v>970</v>
      </c>
      <c r="C122" s="995"/>
      <c r="D122" s="885"/>
      <c r="E122" s="885"/>
      <c r="F122" s="885"/>
      <c r="G122" s="885"/>
      <c r="H122" s="885"/>
      <c r="I122" s="886"/>
    </row>
    <row r="123" spans="1:9" x14ac:dyDescent="0.25">
      <c r="B123" s="277" t="s">
        <v>969</v>
      </c>
      <c r="C123" s="1000"/>
      <c r="D123" s="880"/>
      <c r="E123" s="880"/>
      <c r="F123" s="880"/>
      <c r="G123" s="880"/>
      <c r="H123" s="880"/>
      <c r="I123" s="882"/>
    </row>
    <row r="124" spans="1:9" x14ac:dyDescent="0.25">
      <c r="B124" s="277" t="s">
        <v>998</v>
      </c>
      <c r="C124" s="1000"/>
      <c r="D124" s="880"/>
      <c r="E124" s="880"/>
      <c r="F124" s="880"/>
      <c r="G124" s="880"/>
      <c r="H124" s="880"/>
      <c r="I124" s="882"/>
    </row>
    <row r="125" spans="1:9" ht="15.75" thickBot="1" x14ac:dyDescent="0.3">
      <c r="B125" s="1005" t="s">
        <v>971</v>
      </c>
      <c r="C125" s="1000"/>
      <c r="D125" s="880"/>
      <c r="E125" s="880"/>
      <c r="F125" s="880"/>
      <c r="G125" s="880"/>
      <c r="H125" s="880"/>
      <c r="I125" s="882"/>
    </row>
    <row r="126" spans="1:9" ht="15.75" thickBot="1" x14ac:dyDescent="0.3">
      <c r="B126" s="1225" t="s">
        <v>1085</v>
      </c>
      <c r="C126" s="1226">
        <f t="shared" ref="C126:I126" si="30">SUM(C122:C125)</f>
        <v>0</v>
      </c>
      <c r="D126" s="1226">
        <f t="shared" si="30"/>
        <v>0</v>
      </c>
      <c r="E126" s="1226">
        <f t="shared" si="30"/>
        <v>0</v>
      </c>
      <c r="F126" s="1226">
        <f t="shared" si="30"/>
        <v>0</v>
      </c>
      <c r="G126" s="1226">
        <f t="shared" si="30"/>
        <v>0</v>
      </c>
      <c r="H126" s="1226">
        <f t="shared" si="30"/>
        <v>0</v>
      </c>
      <c r="I126" s="1227">
        <f t="shared" si="30"/>
        <v>0</v>
      </c>
    </row>
    <row r="127" spans="1:9" ht="15.75" thickBot="1" x14ac:dyDescent="0.3"/>
    <row r="128" spans="1:9" ht="24.75" customHeight="1" thickBot="1" x14ac:dyDescent="0.3">
      <c r="B128" s="998" t="s">
        <v>1126</v>
      </c>
      <c r="C128" s="899"/>
      <c r="D128" s="899"/>
      <c r="E128" s="899"/>
      <c r="F128" s="899"/>
      <c r="G128" s="899"/>
      <c r="H128" s="899"/>
      <c r="I128" s="999"/>
    </row>
    <row r="129" spans="2:9" x14ac:dyDescent="0.25">
      <c r="B129" s="26"/>
      <c r="C129" s="1427" t="s">
        <v>936</v>
      </c>
      <c r="D129" s="1428"/>
      <c r="E129" s="1428"/>
      <c r="F129" s="1428"/>
      <c r="G129" s="1428"/>
      <c r="H129" s="1428"/>
      <c r="I129" s="1429"/>
    </row>
    <row r="130" spans="2:9" ht="15.75" thickBot="1" x14ac:dyDescent="0.3">
      <c r="C130" s="1430" t="str">
        <f ca="1">CONCATENATE("$0's, real ",dms_DollarReal)</f>
        <v>$0's, real June 2027</v>
      </c>
      <c r="D130" s="1431"/>
      <c r="E130" s="1431"/>
      <c r="F130" s="1431"/>
      <c r="G130" s="1431"/>
      <c r="H130" s="1431"/>
      <c r="I130" s="1432"/>
    </row>
    <row r="131" spans="2:9" ht="15.75" thickBot="1" x14ac:dyDescent="0.3">
      <c r="B131" s="943"/>
      <c r="C131" s="1208" t="str">
        <f ca="1">CRCP_y4</f>
        <v>2025-26</v>
      </c>
      <c r="D131" s="1209" t="str">
        <f ca="1">CRCP_y5</f>
        <v>2026-27</v>
      </c>
      <c r="E131" s="1210" t="str">
        <f>FRCP_y1</f>
        <v>2027-28</v>
      </c>
      <c r="F131" s="1211" t="str">
        <f ca="1">FRCP_y2</f>
        <v>2028-29</v>
      </c>
      <c r="G131" s="1211" t="str">
        <f ca="1">FRCP_y3</f>
        <v>2029-30</v>
      </c>
      <c r="H131" s="1211" t="str">
        <f ca="1">FRCP_y4</f>
        <v>2030-31</v>
      </c>
      <c r="I131" s="1212" t="str">
        <f ca="1">FRCP_y5</f>
        <v>2031-32</v>
      </c>
    </row>
    <row r="132" spans="2:9" x14ac:dyDescent="0.25">
      <c r="B132" s="898" t="s">
        <v>970</v>
      </c>
      <c r="C132" s="995">
        <f>C111+C122</f>
        <v>558406.99957382574</v>
      </c>
      <c r="D132" s="885">
        <f t="shared" ref="D132:I132" si="31">D111+D122</f>
        <v>1205910.4419167787</v>
      </c>
      <c r="E132" s="885">
        <f t="shared" si="31"/>
        <v>2092151.9947592416</v>
      </c>
      <c r="F132" s="885">
        <f t="shared" si="31"/>
        <v>1536927.7853957296</v>
      </c>
      <c r="G132" s="885">
        <f t="shared" si="31"/>
        <v>1074309.8693272527</v>
      </c>
      <c r="H132" s="885">
        <f t="shared" si="31"/>
        <v>1148020.8701742697</v>
      </c>
      <c r="I132" s="886">
        <f t="shared" si="31"/>
        <v>761683.48274329386</v>
      </c>
    </row>
    <row r="133" spans="2:9" x14ac:dyDescent="0.25">
      <c r="B133" s="277" t="s">
        <v>969</v>
      </c>
      <c r="C133" s="1000">
        <f t="shared" ref="C133:C135" si="32">C112+C123</f>
        <v>0</v>
      </c>
      <c r="D133" s="880">
        <f t="shared" ref="D133:I133" si="33">D112+D123</f>
        <v>0</v>
      </c>
      <c r="E133" s="880">
        <f t="shared" si="33"/>
        <v>0</v>
      </c>
      <c r="F133" s="880">
        <f t="shared" si="33"/>
        <v>0</v>
      </c>
      <c r="G133" s="880">
        <f t="shared" si="33"/>
        <v>0</v>
      </c>
      <c r="H133" s="880">
        <f t="shared" si="33"/>
        <v>0</v>
      </c>
      <c r="I133" s="882">
        <f t="shared" si="33"/>
        <v>0</v>
      </c>
    </row>
    <row r="134" spans="2:9" x14ac:dyDescent="0.25">
      <c r="B134" s="277" t="s">
        <v>998</v>
      </c>
      <c r="C134" s="1000">
        <f t="shared" si="32"/>
        <v>392115.64185212029</v>
      </c>
      <c r="D134" s="880">
        <f t="shared" ref="D134:I134" si="34">D113+D124</f>
        <v>108500.74730481447</v>
      </c>
      <c r="E134" s="880">
        <f t="shared" si="34"/>
        <v>104382.97604670947</v>
      </c>
      <c r="F134" s="880">
        <f t="shared" si="34"/>
        <v>104382.97604670947</v>
      </c>
      <c r="G134" s="880">
        <f t="shared" si="34"/>
        <v>111634.86232139728</v>
      </c>
      <c r="H134" s="880">
        <f t="shared" si="34"/>
        <v>142100.77451518073</v>
      </c>
      <c r="I134" s="882">
        <f t="shared" si="34"/>
        <v>111216.92348874113</v>
      </c>
    </row>
    <row r="135" spans="2:9" ht="15.75" thickBot="1" x14ac:dyDescent="0.3">
      <c r="B135" s="1005" t="s">
        <v>971</v>
      </c>
      <c r="C135" s="1000">
        <f t="shared" si="32"/>
        <v>0</v>
      </c>
      <c r="D135" s="880">
        <f t="shared" ref="D135:I135" si="35">D114+D125</f>
        <v>0</v>
      </c>
      <c r="E135" s="880">
        <f t="shared" si="35"/>
        <v>0</v>
      </c>
      <c r="F135" s="880">
        <f t="shared" si="35"/>
        <v>0</v>
      </c>
      <c r="G135" s="880">
        <f t="shared" si="35"/>
        <v>0</v>
      </c>
      <c r="H135" s="880">
        <f t="shared" si="35"/>
        <v>0</v>
      </c>
      <c r="I135" s="882">
        <f t="shared" si="35"/>
        <v>0</v>
      </c>
    </row>
    <row r="136" spans="2:9" ht="15.75" thickBot="1" x14ac:dyDescent="0.3">
      <c r="B136" s="1225" t="s">
        <v>1085</v>
      </c>
      <c r="C136" s="1226">
        <f t="shared" ref="C136:I136" si="36">SUM(C132:C135)</f>
        <v>950522.64142594603</v>
      </c>
      <c r="D136" s="1226">
        <f t="shared" si="36"/>
        <v>1314411.1892215931</v>
      </c>
      <c r="E136" s="1226">
        <f t="shared" si="36"/>
        <v>2196534.9708059509</v>
      </c>
      <c r="F136" s="1226">
        <f t="shared" si="36"/>
        <v>1641310.7614424392</v>
      </c>
      <c r="G136" s="1226">
        <f t="shared" si="36"/>
        <v>1185944.73164865</v>
      </c>
      <c r="H136" s="1226">
        <f t="shared" si="36"/>
        <v>1290121.6446894505</v>
      </c>
      <c r="I136" s="1227">
        <f t="shared" si="36"/>
        <v>872900.40623203502</v>
      </c>
    </row>
  </sheetData>
  <sheetProtection algorithmName="SHA-256" hashValue="teaLHAoBZBCCwmkFSYfSVLzes4B+WRTu2wMj7sy2goo=" saltValue="8dQExcszv3UcsaPKJWIFLA==" spinCount="100000" sheet="1" objects="1" scenarios="1" formatCells="0" insertRows="0" deleteRows="0"/>
  <mergeCells count="16">
    <mergeCell ref="C129:I129"/>
    <mergeCell ref="C130:I130"/>
    <mergeCell ref="C71:I71"/>
    <mergeCell ref="C9:I9"/>
    <mergeCell ref="C10:I10"/>
    <mergeCell ref="C44:I44"/>
    <mergeCell ref="C45:I45"/>
    <mergeCell ref="C70:I70"/>
    <mergeCell ref="C119:I119"/>
    <mergeCell ref="C120:I120"/>
    <mergeCell ref="C82:I82"/>
    <mergeCell ref="C83:I83"/>
    <mergeCell ref="C108:I108"/>
    <mergeCell ref="C109:I109"/>
    <mergeCell ref="C94:I94"/>
    <mergeCell ref="C95:I95"/>
  </mergeCells>
  <pageMargins left="0.7" right="0.7" top="0.75" bottom="0.75" header="0.3" footer="0.3"/>
  <pageSetup paperSize="9" orientation="portrait" r:id="rId1"/>
  <headerFooter>
    <oddFooter>&amp;C_x000D_&amp;1#&amp;"Aptos"&amp;10&amp;K008000 APA-INTERNAL</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6">
    <tabColor theme="3" tint="-0.249977111117893"/>
  </sheetPr>
  <dimension ref="A1:J202"/>
  <sheetViews>
    <sheetView showGridLines="0" topLeftCell="A2" zoomScale="70" zoomScaleNormal="70" workbookViewId="0">
      <selection activeCell="D10" sqref="D10:E10"/>
    </sheetView>
  </sheetViews>
  <sheetFormatPr defaultRowHeight="15" outlineLevelRow="2" x14ac:dyDescent="0.25"/>
  <cols>
    <col min="1" max="1" width="23.5703125" customWidth="1"/>
    <col min="2" max="2" width="89.7109375" customWidth="1"/>
    <col min="3" max="3" width="21.7109375" customWidth="1"/>
    <col min="4" max="10" width="18.7109375" customWidth="1"/>
    <col min="213" max="213" width="57" customWidth="1"/>
    <col min="214" max="219" width="13.7109375" customWidth="1"/>
    <col min="469" max="469" width="57" customWidth="1"/>
    <col min="470" max="475" width="13.7109375" customWidth="1"/>
    <col min="725" max="725" width="57" customWidth="1"/>
    <col min="726" max="731" width="13.7109375" customWidth="1"/>
    <col min="981" max="981" width="57" customWidth="1"/>
    <col min="982" max="987" width="13.7109375" customWidth="1"/>
    <col min="1237" max="1237" width="57" customWidth="1"/>
    <col min="1238" max="1243" width="13.7109375" customWidth="1"/>
    <col min="1493" max="1493" width="57" customWidth="1"/>
    <col min="1494" max="1499" width="13.7109375" customWidth="1"/>
    <col min="1749" max="1749" width="57" customWidth="1"/>
    <col min="1750" max="1755" width="13.7109375" customWidth="1"/>
    <col min="2005" max="2005" width="57" customWidth="1"/>
    <col min="2006" max="2011" width="13.7109375" customWidth="1"/>
    <col min="2261" max="2261" width="57" customWidth="1"/>
    <col min="2262" max="2267" width="13.7109375" customWidth="1"/>
    <col min="2517" max="2517" width="57" customWidth="1"/>
    <col min="2518" max="2523" width="13.7109375" customWidth="1"/>
    <col min="2773" max="2773" width="57" customWidth="1"/>
    <col min="2774" max="2779" width="13.7109375" customWidth="1"/>
    <col min="3029" max="3029" width="57" customWidth="1"/>
    <col min="3030" max="3035" width="13.7109375" customWidth="1"/>
    <col min="3285" max="3285" width="57" customWidth="1"/>
    <col min="3286" max="3291" width="13.7109375" customWidth="1"/>
    <col min="3541" max="3541" width="57" customWidth="1"/>
    <col min="3542" max="3547" width="13.7109375" customWidth="1"/>
    <col min="3797" max="3797" width="57" customWidth="1"/>
    <col min="3798" max="3803" width="13.7109375" customWidth="1"/>
    <col min="4053" max="4053" width="57" customWidth="1"/>
    <col min="4054" max="4059" width="13.7109375" customWidth="1"/>
    <col min="4309" max="4309" width="57" customWidth="1"/>
    <col min="4310" max="4315" width="13.7109375" customWidth="1"/>
    <col min="4565" max="4565" width="57" customWidth="1"/>
    <col min="4566" max="4571" width="13.7109375" customWidth="1"/>
    <col min="4821" max="4821" width="57" customWidth="1"/>
    <col min="4822" max="4827" width="13.7109375" customWidth="1"/>
    <col min="5077" max="5077" width="57" customWidth="1"/>
    <col min="5078" max="5083" width="13.7109375" customWidth="1"/>
    <col min="5333" max="5333" width="57" customWidth="1"/>
    <col min="5334" max="5339" width="13.7109375" customWidth="1"/>
    <col min="5589" max="5589" width="57" customWidth="1"/>
    <col min="5590" max="5595" width="13.7109375" customWidth="1"/>
    <col min="5845" max="5845" width="57" customWidth="1"/>
    <col min="5846" max="5851" width="13.7109375" customWidth="1"/>
    <col min="6101" max="6101" width="57" customWidth="1"/>
    <col min="6102" max="6107" width="13.7109375" customWidth="1"/>
    <col min="6357" max="6357" width="57" customWidth="1"/>
    <col min="6358" max="6363" width="13.7109375" customWidth="1"/>
    <col min="6613" max="6613" width="57" customWidth="1"/>
    <col min="6614" max="6619" width="13.7109375" customWidth="1"/>
    <col min="6869" max="6869" width="57" customWidth="1"/>
    <col min="6870" max="6875" width="13.7109375" customWidth="1"/>
    <col min="7125" max="7125" width="57" customWidth="1"/>
    <col min="7126" max="7131" width="13.7109375" customWidth="1"/>
    <col min="7381" max="7381" width="57" customWidth="1"/>
    <col min="7382" max="7387" width="13.7109375" customWidth="1"/>
    <col min="7637" max="7637" width="57" customWidth="1"/>
    <col min="7638" max="7643" width="13.7109375" customWidth="1"/>
    <col min="7893" max="7893" width="57" customWidth="1"/>
    <col min="7894" max="7899" width="13.7109375" customWidth="1"/>
    <col min="8149" max="8149" width="57" customWidth="1"/>
    <col min="8150" max="8155" width="13.7109375" customWidth="1"/>
    <col min="8405" max="8405" width="57" customWidth="1"/>
    <col min="8406" max="8411" width="13.7109375" customWidth="1"/>
    <col min="8661" max="8661" width="57" customWidth="1"/>
    <col min="8662" max="8667" width="13.7109375" customWidth="1"/>
    <col min="8917" max="8917" width="57" customWidth="1"/>
    <col min="8918" max="8923" width="13.7109375" customWidth="1"/>
    <col min="9173" max="9173" width="57" customWidth="1"/>
    <col min="9174" max="9179" width="13.7109375" customWidth="1"/>
    <col min="9429" max="9429" width="57" customWidth="1"/>
    <col min="9430" max="9435" width="13.7109375" customWidth="1"/>
    <col min="9685" max="9685" width="57" customWidth="1"/>
    <col min="9686" max="9691" width="13.7109375" customWidth="1"/>
    <col min="9941" max="9941" width="57" customWidth="1"/>
    <col min="9942" max="9947" width="13.7109375" customWidth="1"/>
    <col min="10197" max="10197" width="57" customWidth="1"/>
    <col min="10198" max="10203" width="13.7109375" customWidth="1"/>
    <col min="10453" max="10453" width="57" customWidth="1"/>
    <col min="10454" max="10459" width="13.7109375" customWidth="1"/>
    <col min="10709" max="10709" width="57" customWidth="1"/>
    <col min="10710" max="10715" width="13.7109375" customWidth="1"/>
    <col min="10965" max="10965" width="57" customWidth="1"/>
    <col min="10966" max="10971" width="13.7109375" customWidth="1"/>
    <col min="11221" max="11221" width="57" customWidth="1"/>
    <col min="11222" max="11227" width="13.7109375" customWidth="1"/>
    <col min="11477" max="11477" width="57" customWidth="1"/>
    <col min="11478" max="11483" width="13.7109375" customWidth="1"/>
    <col min="11733" max="11733" width="57" customWidth="1"/>
    <col min="11734" max="11739" width="13.7109375" customWidth="1"/>
    <col min="11989" max="11989" width="57" customWidth="1"/>
    <col min="11990" max="11995" width="13.7109375" customWidth="1"/>
    <col min="12245" max="12245" width="57" customWidth="1"/>
    <col min="12246" max="12251" width="13.7109375" customWidth="1"/>
    <col min="12501" max="12501" width="57" customWidth="1"/>
    <col min="12502" max="12507" width="13.7109375" customWidth="1"/>
    <col min="12757" max="12757" width="57" customWidth="1"/>
    <col min="12758" max="12763" width="13.7109375" customWidth="1"/>
    <col min="13013" max="13013" width="57" customWidth="1"/>
    <col min="13014" max="13019" width="13.7109375" customWidth="1"/>
    <col min="13269" max="13269" width="57" customWidth="1"/>
    <col min="13270" max="13275" width="13.7109375" customWidth="1"/>
    <col min="13525" max="13525" width="57" customWidth="1"/>
    <col min="13526" max="13531" width="13.7109375" customWidth="1"/>
    <col min="13781" max="13781" width="57" customWidth="1"/>
    <col min="13782" max="13787" width="13.7109375" customWidth="1"/>
    <col min="14037" max="14037" width="57" customWidth="1"/>
    <col min="14038" max="14043" width="13.7109375" customWidth="1"/>
    <col min="14293" max="14293" width="57" customWidth="1"/>
    <col min="14294" max="14299" width="13.7109375" customWidth="1"/>
    <col min="14549" max="14549" width="57" customWidth="1"/>
    <col min="14550" max="14555" width="13.7109375" customWidth="1"/>
    <col min="14805" max="14805" width="57" customWidth="1"/>
    <col min="14806" max="14811" width="13.7109375" customWidth="1"/>
    <col min="15061" max="15061" width="57" customWidth="1"/>
    <col min="15062" max="15067" width="13.7109375" customWidth="1"/>
    <col min="15317" max="15317" width="57" customWidth="1"/>
    <col min="15318" max="15323" width="13.7109375" customWidth="1"/>
    <col min="15573" max="15573" width="57" customWidth="1"/>
    <col min="15574" max="15579" width="13.7109375" customWidth="1"/>
    <col min="15829" max="15829" width="57" customWidth="1"/>
    <col min="15830" max="15835" width="13.7109375" customWidth="1"/>
    <col min="16085" max="16085" width="57" customWidth="1"/>
    <col min="16086" max="16091" width="13.7109375" customWidth="1"/>
  </cols>
  <sheetData>
    <row r="1" spans="1:10" ht="30.2" customHeight="1" x14ac:dyDescent="0.25">
      <c r="A1" s="5"/>
      <c r="B1" s="935" t="s">
        <v>165</v>
      </c>
      <c r="C1" s="938"/>
      <c r="D1" s="936"/>
      <c r="E1" s="936"/>
      <c r="F1" s="936"/>
      <c r="G1" s="936"/>
      <c r="H1" s="1342" t="s">
        <v>1162</v>
      </c>
      <c r="I1" s="1343" t="s">
        <v>1163</v>
      </c>
      <c r="J1" s="936"/>
    </row>
    <row r="2" spans="1:10" ht="30.2" customHeight="1" x14ac:dyDescent="0.25">
      <c r="A2" s="5"/>
      <c r="B2" s="937" t="str">
        <f>INDEX(dms_TradingNameFull_List,MATCH(dms_TradingName,dms_TradingName_List))</f>
        <v>APT Petroleum Pipelines Limited t/a Roma to Brisbane Pipeline</v>
      </c>
      <c r="C2" s="937"/>
      <c r="D2" s="936"/>
      <c r="E2" s="936"/>
      <c r="F2" s="936"/>
      <c r="G2" s="936"/>
      <c r="H2" s="1344" t="s">
        <v>1164</v>
      </c>
      <c r="I2" s="1345" t="s">
        <v>647</v>
      </c>
      <c r="J2" s="936"/>
    </row>
    <row r="3" spans="1:10" ht="30.2" customHeight="1" x14ac:dyDescent="0.25">
      <c r="A3" s="5"/>
      <c r="B3" s="627" t="str">
        <f ca="1">dms_Header_Span</f>
        <v>Data Span 2025-26 - 2031-32</v>
      </c>
      <c r="C3" s="627"/>
      <c r="D3" s="938"/>
      <c r="E3" s="938"/>
      <c r="F3" s="938"/>
      <c r="G3" s="938"/>
      <c r="H3" s="1346" t="s">
        <v>1165</v>
      </c>
      <c r="I3" s="1347" t="s">
        <v>830</v>
      </c>
      <c r="J3" s="938"/>
    </row>
    <row r="4" spans="1:10" ht="30.2" customHeight="1" x14ac:dyDescent="0.3">
      <c r="A4" s="5"/>
      <c r="B4" s="939" t="s">
        <v>1078</v>
      </c>
      <c r="C4" s="939"/>
      <c r="D4" s="940"/>
      <c r="E4" s="940"/>
      <c r="F4" s="940"/>
      <c r="G4" s="940"/>
      <c r="H4" s="1348" t="s">
        <v>1166</v>
      </c>
      <c r="I4" s="1349" t="s">
        <v>1167</v>
      </c>
      <c r="J4" s="263"/>
    </row>
    <row r="6" spans="1:10" ht="15.75" thickBot="1" x14ac:dyDescent="0.3">
      <c r="H6" s="941"/>
    </row>
    <row r="7" spans="1:10" s="972" customFormat="1" ht="24" customHeight="1" thickBot="1" x14ac:dyDescent="0.25">
      <c r="B7" s="264" t="s">
        <v>1001</v>
      </c>
      <c r="C7" s="264"/>
      <c r="D7" s="975"/>
      <c r="E7" s="975"/>
      <c r="F7" s="975"/>
      <c r="G7" s="975"/>
      <c r="H7" s="975"/>
      <c r="I7" s="975"/>
      <c r="J7" s="975"/>
    </row>
    <row r="8" spans="1:10" s="42" customFormat="1" ht="40.5" customHeight="1" outlineLevel="2" x14ac:dyDescent="0.25">
      <c r="A8" s="958"/>
      <c r="B8"/>
      <c r="C8"/>
      <c r="D8" s="1436" t="str">
        <f ca="1">CONCATENATE("EXPENDITURE
Forecast ($0's real, ",dms_DollarReal,")")</f>
        <v>EXPENDITURE
Forecast ($0's real, June 2027)</v>
      </c>
      <c r="E8" s="1437"/>
      <c r="F8" s="1437"/>
      <c r="G8" s="1437"/>
      <c r="H8" s="1437"/>
      <c r="I8" s="1437"/>
      <c r="J8" s="1438"/>
    </row>
    <row r="9" spans="1:10" s="42" customFormat="1" ht="15.75" customHeight="1" outlineLevel="2" thickBot="1" x14ac:dyDescent="0.3">
      <c r="A9" s="958"/>
      <c r="B9"/>
      <c r="C9"/>
      <c r="D9" s="1027" t="str">
        <f ca="1">CRCP_y4</f>
        <v>2025-26</v>
      </c>
      <c r="E9" s="1013" t="str">
        <f ca="1">CRCP_y5</f>
        <v>2026-27</v>
      </c>
      <c r="F9" s="1013" t="str">
        <f>FRCP_y1</f>
        <v>2027-28</v>
      </c>
      <c r="G9" s="1013" t="str">
        <f ca="1">FRCP_y2</f>
        <v>2028-29</v>
      </c>
      <c r="H9" s="1013" t="str">
        <f ca="1">FRCP_y3</f>
        <v>2029-30</v>
      </c>
      <c r="I9" s="1013" t="str">
        <f ca="1">FRCP_y4</f>
        <v>2030-31</v>
      </c>
      <c r="J9" s="1028" t="str">
        <f ca="1">FRCP_y5</f>
        <v>2031-32</v>
      </c>
    </row>
    <row r="10" spans="1:10" ht="15.75" customHeight="1" outlineLevel="2" x14ac:dyDescent="0.25">
      <c r="B10" s="1454" t="s">
        <v>1052</v>
      </c>
      <c r="C10" s="1455"/>
      <c r="D10" s="995">
        <v>0</v>
      </c>
      <c r="E10" s="885">
        <v>0</v>
      </c>
      <c r="F10" s="885">
        <v>8922714.3649266064</v>
      </c>
      <c r="G10" s="885">
        <v>6553206.2597547276</v>
      </c>
      <c r="H10" s="885">
        <v>4579398.5544159077</v>
      </c>
      <c r="I10" s="885">
        <v>4958648.256050637</v>
      </c>
      <c r="J10" s="886">
        <v>3266601.2626647125</v>
      </c>
    </row>
    <row r="11" spans="1:10" ht="15.75" customHeight="1" outlineLevel="2" x14ac:dyDescent="0.25">
      <c r="B11" s="1452" t="s">
        <v>1053</v>
      </c>
      <c r="C11" s="1453"/>
      <c r="D11" s="996">
        <v>0</v>
      </c>
      <c r="E11" s="862">
        <v>0</v>
      </c>
      <c r="F11" s="862">
        <v>0</v>
      </c>
      <c r="G11" s="862">
        <v>0</v>
      </c>
      <c r="H11" s="862">
        <v>0</v>
      </c>
      <c r="I11" s="862">
        <v>0</v>
      </c>
      <c r="J11" s="864">
        <v>0</v>
      </c>
    </row>
    <row r="12" spans="1:10" ht="15.75" customHeight="1" outlineLevel="2" x14ac:dyDescent="0.25">
      <c r="B12" s="1452" t="s">
        <v>1054</v>
      </c>
      <c r="C12" s="1453"/>
      <c r="D12" s="996">
        <v>0</v>
      </c>
      <c r="E12" s="862">
        <v>0</v>
      </c>
      <c r="F12" s="862">
        <v>0</v>
      </c>
      <c r="G12" s="862">
        <v>0</v>
      </c>
      <c r="H12" s="862">
        <v>0</v>
      </c>
      <c r="I12" s="862">
        <v>0</v>
      </c>
      <c r="J12" s="864">
        <v>0</v>
      </c>
    </row>
    <row r="13" spans="1:10" ht="15.75" customHeight="1" outlineLevel="2" x14ac:dyDescent="0.25">
      <c r="B13" s="1452" t="s">
        <v>966</v>
      </c>
      <c r="C13" s="1453"/>
      <c r="D13" s="996">
        <v>6204522.2174869524</v>
      </c>
      <c r="E13" s="862">
        <v>13399004.910186432</v>
      </c>
      <c r="F13" s="862">
        <v>14443629.359676514</v>
      </c>
      <c r="G13" s="862">
        <v>10645045.591151223</v>
      </c>
      <c r="H13" s="862">
        <v>7480030.6703839786</v>
      </c>
      <c r="I13" s="862">
        <v>7984326.7847414743</v>
      </c>
      <c r="J13" s="864">
        <v>5341187.4829590507</v>
      </c>
    </row>
    <row r="14" spans="1:10" ht="15.75" customHeight="1" outlineLevel="2" x14ac:dyDescent="0.25">
      <c r="B14" s="1456" t="s">
        <v>967</v>
      </c>
      <c r="C14" s="1457"/>
      <c r="D14" s="1297">
        <v>558406.99957382574</v>
      </c>
      <c r="E14" s="1298">
        <v>1205910.4419167787</v>
      </c>
      <c r="F14" s="1298">
        <v>2092151.9947592416</v>
      </c>
      <c r="G14" s="1298">
        <v>1536927.7853957296</v>
      </c>
      <c r="H14" s="1298">
        <v>1074309.8693272527</v>
      </c>
      <c r="I14" s="1298">
        <v>1148020.8701742697</v>
      </c>
      <c r="J14" s="1299">
        <v>761683.48274329386</v>
      </c>
    </row>
    <row r="15" spans="1:10" ht="15.75" customHeight="1" outlineLevel="2" thickBot="1" x14ac:dyDescent="0.3">
      <c r="B15" s="1458" t="s">
        <v>1043</v>
      </c>
      <c r="C15" s="1459"/>
      <c r="D15" s="1053">
        <v>0</v>
      </c>
      <c r="E15" s="861">
        <v>0</v>
      </c>
      <c r="F15" s="861">
        <v>0</v>
      </c>
      <c r="G15" s="861">
        <v>0</v>
      </c>
      <c r="H15" s="861">
        <v>0</v>
      </c>
      <c r="I15" s="861">
        <v>0</v>
      </c>
      <c r="J15" s="1052">
        <v>0</v>
      </c>
    </row>
    <row r="16" spans="1:10" ht="15.75" customHeight="1" outlineLevel="2" thickBot="1" x14ac:dyDescent="0.3">
      <c r="B16" s="1460" t="s">
        <v>1042</v>
      </c>
      <c r="C16" s="1461"/>
      <c r="D16" s="1226">
        <f>SUM(D10:D14)-D15</f>
        <v>6762929.2170607783</v>
      </c>
      <c r="E16" s="1226">
        <f t="shared" ref="E16:J16" si="0">SUM(E10:E14)-E15</f>
        <v>14604915.352103211</v>
      </c>
      <c r="F16" s="1226">
        <f t="shared" si="0"/>
        <v>25458495.719362363</v>
      </c>
      <c r="G16" s="1226">
        <f t="shared" si="0"/>
        <v>18735179.636301681</v>
      </c>
      <c r="H16" s="1226">
        <f t="shared" si="0"/>
        <v>13133739.094127139</v>
      </c>
      <c r="I16" s="1226">
        <f t="shared" si="0"/>
        <v>14090995.910966381</v>
      </c>
      <c r="J16" s="1227">
        <f t="shared" si="0"/>
        <v>9369472.2283670567</v>
      </c>
    </row>
    <row r="17" spans="1:10" ht="15.75" customHeight="1" thickBot="1" x14ac:dyDescent="0.3">
      <c r="B17" s="345"/>
      <c r="C17" s="345"/>
      <c r="D17" s="29"/>
      <c r="E17" s="29"/>
      <c r="F17" s="29"/>
      <c r="G17" s="29"/>
      <c r="H17" s="29"/>
      <c r="I17" s="29"/>
      <c r="J17" s="29"/>
    </row>
    <row r="18" spans="1:10" s="972" customFormat="1" ht="24" customHeight="1" thickBot="1" x14ac:dyDescent="0.25">
      <c r="B18" s="264" t="s">
        <v>1002</v>
      </c>
      <c r="C18" s="264"/>
      <c r="D18" s="975"/>
      <c r="E18" s="975"/>
      <c r="F18" s="975"/>
      <c r="G18" s="975"/>
      <c r="H18" s="975"/>
      <c r="I18" s="975"/>
      <c r="J18" s="975"/>
    </row>
    <row r="19" spans="1:10" s="42" customFormat="1" ht="23.25" customHeight="1" outlineLevel="1" thickBot="1" x14ac:dyDescent="0.25">
      <c r="A19" s="958"/>
      <c r="B19" s="998" t="s">
        <v>1003</v>
      </c>
      <c r="C19" s="899"/>
      <c r="D19" s="899"/>
      <c r="E19" s="899"/>
      <c r="F19" s="899"/>
      <c r="G19" s="899"/>
      <c r="H19" s="899"/>
      <c r="I19" s="899"/>
      <c r="J19" s="999"/>
    </row>
    <row r="20" spans="1:10" s="42" customFormat="1" ht="40.5" customHeight="1" outlineLevel="2" x14ac:dyDescent="0.25">
      <c r="A20" s="958"/>
      <c r="B20"/>
      <c r="C20"/>
      <c r="D20" s="1436" t="str">
        <f ca="1">CONCATENATE("EXPENDITURE
Forecast ($0's real, ",dms_DollarReal,")")</f>
        <v>EXPENDITURE
Forecast ($0's real, June 2027)</v>
      </c>
      <c r="E20" s="1437"/>
      <c r="F20" s="1437"/>
      <c r="G20" s="1437"/>
      <c r="H20" s="1437"/>
      <c r="I20" s="1437"/>
      <c r="J20" s="1438"/>
    </row>
    <row r="21" spans="1:10" s="42" customFormat="1" ht="15.75" customHeight="1" outlineLevel="2" thickBot="1" x14ac:dyDescent="0.25">
      <c r="A21" s="958"/>
      <c r="B21" s="1446" t="s">
        <v>999</v>
      </c>
      <c r="C21" s="1447"/>
      <c r="D21" s="1027" t="str">
        <f ca="1">CRCP_y4</f>
        <v>2025-26</v>
      </c>
      <c r="E21" s="1013" t="str">
        <f ca="1">CRCP_y5</f>
        <v>2026-27</v>
      </c>
      <c r="F21" s="1013" t="str">
        <f>FRCP_y1</f>
        <v>2027-28</v>
      </c>
      <c r="G21" s="1013" t="str">
        <f ca="1">FRCP_y2</f>
        <v>2028-29</v>
      </c>
      <c r="H21" s="1013" t="str">
        <f ca="1">FRCP_y3</f>
        <v>2029-30</v>
      </c>
      <c r="I21" s="1013" t="str">
        <f ca="1">FRCP_y4</f>
        <v>2030-31</v>
      </c>
      <c r="J21" s="1028" t="str">
        <f ca="1">FRCP_y5</f>
        <v>2031-32</v>
      </c>
    </row>
    <row r="22" spans="1:10" ht="15.75" customHeight="1" outlineLevel="2" x14ac:dyDescent="0.25">
      <c r="B22" s="1442" t="s">
        <v>1177</v>
      </c>
      <c r="C22" s="1443"/>
      <c r="D22" s="927">
        <v>0</v>
      </c>
      <c r="E22" s="885">
        <v>0</v>
      </c>
      <c r="F22" s="885">
        <v>576611.80495190294</v>
      </c>
      <c r="G22" s="885">
        <v>0</v>
      </c>
      <c r="H22" s="885">
        <v>0</v>
      </c>
      <c r="I22" s="885">
        <v>0</v>
      </c>
      <c r="J22" s="886">
        <v>0</v>
      </c>
    </row>
    <row r="23" spans="1:10" ht="15.75" customHeight="1" outlineLevel="2" x14ac:dyDescent="0.25">
      <c r="B23" s="1442" t="s">
        <v>1178</v>
      </c>
      <c r="C23" s="1443"/>
      <c r="D23" s="1112">
        <v>0</v>
      </c>
      <c r="E23" s="880">
        <v>0</v>
      </c>
      <c r="F23" s="880">
        <v>0</v>
      </c>
      <c r="G23" s="880">
        <v>693196.2798994754</v>
      </c>
      <c r="H23" s="880">
        <v>0</v>
      </c>
      <c r="I23" s="880">
        <v>0</v>
      </c>
      <c r="J23" s="882">
        <v>0</v>
      </c>
    </row>
    <row r="24" spans="1:10" ht="15.75" customHeight="1" outlineLevel="2" x14ac:dyDescent="0.25">
      <c r="B24" s="1442" t="s">
        <v>1179</v>
      </c>
      <c r="C24" s="1443"/>
      <c r="D24" s="1112">
        <v>0</v>
      </c>
      <c r="E24" s="880">
        <v>0</v>
      </c>
      <c r="F24" s="880">
        <v>0</v>
      </c>
      <c r="G24" s="880">
        <v>0</v>
      </c>
      <c r="H24" s="880">
        <v>1042949.8437277968</v>
      </c>
      <c r="I24" s="880">
        <v>0</v>
      </c>
      <c r="J24" s="882">
        <v>0</v>
      </c>
    </row>
    <row r="25" spans="1:10" ht="15.75" customHeight="1" outlineLevel="2" x14ac:dyDescent="0.25">
      <c r="B25" s="1442" t="s">
        <v>1180</v>
      </c>
      <c r="C25" s="1443"/>
      <c r="D25" s="1112">
        <v>0</v>
      </c>
      <c r="E25" s="880">
        <v>0</v>
      </c>
      <c r="F25" s="880">
        <v>0</v>
      </c>
      <c r="G25" s="880">
        <v>0</v>
      </c>
      <c r="H25" s="880">
        <v>92706.652775804163</v>
      </c>
      <c r="I25" s="880">
        <v>1658189.9527894123</v>
      </c>
      <c r="J25" s="882">
        <v>877385.77245766018</v>
      </c>
    </row>
    <row r="26" spans="1:10" ht="15.75" customHeight="1" outlineLevel="2" x14ac:dyDescent="0.25">
      <c r="B26" s="1442" t="s">
        <v>1181</v>
      </c>
      <c r="C26" s="1443"/>
      <c r="D26" s="1112">
        <v>0</v>
      </c>
      <c r="E26" s="880">
        <v>0</v>
      </c>
      <c r="F26" s="880">
        <v>1845157.7758460895</v>
      </c>
      <c r="G26" s="880">
        <v>0</v>
      </c>
      <c r="H26" s="880">
        <v>0</v>
      </c>
      <c r="I26" s="880">
        <v>0</v>
      </c>
      <c r="J26" s="882">
        <v>0</v>
      </c>
    </row>
    <row r="27" spans="1:10" ht="15.75" customHeight="1" outlineLevel="2" x14ac:dyDescent="0.25">
      <c r="B27" s="1442" t="s">
        <v>1182</v>
      </c>
      <c r="C27" s="1443"/>
      <c r="D27" s="1112">
        <v>0</v>
      </c>
      <c r="E27" s="880">
        <v>0</v>
      </c>
      <c r="F27" s="880">
        <v>1153223.6099038059</v>
      </c>
      <c r="G27" s="880">
        <v>577663.56658289605</v>
      </c>
      <c r="H27" s="880">
        <v>0</v>
      </c>
      <c r="I27" s="880">
        <v>0</v>
      </c>
      <c r="J27" s="882">
        <v>0</v>
      </c>
    </row>
    <row r="28" spans="1:10" ht="15.75" customHeight="1" outlineLevel="2" x14ac:dyDescent="0.25">
      <c r="B28" s="1442" t="s">
        <v>1183</v>
      </c>
      <c r="C28" s="1443"/>
      <c r="D28" s="1112">
        <v>0</v>
      </c>
      <c r="E28" s="880">
        <v>0</v>
      </c>
      <c r="F28" s="880">
        <v>0</v>
      </c>
      <c r="G28" s="880">
        <v>982028.06319092342</v>
      </c>
      <c r="H28" s="880">
        <v>985008.18574291933</v>
      </c>
      <c r="I28" s="880">
        <v>989035.37810042524</v>
      </c>
      <c r="J28" s="882">
        <v>262449.72846315691</v>
      </c>
    </row>
    <row r="29" spans="1:10" ht="15.75" customHeight="1" outlineLevel="2" x14ac:dyDescent="0.25">
      <c r="B29" s="1442" t="s">
        <v>1184</v>
      </c>
      <c r="C29" s="1443"/>
      <c r="D29" s="1112">
        <v>0</v>
      </c>
      <c r="E29" s="880">
        <v>0</v>
      </c>
      <c r="F29" s="880">
        <v>0</v>
      </c>
      <c r="G29" s="880">
        <v>982028.06319092342</v>
      </c>
      <c r="H29" s="880">
        <v>985008.18574291933</v>
      </c>
      <c r="I29" s="880">
        <v>989035.37810042524</v>
      </c>
      <c r="J29" s="882">
        <v>262449.72846315691</v>
      </c>
    </row>
    <row r="30" spans="1:10" ht="15.75" customHeight="1" outlineLevel="2" x14ac:dyDescent="0.25">
      <c r="B30" s="1442" t="s">
        <v>1185</v>
      </c>
      <c r="C30" s="1443"/>
      <c r="D30" s="1112">
        <v>0</v>
      </c>
      <c r="E30" s="880">
        <v>0</v>
      </c>
      <c r="F30" s="880">
        <v>1729835.4148557086</v>
      </c>
      <c r="G30" s="880">
        <v>1732990.6997486884</v>
      </c>
      <c r="H30" s="880">
        <v>1738249.7395463281</v>
      </c>
      <c r="I30" s="880">
        <v>1745356.5495889855</v>
      </c>
      <c r="J30" s="882">
        <v>1749664.856421046</v>
      </c>
    </row>
    <row r="31" spans="1:10" ht="15.75" customHeight="1" outlineLevel="2" x14ac:dyDescent="0.25">
      <c r="B31" s="1442" t="s">
        <v>1186</v>
      </c>
      <c r="C31" s="1443"/>
      <c r="D31" s="1112">
        <v>0</v>
      </c>
      <c r="E31" s="880">
        <v>0</v>
      </c>
      <c r="F31" s="880">
        <v>922578.88792304473</v>
      </c>
      <c r="G31" s="880">
        <v>924261.70653263386</v>
      </c>
      <c r="H31" s="880">
        <v>927066.52775804175</v>
      </c>
      <c r="I31" s="880">
        <v>930856.82644745905</v>
      </c>
      <c r="J31" s="882">
        <v>933154.59009122464</v>
      </c>
    </row>
    <row r="32" spans="1:10" ht="15.75" customHeight="1" outlineLevel="2" x14ac:dyDescent="0.25">
      <c r="B32" s="1442" t="s">
        <v>1187</v>
      </c>
      <c r="C32" s="1443"/>
      <c r="D32" s="1112">
        <v>0</v>
      </c>
      <c r="E32" s="880">
        <v>0</v>
      </c>
      <c r="F32" s="880">
        <v>922578.88792304473</v>
      </c>
      <c r="G32" s="880">
        <v>0</v>
      </c>
      <c r="H32" s="880">
        <v>0</v>
      </c>
      <c r="I32" s="880">
        <v>0</v>
      </c>
      <c r="J32" s="882">
        <v>0</v>
      </c>
    </row>
    <row r="33" spans="2:10" ht="15.75" customHeight="1" outlineLevel="2" x14ac:dyDescent="0.25">
      <c r="B33" s="1442" t="s">
        <v>1188</v>
      </c>
      <c r="C33" s="1443"/>
      <c r="D33" s="1112">
        <v>0</v>
      </c>
      <c r="E33" s="880">
        <v>0</v>
      </c>
      <c r="F33" s="880">
        <v>3587595.6183108268</v>
      </c>
      <c r="G33" s="880">
        <v>4315263.5304146837</v>
      </c>
      <c r="H33" s="880">
        <v>0</v>
      </c>
      <c r="I33" s="880">
        <v>0</v>
      </c>
      <c r="J33" s="882">
        <v>0</v>
      </c>
    </row>
    <row r="34" spans="2:10" ht="15.75" customHeight="1" outlineLevel="2" x14ac:dyDescent="0.25">
      <c r="B34" s="1442" t="s">
        <v>1189</v>
      </c>
      <c r="C34" s="1443"/>
      <c r="D34" s="1112">
        <v>0</v>
      </c>
      <c r="E34" s="880">
        <v>725504</v>
      </c>
      <c r="F34" s="880">
        <v>0</v>
      </c>
      <c r="G34" s="880">
        <v>0</v>
      </c>
      <c r="H34" s="880">
        <v>0</v>
      </c>
      <c r="I34" s="880">
        <v>0</v>
      </c>
      <c r="J34" s="882">
        <v>0</v>
      </c>
    </row>
    <row r="35" spans="2:10" ht="15.75" customHeight="1" outlineLevel="2" x14ac:dyDescent="0.25">
      <c r="B35" s="1442" t="s">
        <v>1190</v>
      </c>
      <c r="C35" s="1443"/>
      <c r="D35" s="1112">
        <v>0</v>
      </c>
      <c r="E35" s="880">
        <v>0</v>
      </c>
      <c r="F35" s="880">
        <v>288305.90247595147</v>
      </c>
      <c r="G35" s="880">
        <v>288831.78329144802</v>
      </c>
      <c r="H35" s="880">
        <v>289708.28992438805</v>
      </c>
      <c r="I35" s="880">
        <v>290892.75826483092</v>
      </c>
      <c r="J35" s="882">
        <v>291610.80940350774</v>
      </c>
    </row>
    <row r="36" spans="2:10" ht="15.75" customHeight="1" outlineLevel="2" x14ac:dyDescent="0.25">
      <c r="B36" s="1442" t="s">
        <v>1191</v>
      </c>
      <c r="C36" s="1443"/>
      <c r="D36" s="1112">
        <v>0</v>
      </c>
      <c r="E36" s="880">
        <v>0</v>
      </c>
      <c r="F36" s="880">
        <v>1207193.3216236942</v>
      </c>
      <c r="G36" s="880">
        <v>1209395.2876708182</v>
      </c>
      <c r="H36" s="880">
        <v>1170553.5982747332</v>
      </c>
      <c r="I36" s="880">
        <v>1155267.7901674125</v>
      </c>
      <c r="J36" s="882">
        <v>2273313.8861966375</v>
      </c>
    </row>
    <row r="37" spans="2:10" ht="15.75" customHeight="1" outlineLevel="2" x14ac:dyDescent="0.25">
      <c r="B37" s="1442" t="s">
        <v>1192</v>
      </c>
      <c r="C37" s="1443"/>
      <c r="D37" s="1112">
        <v>0</v>
      </c>
      <c r="E37" s="880">
        <v>0</v>
      </c>
      <c r="F37" s="880">
        <v>10379012.489134252</v>
      </c>
      <c r="G37" s="880">
        <v>0</v>
      </c>
      <c r="H37" s="880">
        <v>0</v>
      </c>
      <c r="I37" s="880">
        <v>0</v>
      </c>
      <c r="J37" s="882">
        <v>0</v>
      </c>
    </row>
    <row r="38" spans="2:10" ht="15.75" customHeight="1" outlineLevel="2" x14ac:dyDescent="0.25">
      <c r="B38" s="1442" t="s">
        <v>1193</v>
      </c>
      <c r="C38" s="1443"/>
      <c r="D38" s="1112">
        <v>0</v>
      </c>
      <c r="E38" s="880">
        <v>0</v>
      </c>
      <c r="F38" s="880">
        <v>230644.72198076118</v>
      </c>
      <c r="G38" s="880">
        <v>231065.42663315847</v>
      </c>
      <c r="H38" s="880">
        <v>231766.63193951044</v>
      </c>
      <c r="I38" s="880">
        <v>232714.20661186476</v>
      </c>
      <c r="J38" s="882">
        <v>233288.64752280616</v>
      </c>
    </row>
    <row r="39" spans="2:10" ht="15.75" customHeight="1" outlineLevel="2" x14ac:dyDescent="0.25">
      <c r="B39" s="1442" t="s">
        <v>1194</v>
      </c>
      <c r="C39" s="1443"/>
      <c r="D39" s="1112">
        <v>0</v>
      </c>
      <c r="E39" s="880">
        <v>0</v>
      </c>
      <c r="F39" s="880">
        <v>403628.26346633211</v>
      </c>
      <c r="G39" s="880">
        <v>404364.49660802732</v>
      </c>
      <c r="H39" s="880">
        <v>405591.60589414329</v>
      </c>
      <c r="I39" s="880">
        <v>407249.86157076334</v>
      </c>
      <c r="J39" s="882">
        <v>408255.13316491083</v>
      </c>
    </row>
    <row r="40" spans="2:10" ht="15.75" customHeight="1" outlineLevel="2" x14ac:dyDescent="0.25">
      <c r="B40" s="1442" t="s">
        <v>1195</v>
      </c>
      <c r="C40" s="1443"/>
      <c r="D40" s="1112">
        <v>0</v>
      </c>
      <c r="E40" s="880">
        <v>0</v>
      </c>
      <c r="F40" s="880">
        <v>230644.72198076118</v>
      </c>
      <c r="G40" s="880">
        <v>231065.42663315847</v>
      </c>
      <c r="H40" s="880">
        <v>231766.63193951044</v>
      </c>
      <c r="I40" s="880">
        <v>232714.20661186476</v>
      </c>
      <c r="J40" s="882">
        <v>233288.64752280616</v>
      </c>
    </row>
    <row r="41" spans="2:10" ht="15.75" customHeight="1" outlineLevel="2" x14ac:dyDescent="0.25">
      <c r="B41" s="1442" t="s">
        <v>1196</v>
      </c>
      <c r="C41" s="1443"/>
      <c r="D41" s="1112">
        <v>0</v>
      </c>
      <c r="E41" s="880">
        <v>0</v>
      </c>
      <c r="F41" s="880">
        <v>461289.44396152237</v>
      </c>
      <c r="G41" s="880">
        <v>1386392.5597989508</v>
      </c>
      <c r="H41" s="880">
        <v>463533.26387902087</v>
      </c>
      <c r="I41" s="880">
        <v>1396285.2396711886</v>
      </c>
      <c r="J41" s="882">
        <v>466577.29504561232</v>
      </c>
    </row>
    <row r="42" spans="2:10" ht="15.75" customHeight="1" outlineLevel="2" x14ac:dyDescent="0.25">
      <c r="B42" s="1442" t="s">
        <v>1197</v>
      </c>
      <c r="C42" s="1443"/>
      <c r="D42" s="1112">
        <v>0</v>
      </c>
      <c r="E42" s="880">
        <v>0</v>
      </c>
      <c r="F42" s="880">
        <v>259475.31222835631</v>
      </c>
      <c r="G42" s="880">
        <v>1299743.0248115163</v>
      </c>
      <c r="H42" s="880">
        <v>782212.38279584772</v>
      </c>
      <c r="I42" s="880">
        <v>785410.44731504354</v>
      </c>
      <c r="J42" s="882">
        <v>262449.72846315691</v>
      </c>
    </row>
    <row r="43" spans="2:10" ht="15.75" customHeight="1" outlineLevel="2" x14ac:dyDescent="0.25">
      <c r="B43" s="1442" t="s">
        <v>1198</v>
      </c>
      <c r="C43" s="1443"/>
      <c r="D43" s="1112">
        <v>0</v>
      </c>
      <c r="E43" s="880">
        <v>0</v>
      </c>
      <c r="F43" s="880">
        <v>0</v>
      </c>
      <c r="G43" s="880">
        <v>0</v>
      </c>
      <c r="H43" s="880">
        <v>0</v>
      </c>
      <c r="I43" s="880">
        <v>2327142.0661186473</v>
      </c>
      <c r="J43" s="882">
        <v>0</v>
      </c>
    </row>
    <row r="44" spans="2:10" ht="15.75" customHeight="1" outlineLevel="2" x14ac:dyDescent="0.25">
      <c r="B44" s="1442" t="s">
        <v>1199</v>
      </c>
      <c r="C44" s="1443"/>
      <c r="D44" s="1112">
        <v>0</v>
      </c>
      <c r="E44" s="880">
        <v>0</v>
      </c>
      <c r="F44" s="880">
        <v>0</v>
      </c>
      <c r="G44" s="880">
        <v>0</v>
      </c>
      <c r="H44" s="880">
        <v>2897082.8992438801</v>
      </c>
      <c r="I44" s="880">
        <v>0</v>
      </c>
      <c r="J44" s="882">
        <v>0</v>
      </c>
    </row>
    <row r="45" spans="2:10" ht="15.75" customHeight="1" outlineLevel="2" x14ac:dyDescent="0.25">
      <c r="B45" s="1442" t="s">
        <v>1200</v>
      </c>
      <c r="C45" s="1443"/>
      <c r="D45" s="1112">
        <v>0</v>
      </c>
      <c r="E45" s="880">
        <v>0</v>
      </c>
      <c r="F45" s="880">
        <v>369059.73307839507</v>
      </c>
      <c r="G45" s="880">
        <v>369059.73307839507</v>
      </c>
      <c r="H45" s="880">
        <v>369059.73307839507</v>
      </c>
      <c r="I45" s="880">
        <v>369059.73307839507</v>
      </c>
      <c r="J45" s="882">
        <v>369059.73307839507</v>
      </c>
    </row>
    <row r="46" spans="2:10" ht="15.75" customHeight="1" outlineLevel="2" x14ac:dyDescent="0.25">
      <c r="B46" s="1442" t="s">
        <v>1201</v>
      </c>
      <c r="C46" s="1443"/>
      <c r="D46" s="1112">
        <v>1553344.83</v>
      </c>
      <c r="E46" s="880">
        <v>811104.414536</v>
      </c>
      <c r="F46" s="880">
        <v>0</v>
      </c>
      <c r="G46" s="880">
        <v>0</v>
      </c>
      <c r="H46" s="880">
        <v>0</v>
      </c>
      <c r="I46" s="880">
        <v>0</v>
      </c>
      <c r="J46" s="882">
        <v>0</v>
      </c>
    </row>
    <row r="47" spans="2:10" ht="15.75" customHeight="1" outlineLevel="2" x14ac:dyDescent="0.25">
      <c r="B47" s="1442" t="s">
        <v>1202</v>
      </c>
      <c r="C47" s="1443"/>
      <c r="D47" s="1112">
        <v>0</v>
      </c>
      <c r="E47" s="880">
        <v>0</v>
      </c>
      <c r="F47" s="880">
        <v>372709.18526120106</v>
      </c>
      <c r="G47" s="880">
        <v>0</v>
      </c>
      <c r="H47" s="880">
        <v>0</v>
      </c>
      <c r="I47" s="880">
        <v>0</v>
      </c>
      <c r="J47" s="882">
        <v>0</v>
      </c>
    </row>
    <row r="48" spans="2:10" ht="15.75" customHeight="1" outlineLevel="2" x14ac:dyDescent="0.25">
      <c r="B48" s="1442" t="s">
        <v>1203</v>
      </c>
      <c r="C48" s="1443"/>
      <c r="D48" s="1112">
        <v>801150</v>
      </c>
      <c r="E48" s="880">
        <v>57827.203200000004</v>
      </c>
      <c r="F48" s="880">
        <v>0</v>
      </c>
      <c r="G48" s="880">
        <v>0</v>
      </c>
      <c r="H48" s="880">
        <v>0</v>
      </c>
      <c r="I48" s="880">
        <v>0</v>
      </c>
      <c r="J48" s="882">
        <v>0</v>
      </c>
    </row>
    <row r="49" spans="2:10" ht="15.75" customHeight="1" outlineLevel="2" x14ac:dyDescent="0.25">
      <c r="B49" s="1442" t="s">
        <v>1204</v>
      </c>
      <c r="C49" s="1443"/>
      <c r="D49" s="1112">
        <v>708500</v>
      </c>
      <c r="E49" s="880">
        <v>303643.18264800002</v>
      </c>
      <c r="F49" s="880">
        <v>0</v>
      </c>
      <c r="G49" s="880">
        <v>0</v>
      </c>
      <c r="H49" s="880">
        <v>0</v>
      </c>
      <c r="I49" s="880">
        <v>0</v>
      </c>
      <c r="J49" s="882">
        <v>0</v>
      </c>
    </row>
    <row r="50" spans="2:10" ht="15.75" customHeight="1" outlineLevel="2" x14ac:dyDescent="0.25">
      <c r="B50" s="1442" t="s">
        <v>1205</v>
      </c>
      <c r="C50" s="1443"/>
      <c r="D50" s="1112">
        <v>54500</v>
      </c>
      <c r="E50" s="880">
        <v>856622.97759999998</v>
      </c>
      <c r="F50" s="880">
        <v>0</v>
      </c>
      <c r="G50" s="880">
        <v>0</v>
      </c>
      <c r="H50" s="880">
        <v>0</v>
      </c>
      <c r="I50" s="880">
        <v>0</v>
      </c>
      <c r="J50" s="882">
        <v>0</v>
      </c>
    </row>
    <row r="51" spans="2:10" ht="15.75" customHeight="1" outlineLevel="2" x14ac:dyDescent="0.25">
      <c r="B51" s="1442" t="s">
        <v>1206</v>
      </c>
      <c r="C51" s="1443"/>
      <c r="D51" s="1112">
        <v>0</v>
      </c>
      <c r="E51" s="880">
        <v>1303241.02948</v>
      </c>
      <c r="F51" s="880">
        <v>0</v>
      </c>
      <c r="G51" s="880">
        <v>0</v>
      </c>
      <c r="H51" s="880">
        <v>0</v>
      </c>
      <c r="I51" s="880">
        <v>0</v>
      </c>
      <c r="J51" s="882">
        <v>0</v>
      </c>
    </row>
    <row r="52" spans="2:10" ht="15.75" customHeight="1" outlineLevel="2" x14ac:dyDescent="0.25">
      <c r="B52" s="1442" t="s">
        <v>1207</v>
      </c>
      <c r="C52" s="1443"/>
      <c r="D52" s="1112">
        <v>0</v>
      </c>
      <c r="E52" s="880">
        <v>0</v>
      </c>
      <c r="F52" s="880">
        <v>0</v>
      </c>
      <c r="G52" s="880">
        <v>0</v>
      </c>
      <c r="H52" s="880">
        <v>0</v>
      </c>
      <c r="I52" s="880">
        <v>0</v>
      </c>
      <c r="J52" s="882">
        <v>0</v>
      </c>
    </row>
    <row r="53" spans="2:10" ht="15.75" customHeight="1" outlineLevel="2" x14ac:dyDescent="0.25">
      <c r="B53" s="1442" t="s">
        <v>1208</v>
      </c>
      <c r="C53" s="1443"/>
      <c r="D53" s="1300">
        <v>353406.57706077903</v>
      </c>
      <c r="E53" s="862">
        <v>367542.84014321025</v>
      </c>
      <c r="F53" s="862">
        <v>0</v>
      </c>
      <c r="G53" s="862">
        <v>0</v>
      </c>
      <c r="H53" s="862">
        <v>0</v>
      </c>
      <c r="I53" s="862">
        <v>0</v>
      </c>
      <c r="J53" s="864">
        <v>0</v>
      </c>
    </row>
    <row r="54" spans="2:10" ht="15.75" customHeight="1" outlineLevel="2" x14ac:dyDescent="0.25">
      <c r="B54" s="1442" t="s">
        <v>1209</v>
      </c>
      <c r="C54" s="1443"/>
      <c r="D54" s="1300">
        <v>0</v>
      </c>
      <c r="E54" s="862">
        <v>0</v>
      </c>
      <c r="F54" s="862">
        <v>0</v>
      </c>
      <c r="G54" s="862">
        <v>0</v>
      </c>
      <c r="H54" s="862">
        <v>0</v>
      </c>
      <c r="I54" s="862">
        <v>0</v>
      </c>
      <c r="J54" s="864">
        <v>0</v>
      </c>
    </row>
    <row r="55" spans="2:10" ht="15.75" customHeight="1" outlineLevel="2" x14ac:dyDescent="0.25">
      <c r="B55" s="1442"/>
      <c r="C55" s="1443"/>
      <c r="D55" s="1300"/>
      <c r="E55" s="862"/>
      <c r="F55" s="862"/>
      <c r="G55" s="862"/>
      <c r="H55" s="862"/>
      <c r="I55" s="862"/>
      <c r="J55" s="864"/>
    </row>
    <row r="56" spans="2:10" ht="15.75" customHeight="1" outlineLevel="2" x14ac:dyDescent="0.25">
      <c r="B56" s="1442"/>
      <c r="C56" s="1443"/>
      <c r="D56" s="1300"/>
      <c r="E56" s="862"/>
      <c r="F56" s="862"/>
      <c r="G56" s="862"/>
      <c r="H56" s="862"/>
      <c r="I56" s="862"/>
      <c r="J56" s="864"/>
    </row>
    <row r="57" spans="2:10" ht="15.75" customHeight="1" outlineLevel="2" x14ac:dyDescent="0.25">
      <c r="B57" s="1442"/>
      <c r="C57" s="1443"/>
      <c r="D57" s="1300"/>
      <c r="E57" s="862"/>
      <c r="F57" s="862"/>
      <c r="G57" s="862"/>
      <c r="H57" s="862"/>
      <c r="I57" s="862"/>
      <c r="J57" s="864"/>
    </row>
    <row r="58" spans="2:10" ht="15.75" customHeight="1" outlineLevel="2" x14ac:dyDescent="0.25">
      <c r="B58" s="1442"/>
      <c r="C58" s="1443"/>
      <c r="D58" s="1300"/>
      <c r="E58" s="862"/>
      <c r="F58" s="862"/>
      <c r="G58" s="862"/>
      <c r="H58" s="862"/>
      <c r="I58" s="862"/>
      <c r="J58" s="864"/>
    </row>
    <row r="59" spans="2:10" ht="15.75" customHeight="1" outlineLevel="2" x14ac:dyDescent="0.25">
      <c r="B59" s="1442"/>
      <c r="C59" s="1443"/>
      <c r="D59" s="1300"/>
      <c r="E59" s="862"/>
      <c r="F59" s="862"/>
      <c r="G59" s="862"/>
      <c r="H59" s="862"/>
      <c r="I59" s="862"/>
      <c r="J59" s="864"/>
    </row>
    <row r="60" spans="2:10" ht="15.75" customHeight="1" outlineLevel="2" x14ac:dyDescent="0.25">
      <c r="B60" s="1442"/>
      <c r="C60" s="1443"/>
      <c r="D60" s="1300"/>
      <c r="E60" s="862"/>
      <c r="F60" s="862"/>
      <c r="G60" s="862"/>
      <c r="H60" s="862"/>
      <c r="I60" s="862"/>
      <c r="J60" s="864"/>
    </row>
    <row r="61" spans="2:10" ht="15.75" customHeight="1" outlineLevel="2" x14ac:dyDescent="0.25">
      <c r="B61" s="1448"/>
      <c r="C61" s="1449"/>
      <c r="D61" s="1300"/>
      <c r="E61" s="862"/>
      <c r="F61" s="862"/>
      <c r="G61" s="862"/>
      <c r="H61" s="862"/>
      <c r="I61" s="862"/>
      <c r="J61" s="864"/>
    </row>
    <row r="62" spans="2:10" ht="15.75" customHeight="1" outlineLevel="2" x14ac:dyDescent="0.25">
      <c r="B62" s="1448"/>
      <c r="C62" s="1449"/>
      <c r="D62" s="1300"/>
      <c r="E62" s="862"/>
      <c r="F62" s="862"/>
      <c r="G62" s="862"/>
      <c r="H62" s="862"/>
      <c r="I62" s="862"/>
      <c r="J62" s="864"/>
    </row>
    <row r="63" spans="2:10" ht="15.75" customHeight="1" outlineLevel="2" x14ac:dyDescent="0.25">
      <c r="B63" s="1448"/>
      <c r="C63" s="1449"/>
      <c r="D63" s="1300"/>
      <c r="E63" s="862"/>
      <c r="F63" s="862"/>
      <c r="G63" s="862"/>
      <c r="H63" s="862"/>
      <c r="I63" s="862"/>
      <c r="J63" s="864"/>
    </row>
    <row r="64" spans="2:10" ht="15.75" customHeight="1" outlineLevel="2" x14ac:dyDescent="0.25">
      <c r="B64" s="1448"/>
      <c r="C64" s="1449"/>
      <c r="D64" s="1300"/>
      <c r="E64" s="862"/>
      <c r="F64" s="862"/>
      <c r="G64" s="862"/>
      <c r="H64" s="862"/>
      <c r="I64" s="862"/>
      <c r="J64" s="864"/>
    </row>
    <row r="65" spans="1:10" ht="15.75" customHeight="1" outlineLevel="2" x14ac:dyDescent="0.25">
      <c r="B65" s="1448"/>
      <c r="C65" s="1449"/>
      <c r="D65" s="1300"/>
      <c r="E65" s="862"/>
      <c r="F65" s="862"/>
      <c r="G65" s="862"/>
      <c r="H65" s="862"/>
      <c r="I65" s="862"/>
      <c r="J65" s="864"/>
    </row>
    <row r="66" spans="1:10" ht="15.75" customHeight="1" outlineLevel="2" x14ac:dyDescent="0.25">
      <c r="B66" s="1448"/>
      <c r="C66" s="1449"/>
      <c r="D66" s="1300"/>
      <c r="E66" s="862"/>
      <c r="F66" s="862"/>
      <c r="G66" s="862"/>
      <c r="H66" s="862"/>
      <c r="I66" s="862"/>
      <c r="J66" s="864"/>
    </row>
    <row r="67" spans="1:10" ht="15.75" customHeight="1" outlineLevel="2" x14ac:dyDescent="0.25">
      <c r="B67" s="1448"/>
      <c r="C67" s="1449"/>
      <c r="D67" s="1300"/>
      <c r="E67" s="862"/>
      <c r="F67" s="862"/>
      <c r="G67" s="862"/>
      <c r="H67" s="862"/>
      <c r="I67" s="862"/>
      <c r="J67" s="864"/>
    </row>
    <row r="68" spans="1:10" ht="15.75" customHeight="1" outlineLevel="2" x14ac:dyDescent="0.25">
      <c r="B68" s="1448"/>
      <c r="C68" s="1449"/>
      <c r="D68" s="1300"/>
      <c r="E68" s="862"/>
      <c r="F68" s="862"/>
      <c r="G68" s="862"/>
      <c r="H68" s="862"/>
      <c r="I68" s="862"/>
      <c r="J68" s="864"/>
    </row>
    <row r="69" spans="1:10" ht="15.75" customHeight="1" outlineLevel="2" x14ac:dyDescent="0.25">
      <c r="B69" s="1448"/>
      <c r="C69" s="1449"/>
      <c r="D69" s="1300"/>
      <c r="E69" s="862"/>
      <c r="F69" s="862"/>
      <c r="G69" s="862"/>
      <c r="H69" s="862"/>
      <c r="I69" s="862"/>
      <c r="J69" s="864"/>
    </row>
    <row r="70" spans="1:10" ht="15.75" customHeight="1" outlineLevel="2" x14ac:dyDescent="0.25">
      <c r="B70" s="1448"/>
      <c r="C70" s="1449"/>
      <c r="D70" s="1300"/>
      <c r="E70" s="862"/>
      <c r="F70" s="862"/>
      <c r="G70" s="862"/>
      <c r="H70" s="862"/>
      <c r="I70" s="862"/>
      <c r="J70" s="864"/>
    </row>
    <row r="71" spans="1:10" ht="15.75" customHeight="1" outlineLevel="2" x14ac:dyDescent="0.25">
      <c r="B71" s="1448"/>
      <c r="C71" s="1449"/>
      <c r="D71" s="1300"/>
      <c r="E71" s="862"/>
      <c r="F71" s="862"/>
      <c r="G71" s="862"/>
      <c r="H71" s="862"/>
      <c r="I71" s="862"/>
      <c r="J71" s="864"/>
    </row>
    <row r="72" spans="1:10" ht="15.75" customHeight="1" outlineLevel="2" thickBot="1" x14ac:dyDescent="0.3">
      <c r="B72" s="1450" t="s">
        <v>985</v>
      </c>
      <c r="C72" s="1451"/>
      <c r="D72" s="1301">
        <v>3292027.8099999991</v>
      </c>
      <c r="E72" s="888">
        <v>10179429.704496</v>
      </c>
      <c r="F72" s="888">
        <v>518950.62445671111</v>
      </c>
      <c r="G72" s="888">
        <v>3107829.9882159829</v>
      </c>
      <c r="H72" s="888">
        <v>521474.92186389863</v>
      </c>
      <c r="I72" s="888">
        <v>581785.51652966253</v>
      </c>
      <c r="J72" s="889">
        <v>746523.67207297869</v>
      </c>
    </row>
    <row r="73" spans="1:10" ht="15.75" customHeight="1" outlineLevel="2" thickBot="1" x14ac:dyDescent="0.3">
      <c r="B73" s="1444" t="s">
        <v>965</v>
      </c>
      <c r="C73" s="1445"/>
      <c r="D73" s="1226">
        <f t="shared" ref="D73:J73" si="1">SUM(D22:D72)</f>
        <v>6762929.2170607783</v>
      </c>
      <c r="E73" s="1226">
        <f t="shared" si="1"/>
        <v>14604915.352103211</v>
      </c>
      <c r="F73" s="1226">
        <f t="shared" si="1"/>
        <v>25458495.719362363</v>
      </c>
      <c r="G73" s="1226">
        <f t="shared" si="1"/>
        <v>18735179.636301681</v>
      </c>
      <c r="H73" s="1226">
        <f t="shared" si="1"/>
        <v>13133739.094127139</v>
      </c>
      <c r="I73" s="1226">
        <f t="shared" si="1"/>
        <v>14090995.910966381</v>
      </c>
      <c r="J73" s="1227">
        <f t="shared" si="1"/>
        <v>9369472.2283670567</v>
      </c>
    </row>
    <row r="74" spans="1:10" ht="15.75" customHeight="1" outlineLevel="1" thickBot="1" x14ac:dyDescent="0.3">
      <c r="B74" s="345"/>
      <c r="C74" s="345"/>
      <c r="D74" s="29"/>
      <c r="E74" s="29"/>
      <c r="F74" s="29"/>
      <c r="G74" s="29"/>
      <c r="H74" s="29"/>
      <c r="I74" s="29"/>
      <c r="J74" s="29"/>
    </row>
    <row r="75" spans="1:10" ht="20.25" customHeight="1" outlineLevel="1" thickBot="1" x14ac:dyDescent="0.3">
      <c r="B75" s="998" t="s">
        <v>1004</v>
      </c>
      <c r="C75" s="899"/>
      <c r="D75" s="899"/>
      <c r="E75" s="899"/>
      <c r="F75" s="899"/>
      <c r="G75" s="899"/>
      <c r="H75" s="899"/>
      <c r="I75" s="899"/>
      <c r="J75" s="899"/>
    </row>
    <row r="76" spans="1:10" s="42" customFormat="1" ht="28.7" customHeight="1" outlineLevel="2" x14ac:dyDescent="0.25">
      <c r="A76" s="958"/>
      <c r="B76"/>
      <c r="C76"/>
      <c r="D76" s="1439" t="s">
        <v>951</v>
      </c>
      <c r="E76" s="1440"/>
      <c r="F76" s="1440"/>
      <c r="G76" s="1440"/>
      <c r="H76" s="1440"/>
      <c r="I76" s="1440"/>
      <c r="J76" s="1441"/>
    </row>
    <row r="77" spans="1:10" s="42" customFormat="1" ht="18.75" customHeight="1" outlineLevel="2" x14ac:dyDescent="0.25">
      <c r="A77" s="958"/>
      <c r="B77"/>
      <c r="C77"/>
      <c r="D77" s="1433" t="s">
        <v>125</v>
      </c>
      <c r="E77" s="1434"/>
      <c r="F77" s="1434"/>
      <c r="G77" s="1434"/>
      <c r="H77" s="1434"/>
      <c r="I77" s="1434"/>
      <c r="J77" s="1435"/>
    </row>
    <row r="78" spans="1:10" s="42" customFormat="1" ht="15.75" outlineLevel="2" thickBot="1" x14ac:dyDescent="0.3">
      <c r="A78" s="958"/>
      <c r="B78" s="146"/>
      <c r="C78" s="1272" t="s">
        <v>1134</v>
      </c>
      <c r="D78" s="1025" t="str">
        <f ca="1">CRCP_y4</f>
        <v>2025-26</v>
      </c>
      <c r="E78" s="1026" t="str">
        <f ca="1">CRCP_y5</f>
        <v>2026-27</v>
      </c>
      <c r="F78" s="1026" t="str">
        <f>FRCP_y1</f>
        <v>2027-28</v>
      </c>
      <c r="G78" s="1026" t="str">
        <f ca="1">FRCP_y2</f>
        <v>2028-29</v>
      </c>
      <c r="H78" s="1026" t="str">
        <f ca="1">FRCP_y3</f>
        <v>2029-30</v>
      </c>
      <c r="I78" s="1026" t="str">
        <f ca="1">FRCP_y4</f>
        <v>2030-31</v>
      </c>
      <c r="J78" s="1275" t="str">
        <f ca="1">FRCP_y5</f>
        <v>2031-32</v>
      </c>
    </row>
    <row r="79" spans="1:10" ht="15.75" customHeight="1" outlineLevel="2" x14ac:dyDescent="0.25">
      <c r="B79" s="277" t="str">
        <f t="shared" ref="B79:B110" si="2">IF(ISBLANK(B22),"",B22)</f>
        <v>DN200 Lytton Lateral - ILI - MFL</v>
      </c>
      <c r="C79" s="1282"/>
      <c r="D79" s="927"/>
      <c r="E79" s="885"/>
      <c r="F79" s="885"/>
      <c r="G79" s="885"/>
      <c r="H79" s="885"/>
      <c r="I79" s="885"/>
      <c r="J79" s="886"/>
    </row>
    <row r="80" spans="1:10" ht="15.75" customHeight="1" outlineLevel="2" x14ac:dyDescent="0.25">
      <c r="B80" s="277" t="str">
        <f t="shared" si="2"/>
        <v>DN250 Peat Lateral - ILI</v>
      </c>
      <c r="C80" s="1282"/>
      <c r="D80" s="1112"/>
      <c r="E80" s="880"/>
      <c r="F80" s="880"/>
      <c r="G80" s="880"/>
      <c r="H80" s="880"/>
      <c r="I80" s="880"/>
      <c r="J80" s="882"/>
    </row>
    <row r="81" spans="2:10" ht="15.75" customHeight="1" outlineLevel="2" x14ac:dyDescent="0.25">
      <c r="B81" s="277" t="str">
        <f t="shared" si="2"/>
        <v>DN250 Peat Lateral - Validation Dig ILI</v>
      </c>
      <c r="C81" s="1282"/>
      <c r="D81" s="1112"/>
      <c r="E81" s="880"/>
      <c r="F81" s="880"/>
      <c r="G81" s="880"/>
      <c r="H81" s="880"/>
      <c r="I81" s="880"/>
      <c r="J81" s="882"/>
    </row>
    <row r="82" spans="2:10" ht="15.75" customHeight="1" outlineLevel="2" x14ac:dyDescent="0.25">
      <c r="B82" s="277" t="str">
        <f t="shared" si="2"/>
        <v>DN300 Metro - ILI - MFL + EMAT</v>
      </c>
      <c r="C82" s="1282"/>
      <c r="D82" s="1112"/>
      <c r="E82" s="880"/>
      <c r="F82" s="880"/>
      <c r="G82" s="880"/>
      <c r="H82" s="880"/>
      <c r="I82" s="880"/>
      <c r="J82" s="882"/>
    </row>
    <row r="83" spans="2:10" ht="15.75" customHeight="1" outlineLevel="2" x14ac:dyDescent="0.25">
      <c r="B83" s="277" t="str">
        <f t="shared" si="2"/>
        <v>DN300 Metro - Validation dig ILI</v>
      </c>
      <c r="C83" s="1282"/>
      <c r="D83" s="1112"/>
      <c r="E83" s="880"/>
      <c r="F83" s="880"/>
      <c r="G83" s="880"/>
      <c r="H83" s="880"/>
      <c r="I83" s="880"/>
      <c r="J83" s="882"/>
    </row>
    <row r="84" spans="2:10" ht="15.75" customHeight="1" outlineLevel="2" x14ac:dyDescent="0.25">
      <c r="B84" s="277" t="str">
        <f t="shared" si="2"/>
        <v>DN400 - MFL Campaign (3 sections) FY28-30</v>
      </c>
      <c r="C84" s="1282"/>
      <c r="D84" s="1112"/>
      <c r="E84" s="880"/>
      <c r="F84" s="880"/>
      <c r="G84" s="880"/>
      <c r="H84" s="880"/>
      <c r="I84" s="880"/>
      <c r="J84" s="882"/>
    </row>
    <row r="85" spans="2:10" ht="15.75" customHeight="1" outlineLevel="2" x14ac:dyDescent="0.25">
      <c r="B85" s="277" t="str">
        <f t="shared" si="2"/>
        <v>DN400 - Validation Dig ILI (3 sections)</v>
      </c>
      <c r="C85" s="1282"/>
      <c r="D85" s="1112"/>
      <c r="E85" s="880"/>
      <c r="F85" s="880"/>
      <c r="G85" s="880"/>
      <c r="H85" s="880"/>
      <c r="I85" s="880"/>
      <c r="J85" s="882"/>
    </row>
    <row r="86" spans="2:10" ht="15.75" customHeight="1" outlineLevel="2" x14ac:dyDescent="0.25">
      <c r="B86" s="277" t="str">
        <f t="shared" si="2"/>
        <v>DN400 - Validation Dig ILI (5 sections)</v>
      </c>
      <c r="C86" s="1282"/>
      <c r="D86" s="1112"/>
      <c r="E86" s="880"/>
      <c r="F86" s="880"/>
      <c r="G86" s="880"/>
      <c r="H86" s="880"/>
      <c r="I86" s="880"/>
      <c r="J86" s="882"/>
    </row>
    <row r="87" spans="2:10" ht="15.75" customHeight="1" outlineLevel="2" x14ac:dyDescent="0.25">
      <c r="B87" s="277" t="str">
        <f t="shared" si="2"/>
        <v>CP Program</v>
      </c>
      <c r="C87" s="1282"/>
      <c r="D87" s="1112"/>
      <c r="E87" s="880"/>
      <c r="F87" s="880"/>
      <c r="G87" s="880"/>
      <c r="H87" s="880"/>
      <c r="I87" s="880"/>
      <c r="J87" s="882"/>
    </row>
    <row r="88" spans="2:10" ht="15.75" customHeight="1" outlineLevel="2" x14ac:dyDescent="0.25">
      <c r="B88" s="277" t="str">
        <f t="shared" si="2"/>
        <v>CP Interference (DN250) and Registration</v>
      </c>
      <c r="C88" s="1282"/>
      <c r="D88" s="1112"/>
      <c r="E88" s="880"/>
      <c r="F88" s="880"/>
      <c r="G88" s="880"/>
      <c r="H88" s="880"/>
      <c r="I88" s="880"/>
      <c r="J88" s="882"/>
    </row>
    <row r="89" spans="2:10" ht="15.75" customHeight="1" outlineLevel="2" x14ac:dyDescent="0.25">
      <c r="B89" s="277" t="str">
        <f t="shared" si="2"/>
        <v>DN200 Lytton Lateral - Validation Dig ILI</v>
      </c>
      <c r="C89" s="1282"/>
      <c r="D89" s="1112"/>
      <c r="E89" s="880"/>
      <c r="F89" s="880"/>
      <c r="G89" s="880"/>
      <c r="H89" s="880"/>
      <c r="I89" s="880"/>
      <c r="J89" s="882"/>
    </row>
    <row r="90" spans="2:10" ht="15.75" customHeight="1" outlineLevel="2" x14ac:dyDescent="0.25">
      <c r="B90" s="277" t="str">
        <f t="shared" si="2"/>
        <v>DN250 Supply Security - Phase 2a</v>
      </c>
      <c r="C90" s="1282"/>
      <c r="D90" s="1112"/>
      <c r="E90" s="880"/>
      <c r="F90" s="880"/>
      <c r="G90" s="880"/>
      <c r="H90" s="880"/>
      <c r="I90" s="880"/>
      <c r="J90" s="882"/>
    </row>
    <row r="91" spans="2:10" ht="15.75" customHeight="1" outlineLevel="2" x14ac:dyDescent="0.25">
      <c r="B91" s="277" t="str">
        <f t="shared" si="2"/>
        <v>DN300 Pig Receiver Safety Upgrades (SEA Compound)</v>
      </c>
      <c r="C91" s="1282"/>
      <c r="D91" s="1112"/>
      <c r="E91" s="880"/>
      <c r="F91" s="880"/>
      <c r="G91" s="880"/>
      <c r="H91" s="880"/>
      <c r="I91" s="880"/>
      <c r="J91" s="882"/>
    </row>
    <row r="92" spans="2:10" ht="15.75" customHeight="1" outlineLevel="2" x14ac:dyDescent="0.25">
      <c r="B92" s="277" t="str">
        <f t="shared" si="2"/>
        <v>DN250 AC Mitigation (Oakey to Bellbird Park)</v>
      </c>
      <c r="C92" s="1282"/>
      <c r="D92" s="1112"/>
      <c r="E92" s="880"/>
      <c r="F92" s="880"/>
      <c r="G92" s="880"/>
      <c r="H92" s="880"/>
      <c r="I92" s="880"/>
      <c r="J92" s="882"/>
    </row>
    <row r="93" spans="2:10" ht="15.75" customHeight="1" outlineLevel="2" x14ac:dyDescent="0.25">
      <c r="B93" s="277" t="str">
        <f t="shared" si="2"/>
        <v>DN250 Suspension - Phase 3</v>
      </c>
      <c r="C93" s="1282"/>
      <c r="D93" s="1112"/>
      <c r="E93" s="880"/>
      <c r="F93" s="880"/>
      <c r="G93" s="880"/>
      <c r="H93" s="880"/>
      <c r="I93" s="880"/>
      <c r="J93" s="882"/>
    </row>
    <row r="94" spans="2:10" ht="15.75" customHeight="1" outlineLevel="2" x14ac:dyDescent="0.25">
      <c r="B94" s="277" t="str">
        <f t="shared" si="2"/>
        <v>Gowrie Creek flood protection</v>
      </c>
      <c r="C94" s="1282"/>
      <c r="D94" s="1112"/>
      <c r="E94" s="880"/>
      <c r="F94" s="880"/>
      <c r="G94" s="880"/>
      <c r="H94" s="880"/>
      <c r="I94" s="880"/>
      <c r="J94" s="882"/>
    </row>
    <row r="95" spans="2:10" ht="15.75" customHeight="1" outlineLevel="2" x14ac:dyDescent="0.25">
      <c r="B95" s="277" t="str">
        <f t="shared" si="2"/>
        <v>Station Painting</v>
      </c>
      <c r="C95" s="1282"/>
      <c r="D95" s="1112"/>
      <c r="E95" s="880"/>
      <c r="F95" s="880"/>
      <c r="G95" s="880"/>
      <c r="H95" s="880"/>
      <c r="I95" s="880"/>
      <c r="J95" s="882"/>
    </row>
    <row r="96" spans="2:10" ht="15.75" customHeight="1" outlineLevel="2" x14ac:dyDescent="0.25">
      <c r="B96" s="277" t="str">
        <f t="shared" si="2"/>
        <v>Controlwave Micro RTUs &amp; Flow Computer end of Life replacement</v>
      </c>
      <c r="C96" s="1282"/>
      <c r="D96" s="1112"/>
      <c r="E96" s="880"/>
      <c r="F96" s="880"/>
      <c r="G96" s="880"/>
      <c r="H96" s="880"/>
      <c r="I96" s="880"/>
      <c r="J96" s="882"/>
    </row>
    <row r="97" spans="2:10" ht="15.75" customHeight="1" outlineLevel="2" x14ac:dyDescent="0.25">
      <c r="B97" s="277" t="str">
        <f t="shared" si="2"/>
        <v>Earthing upgrades</v>
      </c>
      <c r="C97" s="1282"/>
      <c r="D97" s="1112"/>
      <c r="E97" s="880"/>
      <c r="F97" s="880"/>
      <c r="G97" s="880"/>
      <c r="H97" s="880"/>
      <c r="I97" s="880"/>
      <c r="J97" s="882"/>
    </row>
    <row r="98" spans="2:10" ht="15.75" customHeight="1" outlineLevel="2" x14ac:dyDescent="0.25">
      <c r="B98" s="277" t="str">
        <f t="shared" si="2"/>
        <v>Safety Critical Digs (Complex)</v>
      </c>
      <c r="C98" s="1282"/>
      <c r="D98" s="1112"/>
      <c r="E98" s="880"/>
      <c r="F98" s="880"/>
      <c r="G98" s="880"/>
      <c r="H98" s="880"/>
      <c r="I98" s="880"/>
      <c r="J98" s="882"/>
    </row>
    <row r="99" spans="2:10" ht="15.75" customHeight="1" outlineLevel="2" x14ac:dyDescent="0.25">
      <c r="B99" s="277" t="str">
        <f t="shared" si="2"/>
        <v>Safety Critical Digs (Non-complex)</v>
      </c>
      <c r="C99" s="1282"/>
      <c r="D99" s="1112"/>
      <c r="E99" s="880"/>
      <c r="F99" s="880"/>
      <c r="G99" s="880"/>
      <c r="H99" s="880"/>
      <c r="I99" s="880"/>
      <c r="J99" s="882"/>
    </row>
    <row r="100" spans="2:10" ht="15.75" customHeight="1" outlineLevel="2" x14ac:dyDescent="0.25">
      <c r="B100" s="277" t="str">
        <f t="shared" si="2"/>
        <v xml:space="preserve">Ellengrove Reliability </v>
      </c>
      <c r="C100" s="1282"/>
      <c r="D100" s="1112"/>
      <c r="E100" s="880"/>
      <c r="F100" s="880"/>
      <c r="G100" s="880"/>
      <c r="H100" s="880"/>
      <c r="I100" s="880"/>
      <c r="J100" s="882"/>
    </row>
    <row r="101" spans="2:10" ht="15.75" customHeight="1" outlineLevel="2" x14ac:dyDescent="0.25">
      <c r="B101" s="277" t="str">
        <f t="shared" si="2"/>
        <v>Enhanced Methane Survey</v>
      </c>
      <c r="C101" s="1282"/>
      <c r="D101" s="1112"/>
      <c r="E101" s="880"/>
      <c r="F101" s="880"/>
      <c r="G101" s="880"/>
      <c r="H101" s="880"/>
      <c r="I101" s="880"/>
      <c r="J101" s="882"/>
    </row>
    <row r="102" spans="2:10" ht="15.75" customHeight="1" outlineLevel="2" x14ac:dyDescent="0.25">
      <c r="B102" s="277" t="str">
        <f t="shared" si="2"/>
        <v>Minor Projects</v>
      </c>
      <c r="C102" s="1282"/>
      <c r="D102" s="1112"/>
      <c r="E102" s="880"/>
      <c r="F102" s="880"/>
      <c r="G102" s="880"/>
      <c r="H102" s="880"/>
      <c r="I102" s="880"/>
      <c r="J102" s="882"/>
    </row>
    <row r="103" spans="2:10" ht="15.75" customHeight="1" outlineLevel="2" x14ac:dyDescent="0.25">
      <c r="B103" s="277" t="str">
        <f t="shared" si="2"/>
        <v>DN300 Metro ILI - EMAT + C-MFL</v>
      </c>
      <c r="C103" s="1282"/>
      <c r="D103" s="1112"/>
      <c r="E103" s="880"/>
      <c r="F103" s="880"/>
      <c r="G103" s="880"/>
      <c r="H103" s="880"/>
      <c r="I103" s="880"/>
      <c r="J103" s="882"/>
    </row>
    <row r="104" spans="2:10" ht="15.75" customHeight="1" outlineLevel="2" x14ac:dyDescent="0.25">
      <c r="B104" s="277" t="str">
        <f t="shared" si="2"/>
        <v>DN400 - MFL Campaign (5 sections) FY26-28</v>
      </c>
      <c r="C104" s="1282"/>
      <c r="D104" s="1112"/>
      <c r="E104" s="880"/>
      <c r="F104" s="880"/>
      <c r="G104" s="880"/>
      <c r="H104" s="880"/>
      <c r="I104" s="880"/>
      <c r="J104" s="882"/>
    </row>
    <row r="105" spans="2:10" ht="15.75" customHeight="1" outlineLevel="2" x14ac:dyDescent="0.25">
      <c r="B105" s="277" t="str">
        <f t="shared" si="2"/>
        <v>DN300 Metro MFL Validation Digs - FY26</v>
      </c>
      <c r="C105" s="1282"/>
      <c r="D105" s="1112"/>
      <c r="E105" s="880"/>
      <c r="F105" s="880"/>
      <c r="G105" s="880"/>
      <c r="H105" s="880"/>
      <c r="I105" s="880"/>
      <c r="J105" s="882"/>
    </row>
    <row r="106" spans="2:10" ht="15.75" customHeight="1" outlineLevel="2" x14ac:dyDescent="0.25">
      <c r="B106" s="277" t="str">
        <f t="shared" si="2"/>
        <v>Main Switchboard Replacement (Condamine &amp; Gatton)</v>
      </c>
      <c r="C106" s="1282"/>
      <c r="D106" s="1112"/>
      <c r="E106" s="880"/>
      <c r="F106" s="880"/>
      <c r="G106" s="880"/>
      <c r="H106" s="880"/>
      <c r="I106" s="880"/>
      <c r="J106" s="882"/>
    </row>
    <row r="107" spans="2:10" ht="15.75" customHeight="1" outlineLevel="2" x14ac:dyDescent="0.25">
      <c r="B107" s="277" t="str">
        <f t="shared" si="2"/>
        <v>DN250 Safety Critical Dig-Ups (Brassall - Bellbird)</v>
      </c>
      <c r="C107" s="1282"/>
      <c r="D107" s="1112"/>
      <c r="E107" s="880"/>
      <c r="F107" s="880"/>
      <c r="G107" s="880"/>
      <c r="H107" s="880"/>
      <c r="I107" s="880"/>
      <c r="J107" s="882"/>
    </row>
    <row r="108" spans="2:10" ht="15.75" customHeight="1" outlineLevel="2" x14ac:dyDescent="0.25">
      <c r="B108" s="277" t="str">
        <f t="shared" si="2"/>
        <v>Ellengrove Reliability - Valve Replacements and Reliability</v>
      </c>
      <c r="C108" s="1282"/>
      <c r="D108" s="1112"/>
      <c r="E108" s="880"/>
      <c r="F108" s="880"/>
      <c r="G108" s="880"/>
      <c r="H108" s="880"/>
      <c r="I108" s="880"/>
      <c r="J108" s="882"/>
    </row>
    <row r="109" spans="2:10" ht="15.75" customHeight="1" outlineLevel="2" x14ac:dyDescent="0.25">
      <c r="B109" s="277" t="str">
        <f t="shared" si="2"/>
        <v>DN300 Metro ILI - A-MFL</v>
      </c>
      <c r="C109" s="1282"/>
      <c r="D109" s="1112"/>
      <c r="E109" s="880"/>
      <c r="F109" s="880"/>
      <c r="G109" s="880"/>
      <c r="H109" s="880"/>
      <c r="I109" s="880"/>
      <c r="J109" s="882"/>
    </row>
    <row r="110" spans="2:10" ht="15.75" customHeight="1" outlineLevel="2" x14ac:dyDescent="0.25">
      <c r="B110" s="277" t="str">
        <f t="shared" si="2"/>
        <v>Major Capitalisable Maintenance FY27</v>
      </c>
      <c r="C110" s="1282"/>
      <c r="D110" s="1300"/>
      <c r="E110" s="862"/>
      <c r="F110" s="862"/>
      <c r="G110" s="862"/>
      <c r="H110" s="862"/>
      <c r="I110" s="862"/>
      <c r="J110" s="864"/>
    </row>
    <row r="111" spans="2:10" ht="15.75" customHeight="1" outlineLevel="2" x14ac:dyDescent="0.25">
      <c r="B111" s="277" t="str">
        <f t="shared" ref="B111:B128" si="3">IF(ISBLANK(B54),"",B54)</f>
        <v>Ellengrove - add BPCS loop to achieve TMEL</v>
      </c>
      <c r="C111" s="1282"/>
      <c r="D111" s="1300"/>
      <c r="E111" s="862"/>
      <c r="F111" s="862"/>
      <c r="G111" s="862"/>
      <c r="H111" s="862"/>
      <c r="I111" s="862"/>
      <c r="J111" s="864"/>
    </row>
    <row r="112" spans="2:10" ht="15.75" customHeight="1" outlineLevel="2" x14ac:dyDescent="0.25">
      <c r="B112" s="277" t="str">
        <f t="shared" si="3"/>
        <v/>
      </c>
      <c r="C112" s="1282"/>
      <c r="D112" s="1300"/>
      <c r="E112" s="862"/>
      <c r="F112" s="862"/>
      <c r="G112" s="862"/>
      <c r="H112" s="862"/>
      <c r="I112" s="862"/>
      <c r="J112" s="864"/>
    </row>
    <row r="113" spans="2:10" ht="15.75" customHeight="1" outlineLevel="2" x14ac:dyDescent="0.25">
      <c r="B113" s="277" t="str">
        <f t="shared" si="3"/>
        <v/>
      </c>
      <c r="C113" s="1282"/>
      <c r="D113" s="1300"/>
      <c r="E113" s="862"/>
      <c r="F113" s="862"/>
      <c r="G113" s="862"/>
      <c r="H113" s="862"/>
      <c r="I113" s="862"/>
      <c r="J113" s="864"/>
    </row>
    <row r="114" spans="2:10" ht="15.75" customHeight="1" outlineLevel="2" x14ac:dyDescent="0.25">
      <c r="B114" s="277" t="str">
        <f t="shared" si="3"/>
        <v/>
      </c>
      <c r="C114" s="1282"/>
      <c r="D114" s="1300"/>
      <c r="E114" s="862"/>
      <c r="F114" s="862"/>
      <c r="G114" s="862"/>
      <c r="H114" s="862"/>
      <c r="I114" s="862"/>
      <c r="J114" s="864"/>
    </row>
    <row r="115" spans="2:10" ht="15.75" customHeight="1" outlineLevel="2" x14ac:dyDescent="0.25">
      <c r="B115" s="277" t="str">
        <f t="shared" si="3"/>
        <v/>
      </c>
      <c r="C115" s="1282"/>
      <c r="D115" s="1300"/>
      <c r="E115" s="862"/>
      <c r="F115" s="862"/>
      <c r="G115" s="862"/>
      <c r="H115" s="862"/>
      <c r="I115" s="862"/>
      <c r="J115" s="864"/>
    </row>
    <row r="116" spans="2:10" ht="15.75" customHeight="1" outlineLevel="2" x14ac:dyDescent="0.25">
      <c r="B116" s="277" t="str">
        <f t="shared" si="3"/>
        <v/>
      </c>
      <c r="C116" s="1282"/>
      <c r="D116" s="1300"/>
      <c r="E116" s="862"/>
      <c r="F116" s="862"/>
      <c r="G116" s="862"/>
      <c r="H116" s="862"/>
      <c r="I116" s="862"/>
      <c r="J116" s="864"/>
    </row>
    <row r="117" spans="2:10" ht="15.75" customHeight="1" outlineLevel="2" x14ac:dyDescent="0.25">
      <c r="B117" s="277" t="str">
        <f t="shared" si="3"/>
        <v/>
      </c>
      <c r="C117" s="1282"/>
      <c r="D117" s="1300"/>
      <c r="E117" s="862"/>
      <c r="F117" s="862"/>
      <c r="G117" s="862"/>
      <c r="H117" s="862"/>
      <c r="I117" s="862"/>
      <c r="J117" s="864"/>
    </row>
    <row r="118" spans="2:10" ht="15.75" customHeight="1" outlineLevel="2" x14ac:dyDescent="0.25">
      <c r="B118" s="277" t="str">
        <f t="shared" si="3"/>
        <v/>
      </c>
      <c r="C118" s="1282"/>
      <c r="D118" s="1300"/>
      <c r="E118" s="862"/>
      <c r="F118" s="862"/>
      <c r="G118" s="862"/>
      <c r="H118" s="862"/>
      <c r="I118" s="862"/>
      <c r="J118" s="864"/>
    </row>
    <row r="119" spans="2:10" ht="15.75" customHeight="1" outlineLevel="2" x14ac:dyDescent="0.25">
      <c r="B119" s="277" t="str">
        <f t="shared" si="3"/>
        <v/>
      </c>
      <c r="C119" s="1282"/>
      <c r="D119" s="1300"/>
      <c r="E119" s="862"/>
      <c r="F119" s="862"/>
      <c r="G119" s="862"/>
      <c r="H119" s="862"/>
      <c r="I119" s="862"/>
      <c r="J119" s="864"/>
    </row>
    <row r="120" spans="2:10" ht="15.75" customHeight="1" outlineLevel="2" x14ac:dyDescent="0.25">
      <c r="B120" s="277" t="str">
        <f t="shared" si="3"/>
        <v/>
      </c>
      <c r="C120" s="1282"/>
      <c r="D120" s="1300"/>
      <c r="E120" s="862"/>
      <c r="F120" s="862"/>
      <c r="G120" s="862"/>
      <c r="H120" s="862"/>
      <c r="I120" s="862"/>
      <c r="J120" s="864"/>
    </row>
    <row r="121" spans="2:10" ht="15.75" customHeight="1" outlineLevel="2" x14ac:dyDescent="0.25">
      <c r="B121" s="277" t="str">
        <f t="shared" si="3"/>
        <v/>
      </c>
      <c r="C121" s="1282"/>
      <c r="D121" s="1300"/>
      <c r="E121" s="862"/>
      <c r="F121" s="862"/>
      <c r="G121" s="862"/>
      <c r="H121" s="862"/>
      <c r="I121" s="862"/>
      <c r="J121" s="864"/>
    </row>
    <row r="122" spans="2:10" ht="15.75" customHeight="1" outlineLevel="2" x14ac:dyDescent="0.25">
      <c r="B122" s="277" t="str">
        <f t="shared" si="3"/>
        <v/>
      </c>
      <c r="C122" s="1282"/>
      <c r="D122" s="1300"/>
      <c r="E122" s="862"/>
      <c r="F122" s="862"/>
      <c r="G122" s="862"/>
      <c r="H122" s="862"/>
      <c r="I122" s="862"/>
      <c r="J122" s="864"/>
    </row>
    <row r="123" spans="2:10" ht="15.75" customHeight="1" outlineLevel="2" x14ac:dyDescent="0.25">
      <c r="B123" s="277" t="str">
        <f t="shared" si="3"/>
        <v/>
      </c>
      <c r="C123" s="1282"/>
      <c r="D123" s="1300"/>
      <c r="E123" s="862"/>
      <c r="F123" s="862"/>
      <c r="G123" s="862"/>
      <c r="H123" s="862"/>
      <c r="I123" s="862"/>
      <c r="J123" s="864"/>
    </row>
    <row r="124" spans="2:10" ht="15.75" customHeight="1" outlineLevel="2" x14ac:dyDescent="0.25">
      <c r="B124" s="277" t="str">
        <f t="shared" si="3"/>
        <v/>
      </c>
      <c r="C124" s="1282"/>
      <c r="D124" s="1300"/>
      <c r="E124" s="862"/>
      <c r="F124" s="862"/>
      <c r="G124" s="862"/>
      <c r="H124" s="862"/>
      <c r="I124" s="862"/>
      <c r="J124" s="864"/>
    </row>
    <row r="125" spans="2:10" ht="15.75" customHeight="1" outlineLevel="2" x14ac:dyDescent="0.25">
      <c r="B125" s="277" t="str">
        <f t="shared" si="3"/>
        <v/>
      </c>
      <c r="C125" s="1282"/>
      <c r="D125" s="1300"/>
      <c r="E125" s="862"/>
      <c r="F125" s="862"/>
      <c r="G125" s="862"/>
      <c r="H125" s="862"/>
      <c r="I125" s="862"/>
      <c r="J125" s="864"/>
    </row>
    <row r="126" spans="2:10" ht="15.75" customHeight="1" outlineLevel="2" x14ac:dyDescent="0.25">
      <c r="B126" s="277" t="str">
        <f t="shared" si="3"/>
        <v/>
      </c>
      <c r="C126" s="1282"/>
      <c r="D126" s="1300"/>
      <c r="E126" s="862"/>
      <c r="F126" s="862"/>
      <c r="G126" s="862"/>
      <c r="H126" s="862"/>
      <c r="I126" s="862"/>
      <c r="J126" s="864"/>
    </row>
    <row r="127" spans="2:10" ht="15.75" customHeight="1" outlineLevel="2" x14ac:dyDescent="0.25">
      <c r="B127" s="277" t="str">
        <f t="shared" si="3"/>
        <v/>
      </c>
      <c r="C127" s="1282"/>
      <c r="D127" s="1300"/>
      <c r="E127" s="862"/>
      <c r="F127" s="862"/>
      <c r="G127" s="862"/>
      <c r="H127" s="862"/>
      <c r="I127" s="862"/>
      <c r="J127" s="864"/>
    </row>
    <row r="128" spans="2:10" ht="15.75" customHeight="1" outlineLevel="2" x14ac:dyDescent="0.25">
      <c r="B128" s="277" t="str">
        <f t="shared" si="3"/>
        <v/>
      </c>
      <c r="C128" s="1282"/>
      <c r="D128" s="1300"/>
      <c r="E128" s="862"/>
      <c r="F128" s="862"/>
      <c r="G128" s="862"/>
      <c r="H128" s="862"/>
      <c r="I128" s="862"/>
      <c r="J128" s="864"/>
    </row>
    <row r="129" spans="1:10" ht="15.75" customHeight="1" outlineLevel="2" thickBot="1" x14ac:dyDescent="0.3">
      <c r="B129" s="277" t="s">
        <v>985</v>
      </c>
      <c r="C129" s="1283"/>
      <c r="D129" s="1300"/>
      <c r="E129" s="862"/>
      <c r="F129" s="862"/>
      <c r="G129" s="862"/>
      <c r="H129" s="862"/>
      <c r="I129" s="862"/>
      <c r="J129" s="864"/>
    </row>
    <row r="130" spans="1:10" ht="15.75" customHeight="1" outlineLevel="2" thickBot="1" x14ac:dyDescent="0.3">
      <c r="B130" s="1444" t="s">
        <v>965</v>
      </c>
      <c r="C130" s="1445"/>
      <c r="D130" s="1226">
        <f t="shared" ref="D130:J130" si="4">SUM(D79:D129)</f>
        <v>0</v>
      </c>
      <c r="E130" s="1226">
        <f t="shared" si="4"/>
        <v>0</v>
      </c>
      <c r="F130" s="1226">
        <f t="shared" si="4"/>
        <v>0</v>
      </c>
      <c r="G130" s="1226">
        <f t="shared" si="4"/>
        <v>0</v>
      </c>
      <c r="H130" s="1226">
        <f t="shared" si="4"/>
        <v>0</v>
      </c>
      <c r="I130" s="1226">
        <f t="shared" si="4"/>
        <v>0</v>
      </c>
      <c r="J130" s="1227">
        <f t="shared" si="4"/>
        <v>0</v>
      </c>
    </row>
    <row r="131" spans="1:10" outlineLevel="1" x14ac:dyDescent="0.25">
      <c r="D131" s="29"/>
      <c r="E131" s="29"/>
      <c r="F131" s="29"/>
      <c r="G131" s="29"/>
      <c r="H131" s="29"/>
      <c r="I131" s="29"/>
      <c r="J131" s="29"/>
    </row>
    <row r="132" spans="1:10" x14ac:dyDescent="0.25">
      <c r="A132" s="942"/>
    </row>
    <row r="133" spans="1:10" x14ac:dyDescent="0.25">
      <c r="A133" s="942"/>
    </row>
    <row r="134" spans="1:10" x14ac:dyDescent="0.25">
      <c r="A134" s="942"/>
    </row>
    <row r="135" spans="1:10" x14ac:dyDescent="0.25">
      <c r="A135" s="942"/>
    </row>
    <row r="136" spans="1:10" x14ac:dyDescent="0.25">
      <c r="A136" s="942"/>
    </row>
    <row r="137" spans="1:10" x14ac:dyDescent="0.25">
      <c r="A137" s="942"/>
    </row>
    <row r="138" spans="1:10" x14ac:dyDescent="0.25">
      <c r="A138" s="942"/>
    </row>
    <row r="139" spans="1:10" x14ac:dyDescent="0.25">
      <c r="A139" s="942"/>
    </row>
    <row r="140" spans="1:10" x14ac:dyDescent="0.25">
      <c r="A140" s="942"/>
    </row>
    <row r="141" spans="1:10" x14ac:dyDescent="0.25">
      <c r="A141" s="942"/>
    </row>
    <row r="142" spans="1:10" x14ac:dyDescent="0.25">
      <c r="A142" s="942"/>
    </row>
    <row r="143" spans="1:10" x14ac:dyDescent="0.25">
      <c r="A143" s="942"/>
    </row>
    <row r="144" spans="1:10" x14ac:dyDescent="0.25">
      <c r="A144" s="942"/>
    </row>
    <row r="145" spans="1:1" x14ac:dyDescent="0.25">
      <c r="A145" s="942"/>
    </row>
    <row r="146" spans="1:1" x14ac:dyDescent="0.25">
      <c r="A146" s="942"/>
    </row>
    <row r="147" spans="1:1" x14ac:dyDescent="0.25">
      <c r="A147" s="942"/>
    </row>
    <row r="148" spans="1:1" x14ac:dyDescent="0.25">
      <c r="A148" s="942"/>
    </row>
    <row r="149" spans="1:1" x14ac:dyDescent="0.25">
      <c r="A149" s="942"/>
    </row>
    <row r="150" spans="1:1" x14ac:dyDescent="0.25">
      <c r="A150" s="942"/>
    </row>
    <row r="151" spans="1:1" x14ac:dyDescent="0.25">
      <c r="A151" s="942"/>
    </row>
    <row r="152" spans="1:1" x14ac:dyDescent="0.25">
      <c r="A152" s="942" t="s">
        <v>968</v>
      </c>
    </row>
    <row r="153" spans="1:1" x14ac:dyDescent="0.25">
      <c r="A153" s="942"/>
    </row>
    <row r="154" spans="1:1" x14ac:dyDescent="0.25">
      <c r="A154" s="942"/>
    </row>
    <row r="155" spans="1:1" x14ac:dyDescent="0.25">
      <c r="A155" s="942"/>
    </row>
    <row r="156" spans="1:1" x14ac:dyDescent="0.25">
      <c r="A156" s="942"/>
    </row>
    <row r="157" spans="1:1" x14ac:dyDescent="0.25">
      <c r="A157" s="942"/>
    </row>
    <row r="158" spans="1:1" x14ac:dyDescent="0.25">
      <c r="A158" s="942"/>
    </row>
    <row r="159" spans="1:1" x14ac:dyDescent="0.25">
      <c r="A159" s="942"/>
    </row>
    <row r="160" spans="1:1" x14ac:dyDescent="0.25">
      <c r="A160" s="942"/>
    </row>
    <row r="161" spans="1:1" x14ac:dyDescent="0.25">
      <c r="A161" s="942"/>
    </row>
    <row r="162" spans="1:1" x14ac:dyDescent="0.25">
      <c r="A162" s="942"/>
    </row>
    <row r="163" spans="1:1" x14ac:dyDescent="0.25">
      <c r="A163" s="942"/>
    </row>
    <row r="164" spans="1:1" x14ac:dyDescent="0.25">
      <c r="A164" s="942"/>
    </row>
    <row r="165" spans="1:1" x14ac:dyDescent="0.25">
      <c r="A165" s="942"/>
    </row>
    <row r="166" spans="1:1" x14ac:dyDescent="0.25">
      <c r="A166" s="942"/>
    </row>
    <row r="167" spans="1:1" x14ac:dyDescent="0.25">
      <c r="A167" s="942"/>
    </row>
    <row r="168" spans="1:1" x14ac:dyDescent="0.25">
      <c r="A168" s="942"/>
    </row>
    <row r="169" spans="1:1" x14ac:dyDescent="0.25">
      <c r="A169" s="942"/>
    </row>
    <row r="170" spans="1:1" x14ac:dyDescent="0.25">
      <c r="A170" s="942"/>
    </row>
    <row r="171" spans="1:1" x14ac:dyDescent="0.25">
      <c r="A171" s="942"/>
    </row>
    <row r="172" spans="1:1" x14ac:dyDescent="0.25">
      <c r="A172" s="942"/>
    </row>
    <row r="173" spans="1:1" x14ac:dyDescent="0.25">
      <c r="A173" s="942"/>
    </row>
    <row r="174" spans="1:1" x14ac:dyDescent="0.25">
      <c r="A174" s="942"/>
    </row>
    <row r="175" spans="1:1" x14ac:dyDescent="0.25">
      <c r="A175" s="942"/>
    </row>
    <row r="176" spans="1:1" x14ac:dyDescent="0.25">
      <c r="A176" s="942"/>
    </row>
    <row r="177" spans="1:1" x14ac:dyDescent="0.25">
      <c r="A177" s="942"/>
    </row>
    <row r="178" spans="1:1" x14ac:dyDescent="0.25">
      <c r="A178" s="942"/>
    </row>
    <row r="179" spans="1:1" x14ac:dyDescent="0.25">
      <c r="A179" s="942"/>
    </row>
    <row r="180" spans="1:1" x14ac:dyDescent="0.25">
      <c r="A180" s="942"/>
    </row>
    <row r="181" spans="1:1" x14ac:dyDescent="0.25">
      <c r="A181" s="942"/>
    </row>
    <row r="182" spans="1:1" x14ac:dyDescent="0.25">
      <c r="A182" s="942"/>
    </row>
    <row r="183" spans="1:1" x14ac:dyDescent="0.25">
      <c r="A183" s="942"/>
    </row>
    <row r="184" spans="1:1" x14ac:dyDescent="0.25">
      <c r="A184" s="942"/>
    </row>
    <row r="185" spans="1:1" x14ac:dyDescent="0.25">
      <c r="A185" s="942"/>
    </row>
    <row r="186" spans="1:1" x14ac:dyDescent="0.25">
      <c r="A186" s="942"/>
    </row>
    <row r="187" spans="1:1" x14ac:dyDescent="0.25">
      <c r="A187" s="942"/>
    </row>
    <row r="188" spans="1:1" x14ac:dyDescent="0.25">
      <c r="A188" s="942"/>
    </row>
    <row r="189" spans="1:1" x14ac:dyDescent="0.25">
      <c r="A189" s="942"/>
    </row>
    <row r="190" spans="1:1" x14ac:dyDescent="0.25">
      <c r="A190" s="942"/>
    </row>
    <row r="191" spans="1:1" x14ac:dyDescent="0.25">
      <c r="A191" s="942"/>
    </row>
    <row r="192" spans="1:1" x14ac:dyDescent="0.25">
      <c r="A192" s="942"/>
    </row>
    <row r="193" spans="1:1" x14ac:dyDescent="0.25">
      <c r="A193" s="942"/>
    </row>
    <row r="194" spans="1:1" x14ac:dyDescent="0.25">
      <c r="A194" s="942"/>
    </row>
    <row r="195" spans="1:1" x14ac:dyDescent="0.25">
      <c r="A195" s="942"/>
    </row>
    <row r="196" spans="1:1" x14ac:dyDescent="0.25">
      <c r="A196" s="942"/>
    </row>
    <row r="197" spans="1:1" x14ac:dyDescent="0.25">
      <c r="A197" s="942"/>
    </row>
    <row r="198" spans="1:1" x14ac:dyDescent="0.25">
      <c r="A198" s="942"/>
    </row>
    <row r="199" spans="1:1" x14ac:dyDescent="0.25">
      <c r="A199" s="942"/>
    </row>
    <row r="200" spans="1:1" x14ac:dyDescent="0.25">
      <c r="A200" s="942"/>
    </row>
    <row r="201" spans="1:1" x14ac:dyDescent="0.25">
      <c r="A201" s="942"/>
    </row>
    <row r="202" spans="1:1" x14ac:dyDescent="0.25">
      <c r="A202" s="942"/>
    </row>
  </sheetData>
  <sheetProtection algorithmName="SHA-256" hashValue="l+zzcpD09GtHui0OUcZDA8Ie2DxpVUKNOs8kHMlcl1I=" saltValue="byPzgBZYsgVFltyCj23zfA==" spinCount="100000" sheet="1" objects="1" scenarios="1" formatCells="0" insertRows="0" deleteRows="0"/>
  <mergeCells count="65">
    <mergeCell ref="B72:C72"/>
    <mergeCell ref="B11:C11"/>
    <mergeCell ref="B10:C10"/>
    <mergeCell ref="B12:C12"/>
    <mergeCell ref="B13:C13"/>
    <mergeCell ref="B14:C14"/>
    <mergeCell ref="B15:C15"/>
    <mergeCell ref="B16:C16"/>
    <mergeCell ref="B67:C67"/>
    <mergeCell ref="B68:C68"/>
    <mergeCell ref="B69:C69"/>
    <mergeCell ref="B70:C70"/>
    <mergeCell ref="B71:C71"/>
    <mergeCell ref="B61:C61"/>
    <mergeCell ref="B62:C62"/>
    <mergeCell ref="B63:C63"/>
    <mergeCell ref="B66:C66"/>
    <mergeCell ref="B65:C65"/>
    <mergeCell ref="B56:C56"/>
    <mergeCell ref="B57:C57"/>
    <mergeCell ref="B58:C58"/>
    <mergeCell ref="B59:C59"/>
    <mergeCell ref="B60:C60"/>
    <mergeCell ref="B52:C52"/>
    <mergeCell ref="B53:C53"/>
    <mergeCell ref="B54:C54"/>
    <mergeCell ref="B55:C55"/>
    <mergeCell ref="B64:C64"/>
    <mergeCell ref="B48:C48"/>
    <mergeCell ref="B49:C49"/>
    <mergeCell ref="B50:C50"/>
    <mergeCell ref="B51:C51"/>
    <mergeCell ref="B47:C47"/>
    <mergeCell ref="B130:C130"/>
    <mergeCell ref="B73:C73"/>
    <mergeCell ref="B21:C21"/>
    <mergeCell ref="B23:C23"/>
    <mergeCell ref="B22:C22"/>
    <mergeCell ref="B24:C24"/>
    <mergeCell ref="B25:C25"/>
    <mergeCell ref="B26:C26"/>
    <mergeCell ref="B27:C27"/>
    <mergeCell ref="B28:C28"/>
    <mergeCell ref="B29:C29"/>
    <mergeCell ref="B30:C30"/>
    <mergeCell ref="B31:C31"/>
    <mergeCell ref="B32:C32"/>
    <mergeCell ref="B33:C33"/>
    <mergeCell ref="B34:C34"/>
    <mergeCell ref="D77:J77"/>
    <mergeCell ref="D8:J8"/>
    <mergeCell ref="D20:J20"/>
    <mergeCell ref="D76:J76"/>
    <mergeCell ref="B35:C35"/>
    <mergeCell ref="B36:C36"/>
    <mergeCell ref="B37:C37"/>
    <mergeCell ref="B38:C38"/>
    <mergeCell ref="B40:C40"/>
    <mergeCell ref="B39:C39"/>
    <mergeCell ref="B41:C41"/>
    <mergeCell ref="B42:C42"/>
    <mergeCell ref="B43:C43"/>
    <mergeCell ref="B44:C44"/>
    <mergeCell ref="B45:C45"/>
    <mergeCell ref="B46:C46"/>
  </mergeCells>
  <pageMargins left="0.7" right="0.7" top="0.75" bottom="0.75" header="0.3" footer="0.3"/>
  <pageSetup paperSize="9" orientation="portrait" r:id="rId1"/>
  <headerFooter>
    <oddFooter>&amp;C_x000D_&amp;1#&amp;"Aptos"&amp;10&amp;K008000 APA-INTERNAL</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3">
    <tabColor theme="3" tint="-0.249977111117893"/>
  </sheetPr>
  <dimension ref="A1:J68"/>
  <sheetViews>
    <sheetView showGridLines="0" zoomScale="55" zoomScaleNormal="55" workbookViewId="0">
      <selection activeCell="H1" sqref="H1:J4"/>
    </sheetView>
  </sheetViews>
  <sheetFormatPr defaultRowHeight="15" outlineLevelRow="2" x14ac:dyDescent="0.25"/>
  <cols>
    <col min="1" max="1" width="21.42578125" customWidth="1"/>
    <col min="2" max="2" width="91.7109375" customWidth="1"/>
    <col min="3" max="3" width="20.7109375" customWidth="1"/>
    <col min="4" max="10" width="18.7109375" style="29" customWidth="1"/>
    <col min="204" max="205" width="16.28515625" customWidth="1"/>
    <col min="206" max="206" width="93.28515625" customWidth="1"/>
    <col min="207" max="207" width="26.140625" customWidth="1"/>
    <col min="208" max="209" width="11.7109375" bestFit="1" customWidth="1"/>
    <col min="210" max="210" width="11.7109375" customWidth="1"/>
    <col min="211" max="212" width="17.42578125" bestFit="1" customWidth="1"/>
    <col min="213" max="214" width="14" bestFit="1" customWidth="1"/>
    <col min="215" max="215" width="20" bestFit="1" customWidth="1"/>
    <col min="216" max="216" width="17.42578125" customWidth="1"/>
    <col min="217" max="217" width="10.7109375" bestFit="1" customWidth="1"/>
    <col min="218" max="218" width="11" bestFit="1" customWidth="1"/>
    <col min="219" max="219" width="10.5703125" bestFit="1" customWidth="1"/>
    <col min="220" max="220" width="15.85546875" bestFit="1" customWidth="1"/>
    <col min="221" max="221" width="17.42578125" bestFit="1" customWidth="1"/>
    <col min="460" max="461" width="16.28515625" customWidth="1"/>
    <col min="462" max="462" width="93.28515625" customWidth="1"/>
    <col min="463" max="463" width="26.140625" customWidth="1"/>
    <col min="464" max="465" width="11.7109375" bestFit="1" customWidth="1"/>
    <col min="466" max="466" width="11.7109375" customWidth="1"/>
    <col min="467" max="468" width="17.42578125" bestFit="1" customWidth="1"/>
    <col min="469" max="470" width="14" bestFit="1" customWidth="1"/>
    <col min="471" max="471" width="20" bestFit="1" customWidth="1"/>
    <col min="472" max="472" width="17.42578125" customWidth="1"/>
    <col min="473" max="473" width="10.7109375" bestFit="1" customWidth="1"/>
    <col min="474" max="474" width="11" bestFit="1" customWidth="1"/>
    <col min="475" max="475" width="10.5703125" bestFit="1" customWidth="1"/>
    <col min="476" max="476" width="15.85546875" bestFit="1" customWidth="1"/>
    <col min="477" max="477" width="17.42578125" bestFit="1" customWidth="1"/>
    <col min="716" max="717" width="16.28515625" customWidth="1"/>
    <col min="718" max="718" width="93.28515625" customWidth="1"/>
    <col min="719" max="719" width="26.140625" customWidth="1"/>
    <col min="720" max="721" width="11.7109375" bestFit="1" customWidth="1"/>
    <col min="722" max="722" width="11.7109375" customWidth="1"/>
    <col min="723" max="724" width="17.42578125" bestFit="1" customWidth="1"/>
    <col min="725" max="726" width="14" bestFit="1" customWidth="1"/>
    <col min="727" max="727" width="20" bestFit="1" customWidth="1"/>
    <col min="728" max="728" width="17.42578125" customWidth="1"/>
    <col min="729" max="729" width="10.7109375" bestFit="1" customWidth="1"/>
    <col min="730" max="730" width="11" bestFit="1" customWidth="1"/>
    <col min="731" max="731" width="10.5703125" bestFit="1" customWidth="1"/>
    <col min="732" max="732" width="15.85546875" bestFit="1" customWidth="1"/>
    <col min="733" max="733" width="17.42578125" bestFit="1" customWidth="1"/>
    <col min="972" max="973" width="16.28515625" customWidth="1"/>
    <col min="974" max="974" width="93.28515625" customWidth="1"/>
    <col min="975" max="975" width="26.140625" customWidth="1"/>
    <col min="976" max="977" width="11.7109375" bestFit="1" customWidth="1"/>
    <col min="978" max="978" width="11.7109375" customWidth="1"/>
    <col min="979" max="980" width="17.42578125" bestFit="1" customWidth="1"/>
    <col min="981" max="982" width="14" bestFit="1" customWidth="1"/>
    <col min="983" max="983" width="20" bestFit="1" customWidth="1"/>
    <col min="984" max="984" width="17.42578125" customWidth="1"/>
    <col min="985" max="985" width="10.7109375" bestFit="1" customWidth="1"/>
    <col min="986" max="986" width="11" bestFit="1" customWidth="1"/>
    <col min="987" max="987" width="10.5703125" bestFit="1" customWidth="1"/>
    <col min="988" max="988" width="15.85546875" bestFit="1" customWidth="1"/>
    <col min="989" max="989" width="17.42578125" bestFit="1" customWidth="1"/>
    <col min="1228" max="1229" width="16.28515625" customWidth="1"/>
    <col min="1230" max="1230" width="93.28515625" customWidth="1"/>
    <col min="1231" max="1231" width="26.140625" customWidth="1"/>
    <col min="1232" max="1233" width="11.7109375" bestFit="1" customWidth="1"/>
    <col min="1234" max="1234" width="11.7109375" customWidth="1"/>
    <col min="1235" max="1236" width="17.42578125" bestFit="1" customWidth="1"/>
    <col min="1237" max="1238" width="14" bestFit="1" customWidth="1"/>
    <col min="1239" max="1239" width="20" bestFit="1" customWidth="1"/>
    <col min="1240" max="1240" width="17.42578125" customWidth="1"/>
    <col min="1241" max="1241" width="10.7109375" bestFit="1" customWidth="1"/>
    <col min="1242" max="1242" width="11" bestFit="1" customWidth="1"/>
    <col min="1243" max="1243" width="10.5703125" bestFit="1" customWidth="1"/>
    <col min="1244" max="1244" width="15.85546875" bestFit="1" customWidth="1"/>
    <col min="1245" max="1245" width="17.42578125" bestFit="1" customWidth="1"/>
    <col min="1484" max="1485" width="16.28515625" customWidth="1"/>
    <col min="1486" max="1486" width="93.28515625" customWidth="1"/>
    <col min="1487" max="1487" width="26.140625" customWidth="1"/>
    <col min="1488" max="1489" width="11.7109375" bestFit="1" customWidth="1"/>
    <col min="1490" max="1490" width="11.7109375" customWidth="1"/>
    <col min="1491" max="1492" width="17.42578125" bestFit="1" customWidth="1"/>
    <col min="1493" max="1494" width="14" bestFit="1" customWidth="1"/>
    <col min="1495" max="1495" width="20" bestFit="1" customWidth="1"/>
    <col min="1496" max="1496" width="17.42578125" customWidth="1"/>
    <col min="1497" max="1497" width="10.7109375" bestFit="1" customWidth="1"/>
    <col min="1498" max="1498" width="11" bestFit="1" customWidth="1"/>
    <col min="1499" max="1499" width="10.5703125" bestFit="1" customWidth="1"/>
    <col min="1500" max="1500" width="15.85546875" bestFit="1" customWidth="1"/>
    <col min="1501" max="1501" width="17.42578125" bestFit="1" customWidth="1"/>
    <col min="1740" max="1741" width="16.28515625" customWidth="1"/>
    <col min="1742" max="1742" width="93.28515625" customWidth="1"/>
    <col min="1743" max="1743" width="26.140625" customWidth="1"/>
    <col min="1744" max="1745" width="11.7109375" bestFit="1" customWidth="1"/>
    <col min="1746" max="1746" width="11.7109375" customWidth="1"/>
    <col min="1747" max="1748" width="17.42578125" bestFit="1" customWidth="1"/>
    <col min="1749" max="1750" width="14" bestFit="1" customWidth="1"/>
    <col min="1751" max="1751" width="20" bestFit="1" customWidth="1"/>
    <col min="1752" max="1752" width="17.42578125" customWidth="1"/>
    <col min="1753" max="1753" width="10.7109375" bestFit="1" customWidth="1"/>
    <col min="1754" max="1754" width="11" bestFit="1" customWidth="1"/>
    <col min="1755" max="1755" width="10.5703125" bestFit="1" customWidth="1"/>
    <col min="1756" max="1756" width="15.85546875" bestFit="1" customWidth="1"/>
    <col min="1757" max="1757" width="17.42578125" bestFit="1" customWidth="1"/>
    <col min="1996" max="1997" width="16.28515625" customWidth="1"/>
    <col min="1998" max="1998" width="93.28515625" customWidth="1"/>
    <col min="1999" max="1999" width="26.140625" customWidth="1"/>
    <col min="2000" max="2001" width="11.7109375" bestFit="1" customWidth="1"/>
    <col min="2002" max="2002" width="11.7109375" customWidth="1"/>
    <col min="2003" max="2004" width="17.42578125" bestFit="1" customWidth="1"/>
    <col min="2005" max="2006" width="14" bestFit="1" customWidth="1"/>
    <col min="2007" max="2007" width="20" bestFit="1" customWidth="1"/>
    <col min="2008" max="2008" width="17.42578125" customWidth="1"/>
    <col min="2009" max="2009" width="10.7109375" bestFit="1" customWidth="1"/>
    <col min="2010" max="2010" width="11" bestFit="1" customWidth="1"/>
    <col min="2011" max="2011" width="10.5703125" bestFit="1" customWidth="1"/>
    <col min="2012" max="2012" width="15.85546875" bestFit="1" customWidth="1"/>
    <col min="2013" max="2013" width="17.42578125" bestFit="1" customWidth="1"/>
    <col min="2252" max="2253" width="16.28515625" customWidth="1"/>
    <col min="2254" max="2254" width="93.28515625" customWidth="1"/>
    <col min="2255" max="2255" width="26.140625" customWidth="1"/>
    <col min="2256" max="2257" width="11.7109375" bestFit="1" customWidth="1"/>
    <col min="2258" max="2258" width="11.7109375" customWidth="1"/>
    <col min="2259" max="2260" width="17.42578125" bestFit="1" customWidth="1"/>
    <col min="2261" max="2262" width="14" bestFit="1" customWidth="1"/>
    <col min="2263" max="2263" width="20" bestFit="1" customWidth="1"/>
    <col min="2264" max="2264" width="17.42578125" customWidth="1"/>
    <col min="2265" max="2265" width="10.7109375" bestFit="1" customWidth="1"/>
    <col min="2266" max="2266" width="11" bestFit="1" customWidth="1"/>
    <col min="2267" max="2267" width="10.5703125" bestFit="1" customWidth="1"/>
    <col min="2268" max="2268" width="15.85546875" bestFit="1" customWidth="1"/>
    <col min="2269" max="2269" width="17.42578125" bestFit="1" customWidth="1"/>
    <col min="2508" max="2509" width="16.28515625" customWidth="1"/>
    <col min="2510" max="2510" width="93.28515625" customWidth="1"/>
    <col min="2511" max="2511" width="26.140625" customWidth="1"/>
    <col min="2512" max="2513" width="11.7109375" bestFit="1" customWidth="1"/>
    <col min="2514" max="2514" width="11.7109375" customWidth="1"/>
    <col min="2515" max="2516" width="17.42578125" bestFit="1" customWidth="1"/>
    <col min="2517" max="2518" width="14" bestFit="1" customWidth="1"/>
    <col min="2519" max="2519" width="20" bestFit="1" customWidth="1"/>
    <col min="2520" max="2520" width="17.42578125" customWidth="1"/>
    <col min="2521" max="2521" width="10.7109375" bestFit="1" customWidth="1"/>
    <col min="2522" max="2522" width="11" bestFit="1" customWidth="1"/>
    <col min="2523" max="2523" width="10.5703125" bestFit="1" customWidth="1"/>
    <col min="2524" max="2524" width="15.85546875" bestFit="1" customWidth="1"/>
    <col min="2525" max="2525" width="17.42578125" bestFit="1" customWidth="1"/>
    <col min="2764" max="2765" width="16.28515625" customWidth="1"/>
    <col min="2766" max="2766" width="93.28515625" customWidth="1"/>
    <col min="2767" max="2767" width="26.140625" customWidth="1"/>
    <col min="2768" max="2769" width="11.7109375" bestFit="1" customWidth="1"/>
    <col min="2770" max="2770" width="11.7109375" customWidth="1"/>
    <col min="2771" max="2772" width="17.42578125" bestFit="1" customWidth="1"/>
    <col min="2773" max="2774" width="14" bestFit="1" customWidth="1"/>
    <col min="2775" max="2775" width="20" bestFit="1" customWidth="1"/>
    <col min="2776" max="2776" width="17.42578125" customWidth="1"/>
    <col min="2777" max="2777" width="10.7109375" bestFit="1" customWidth="1"/>
    <col min="2778" max="2778" width="11" bestFit="1" customWidth="1"/>
    <col min="2779" max="2779" width="10.5703125" bestFit="1" customWidth="1"/>
    <col min="2780" max="2780" width="15.85546875" bestFit="1" customWidth="1"/>
    <col min="2781" max="2781" width="17.42578125" bestFit="1" customWidth="1"/>
    <col min="3020" max="3021" width="16.28515625" customWidth="1"/>
    <col min="3022" max="3022" width="93.28515625" customWidth="1"/>
    <col min="3023" max="3023" width="26.140625" customWidth="1"/>
    <col min="3024" max="3025" width="11.7109375" bestFit="1" customWidth="1"/>
    <col min="3026" max="3026" width="11.7109375" customWidth="1"/>
    <col min="3027" max="3028" width="17.42578125" bestFit="1" customWidth="1"/>
    <col min="3029" max="3030" width="14" bestFit="1" customWidth="1"/>
    <col min="3031" max="3031" width="20" bestFit="1" customWidth="1"/>
    <col min="3032" max="3032" width="17.42578125" customWidth="1"/>
    <col min="3033" max="3033" width="10.7109375" bestFit="1" customWidth="1"/>
    <col min="3034" max="3034" width="11" bestFit="1" customWidth="1"/>
    <col min="3035" max="3035" width="10.5703125" bestFit="1" customWidth="1"/>
    <col min="3036" max="3036" width="15.85546875" bestFit="1" customWidth="1"/>
    <col min="3037" max="3037" width="17.42578125" bestFit="1" customWidth="1"/>
    <col min="3276" max="3277" width="16.28515625" customWidth="1"/>
    <col min="3278" max="3278" width="93.28515625" customWidth="1"/>
    <col min="3279" max="3279" width="26.140625" customWidth="1"/>
    <col min="3280" max="3281" width="11.7109375" bestFit="1" customWidth="1"/>
    <col min="3282" max="3282" width="11.7109375" customWidth="1"/>
    <col min="3283" max="3284" width="17.42578125" bestFit="1" customWidth="1"/>
    <col min="3285" max="3286" width="14" bestFit="1" customWidth="1"/>
    <col min="3287" max="3287" width="20" bestFit="1" customWidth="1"/>
    <col min="3288" max="3288" width="17.42578125" customWidth="1"/>
    <col min="3289" max="3289" width="10.7109375" bestFit="1" customWidth="1"/>
    <col min="3290" max="3290" width="11" bestFit="1" customWidth="1"/>
    <col min="3291" max="3291" width="10.5703125" bestFit="1" customWidth="1"/>
    <col min="3292" max="3292" width="15.85546875" bestFit="1" customWidth="1"/>
    <col min="3293" max="3293" width="17.42578125" bestFit="1" customWidth="1"/>
    <col min="3532" max="3533" width="16.28515625" customWidth="1"/>
    <col min="3534" max="3534" width="93.28515625" customWidth="1"/>
    <col min="3535" max="3535" width="26.140625" customWidth="1"/>
    <col min="3536" max="3537" width="11.7109375" bestFit="1" customWidth="1"/>
    <col min="3538" max="3538" width="11.7109375" customWidth="1"/>
    <col min="3539" max="3540" width="17.42578125" bestFit="1" customWidth="1"/>
    <col min="3541" max="3542" width="14" bestFit="1" customWidth="1"/>
    <col min="3543" max="3543" width="20" bestFit="1" customWidth="1"/>
    <col min="3544" max="3544" width="17.42578125" customWidth="1"/>
    <col min="3545" max="3545" width="10.7109375" bestFit="1" customWidth="1"/>
    <col min="3546" max="3546" width="11" bestFit="1" customWidth="1"/>
    <col min="3547" max="3547" width="10.5703125" bestFit="1" customWidth="1"/>
    <col min="3548" max="3548" width="15.85546875" bestFit="1" customWidth="1"/>
    <col min="3549" max="3549" width="17.42578125" bestFit="1" customWidth="1"/>
    <col min="3788" max="3789" width="16.28515625" customWidth="1"/>
    <col min="3790" max="3790" width="93.28515625" customWidth="1"/>
    <col min="3791" max="3791" width="26.140625" customWidth="1"/>
    <col min="3792" max="3793" width="11.7109375" bestFit="1" customWidth="1"/>
    <col min="3794" max="3794" width="11.7109375" customWidth="1"/>
    <col min="3795" max="3796" width="17.42578125" bestFit="1" customWidth="1"/>
    <col min="3797" max="3798" width="14" bestFit="1" customWidth="1"/>
    <col min="3799" max="3799" width="20" bestFit="1" customWidth="1"/>
    <col min="3800" max="3800" width="17.42578125" customWidth="1"/>
    <col min="3801" max="3801" width="10.7109375" bestFit="1" customWidth="1"/>
    <col min="3802" max="3802" width="11" bestFit="1" customWidth="1"/>
    <col min="3803" max="3803" width="10.5703125" bestFit="1" customWidth="1"/>
    <col min="3804" max="3804" width="15.85546875" bestFit="1" customWidth="1"/>
    <col min="3805" max="3805" width="17.42578125" bestFit="1" customWidth="1"/>
    <col min="4044" max="4045" width="16.28515625" customWidth="1"/>
    <col min="4046" max="4046" width="93.28515625" customWidth="1"/>
    <col min="4047" max="4047" width="26.140625" customWidth="1"/>
    <col min="4048" max="4049" width="11.7109375" bestFit="1" customWidth="1"/>
    <col min="4050" max="4050" width="11.7109375" customWidth="1"/>
    <col min="4051" max="4052" width="17.42578125" bestFit="1" customWidth="1"/>
    <col min="4053" max="4054" width="14" bestFit="1" customWidth="1"/>
    <col min="4055" max="4055" width="20" bestFit="1" customWidth="1"/>
    <col min="4056" max="4056" width="17.42578125" customWidth="1"/>
    <col min="4057" max="4057" width="10.7109375" bestFit="1" customWidth="1"/>
    <col min="4058" max="4058" width="11" bestFit="1" customWidth="1"/>
    <col min="4059" max="4059" width="10.5703125" bestFit="1" customWidth="1"/>
    <col min="4060" max="4060" width="15.85546875" bestFit="1" customWidth="1"/>
    <col min="4061" max="4061" width="17.42578125" bestFit="1" customWidth="1"/>
    <col min="4300" max="4301" width="16.28515625" customWidth="1"/>
    <col min="4302" max="4302" width="93.28515625" customWidth="1"/>
    <col min="4303" max="4303" width="26.140625" customWidth="1"/>
    <col min="4304" max="4305" width="11.7109375" bestFit="1" customWidth="1"/>
    <col min="4306" max="4306" width="11.7109375" customWidth="1"/>
    <col min="4307" max="4308" width="17.42578125" bestFit="1" customWidth="1"/>
    <col min="4309" max="4310" width="14" bestFit="1" customWidth="1"/>
    <col min="4311" max="4311" width="20" bestFit="1" customWidth="1"/>
    <col min="4312" max="4312" width="17.42578125" customWidth="1"/>
    <col min="4313" max="4313" width="10.7109375" bestFit="1" customWidth="1"/>
    <col min="4314" max="4314" width="11" bestFit="1" customWidth="1"/>
    <col min="4315" max="4315" width="10.5703125" bestFit="1" customWidth="1"/>
    <col min="4316" max="4316" width="15.85546875" bestFit="1" customWidth="1"/>
    <col min="4317" max="4317" width="17.42578125" bestFit="1" customWidth="1"/>
    <col min="4556" max="4557" width="16.28515625" customWidth="1"/>
    <col min="4558" max="4558" width="93.28515625" customWidth="1"/>
    <col min="4559" max="4559" width="26.140625" customWidth="1"/>
    <col min="4560" max="4561" width="11.7109375" bestFit="1" customWidth="1"/>
    <col min="4562" max="4562" width="11.7109375" customWidth="1"/>
    <col min="4563" max="4564" width="17.42578125" bestFit="1" customWidth="1"/>
    <col min="4565" max="4566" width="14" bestFit="1" customWidth="1"/>
    <col min="4567" max="4567" width="20" bestFit="1" customWidth="1"/>
    <col min="4568" max="4568" width="17.42578125" customWidth="1"/>
    <col min="4569" max="4569" width="10.7109375" bestFit="1" customWidth="1"/>
    <col min="4570" max="4570" width="11" bestFit="1" customWidth="1"/>
    <col min="4571" max="4571" width="10.5703125" bestFit="1" customWidth="1"/>
    <col min="4572" max="4572" width="15.85546875" bestFit="1" customWidth="1"/>
    <col min="4573" max="4573" width="17.42578125" bestFit="1" customWidth="1"/>
    <col min="4812" max="4813" width="16.28515625" customWidth="1"/>
    <col min="4814" max="4814" width="93.28515625" customWidth="1"/>
    <col min="4815" max="4815" width="26.140625" customWidth="1"/>
    <col min="4816" max="4817" width="11.7109375" bestFit="1" customWidth="1"/>
    <col min="4818" max="4818" width="11.7109375" customWidth="1"/>
    <col min="4819" max="4820" width="17.42578125" bestFit="1" customWidth="1"/>
    <col min="4821" max="4822" width="14" bestFit="1" customWidth="1"/>
    <col min="4823" max="4823" width="20" bestFit="1" customWidth="1"/>
    <col min="4824" max="4824" width="17.42578125" customWidth="1"/>
    <col min="4825" max="4825" width="10.7109375" bestFit="1" customWidth="1"/>
    <col min="4826" max="4826" width="11" bestFit="1" customWidth="1"/>
    <col min="4827" max="4827" width="10.5703125" bestFit="1" customWidth="1"/>
    <col min="4828" max="4828" width="15.85546875" bestFit="1" customWidth="1"/>
    <col min="4829" max="4829" width="17.42578125" bestFit="1" customWidth="1"/>
    <col min="5068" max="5069" width="16.28515625" customWidth="1"/>
    <col min="5070" max="5070" width="93.28515625" customWidth="1"/>
    <col min="5071" max="5071" width="26.140625" customWidth="1"/>
    <col min="5072" max="5073" width="11.7109375" bestFit="1" customWidth="1"/>
    <col min="5074" max="5074" width="11.7109375" customWidth="1"/>
    <col min="5075" max="5076" width="17.42578125" bestFit="1" customWidth="1"/>
    <col min="5077" max="5078" width="14" bestFit="1" customWidth="1"/>
    <col min="5079" max="5079" width="20" bestFit="1" customWidth="1"/>
    <col min="5080" max="5080" width="17.42578125" customWidth="1"/>
    <col min="5081" max="5081" width="10.7109375" bestFit="1" customWidth="1"/>
    <col min="5082" max="5082" width="11" bestFit="1" customWidth="1"/>
    <col min="5083" max="5083" width="10.5703125" bestFit="1" customWidth="1"/>
    <col min="5084" max="5084" width="15.85546875" bestFit="1" customWidth="1"/>
    <col min="5085" max="5085" width="17.42578125" bestFit="1" customWidth="1"/>
    <col min="5324" max="5325" width="16.28515625" customWidth="1"/>
    <col min="5326" max="5326" width="93.28515625" customWidth="1"/>
    <col min="5327" max="5327" width="26.140625" customWidth="1"/>
    <col min="5328" max="5329" width="11.7109375" bestFit="1" customWidth="1"/>
    <col min="5330" max="5330" width="11.7109375" customWidth="1"/>
    <col min="5331" max="5332" width="17.42578125" bestFit="1" customWidth="1"/>
    <col min="5333" max="5334" width="14" bestFit="1" customWidth="1"/>
    <col min="5335" max="5335" width="20" bestFit="1" customWidth="1"/>
    <col min="5336" max="5336" width="17.42578125" customWidth="1"/>
    <col min="5337" max="5337" width="10.7109375" bestFit="1" customWidth="1"/>
    <col min="5338" max="5338" width="11" bestFit="1" customWidth="1"/>
    <col min="5339" max="5339" width="10.5703125" bestFit="1" customWidth="1"/>
    <col min="5340" max="5340" width="15.85546875" bestFit="1" customWidth="1"/>
    <col min="5341" max="5341" width="17.42578125" bestFit="1" customWidth="1"/>
    <col min="5580" max="5581" width="16.28515625" customWidth="1"/>
    <col min="5582" max="5582" width="93.28515625" customWidth="1"/>
    <col min="5583" max="5583" width="26.140625" customWidth="1"/>
    <col min="5584" max="5585" width="11.7109375" bestFit="1" customWidth="1"/>
    <col min="5586" max="5586" width="11.7109375" customWidth="1"/>
    <col min="5587" max="5588" width="17.42578125" bestFit="1" customWidth="1"/>
    <col min="5589" max="5590" width="14" bestFit="1" customWidth="1"/>
    <col min="5591" max="5591" width="20" bestFit="1" customWidth="1"/>
    <col min="5592" max="5592" width="17.42578125" customWidth="1"/>
    <col min="5593" max="5593" width="10.7109375" bestFit="1" customWidth="1"/>
    <col min="5594" max="5594" width="11" bestFit="1" customWidth="1"/>
    <col min="5595" max="5595" width="10.5703125" bestFit="1" customWidth="1"/>
    <col min="5596" max="5596" width="15.85546875" bestFit="1" customWidth="1"/>
    <col min="5597" max="5597" width="17.42578125" bestFit="1" customWidth="1"/>
    <col min="5836" max="5837" width="16.28515625" customWidth="1"/>
    <col min="5838" max="5838" width="93.28515625" customWidth="1"/>
    <col min="5839" max="5839" width="26.140625" customWidth="1"/>
    <col min="5840" max="5841" width="11.7109375" bestFit="1" customWidth="1"/>
    <col min="5842" max="5842" width="11.7109375" customWidth="1"/>
    <col min="5843" max="5844" width="17.42578125" bestFit="1" customWidth="1"/>
    <col min="5845" max="5846" width="14" bestFit="1" customWidth="1"/>
    <col min="5847" max="5847" width="20" bestFit="1" customWidth="1"/>
    <col min="5848" max="5848" width="17.42578125" customWidth="1"/>
    <col min="5849" max="5849" width="10.7109375" bestFit="1" customWidth="1"/>
    <col min="5850" max="5850" width="11" bestFit="1" customWidth="1"/>
    <col min="5851" max="5851" width="10.5703125" bestFit="1" customWidth="1"/>
    <col min="5852" max="5852" width="15.85546875" bestFit="1" customWidth="1"/>
    <col min="5853" max="5853" width="17.42578125" bestFit="1" customWidth="1"/>
    <col min="6092" max="6093" width="16.28515625" customWidth="1"/>
    <col min="6094" max="6094" width="93.28515625" customWidth="1"/>
    <col min="6095" max="6095" width="26.140625" customWidth="1"/>
    <col min="6096" max="6097" width="11.7109375" bestFit="1" customWidth="1"/>
    <col min="6098" max="6098" width="11.7109375" customWidth="1"/>
    <col min="6099" max="6100" width="17.42578125" bestFit="1" customWidth="1"/>
    <col min="6101" max="6102" width="14" bestFit="1" customWidth="1"/>
    <col min="6103" max="6103" width="20" bestFit="1" customWidth="1"/>
    <col min="6104" max="6104" width="17.42578125" customWidth="1"/>
    <col min="6105" max="6105" width="10.7109375" bestFit="1" customWidth="1"/>
    <col min="6106" max="6106" width="11" bestFit="1" customWidth="1"/>
    <col min="6107" max="6107" width="10.5703125" bestFit="1" customWidth="1"/>
    <col min="6108" max="6108" width="15.85546875" bestFit="1" customWidth="1"/>
    <col min="6109" max="6109" width="17.42578125" bestFit="1" customWidth="1"/>
    <col min="6348" max="6349" width="16.28515625" customWidth="1"/>
    <col min="6350" max="6350" width="93.28515625" customWidth="1"/>
    <col min="6351" max="6351" width="26.140625" customWidth="1"/>
    <col min="6352" max="6353" width="11.7109375" bestFit="1" customWidth="1"/>
    <col min="6354" max="6354" width="11.7109375" customWidth="1"/>
    <col min="6355" max="6356" width="17.42578125" bestFit="1" customWidth="1"/>
    <col min="6357" max="6358" width="14" bestFit="1" customWidth="1"/>
    <col min="6359" max="6359" width="20" bestFit="1" customWidth="1"/>
    <col min="6360" max="6360" width="17.42578125" customWidth="1"/>
    <col min="6361" max="6361" width="10.7109375" bestFit="1" customWidth="1"/>
    <col min="6362" max="6362" width="11" bestFit="1" customWidth="1"/>
    <col min="6363" max="6363" width="10.5703125" bestFit="1" customWidth="1"/>
    <col min="6364" max="6364" width="15.85546875" bestFit="1" customWidth="1"/>
    <col min="6365" max="6365" width="17.42578125" bestFit="1" customWidth="1"/>
    <col min="6604" max="6605" width="16.28515625" customWidth="1"/>
    <col min="6606" max="6606" width="93.28515625" customWidth="1"/>
    <col min="6607" max="6607" width="26.140625" customWidth="1"/>
    <col min="6608" max="6609" width="11.7109375" bestFit="1" customWidth="1"/>
    <col min="6610" max="6610" width="11.7109375" customWidth="1"/>
    <col min="6611" max="6612" width="17.42578125" bestFit="1" customWidth="1"/>
    <col min="6613" max="6614" width="14" bestFit="1" customWidth="1"/>
    <col min="6615" max="6615" width="20" bestFit="1" customWidth="1"/>
    <col min="6616" max="6616" width="17.42578125" customWidth="1"/>
    <col min="6617" max="6617" width="10.7109375" bestFit="1" customWidth="1"/>
    <col min="6618" max="6618" width="11" bestFit="1" customWidth="1"/>
    <col min="6619" max="6619" width="10.5703125" bestFit="1" customWidth="1"/>
    <col min="6620" max="6620" width="15.85546875" bestFit="1" customWidth="1"/>
    <col min="6621" max="6621" width="17.42578125" bestFit="1" customWidth="1"/>
    <col min="6860" max="6861" width="16.28515625" customWidth="1"/>
    <col min="6862" max="6862" width="93.28515625" customWidth="1"/>
    <col min="6863" max="6863" width="26.140625" customWidth="1"/>
    <col min="6864" max="6865" width="11.7109375" bestFit="1" customWidth="1"/>
    <col min="6866" max="6866" width="11.7109375" customWidth="1"/>
    <col min="6867" max="6868" width="17.42578125" bestFit="1" customWidth="1"/>
    <col min="6869" max="6870" width="14" bestFit="1" customWidth="1"/>
    <col min="6871" max="6871" width="20" bestFit="1" customWidth="1"/>
    <col min="6872" max="6872" width="17.42578125" customWidth="1"/>
    <col min="6873" max="6873" width="10.7109375" bestFit="1" customWidth="1"/>
    <col min="6874" max="6874" width="11" bestFit="1" customWidth="1"/>
    <col min="6875" max="6875" width="10.5703125" bestFit="1" customWidth="1"/>
    <col min="6876" max="6876" width="15.85546875" bestFit="1" customWidth="1"/>
    <col min="6877" max="6877" width="17.42578125" bestFit="1" customWidth="1"/>
    <col min="7116" max="7117" width="16.28515625" customWidth="1"/>
    <col min="7118" max="7118" width="93.28515625" customWidth="1"/>
    <col min="7119" max="7119" width="26.140625" customWidth="1"/>
    <col min="7120" max="7121" width="11.7109375" bestFit="1" customWidth="1"/>
    <col min="7122" max="7122" width="11.7109375" customWidth="1"/>
    <col min="7123" max="7124" width="17.42578125" bestFit="1" customWidth="1"/>
    <col min="7125" max="7126" width="14" bestFit="1" customWidth="1"/>
    <col min="7127" max="7127" width="20" bestFit="1" customWidth="1"/>
    <col min="7128" max="7128" width="17.42578125" customWidth="1"/>
    <col min="7129" max="7129" width="10.7109375" bestFit="1" customWidth="1"/>
    <col min="7130" max="7130" width="11" bestFit="1" customWidth="1"/>
    <col min="7131" max="7131" width="10.5703125" bestFit="1" customWidth="1"/>
    <col min="7132" max="7132" width="15.85546875" bestFit="1" customWidth="1"/>
    <col min="7133" max="7133" width="17.42578125" bestFit="1" customWidth="1"/>
    <col min="7372" max="7373" width="16.28515625" customWidth="1"/>
    <col min="7374" max="7374" width="93.28515625" customWidth="1"/>
    <col min="7375" max="7375" width="26.140625" customWidth="1"/>
    <col min="7376" max="7377" width="11.7109375" bestFit="1" customWidth="1"/>
    <col min="7378" max="7378" width="11.7109375" customWidth="1"/>
    <col min="7379" max="7380" width="17.42578125" bestFit="1" customWidth="1"/>
    <col min="7381" max="7382" width="14" bestFit="1" customWidth="1"/>
    <col min="7383" max="7383" width="20" bestFit="1" customWidth="1"/>
    <col min="7384" max="7384" width="17.42578125" customWidth="1"/>
    <col min="7385" max="7385" width="10.7109375" bestFit="1" customWidth="1"/>
    <col min="7386" max="7386" width="11" bestFit="1" customWidth="1"/>
    <col min="7387" max="7387" width="10.5703125" bestFit="1" customWidth="1"/>
    <col min="7388" max="7388" width="15.85546875" bestFit="1" customWidth="1"/>
    <col min="7389" max="7389" width="17.42578125" bestFit="1" customWidth="1"/>
    <col min="7628" max="7629" width="16.28515625" customWidth="1"/>
    <col min="7630" max="7630" width="93.28515625" customWidth="1"/>
    <col min="7631" max="7631" width="26.140625" customWidth="1"/>
    <col min="7632" max="7633" width="11.7109375" bestFit="1" customWidth="1"/>
    <col min="7634" max="7634" width="11.7109375" customWidth="1"/>
    <col min="7635" max="7636" width="17.42578125" bestFit="1" customWidth="1"/>
    <col min="7637" max="7638" width="14" bestFit="1" customWidth="1"/>
    <col min="7639" max="7639" width="20" bestFit="1" customWidth="1"/>
    <col min="7640" max="7640" width="17.42578125" customWidth="1"/>
    <col min="7641" max="7641" width="10.7109375" bestFit="1" customWidth="1"/>
    <col min="7642" max="7642" width="11" bestFit="1" customWidth="1"/>
    <col min="7643" max="7643" width="10.5703125" bestFit="1" customWidth="1"/>
    <col min="7644" max="7644" width="15.85546875" bestFit="1" customWidth="1"/>
    <col min="7645" max="7645" width="17.42578125" bestFit="1" customWidth="1"/>
    <col min="7884" max="7885" width="16.28515625" customWidth="1"/>
    <col min="7886" max="7886" width="93.28515625" customWidth="1"/>
    <col min="7887" max="7887" width="26.140625" customWidth="1"/>
    <col min="7888" max="7889" width="11.7109375" bestFit="1" customWidth="1"/>
    <col min="7890" max="7890" width="11.7109375" customWidth="1"/>
    <col min="7891" max="7892" width="17.42578125" bestFit="1" customWidth="1"/>
    <col min="7893" max="7894" width="14" bestFit="1" customWidth="1"/>
    <col min="7895" max="7895" width="20" bestFit="1" customWidth="1"/>
    <col min="7896" max="7896" width="17.42578125" customWidth="1"/>
    <col min="7897" max="7897" width="10.7109375" bestFit="1" customWidth="1"/>
    <col min="7898" max="7898" width="11" bestFit="1" customWidth="1"/>
    <col min="7899" max="7899" width="10.5703125" bestFit="1" customWidth="1"/>
    <col min="7900" max="7900" width="15.85546875" bestFit="1" customWidth="1"/>
    <col min="7901" max="7901" width="17.42578125" bestFit="1" customWidth="1"/>
    <col min="8140" max="8141" width="16.28515625" customWidth="1"/>
    <col min="8142" max="8142" width="93.28515625" customWidth="1"/>
    <col min="8143" max="8143" width="26.140625" customWidth="1"/>
    <col min="8144" max="8145" width="11.7109375" bestFit="1" customWidth="1"/>
    <col min="8146" max="8146" width="11.7109375" customWidth="1"/>
    <col min="8147" max="8148" width="17.42578125" bestFit="1" customWidth="1"/>
    <col min="8149" max="8150" width="14" bestFit="1" customWidth="1"/>
    <col min="8151" max="8151" width="20" bestFit="1" customWidth="1"/>
    <col min="8152" max="8152" width="17.42578125" customWidth="1"/>
    <col min="8153" max="8153" width="10.7109375" bestFit="1" customWidth="1"/>
    <col min="8154" max="8154" width="11" bestFit="1" customWidth="1"/>
    <col min="8155" max="8155" width="10.5703125" bestFit="1" customWidth="1"/>
    <col min="8156" max="8156" width="15.85546875" bestFit="1" customWidth="1"/>
    <col min="8157" max="8157" width="17.42578125" bestFit="1" customWidth="1"/>
    <col min="8396" max="8397" width="16.28515625" customWidth="1"/>
    <col min="8398" max="8398" width="93.28515625" customWidth="1"/>
    <col min="8399" max="8399" width="26.140625" customWidth="1"/>
    <col min="8400" max="8401" width="11.7109375" bestFit="1" customWidth="1"/>
    <col min="8402" max="8402" width="11.7109375" customWidth="1"/>
    <col min="8403" max="8404" width="17.42578125" bestFit="1" customWidth="1"/>
    <col min="8405" max="8406" width="14" bestFit="1" customWidth="1"/>
    <col min="8407" max="8407" width="20" bestFit="1" customWidth="1"/>
    <col min="8408" max="8408" width="17.42578125" customWidth="1"/>
    <col min="8409" max="8409" width="10.7109375" bestFit="1" customWidth="1"/>
    <col min="8410" max="8410" width="11" bestFit="1" customWidth="1"/>
    <col min="8411" max="8411" width="10.5703125" bestFit="1" customWidth="1"/>
    <col min="8412" max="8412" width="15.85546875" bestFit="1" customWidth="1"/>
    <col min="8413" max="8413" width="17.42578125" bestFit="1" customWidth="1"/>
    <col min="8652" max="8653" width="16.28515625" customWidth="1"/>
    <col min="8654" max="8654" width="93.28515625" customWidth="1"/>
    <col min="8655" max="8655" width="26.140625" customWidth="1"/>
    <col min="8656" max="8657" width="11.7109375" bestFit="1" customWidth="1"/>
    <col min="8658" max="8658" width="11.7109375" customWidth="1"/>
    <col min="8659" max="8660" width="17.42578125" bestFit="1" customWidth="1"/>
    <col min="8661" max="8662" width="14" bestFit="1" customWidth="1"/>
    <col min="8663" max="8663" width="20" bestFit="1" customWidth="1"/>
    <col min="8664" max="8664" width="17.42578125" customWidth="1"/>
    <col min="8665" max="8665" width="10.7109375" bestFit="1" customWidth="1"/>
    <col min="8666" max="8666" width="11" bestFit="1" customWidth="1"/>
    <col min="8667" max="8667" width="10.5703125" bestFit="1" customWidth="1"/>
    <col min="8668" max="8668" width="15.85546875" bestFit="1" customWidth="1"/>
    <col min="8669" max="8669" width="17.42578125" bestFit="1" customWidth="1"/>
    <col min="8908" max="8909" width="16.28515625" customWidth="1"/>
    <col min="8910" max="8910" width="93.28515625" customWidth="1"/>
    <col min="8911" max="8911" width="26.140625" customWidth="1"/>
    <col min="8912" max="8913" width="11.7109375" bestFit="1" customWidth="1"/>
    <col min="8914" max="8914" width="11.7109375" customWidth="1"/>
    <col min="8915" max="8916" width="17.42578125" bestFit="1" customWidth="1"/>
    <col min="8917" max="8918" width="14" bestFit="1" customWidth="1"/>
    <col min="8919" max="8919" width="20" bestFit="1" customWidth="1"/>
    <col min="8920" max="8920" width="17.42578125" customWidth="1"/>
    <col min="8921" max="8921" width="10.7109375" bestFit="1" customWidth="1"/>
    <col min="8922" max="8922" width="11" bestFit="1" customWidth="1"/>
    <col min="8923" max="8923" width="10.5703125" bestFit="1" customWidth="1"/>
    <col min="8924" max="8924" width="15.85546875" bestFit="1" customWidth="1"/>
    <col min="8925" max="8925" width="17.42578125" bestFit="1" customWidth="1"/>
    <col min="9164" max="9165" width="16.28515625" customWidth="1"/>
    <col min="9166" max="9166" width="93.28515625" customWidth="1"/>
    <col min="9167" max="9167" width="26.140625" customWidth="1"/>
    <col min="9168" max="9169" width="11.7109375" bestFit="1" customWidth="1"/>
    <col min="9170" max="9170" width="11.7109375" customWidth="1"/>
    <col min="9171" max="9172" width="17.42578125" bestFit="1" customWidth="1"/>
    <col min="9173" max="9174" width="14" bestFit="1" customWidth="1"/>
    <col min="9175" max="9175" width="20" bestFit="1" customWidth="1"/>
    <col min="9176" max="9176" width="17.42578125" customWidth="1"/>
    <col min="9177" max="9177" width="10.7109375" bestFit="1" customWidth="1"/>
    <col min="9178" max="9178" width="11" bestFit="1" customWidth="1"/>
    <col min="9179" max="9179" width="10.5703125" bestFit="1" customWidth="1"/>
    <col min="9180" max="9180" width="15.85546875" bestFit="1" customWidth="1"/>
    <col min="9181" max="9181" width="17.42578125" bestFit="1" customWidth="1"/>
    <col min="9420" max="9421" width="16.28515625" customWidth="1"/>
    <col min="9422" max="9422" width="93.28515625" customWidth="1"/>
    <col min="9423" max="9423" width="26.140625" customWidth="1"/>
    <col min="9424" max="9425" width="11.7109375" bestFit="1" customWidth="1"/>
    <col min="9426" max="9426" width="11.7109375" customWidth="1"/>
    <col min="9427" max="9428" width="17.42578125" bestFit="1" customWidth="1"/>
    <col min="9429" max="9430" width="14" bestFit="1" customWidth="1"/>
    <col min="9431" max="9431" width="20" bestFit="1" customWidth="1"/>
    <col min="9432" max="9432" width="17.42578125" customWidth="1"/>
    <col min="9433" max="9433" width="10.7109375" bestFit="1" customWidth="1"/>
    <col min="9434" max="9434" width="11" bestFit="1" customWidth="1"/>
    <col min="9435" max="9435" width="10.5703125" bestFit="1" customWidth="1"/>
    <col min="9436" max="9436" width="15.85546875" bestFit="1" customWidth="1"/>
    <col min="9437" max="9437" width="17.42578125" bestFit="1" customWidth="1"/>
    <col min="9676" max="9677" width="16.28515625" customWidth="1"/>
    <col min="9678" max="9678" width="93.28515625" customWidth="1"/>
    <col min="9679" max="9679" width="26.140625" customWidth="1"/>
    <col min="9680" max="9681" width="11.7109375" bestFit="1" customWidth="1"/>
    <col min="9682" max="9682" width="11.7109375" customWidth="1"/>
    <col min="9683" max="9684" width="17.42578125" bestFit="1" customWidth="1"/>
    <col min="9685" max="9686" width="14" bestFit="1" customWidth="1"/>
    <col min="9687" max="9687" width="20" bestFit="1" customWidth="1"/>
    <col min="9688" max="9688" width="17.42578125" customWidth="1"/>
    <col min="9689" max="9689" width="10.7109375" bestFit="1" customWidth="1"/>
    <col min="9690" max="9690" width="11" bestFit="1" customWidth="1"/>
    <col min="9691" max="9691" width="10.5703125" bestFit="1" customWidth="1"/>
    <col min="9692" max="9692" width="15.85546875" bestFit="1" customWidth="1"/>
    <col min="9693" max="9693" width="17.42578125" bestFit="1" customWidth="1"/>
    <col min="9932" max="9933" width="16.28515625" customWidth="1"/>
    <col min="9934" max="9934" width="93.28515625" customWidth="1"/>
    <col min="9935" max="9935" width="26.140625" customWidth="1"/>
    <col min="9936" max="9937" width="11.7109375" bestFit="1" customWidth="1"/>
    <col min="9938" max="9938" width="11.7109375" customWidth="1"/>
    <col min="9939" max="9940" width="17.42578125" bestFit="1" customWidth="1"/>
    <col min="9941" max="9942" width="14" bestFit="1" customWidth="1"/>
    <col min="9943" max="9943" width="20" bestFit="1" customWidth="1"/>
    <col min="9944" max="9944" width="17.42578125" customWidth="1"/>
    <col min="9945" max="9945" width="10.7109375" bestFit="1" customWidth="1"/>
    <col min="9946" max="9946" width="11" bestFit="1" customWidth="1"/>
    <col min="9947" max="9947" width="10.5703125" bestFit="1" customWidth="1"/>
    <col min="9948" max="9948" width="15.85546875" bestFit="1" customWidth="1"/>
    <col min="9949" max="9949" width="17.42578125" bestFit="1" customWidth="1"/>
    <col min="10188" max="10189" width="16.28515625" customWidth="1"/>
    <col min="10190" max="10190" width="93.28515625" customWidth="1"/>
    <col min="10191" max="10191" width="26.140625" customWidth="1"/>
    <col min="10192" max="10193" width="11.7109375" bestFit="1" customWidth="1"/>
    <col min="10194" max="10194" width="11.7109375" customWidth="1"/>
    <col min="10195" max="10196" width="17.42578125" bestFit="1" customWidth="1"/>
    <col min="10197" max="10198" width="14" bestFit="1" customWidth="1"/>
    <col min="10199" max="10199" width="20" bestFit="1" customWidth="1"/>
    <col min="10200" max="10200" width="17.42578125" customWidth="1"/>
    <col min="10201" max="10201" width="10.7109375" bestFit="1" customWidth="1"/>
    <col min="10202" max="10202" width="11" bestFit="1" customWidth="1"/>
    <col min="10203" max="10203" width="10.5703125" bestFit="1" customWidth="1"/>
    <col min="10204" max="10204" width="15.85546875" bestFit="1" customWidth="1"/>
    <col min="10205" max="10205" width="17.42578125" bestFit="1" customWidth="1"/>
    <col min="10444" max="10445" width="16.28515625" customWidth="1"/>
    <col min="10446" max="10446" width="93.28515625" customWidth="1"/>
    <col min="10447" max="10447" width="26.140625" customWidth="1"/>
    <col min="10448" max="10449" width="11.7109375" bestFit="1" customWidth="1"/>
    <col min="10450" max="10450" width="11.7109375" customWidth="1"/>
    <col min="10451" max="10452" width="17.42578125" bestFit="1" customWidth="1"/>
    <col min="10453" max="10454" width="14" bestFit="1" customWidth="1"/>
    <col min="10455" max="10455" width="20" bestFit="1" customWidth="1"/>
    <col min="10456" max="10456" width="17.42578125" customWidth="1"/>
    <col min="10457" max="10457" width="10.7109375" bestFit="1" customWidth="1"/>
    <col min="10458" max="10458" width="11" bestFit="1" customWidth="1"/>
    <col min="10459" max="10459" width="10.5703125" bestFit="1" customWidth="1"/>
    <col min="10460" max="10460" width="15.85546875" bestFit="1" customWidth="1"/>
    <col min="10461" max="10461" width="17.42578125" bestFit="1" customWidth="1"/>
    <col min="10700" max="10701" width="16.28515625" customWidth="1"/>
    <col min="10702" max="10702" width="93.28515625" customWidth="1"/>
    <col min="10703" max="10703" width="26.140625" customWidth="1"/>
    <col min="10704" max="10705" width="11.7109375" bestFit="1" customWidth="1"/>
    <col min="10706" max="10706" width="11.7109375" customWidth="1"/>
    <col min="10707" max="10708" width="17.42578125" bestFit="1" customWidth="1"/>
    <col min="10709" max="10710" width="14" bestFit="1" customWidth="1"/>
    <col min="10711" max="10711" width="20" bestFit="1" customWidth="1"/>
    <col min="10712" max="10712" width="17.42578125" customWidth="1"/>
    <col min="10713" max="10713" width="10.7109375" bestFit="1" customWidth="1"/>
    <col min="10714" max="10714" width="11" bestFit="1" customWidth="1"/>
    <col min="10715" max="10715" width="10.5703125" bestFit="1" customWidth="1"/>
    <col min="10716" max="10716" width="15.85546875" bestFit="1" customWidth="1"/>
    <col min="10717" max="10717" width="17.42578125" bestFit="1" customWidth="1"/>
    <col min="10956" max="10957" width="16.28515625" customWidth="1"/>
    <col min="10958" max="10958" width="93.28515625" customWidth="1"/>
    <col min="10959" max="10959" width="26.140625" customWidth="1"/>
    <col min="10960" max="10961" width="11.7109375" bestFit="1" customWidth="1"/>
    <col min="10962" max="10962" width="11.7109375" customWidth="1"/>
    <col min="10963" max="10964" width="17.42578125" bestFit="1" customWidth="1"/>
    <col min="10965" max="10966" width="14" bestFit="1" customWidth="1"/>
    <col min="10967" max="10967" width="20" bestFit="1" customWidth="1"/>
    <col min="10968" max="10968" width="17.42578125" customWidth="1"/>
    <col min="10969" max="10969" width="10.7109375" bestFit="1" customWidth="1"/>
    <col min="10970" max="10970" width="11" bestFit="1" customWidth="1"/>
    <col min="10971" max="10971" width="10.5703125" bestFit="1" customWidth="1"/>
    <col min="10972" max="10972" width="15.85546875" bestFit="1" customWidth="1"/>
    <col min="10973" max="10973" width="17.42578125" bestFit="1" customWidth="1"/>
    <col min="11212" max="11213" width="16.28515625" customWidth="1"/>
    <col min="11214" max="11214" width="93.28515625" customWidth="1"/>
    <col min="11215" max="11215" width="26.140625" customWidth="1"/>
    <col min="11216" max="11217" width="11.7109375" bestFit="1" customWidth="1"/>
    <col min="11218" max="11218" width="11.7109375" customWidth="1"/>
    <col min="11219" max="11220" width="17.42578125" bestFit="1" customWidth="1"/>
    <col min="11221" max="11222" width="14" bestFit="1" customWidth="1"/>
    <col min="11223" max="11223" width="20" bestFit="1" customWidth="1"/>
    <col min="11224" max="11224" width="17.42578125" customWidth="1"/>
    <col min="11225" max="11225" width="10.7109375" bestFit="1" customWidth="1"/>
    <col min="11226" max="11226" width="11" bestFit="1" customWidth="1"/>
    <col min="11227" max="11227" width="10.5703125" bestFit="1" customWidth="1"/>
    <col min="11228" max="11228" width="15.85546875" bestFit="1" customWidth="1"/>
    <col min="11229" max="11229" width="17.42578125" bestFit="1" customWidth="1"/>
    <col min="11468" max="11469" width="16.28515625" customWidth="1"/>
    <col min="11470" max="11470" width="93.28515625" customWidth="1"/>
    <col min="11471" max="11471" width="26.140625" customWidth="1"/>
    <col min="11472" max="11473" width="11.7109375" bestFit="1" customWidth="1"/>
    <col min="11474" max="11474" width="11.7109375" customWidth="1"/>
    <col min="11475" max="11476" width="17.42578125" bestFit="1" customWidth="1"/>
    <col min="11477" max="11478" width="14" bestFit="1" customWidth="1"/>
    <col min="11479" max="11479" width="20" bestFit="1" customWidth="1"/>
    <col min="11480" max="11480" width="17.42578125" customWidth="1"/>
    <col min="11481" max="11481" width="10.7109375" bestFit="1" customWidth="1"/>
    <col min="11482" max="11482" width="11" bestFit="1" customWidth="1"/>
    <col min="11483" max="11483" width="10.5703125" bestFit="1" customWidth="1"/>
    <col min="11484" max="11484" width="15.85546875" bestFit="1" customWidth="1"/>
    <col min="11485" max="11485" width="17.42578125" bestFit="1" customWidth="1"/>
    <col min="11724" max="11725" width="16.28515625" customWidth="1"/>
    <col min="11726" max="11726" width="93.28515625" customWidth="1"/>
    <col min="11727" max="11727" width="26.140625" customWidth="1"/>
    <col min="11728" max="11729" width="11.7109375" bestFit="1" customWidth="1"/>
    <col min="11730" max="11730" width="11.7109375" customWidth="1"/>
    <col min="11731" max="11732" width="17.42578125" bestFit="1" customWidth="1"/>
    <col min="11733" max="11734" width="14" bestFit="1" customWidth="1"/>
    <col min="11735" max="11735" width="20" bestFit="1" customWidth="1"/>
    <col min="11736" max="11736" width="17.42578125" customWidth="1"/>
    <col min="11737" max="11737" width="10.7109375" bestFit="1" customWidth="1"/>
    <col min="11738" max="11738" width="11" bestFit="1" customWidth="1"/>
    <col min="11739" max="11739" width="10.5703125" bestFit="1" customWidth="1"/>
    <col min="11740" max="11740" width="15.85546875" bestFit="1" customWidth="1"/>
    <col min="11741" max="11741" width="17.42578125" bestFit="1" customWidth="1"/>
    <col min="11980" max="11981" width="16.28515625" customWidth="1"/>
    <col min="11982" max="11982" width="93.28515625" customWidth="1"/>
    <col min="11983" max="11983" width="26.140625" customWidth="1"/>
    <col min="11984" max="11985" width="11.7109375" bestFit="1" customWidth="1"/>
    <col min="11986" max="11986" width="11.7109375" customWidth="1"/>
    <col min="11987" max="11988" width="17.42578125" bestFit="1" customWidth="1"/>
    <col min="11989" max="11990" width="14" bestFit="1" customWidth="1"/>
    <col min="11991" max="11991" width="20" bestFit="1" customWidth="1"/>
    <col min="11992" max="11992" width="17.42578125" customWidth="1"/>
    <col min="11993" max="11993" width="10.7109375" bestFit="1" customWidth="1"/>
    <col min="11994" max="11994" width="11" bestFit="1" customWidth="1"/>
    <col min="11995" max="11995" width="10.5703125" bestFit="1" customWidth="1"/>
    <col min="11996" max="11996" width="15.85546875" bestFit="1" customWidth="1"/>
    <col min="11997" max="11997" width="17.42578125" bestFit="1" customWidth="1"/>
    <col min="12236" max="12237" width="16.28515625" customWidth="1"/>
    <col min="12238" max="12238" width="93.28515625" customWidth="1"/>
    <col min="12239" max="12239" width="26.140625" customWidth="1"/>
    <col min="12240" max="12241" width="11.7109375" bestFit="1" customWidth="1"/>
    <col min="12242" max="12242" width="11.7109375" customWidth="1"/>
    <col min="12243" max="12244" width="17.42578125" bestFit="1" customWidth="1"/>
    <col min="12245" max="12246" width="14" bestFit="1" customWidth="1"/>
    <col min="12247" max="12247" width="20" bestFit="1" customWidth="1"/>
    <col min="12248" max="12248" width="17.42578125" customWidth="1"/>
    <col min="12249" max="12249" width="10.7109375" bestFit="1" customWidth="1"/>
    <col min="12250" max="12250" width="11" bestFit="1" customWidth="1"/>
    <col min="12251" max="12251" width="10.5703125" bestFit="1" customWidth="1"/>
    <col min="12252" max="12252" width="15.85546875" bestFit="1" customWidth="1"/>
    <col min="12253" max="12253" width="17.42578125" bestFit="1" customWidth="1"/>
    <col min="12492" max="12493" width="16.28515625" customWidth="1"/>
    <col min="12494" max="12494" width="93.28515625" customWidth="1"/>
    <col min="12495" max="12495" width="26.140625" customWidth="1"/>
    <col min="12496" max="12497" width="11.7109375" bestFit="1" customWidth="1"/>
    <col min="12498" max="12498" width="11.7109375" customWidth="1"/>
    <col min="12499" max="12500" width="17.42578125" bestFit="1" customWidth="1"/>
    <col min="12501" max="12502" width="14" bestFit="1" customWidth="1"/>
    <col min="12503" max="12503" width="20" bestFit="1" customWidth="1"/>
    <col min="12504" max="12504" width="17.42578125" customWidth="1"/>
    <col min="12505" max="12505" width="10.7109375" bestFit="1" customWidth="1"/>
    <col min="12506" max="12506" width="11" bestFit="1" customWidth="1"/>
    <col min="12507" max="12507" width="10.5703125" bestFit="1" customWidth="1"/>
    <col min="12508" max="12508" width="15.85546875" bestFit="1" customWidth="1"/>
    <col min="12509" max="12509" width="17.42578125" bestFit="1" customWidth="1"/>
    <col min="12748" max="12749" width="16.28515625" customWidth="1"/>
    <col min="12750" max="12750" width="93.28515625" customWidth="1"/>
    <col min="12751" max="12751" width="26.140625" customWidth="1"/>
    <col min="12752" max="12753" width="11.7109375" bestFit="1" customWidth="1"/>
    <col min="12754" max="12754" width="11.7109375" customWidth="1"/>
    <col min="12755" max="12756" width="17.42578125" bestFit="1" customWidth="1"/>
    <col min="12757" max="12758" width="14" bestFit="1" customWidth="1"/>
    <col min="12759" max="12759" width="20" bestFit="1" customWidth="1"/>
    <col min="12760" max="12760" width="17.42578125" customWidth="1"/>
    <col min="12761" max="12761" width="10.7109375" bestFit="1" customWidth="1"/>
    <col min="12762" max="12762" width="11" bestFit="1" customWidth="1"/>
    <col min="12763" max="12763" width="10.5703125" bestFit="1" customWidth="1"/>
    <col min="12764" max="12764" width="15.85546875" bestFit="1" customWidth="1"/>
    <col min="12765" max="12765" width="17.42578125" bestFit="1" customWidth="1"/>
    <col min="13004" max="13005" width="16.28515625" customWidth="1"/>
    <col min="13006" max="13006" width="93.28515625" customWidth="1"/>
    <col min="13007" max="13007" width="26.140625" customWidth="1"/>
    <col min="13008" max="13009" width="11.7109375" bestFit="1" customWidth="1"/>
    <col min="13010" max="13010" width="11.7109375" customWidth="1"/>
    <col min="13011" max="13012" width="17.42578125" bestFit="1" customWidth="1"/>
    <col min="13013" max="13014" width="14" bestFit="1" customWidth="1"/>
    <col min="13015" max="13015" width="20" bestFit="1" customWidth="1"/>
    <col min="13016" max="13016" width="17.42578125" customWidth="1"/>
    <col min="13017" max="13017" width="10.7109375" bestFit="1" customWidth="1"/>
    <col min="13018" max="13018" width="11" bestFit="1" customWidth="1"/>
    <col min="13019" max="13019" width="10.5703125" bestFit="1" customWidth="1"/>
    <col min="13020" max="13020" width="15.85546875" bestFit="1" customWidth="1"/>
    <col min="13021" max="13021" width="17.42578125" bestFit="1" customWidth="1"/>
    <col min="13260" max="13261" width="16.28515625" customWidth="1"/>
    <col min="13262" max="13262" width="93.28515625" customWidth="1"/>
    <col min="13263" max="13263" width="26.140625" customWidth="1"/>
    <col min="13264" max="13265" width="11.7109375" bestFit="1" customWidth="1"/>
    <col min="13266" max="13266" width="11.7109375" customWidth="1"/>
    <col min="13267" max="13268" width="17.42578125" bestFit="1" customWidth="1"/>
    <col min="13269" max="13270" width="14" bestFit="1" customWidth="1"/>
    <col min="13271" max="13271" width="20" bestFit="1" customWidth="1"/>
    <col min="13272" max="13272" width="17.42578125" customWidth="1"/>
    <col min="13273" max="13273" width="10.7109375" bestFit="1" customWidth="1"/>
    <col min="13274" max="13274" width="11" bestFit="1" customWidth="1"/>
    <col min="13275" max="13275" width="10.5703125" bestFit="1" customWidth="1"/>
    <col min="13276" max="13276" width="15.85546875" bestFit="1" customWidth="1"/>
    <col min="13277" max="13277" width="17.42578125" bestFit="1" customWidth="1"/>
    <col min="13516" max="13517" width="16.28515625" customWidth="1"/>
    <col min="13518" max="13518" width="93.28515625" customWidth="1"/>
    <col min="13519" max="13519" width="26.140625" customWidth="1"/>
    <col min="13520" max="13521" width="11.7109375" bestFit="1" customWidth="1"/>
    <col min="13522" max="13522" width="11.7109375" customWidth="1"/>
    <col min="13523" max="13524" width="17.42578125" bestFit="1" customWidth="1"/>
    <col min="13525" max="13526" width="14" bestFit="1" customWidth="1"/>
    <col min="13527" max="13527" width="20" bestFit="1" customWidth="1"/>
    <col min="13528" max="13528" width="17.42578125" customWidth="1"/>
    <col min="13529" max="13529" width="10.7109375" bestFit="1" customWidth="1"/>
    <col min="13530" max="13530" width="11" bestFit="1" customWidth="1"/>
    <col min="13531" max="13531" width="10.5703125" bestFit="1" customWidth="1"/>
    <col min="13532" max="13532" width="15.85546875" bestFit="1" customWidth="1"/>
    <col min="13533" max="13533" width="17.42578125" bestFit="1" customWidth="1"/>
    <col min="13772" max="13773" width="16.28515625" customWidth="1"/>
    <col min="13774" max="13774" width="93.28515625" customWidth="1"/>
    <col min="13775" max="13775" width="26.140625" customWidth="1"/>
    <col min="13776" max="13777" width="11.7109375" bestFit="1" customWidth="1"/>
    <col min="13778" max="13778" width="11.7109375" customWidth="1"/>
    <col min="13779" max="13780" width="17.42578125" bestFit="1" customWidth="1"/>
    <col min="13781" max="13782" width="14" bestFit="1" customWidth="1"/>
    <col min="13783" max="13783" width="20" bestFit="1" customWidth="1"/>
    <col min="13784" max="13784" width="17.42578125" customWidth="1"/>
    <col min="13785" max="13785" width="10.7109375" bestFit="1" customWidth="1"/>
    <col min="13786" max="13786" width="11" bestFit="1" customWidth="1"/>
    <col min="13787" max="13787" width="10.5703125" bestFit="1" customWidth="1"/>
    <col min="13788" max="13788" width="15.85546875" bestFit="1" customWidth="1"/>
    <col min="13789" max="13789" width="17.42578125" bestFit="1" customWidth="1"/>
    <col min="14028" max="14029" width="16.28515625" customWidth="1"/>
    <col min="14030" max="14030" width="93.28515625" customWidth="1"/>
    <col min="14031" max="14031" width="26.140625" customWidth="1"/>
    <col min="14032" max="14033" width="11.7109375" bestFit="1" customWidth="1"/>
    <col min="14034" max="14034" width="11.7109375" customWidth="1"/>
    <col min="14035" max="14036" width="17.42578125" bestFit="1" customWidth="1"/>
    <col min="14037" max="14038" width="14" bestFit="1" customWidth="1"/>
    <col min="14039" max="14039" width="20" bestFit="1" customWidth="1"/>
    <col min="14040" max="14040" width="17.42578125" customWidth="1"/>
    <col min="14041" max="14041" width="10.7109375" bestFit="1" customWidth="1"/>
    <col min="14042" max="14042" width="11" bestFit="1" customWidth="1"/>
    <col min="14043" max="14043" width="10.5703125" bestFit="1" customWidth="1"/>
    <col min="14044" max="14044" width="15.85546875" bestFit="1" customWidth="1"/>
    <col min="14045" max="14045" width="17.42578125" bestFit="1" customWidth="1"/>
    <col min="14284" max="14285" width="16.28515625" customWidth="1"/>
    <col min="14286" max="14286" width="93.28515625" customWidth="1"/>
    <col min="14287" max="14287" width="26.140625" customWidth="1"/>
    <col min="14288" max="14289" width="11.7109375" bestFit="1" customWidth="1"/>
    <col min="14290" max="14290" width="11.7109375" customWidth="1"/>
    <col min="14291" max="14292" width="17.42578125" bestFit="1" customWidth="1"/>
    <col min="14293" max="14294" width="14" bestFit="1" customWidth="1"/>
    <col min="14295" max="14295" width="20" bestFit="1" customWidth="1"/>
    <col min="14296" max="14296" width="17.42578125" customWidth="1"/>
    <col min="14297" max="14297" width="10.7109375" bestFit="1" customWidth="1"/>
    <col min="14298" max="14298" width="11" bestFit="1" customWidth="1"/>
    <col min="14299" max="14299" width="10.5703125" bestFit="1" customWidth="1"/>
    <col min="14300" max="14300" width="15.85546875" bestFit="1" customWidth="1"/>
    <col min="14301" max="14301" width="17.42578125" bestFit="1" customWidth="1"/>
    <col min="14540" max="14541" width="16.28515625" customWidth="1"/>
    <col min="14542" max="14542" width="93.28515625" customWidth="1"/>
    <col min="14543" max="14543" width="26.140625" customWidth="1"/>
    <col min="14544" max="14545" width="11.7109375" bestFit="1" customWidth="1"/>
    <col min="14546" max="14546" width="11.7109375" customWidth="1"/>
    <col min="14547" max="14548" width="17.42578125" bestFit="1" customWidth="1"/>
    <col min="14549" max="14550" width="14" bestFit="1" customWidth="1"/>
    <col min="14551" max="14551" width="20" bestFit="1" customWidth="1"/>
    <col min="14552" max="14552" width="17.42578125" customWidth="1"/>
    <col min="14553" max="14553" width="10.7109375" bestFit="1" customWidth="1"/>
    <col min="14554" max="14554" width="11" bestFit="1" customWidth="1"/>
    <col min="14555" max="14555" width="10.5703125" bestFit="1" customWidth="1"/>
    <col min="14556" max="14556" width="15.85546875" bestFit="1" customWidth="1"/>
    <col min="14557" max="14557" width="17.42578125" bestFit="1" customWidth="1"/>
    <col min="14796" max="14797" width="16.28515625" customWidth="1"/>
    <col min="14798" max="14798" width="93.28515625" customWidth="1"/>
    <col min="14799" max="14799" width="26.140625" customWidth="1"/>
    <col min="14800" max="14801" width="11.7109375" bestFit="1" customWidth="1"/>
    <col min="14802" max="14802" width="11.7109375" customWidth="1"/>
    <col min="14803" max="14804" width="17.42578125" bestFit="1" customWidth="1"/>
    <col min="14805" max="14806" width="14" bestFit="1" customWidth="1"/>
    <col min="14807" max="14807" width="20" bestFit="1" customWidth="1"/>
    <col min="14808" max="14808" width="17.42578125" customWidth="1"/>
    <col min="14809" max="14809" width="10.7109375" bestFit="1" customWidth="1"/>
    <col min="14810" max="14810" width="11" bestFit="1" customWidth="1"/>
    <col min="14811" max="14811" width="10.5703125" bestFit="1" customWidth="1"/>
    <col min="14812" max="14812" width="15.85546875" bestFit="1" customWidth="1"/>
    <col min="14813" max="14813" width="17.42578125" bestFit="1" customWidth="1"/>
    <col min="15052" max="15053" width="16.28515625" customWidth="1"/>
    <col min="15054" max="15054" width="93.28515625" customWidth="1"/>
    <col min="15055" max="15055" width="26.140625" customWidth="1"/>
    <col min="15056" max="15057" width="11.7109375" bestFit="1" customWidth="1"/>
    <col min="15058" max="15058" width="11.7109375" customWidth="1"/>
    <col min="15059" max="15060" width="17.42578125" bestFit="1" customWidth="1"/>
    <col min="15061" max="15062" width="14" bestFit="1" customWidth="1"/>
    <col min="15063" max="15063" width="20" bestFit="1" customWidth="1"/>
    <col min="15064" max="15064" width="17.42578125" customWidth="1"/>
    <col min="15065" max="15065" width="10.7109375" bestFit="1" customWidth="1"/>
    <col min="15066" max="15066" width="11" bestFit="1" customWidth="1"/>
    <col min="15067" max="15067" width="10.5703125" bestFit="1" customWidth="1"/>
    <col min="15068" max="15068" width="15.85546875" bestFit="1" customWidth="1"/>
    <col min="15069" max="15069" width="17.42578125" bestFit="1" customWidth="1"/>
    <col min="15308" max="15309" width="16.28515625" customWidth="1"/>
    <col min="15310" max="15310" width="93.28515625" customWidth="1"/>
    <col min="15311" max="15311" width="26.140625" customWidth="1"/>
    <col min="15312" max="15313" width="11.7109375" bestFit="1" customWidth="1"/>
    <col min="15314" max="15314" width="11.7109375" customWidth="1"/>
    <col min="15315" max="15316" width="17.42578125" bestFit="1" customWidth="1"/>
    <col min="15317" max="15318" width="14" bestFit="1" customWidth="1"/>
    <col min="15319" max="15319" width="20" bestFit="1" customWidth="1"/>
    <col min="15320" max="15320" width="17.42578125" customWidth="1"/>
    <col min="15321" max="15321" width="10.7109375" bestFit="1" customWidth="1"/>
    <col min="15322" max="15322" width="11" bestFit="1" customWidth="1"/>
    <col min="15323" max="15323" width="10.5703125" bestFit="1" customWidth="1"/>
    <col min="15324" max="15324" width="15.85546875" bestFit="1" customWidth="1"/>
    <col min="15325" max="15325" width="17.42578125" bestFit="1" customWidth="1"/>
    <col min="15564" max="15565" width="16.28515625" customWidth="1"/>
    <col min="15566" max="15566" width="93.28515625" customWidth="1"/>
    <col min="15567" max="15567" width="26.140625" customWidth="1"/>
    <col min="15568" max="15569" width="11.7109375" bestFit="1" customWidth="1"/>
    <col min="15570" max="15570" width="11.7109375" customWidth="1"/>
    <col min="15571" max="15572" width="17.42578125" bestFit="1" customWidth="1"/>
    <col min="15573" max="15574" width="14" bestFit="1" customWidth="1"/>
    <col min="15575" max="15575" width="20" bestFit="1" customWidth="1"/>
    <col min="15576" max="15576" width="17.42578125" customWidth="1"/>
    <col min="15577" max="15577" width="10.7109375" bestFit="1" customWidth="1"/>
    <col min="15578" max="15578" width="11" bestFit="1" customWidth="1"/>
    <col min="15579" max="15579" width="10.5703125" bestFit="1" customWidth="1"/>
    <col min="15580" max="15580" width="15.85546875" bestFit="1" customWidth="1"/>
    <col min="15581" max="15581" width="17.42578125" bestFit="1" customWidth="1"/>
    <col min="15820" max="15821" width="16.28515625" customWidth="1"/>
    <col min="15822" max="15822" width="93.28515625" customWidth="1"/>
    <col min="15823" max="15823" width="26.140625" customWidth="1"/>
    <col min="15824" max="15825" width="11.7109375" bestFit="1" customWidth="1"/>
    <col min="15826" max="15826" width="11.7109375" customWidth="1"/>
    <col min="15827" max="15828" width="17.42578125" bestFit="1" customWidth="1"/>
    <col min="15829" max="15830" width="14" bestFit="1" customWidth="1"/>
    <col min="15831" max="15831" width="20" bestFit="1" customWidth="1"/>
    <col min="15832" max="15832" width="17.42578125" customWidth="1"/>
    <col min="15833" max="15833" width="10.7109375" bestFit="1" customWidth="1"/>
    <col min="15834" max="15834" width="11" bestFit="1" customWidth="1"/>
    <col min="15835" max="15835" width="10.5703125" bestFit="1" customWidth="1"/>
    <col min="15836" max="15836" width="15.85546875" bestFit="1" customWidth="1"/>
    <col min="15837" max="15837" width="17.42578125" bestFit="1" customWidth="1"/>
    <col min="16076" max="16077" width="16.28515625" customWidth="1"/>
    <col min="16078" max="16078" width="93.28515625" customWidth="1"/>
    <col min="16079" max="16079" width="26.140625" customWidth="1"/>
    <col min="16080" max="16081" width="11.7109375" bestFit="1" customWidth="1"/>
    <col min="16082" max="16082" width="11.7109375" customWidth="1"/>
    <col min="16083" max="16084" width="17.42578125" bestFit="1" customWidth="1"/>
    <col min="16085" max="16086" width="14" bestFit="1" customWidth="1"/>
    <col min="16087" max="16087" width="20" bestFit="1" customWidth="1"/>
    <col min="16088" max="16088" width="17.42578125" customWidth="1"/>
    <col min="16089" max="16089" width="10.7109375" bestFit="1" customWidth="1"/>
    <col min="16090" max="16090" width="11" bestFit="1" customWidth="1"/>
    <col min="16091" max="16091" width="10.5703125" bestFit="1" customWidth="1"/>
    <col min="16092" max="16092" width="15.85546875" bestFit="1" customWidth="1"/>
    <col min="16093" max="16093" width="17.42578125" bestFit="1" customWidth="1"/>
  </cols>
  <sheetData>
    <row r="1" spans="1:10" ht="30.2" customHeight="1" x14ac:dyDescent="0.25">
      <c r="B1" s="281" t="str">
        <f>IF(dms_MultiYear_ResponseFlag="Yes","REGULATORY REPORTING STATEMENT - HISTORICAL INFORMATION",INDEX(dms_Worksheet_List,MATCH(dms_Model,dms_Model_List)))</f>
        <v>REGULATORY REPORTING STATEMENT</v>
      </c>
      <c r="C1" s="281"/>
      <c r="D1" s="977"/>
      <c r="E1" s="977"/>
      <c r="F1" s="977"/>
      <c r="G1" s="977"/>
      <c r="H1" s="1342" t="s">
        <v>1162</v>
      </c>
      <c r="I1" s="1343" t="s">
        <v>1163</v>
      </c>
      <c r="J1" s="936"/>
    </row>
    <row r="2" spans="1:10" ht="30.2" customHeight="1" x14ac:dyDescent="0.25">
      <c r="B2" s="937" t="str">
        <f>INDEX(dms_TradingNameFull_List,MATCH(dms_TradingName,dms_TradingName_List))</f>
        <v>APT Petroleum Pipelines Limited t/a Roma to Brisbane Pipeline</v>
      </c>
      <c r="C2" s="937"/>
      <c r="D2" s="977"/>
      <c r="E2" s="977"/>
      <c r="F2" s="977"/>
      <c r="G2" s="977"/>
      <c r="H2" s="1344" t="s">
        <v>1164</v>
      </c>
      <c r="I2" s="1345" t="s">
        <v>647</v>
      </c>
      <c r="J2" s="936"/>
    </row>
    <row r="3" spans="1:10" ht="30.2" customHeight="1" x14ac:dyDescent="0.25">
      <c r="B3" s="937" t="str">
        <f ca="1">dms_Header_Span</f>
        <v>Data Span 2025-26 - 2031-32</v>
      </c>
      <c r="C3" s="937"/>
      <c r="D3" s="977"/>
      <c r="E3" s="977"/>
      <c r="F3" s="977"/>
      <c r="G3" s="977"/>
      <c r="H3" s="1346" t="s">
        <v>1165</v>
      </c>
      <c r="I3" s="1347" t="s">
        <v>830</v>
      </c>
      <c r="J3" s="938"/>
    </row>
    <row r="4" spans="1:10" ht="30.2" customHeight="1" x14ac:dyDescent="0.25">
      <c r="B4" s="263" t="s">
        <v>1056</v>
      </c>
      <c r="C4" s="263"/>
      <c r="D4" s="976"/>
      <c r="E4" s="976"/>
      <c r="F4" s="976"/>
      <c r="G4" s="976"/>
      <c r="H4" s="1348" t="s">
        <v>1166</v>
      </c>
      <c r="I4" s="1349" t="s">
        <v>1167</v>
      </c>
      <c r="J4" s="263"/>
    </row>
    <row r="5" spans="1:10" ht="15.75" thickBot="1" x14ac:dyDescent="0.3"/>
    <row r="6" spans="1:10" s="972" customFormat="1" ht="24" customHeight="1" thickBot="1" x14ac:dyDescent="0.25">
      <c r="B6" s="264" t="s">
        <v>1000</v>
      </c>
      <c r="C6" s="264"/>
      <c r="D6" s="975"/>
      <c r="E6" s="975"/>
      <c r="F6" s="975"/>
      <c r="G6" s="975"/>
      <c r="H6" s="975"/>
      <c r="I6" s="975"/>
      <c r="J6" s="975"/>
    </row>
    <row r="7" spans="1:10" s="42" customFormat="1" ht="40.5" customHeight="1" outlineLevel="2" x14ac:dyDescent="0.25">
      <c r="A7" s="958"/>
      <c r="B7"/>
      <c r="C7"/>
      <c r="D7" s="1436" t="str">
        <f ca="1">CONCATENATE("EXPENDITURE
Forecast ($0's real, ",dms_DollarReal,")")</f>
        <v>EXPENDITURE
Forecast ($0's real, June 2027)</v>
      </c>
      <c r="E7" s="1437"/>
      <c r="F7" s="1437"/>
      <c r="G7" s="1437"/>
      <c r="H7" s="1437"/>
      <c r="I7" s="1437"/>
      <c r="J7" s="1438"/>
    </row>
    <row r="8" spans="1:10" s="42" customFormat="1" ht="15.75" customHeight="1" outlineLevel="2" thickBot="1" x14ac:dyDescent="0.3">
      <c r="A8" s="958"/>
      <c r="B8" s="146"/>
      <c r="C8" s="943"/>
      <c r="D8" s="1027" t="str">
        <f ca="1">CRCP_y4</f>
        <v>2025-26</v>
      </c>
      <c r="E8" s="1013" t="str">
        <f ca="1">CRCP_y5</f>
        <v>2026-27</v>
      </c>
      <c r="F8" s="1013" t="str">
        <f>FRCP_y1</f>
        <v>2027-28</v>
      </c>
      <c r="G8" s="1013" t="str">
        <f ca="1">FRCP_y2</f>
        <v>2028-29</v>
      </c>
      <c r="H8" s="1013" t="str">
        <f ca="1">FRCP_y3</f>
        <v>2029-30</v>
      </c>
      <c r="I8" s="1013" t="str">
        <f ca="1">FRCP_y4</f>
        <v>2030-31</v>
      </c>
      <c r="J8" s="1028" t="str">
        <f ca="1">FRCP_y5</f>
        <v>2031-32</v>
      </c>
    </row>
    <row r="9" spans="1:10" ht="15.75" customHeight="1" outlineLevel="2" x14ac:dyDescent="0.25">
      <c r="B9" s="1464" t="s">
        <v>1052</v>
      </c>
      <c r="C9" s="1465"/>
      <c r="D9" s="988"/>
      <c r="E9" s="885"/>
      <c r="F9" s="885"/>
      <c r="G9" s="885"/>
      <c r="H9" s="885"/>
      <c r="I9" s="885"/>
      <c r="J9" s="886"/>
    </row>
    <row r="10" spans="1:10" ht="15.75" customHeight="1" outlineLevel="2" x14ac:dyDescent="0.25">
      <c r="B10" s="1462" t="s">
        <v>1053</v>
      </c>
      <c r="C10" s="1463"/>
      <c r="D10" s="1255"/>
      <c r="E10" s="862"/>
      <c r="F10" s="862"/>
      <c r="G10" s="862"/>
      <c r="H10" s="862"/>
      <c r="I10" s="862"/>
      <c r="J10" s="864"/>
    </row>
    <row r="11" spans="1:10" ht="15.75" customHeight="1" outlineLevel="2" x14ac:dyDescent="0.25">
      <c r="B11" s="1462" t="s">
        <v>1054</v>
      </c>
      <c r="C11" s="1463"/>
      <c r="D11" s="1255"/>
      <c r="E11" s="862"/>
      <c r="F11" s="862"/>
      <c r="G11" s="862"/>
      <c r="H11" s="862"/>
      <c r="I11" s="862"/>
      <c r="J11" s="864"/>
    </row>
    <row r="12" spans="1:10" ht="15.75" customHeight="1" outlineLevel="2" x14ac:dyDescent="0.25">
      <c r="B12" s="1462" t="s">
        <v>966</v>
      </c>
      <c r="C12" s="1463"/>
      <c r="D12" s="1255"/>
      <c r="E12" s="862"/>
      <c r="F12" s="862"/>
      <c r="G12" s="862"/>
      <c r="H12" s="862"/>
      <c r="I12" s="862"/>
      <c r="J12" s="864"/>
    </row>
    <row r="13" spans="1:10" ht="15.75" customHeight="1" outlineLevel="2" x14ac:dyDescent="0.25">
      <c r="B13" s="1462" t="s">
        <v>967</v>
      </c>
      <c r="C13" s="1463"/>
      <c r="D13" s="1302"/>
      <c r="E13" s="1298"/>
      <c r="F13" s="1298"/>
      <c r="G13" s="1298"/>
      <c r="H13" s="1298"/>
      <c r="I13" s="1298"/>
      <c r="J13" s="1299"/>
    </row>
    <row r="14" spans="1:10" ht="15.75" outlineLevel="2" thickBot="1" x14ac:dyDescent="0.3">
      <c r="B14" s="1466" t="s">
        <v>1043</v>
      </c>
      <c r="C14" s="1467"/>
      <c r="D14" s="1303"/>
      <c r="E14" s="861"/>
      <c r="F14" s="861"/>
      <c r="G14" s="861"/>
      <c r="H14" s="861"/>
      <c r="I14" s="861"/>
      <c r="J14" s="1052"/>
    </row>
    <row r="15" spans="1:10" ht="15.75" customHeight="1" outlineLevel="2" thickBot="1" x14ac:dyDescent="0.3">
      <c r="B15" s="1460" t="s">
        <v>1042</v>
      </c>
      <c r="C15" s="1461"/>
      <c r="D15" s="1226">
        <f>SUM(D9:D13)-D14</f>
        <v>0</v>
      </c>
      <c r="E15" s="1226">
        <f t="shared" ref="E15:J15" si="0">SUM(E9:E13)-E14</f>
        <v>0</v>
      </c>
      <c r="F15" s="1226">
        <f t="shared" si="0"/>
        <v>0</v>
      </c>
      <c r="G15" s="1226">
        <f t="shared" si="0"/>
        <v>0</v>
      </c>
      <c r="H15" s="1226">
        <f t="shared" si="0"/>
        <v>0</v>
      </c>
      <c r="I15" s="1226">
        <f t="shared" si="0"/>
        <v>0</v>
      </c>
      <c r="J15" s="1227">
        <f t="shared" si="0"/>
        <v>0</v>
      </c>
    </row>
    <row r="16" spans="1:10" ht="15.75" customHeight="1" outlineLevel="1" thickBot="1" x14ac:dyDescent="0.3">
      <c r="B16" s="345"/>
      <c r="C16" s="345"/>
    </row>
    <row r="17" spans="1:10" s="972" customFormat="1" ht="24" customHeight="1" thickBot="1" x14ac:dyDescent="0.25">
      <c r="B17" s="264" t="s">
        <v>1065</v>
      </c>
      <c r="C17" s="264"/>
      <c r="D17" s="975"/>
      <c r="E17" s="975"/>
      <c r="F17" s="975"/>
      <c r="G17" s="975"/>
      <c r="H17" s="975"/>
      <c r="I17" s="975"/>
      <c r="J17" s="975"/>
    </row>
    <row r="18" spans="1:10" s="42" customFormat="1" ht="23.25" customHeight="1" outlineLevel="2" thickBot="1" x14ac:dyDescent="0.25">
      <c r="A18" s="958"/>
      <c r="B18" s="998" t="s">
        <v>1066</v>
      </c>
      <c r="C18" s="899"/>
      <c r="D18" s="899"/>
      <c r="E18" s="899"/>
      <c r="F18" s="899"/>
      <c r="G18" s="899"/>
      <c r="H18" s="899"/>
      <c r="I18" s="899"/>
      <c r="J18" s="999"/>
    </row>
    <row r="19" spans="1:10" s="42" customFormat="1" ht="40.5" customHeight="1" outlineLevel="2" x14ac:dyDescent="0.25">
      <c r="A19" s="958"/>
      <c r="B19"/>
      <c r="C19"/>
      <c r="D19" s="1436" t="str">
        <f ca="1">CONCATENATE("EXPENDITURE
Forecast ($0's real, ",dms_DollarReal,")")</f>
        <v>EXPENDITURE
Forecast ($0's real, June 2027)</v>
      </c>
      <c r="E19" s="1437"/>
      <c r="F19" s="1437"/>
      <c r="G19" s="1437"/>
      <c r="H19" s="1437"/>
      <c r="I19" s="1437"/>
      <c r="J19" s="1438"/>
    </row>
    <row r="20" spans="1:10" s="42" customFormat="1" ht="15.75" customHeight="1" outlineLevel="2" thickBot="1" x14ac:dyDescent="0.25">
      <c r="A20" s="958"/>
      <c r="B20" s="1446" t="s">
        <v>999</v>
      </c>
      <c r="C20" s="1447"/>
      <c r="D20" s="1027" t="str">
        <f ca="1">CRCP_y4</f>
        <v>2025-26</v>
      </c>
      <c r="E20" s="1013" t="str">
        <f ca="1">CRCP_y5</f>
        <v>2026-27</v>
      </c>
      <c r="F20" s="1013" t="str">
        <f>FRCP_y1</f>
        <v>2027-28</v>
      </c>
      <c r="G20" s="1013" t="str">
        <f ca="1">FRCP_y2</f>
        <v>2028-29</v>
      </c>
      <c r="H20" s="1013" t="str">
        <f ca="1">FRCP_y3</f>
        <v>2029-30</v>
      </c>
      <c r="I20" s="1013" t="str">
        <f ca="1">FRCP_y4</f>
        <v>2030-31</v>
      </c>
      <c r="J20" s="1028" t="str">
        <f ca="1">FRCP_y5</f>
        <v>2031-32</v>
      </c>
    </row>
    <row r="21" spans="1:10" ht="15.75" customHeight="1" outlineLevel="2" x14ac:dyDescent="0.25">
      <c r="B21" s="1470"/>
      <c r="C21" s="1471"/>
      <c r="D21" s="988"/>
      <c r="E21" s="885"/>
      <c r="F21" s="885"/>
      <c r="G21" s="885"/>
      <c r="H21" s="885"/>
      <c r="I21" s="885"/>
      <c r="J21" s="886"/>
    </row>
    <row r="22" spans="1:10" ht="15.75" customHeight="1" outlineLevel="2" x14ac:dyDescent="0.25">
      <c r="B22" s="1468"/>
      <c r="C22" s="1469"/>
      <c r="D22" s="1255"/>
      <c r="E22" s="862"/>
      <c r="F22" s="862"/>
      <c r="G22" s="862"/>
      <c r="H22" s="862"/>
      <c r="I22" s="862"/>
      <c r="J22" s="864"/>
    </row>
    <row r="23" spans="1:10" ht="15.75" customHeight="1" outlineLevel="2" x14ac:dyDescent="0.25">
      <c r="B23" s="1468"/>
      <c r="C23" s="1469"/>
      <c r="D23" s="1255"/>
      <c r="E23" s="862"/>
      <c r="F23" s="862"/>
      <c r="G23" s="862"/>
      <c r="H23" s="862"/>
      <c r="I23" s="862"/>
      <c r="J23" s="864"/>
    </row>
    <row r="24" spans="1:10" ht="15.75" customHeight="1" outlineLevel="2" x14ac:dyDescent="0.25">
      <c r="B24" s="1468"/>
      <c r="C24" s="1469"/>
      <c r="D24" s="1255"/>
      <c r="E24" s="862"/>
      <c r="F24" s="862"/>
      <c r="G24" s="862"/>
      <c r="H24" s="862"/>
      <c r="I24" s="862"/>
      <c r="J24" s="864"/>
    </row>
    <row r="25" spans="1:10" ht="15.75" customHeight="1" outlineLevel="2" x14ac:dyDescent="0.25">
      <c r="B25" s="1468"/>
      <c r="C25" s="1469"/>
      <c r="D25" s="1255"/>
      <c r="E25" s="862"/>
      <c r="F25" s="862"/>
      <c r="G25" s="862"/>
      <c r="H25" s="862"/>
      <c r="I25" s="862"/>
      <c r="J25" s="864"/>
    </row>
    <row r="26" spans="1:10" ht="15.75" customHeight="1" outlineLevel="2" x14ac:dyDescent="0.25">
      <c r="B26" s="1468"/>
      <c r="C26" s="1469"/>
      <c r="D26" s="1255"/>
      <c r="E26" s="862"/>
      <c r="F26" s="862"/>
      <c r="G26" s="862"/>
      <c r="H26" s="862"/>
      <c r="I26" s="862"/>
      <c r="J26" s="864"/>
    </row>
    <row r="27" spans="1:10" ht="15.75" customHeight="1" outlineLevel="2" x14ac:dyDescent="0.25">
      <c r="B27" s="1468"/>
      <c r="C27" s="1469"/>
      <c r="D27" s="1255"/>
      <c r="E27" s="862"/>
      <c r="F27" s="862"/>
      <c r="G27" s="862"/>
      <c r="H27" s="862"/>
      <c r="I27" s="862"/>
      <c r="J27" s="864"/>
    </row>
    <row r="28" spans="1:10" ht="15.75" customHeight="1" outlineLevel="2" x14ac:dyDescent="0.25">
      <c r="B28" s="1468"/>
      <c r="C28" s="1469"/>
      <c r="D28" s="1255"/>
      <c r="E28" s="862"/>
      <c r="F28" s="862"/>
      <c r="G28" s="862"/>
      <c r="H28" s="862"/>
      <c r="I28" s="862"/>
      <c r="J28" s="864"/>
    </row>
    <row r="29" spans="1:10" ht="15.75" customHeight="1" outlineLevel="2" x14ac:dyDescent="0.25">
      <c r="B29" s="1468"/>
      <c r="C29" s="1469"/>
      <c r="D29" s="1255"/>
      <c r="E29" s="862"/>
      <c r="F29" s="862"/>
      <c r="G29" s="862"/>
      <c r="H29" s="862"/>
      <c r="I29" s="862"/>
      <c r="J29" s="864"/>
    </row>
    <row r="30" spans="1:10" ht="15.75" customHeight="1" outlineLevel="2" x14ac:dyDescent="0.25">
      <c r="B30" s="1468"/>
      <c r="C30" s="1469"/>
      <c r="D30" s="1255"/>
      <c r="E30" s="862"/>
      <c r="F30" s="862"/>
      <c r="G30" s="862"/>
      <c r="H30" s="862"/>
      <c r="I30" s="862"/>
      <c r="J30" s="864"/>
    </row>
    <row r="31" spans="1:10" ht="15.75" customHeight="1" outlineLevel="2" x14ac:dyDescent="0.25">
      <c r="B31" s="1468"/>
      <c r="C31" s="1469"/>
      <c r="D31" s="1255"/>
      <c r="E31" s="862"/>
      <c r="F31" s="862"/>
      <c r="G31" s="862"/>
      <c r="H31" s="862"/>
      <c r="I31" s="862"/>
      <c r="J31" s="864"/>
    </row>
    <row r="32" spans="1:10" ht="15.75" customHeight="1" outlineLevel="2" x14ac:dyDescent="0.25">
      <c r="B32" s="1468"/>
      <c r="C32" s="1469"/>
      <c r="D32" s="1255"/>
      <c r="E32" s="862"/>
      <c r="F32" s="862"/>
      <c r="G32" s="862"/>
      <c r="H32" s="862"/>
      <c r="I32" s="862"/>
      <c r="J32" s="864"/>
    </row>
    <row r="33" spans="1:10" ht="15.75" customHeight="1" outlineLevel="2" x14ac:dyDescent="0.25">
      <c r="B33" s="1468"/>
      <c r="C33" s="1469"/>
      <c r="D33" s="1255"/>
      <c r="E33" s="862"/>
      <c r="F33" s="862"/>
      <c r="G33" s="862"/>
      <c r="H33" s="862"/>
      <c r="I33" s="862"/>
      <c r="J33" s="864"/>
    </row>
    <row r="34" spans="1:10" ht="15.75" customHeight="1" outlineLevel="2" x14ac:dyDescent="0.25">
      <c r="B34" s="1468"/>
      <c r="C34" s="1469"/>
      <c r="D34" s="1255"/>
      <c r="E34" s="862"/>
      <c r="F34" s="862"/>
      <c r="G34" s="862"/>
      <c r="H34" s="862"/>
      <c r="I34" s="862"/>
      <c r="J34" s="864"/>
    </row>
    <row r="35" spans="1:10" ht="15.75" customHeight="1" outlineLevel="2" x14ac:dyDescent="0.25">
      <c r="B35" s="1468"/>
      <c r="C35" s="1469"/>
      <c r="D35" s="1255"/>
      <c r="E35" s="862"/>
      <c r="F35" s="862"/>
      <c r="G35" s="862"/>
      <c r="H35" s="862"/>
      <c r="I35" s="862"/>
      <c r="J35" s="864"/>
    </row>
    <row r="36" spans="1:10" ht="15.75" customHeight="1" outlineLevel="2" x14ac:dyDescent="0.25">
      <c r="B36" s="1468"/>
      <c r="C36" s="1469"/>
      <c r="D36" s="1255"/>
      <c r="E36" s="862"/>
      <c r="F36" s="862"/>
      <c r="G36" s="862"/>
      <c r="H36" s="862"/>
      <c r="I36" s="862"/>
      <c r="J36" s="864"/>
    </row>
    <row r="37" spans="1:10" ht="15.75" customHeight="1" outlineLevel="2" x14ac:dyDescent="0.25">
      <c r="B37" s="1468"/>
      <c r="C37" s="1469"/>
      <c r="D37" s="1255"/>
      <c r="E37" s="862"/>
      <c r="F37" s="862"/>
      <c r="G37" s="862"/>
      <c r="H37" s="862"/>
      <c r="I37" s="862"/>
      <c r="J37" s="864"/>
    </row>
    <row r="38" spans="1:10" ht="15.75" customHeight="1" outlineLevel="2" x14ac:dyDescent="0.25">
      <c r="B38" s="1468"/>
      <c r="C38" s="1469"/>
      <c r="D38" s="1255"/>
      <c r="E38" s="862"/>
      <c r="F38" s="862"/>
      <c r="G38" s="862"/>
      <c r="H38" s="862"/>
      <c r="I38" s="862"/>
      <c r="J38" s="864"/>
    </row>
    <row r="39" spans="1:10" ht="15.75" customHeight="1" outlineLevel="2" x14ac:dyDescent="0.25">
      <c r="B39" s="1468"/>
      <c r="C39" s="1469"/>
      <c r="D39" s="1255"/>
      <c r="E39" s="862"/>
      <c r="F39" s="862"/>
      <c r="G39" s="862"/>
      <c r="H39" s="862"/>
      <c r="I39" s="862"/>
      <c r="J39" s="864"/>
    </row>
    <row r="40" spans="1:10" ht="15.75" customHeight="1" outlineLevel="2" x14ac:dyDescent="0.25">
      <c r="B40" s="1468"/>
      <c r="C40" s="1469"/>
      <c r="D40" s="1255"/>
      <c r="E40" s="862"/>
      <c r="F40" s="862"/>
      <c r="G40" s="862"/>
      <c r="H40" s="862"/>
      <c r="I40" s="862"/>
      <c r="J40" s="864"/>
    </row>
    <row r="41" spans="1:10" ht="15.75" customHeight="1" outlineLevel="2" thickBot="1" x14ac:dyDescent="0.3">
      <c r="B41" s="1450" t="s">
        <v>985</v>
      </c>
      <c r="C41" s="1475"/>
      <c r="D41" s="989"/>
      <c r="E41" s="888"/>
      <c r="F41" s="888"/>
      <c r="G41" s="888"/>
      <c r="H41" s="888"/>
      <c r="I41" s="888"/>
      <c r="J41" s="889"/>
    </row>
    <row r="42" spans="1:10" ht="15.75" customHeight="1" outlineLevel="2" thickBot="1" x14ac:dyDescent="0.3">
      <c r="B42" s="1225" t="s">
        <v>965</v>
      </c>
      <c r="C42" s="1226"/>
      <c r="D42" s="1226">
        <f t="shared" ref="D42:J42" si="1">SUM(D21:D41)</f>
        <v>0</v>
      </c>
      <c r="E42" s="1226">
        <f t="shared" si="1"/>
        <v>0</v>
      </c>
      <c r="F42" s="1226">
        <f t="shared" si="1"/>
        <v>0</v>
      </c>
      <c r="G42" s="1226">
        <f t="shared" si="1"/>
        <v>0</v>
      </c>
      <c r="H42" s="1226">
        <f t="shared" si="1"/>
        <v>0</v>
      </c>
      <c r="I42" s="1226">
        <f t="shared" si="1"/>
        <v>0</v>
      </c>
      <c r="J42" s="1227">
        <f t="shared" si="1"/>
        <v>0</v>
      </c>
    </row>
    <row r="43" spans="1:10" ht="15.75" customHeight="1" outlineLevel="1" thickBot="1" x14ac:dyDescent="0.3">
      <c r="B43" s="345"/>
      <c r="C43" s="345"/>
    </row>
    <row r="44" spans="1:10" ht="20.25" customHeight="1" outlineLevel="1" thickBot="1" x14ac:dyDescent="0.3">
      <c r="B44" s="998" t="s">
        <v>1067</v>
      </c>
      <c r="C44" s="899"/>
      <c r="D44" s="899"/>
      <c r="E44" s="899"/>
      <c r="F44" s="899"/>
      <c r="G44" s="899"/>
      <c r="H44" s="899"/>
      <c r="I44" s="899"/>
      <c r="J44" s="899"/>
    </row>
    <row r="45" spans="1:10" s="42" customFormat="1" ht="15" customHeight="1" outlineLevel="2" x14ac:dyDescent="0.25">
      <c r="A45" s="958"/>
      <c r="B45"/>
      <c r="C45"/>
      <c r="D45" s="1439" t="s">
        <v>951</v>
      </c>
      <c r="E45" s="1440"/>
      <c r="F45" s="1440"/>
      <c r="G45" s="1440"/>
      <c r="H45" s="1440"/>
      <c r="I45" s="1440"/>
      <c r="J45" s="1472"/>
    </row>
    <row r="46" spans="1:10" s="42" customFormat="1" ht="15.75" outlineLevel="2" thickBot="1" x14ac:dyDescent="0.3">
      <c r="A46" s="958"/>
      <c r="B46" s="146"/>
      <c r="C46" s="1272" t="s">
        <v>1134</v>
      </c>
      <c r="D46" s="1025" t="str">
        <f ca="1">CRCP_y4</f>
        <v>2025-26</v>
      </c>
      <c r="E46" s="1026" t="str">
        <f ca="1">CRCP_y5</f>
        <v>2026-27</v>
      </c>
      <c r="F46" s="1026" t="str">
        <f>FRCP_y1</f>
        <v>2027-28</v>
      </c>
      <c r="G46" s="1026" t="str">
        <f ca="1">FRCP_y2</f>
        <v>2028-29</v>
      </c>
      <c r="H46" s="1026" t="str">
        <f ca="1">FRCP_y3</f>
        <v>2029-30</v>
      </c>
      <c r="I46" s="1026" t="str">
        <f ca="1">FRCP_y4</f>
        <v>2030-31</v>
      </c>
      <c r="J46" s="1026" t="str">
        <f ca="1">FRCP_y5</f>
        <v>2031-32</v>
      </c>
    </row>
    <row r="47" spans="1:10" ht="15.75" customHeight="1" outlineLevel="2" x14ac:dyDescent="0.25">
      <c r="B47" s="1273" t="str">
        <f t="shared" ref="B47:B66" si="2">IF(ISBLANK(B21),"",B21)</f>
        <v/>
      </c>
      <c r="C47" s="1282"/>
      <c r="D47" s="988"/>
      <c r="E47" s="885"/>
      <c r="F47" s="885"/>
      <c r="G47" s="885"/>
      <c r="H47" s="885"/>
      <c r="I47" s="885"/>
      <c r="J47" s="886"/>
    </row>
    <row r="48" spans="1:10" ht="15.75" customHeight="1" outlineLevel="2" x14ac:dyDescent="0.25">
      <c r="B48" s="1274" t="str">
        <f t="shared" si="2"/>
        <v/>
      </c>
      <c r="C48" s="1282"/>
      <c r="D48" s="1255"/>
      <c r="E48" s="862"/>
      <c r="F48" s="862"/>
      <c r="G48" s="862"/>
      <c r="H48" s="862"/>
      <c r="I48" s="862"/>
      <c r="J48" s="864"/>
    </row>
    <row r="49" spans="2:10" ht="15.75" customHeight="1" outlineLevel="2" x14ac:dyDescent="0.25">
      <c r="B49" s="1274" t="str">
        <f t="shared" si="2"/>
        <v/>
      </c>
      <c r="C49" s="1282"/>
      <c r="D49" s="1255"/>
      <c r="E49" s="862"/>
      <c r="F49" s="862"/>
      <c r="G49" s="862"/>
      <c r="H49" s="862"/>
      <c r="I49" s="862"/>
      <c r="J49" s="864"/>
    </row>
    <row r="50" spans="2:10" ht="15.75" customHeight="1" outlineLevel="2" x14ac:dyDescent="0.25">
      <c r="B50" s="1274" t="str">
        <f t="shared" si="2"/>
        <v/>
      </c>
      <c r="C50" s="1282"/>
      <c r="D50" s="1255"/>
      <c r="E50" s="862"/>
      <c r="F50" s="862"/>
      <c r="G50" s="862"/>
      <c r="H50" s="862"/>
      <c r="I50" s="862"/>
      <c r="J50" s="864"/>
    </row>
    <row r="51" spans="2:10" ht="15.75" customHeight="1" outlineLevel="2" x14ac:dyDescent="0.25">
      <c r="B51" s="1274" t="str">
        <f t="shared" si="2"/>
        <v/>
      </c>
      <c r="C51" s="1282"/>
      <c r="D51" s="1255"/>
      <c r="E51" s="862"/>
      <c r="F51" s="862"/>
      <c r="G51" s="862"/>
      <c r="H51" s="862"/>
      <c r="I51" s="862"/>
      <c r="J51" s="864"/>
    </row>
    <row r="52" spans="2:10" ht="15.75" customHeight="1" outlineLevel="2" x14ac:dyDescent="0.25">
      <c r="B52" s="1274" t="str">
        <f t="shared" si="2"/>
        <v/>
      </c>
      <c r="C52" s="1282"/>
      <c r="D52" s="1255"/>
      <c r="E52" s="862"/>
      <c r="F52" s="862"/>
      <c r="G52" s="862"/>
      <c r="H52" s="862"/>
      <c r="I52" s="862"/>
      <c r="J52" s="864"/>
    </row>
    <row r="53" spans="2:10" ht="15.75" customHeight="1" outlineLevel="2" x14ac:dyDescent="0.25">
      <c r="B53" s="1274" t="str">
        <f t="shared" si="2"/>
        <v/>
      </c>
      <c r="C53" s="1282"/>
      <c r="D53" s="1255"/>
      <c r="E53" s="862"/>
      <c r="F53" s="862"/>
      <c r="G53" s="862"/>
      <c r="H53" s="862"/>
      <c r="I53" s="862"/>
      <c r="J53" s="864"/>
    </row>
    <row r="54" spans="2:10" ht="15.75" customHeight="1" outlineLevel="2" x14ac:dyDescent="0.25">
      <c r="B54" s="1274" t="str">
        <f t="shared" si="2"/>
        <v/>
      </c>
      <c r="C54" s="1282"/>
      <c r="D54" s="1255"/>
      <c r="E54" s="862"/>
      <c r="F54" s="862"/>
      <c r="G54" s="862"/>
      <c r="H54" s="862"/>
      <c r="I54" s="862"/>
      <c r="J54" s="864"/>
    </row>
    <row r="55" spans="2:10" ht="15.75" customHeight="1" outlineLevel="2" x14ac:dyDescent="0.25">
      <c r="B55" s="1274" t="str">
        <f t="shared" si="2"/>
        <v/>
      </c>
      <c r="C55" s="1282"/>
      <c r="D55" s="1255"/>
      <c r="E55" s="862"/>
      <c r="F55" s="862"/>
      <c r="G55" s="862"/>
      <c r="H55" s="862"/>
      <c r="I55" s="862"/>
      <c r="J55" s="864"/>
    </row>
    <row r="56" spans="2:10" ht="15.75" customHeight="1" outlineLevel="2" x14ac:dyDescent="0.25">
      <c r="B56" s="1274" t="str">
        <f t="shared" si="2"/>
        <v/>
      </c>
      <c r="C56" s="1282"/>
      <c r="D56" s="1255"/>
      <c r="E56" s="862"/>
      <c r="F56" s="862"/>
      <c r="G56" s="862"/>
      <c r="H56" s="862"/>
      <c r="I56" s="862"/>
      <c r="J56" s="864"/>
    </row>
    <row r="57" spans="2:10" ht="15.75" customHeight="1" outlineLevel="2" x14ac:dyDescent="0.25">
      <c r="B57" s="1274" t="str">
        <f t="shared" si="2"/>
        <v/>
      </c>
      <c r="C57" s="1282"/>
      <c r="D57" s="1255"/>
      <c r="E57" s="862"/>
      <c r="F57" s="862"/>
      <c r="G57" s="862"/>
      <c r="H57" s="862"/>
      <c r="I57" s="862"/>
      <c r="J57" s="864"/>
    </row>
    <row r="58" spans="2:10" ht="15.75" customHeight="1" outlineLevel="2" x14ac:dyDescent="0.25">
      <c r="B58" s="1274" t="str">
        <f t="shared" si="2"/>
        <v/>
      </c>
      <c r="C58" s="1282"/>
      <c r="D58" s="1255"/>
      <c r="E58" s="862"/>
      <c r="F58" s="862"/>
      <c r="G58" s="862"/>
      <c r="H58" s="862"/>
      <c r="I58" s="862"/>
      <c r="J58" s="864"/>
    </row>
    <row r="59" spans="2:10" ht="15.75" customHeight="1" outlineLevel="2" x14ac:dyDescent="0.25">
      <c r="B59" s="1274" t="str">
        <f t="shared" si="2"/>
        <v/>
      </c>
      <c r="C59" s="1282"/>
      <c r="D59" s="1255"/>
      <c r="E59" s="862"/>
      <c r="F59" s="862"/>
      <c r="G59" s="862"/>
      <c r="H59" s="862"/>
      <c r="I59" s="862"/>
      <c r="J59" s="864"/>
    </row>
    <row r="60" spans="2:10" ht="15.75" customHeight="1" outlineLevel="2" x14ac:dyDescent="0.25">
      <c r="B60" s="1274" t="str">
        <f t="shared" si="2"/>
        <v/>
      </c>
      <c r="C60" s="1282"/>
      <c r="D60" s="1255"/>
      <c r="E60" s="862"/>
      <c r="F60" s="862"/>
      <c r="G60" s="862"/>
      <c r="H60" s="862"/>
      <c r="I60" s="862"/>
      <c r="J60" s="864"/>
    </row>
    <row r="61" spans="2:10" ht="15.75" customHeight="1" outlineLevel="2" x14ac:dyDescent="0.25">
      <c r="B61" s="1274" t="str">
        <f t="shared" si="2"/>
        <v/>
      </c>
      <c r="C61" s="1282"/>
      <c r="D61" s="1255"/>
      <c r="E61" s="862"/>
      <c r="F61" s="862"/>
      <c r="G61" s="862"/>
      <c r="H61" s="862"/>
      <c r="I61" s="862"/>
      <c r="J61" s="864"/>
    </row>
    <row r="62" spans="2:10" ht="15.75" customHeight="1" outlineLevel="2" x14ac:dyDescent="0.25">
      <c r="B62" s="1274" t="str">
        <f t="shared" si="2"/>
        <v/>
      </c>
      <c r="C62" s="1282"/>
      <c r="D62" s="1255"/>
      <c r="E62" s="862"/>
      <c r="F62" s="862"/>
      <c r="G62" s="862"/>
      <c r="H62" s="862"/>
      <c r="I62" s="862"/>
      <c r="J62" s="864"/>
    </row>
    <row r="63" spans="2:10" ht="15.75" customHeight="1" outlineLevel="2" x14ac:dyDescent="0.25">
      <c r="B63" s="1274" t="str">
        <f t="shared" si="2"/>
        <v/>
      </c>
      <c r="C63" s="1282"/>
      <c r="D63" s="1255"/>
      <c r="E63" s="862"/>
      <c r="F63" s="862"/>
      <c r="G63" s="862"/>
      <c r="H63" s="862"/>
      <c r="I63" s="862"/>
      <c r="J63" s="864"/>
    </row>
    <row r="64" spans="2:10" ht="15.75" customHeight="1" outlineLevel="2" x14ac:dyDescent="0.25">
      <c r="B64" s="1274" t="str">
        <f t="shared" si="2"/>
        <v/>
      </c>
      <c r="C64" s="1282"/>
      <c r="D64" s="1255"/>
      <c r="E64" s="862"/>
      <c r="F64" s="862"/>
      <c r="G64" s="862"/>
      <c r="H64" s="862"/>
      <c r="I64" s="862"/>
      <c r="J64" s="864"/>
    </row>
    <row r="65" spans="2:10" ht="15.75" customHeight="1" outlineLevel="2" x14ac:dyDescent="0.25">
      <c r="B65" s="1274" t="str">
        <f t="shared" si="2"/>
        <v/>
      </c>
      <c r="C65" s="1282"/>
      <c r="D65" s="1255"/>
      <c r="E65" s="862"/>
      <c r="F65" s="862"/>
      <c r="G65" s="862"/>
      <c r="H65" s="862"/>
      <c r="I65" s="862"/>
      <c r="J65" s="864"/>
    </row>
    <row r="66" spans="2:10" ht="15.75" customHeight="1" outlineLevel="2" x14ac:dyDescent="0.25">
      <c r="B66" s="1274" t="str">
        <f t="shared" si="2"/>
        <v/>
      </c>
      <c r="C66" s="1282"/>
      <c r="D66" s="1255"/>
      <c r="E66" s="862"/>
      <c r="F66" s="862"/>
      <c r="G66" s="862"/>
      <c r="H66" s="862"/>
      <c r="I66" s="862"/>
      <c r="J66" s="864"/>
    </row>
    <row r="67" spans="2:10" ht="15.75" customHeight="1" outlineLevel="2" thickBot="1" x14ac:dyDescent="0.3">
      <c r="B67" s="973" t="s">
        <v>985</v>
      </c>
      <c r="C67" s="1283"/>
      <c r="D67" s="989"/>
      <c r="E67" s="862"/>
      <c r="F67" s="862"/>
      <c r="G67" s="862"/>
      <c r="H67" s="862"/>
      <c r="I67" s="862"/>
      <c r="J67" s="864"/>
    </row>
    <row r="68" spans="2:10" ht="15.75" customHeight="1" outlineLevel="2" thickBot="1" x14ac:dyDescent="0.3">
      <c r="B68" s="1473" t="s">
        <v>965</v>
      </c>
      <c r="C68" s="1474"/>
      <c r="D68" s="1226">
        <f t="shared" ref="D68:J68" si="3">SUM(D47:D67)</f>
        <v>0</v>
      </c>
      <c r="E68" s="1226">
        <f t="shared" si="3"/>
        <v>0</v>
      </c>
      <c r="F68" s="1226">
        <f t="shared" si="3"/>
        <v>0</v>
      </c>
      <c r="G68" s="1226">
        <f t="shared" si="3"/>
        <v>0</v>
      </c>
      <c r="H68" s="1226">
        <f t="shared" si="3"/>
        <v>0</v>
      </c>
      <c r="I68" s="1226">
        <f t="shared" si="3"/>
        <v>0</v>
      </c>
      <c r="J68" s="1227">
        <f t="shared" si="3"/>
        <v>0</v>
      </c>
    </row>
  </sheetData>
  <sheetProtection algorithmName="SHA-256" hashValue="yU5GppgGeMVWkU8TzwuYJE6bqNtAEFZIvYj3hK5/4bA=" saltValue="GblEjSAnOyzMkR685/UE7g==" spinCount="100000" sheet="1" objects="1" scenarios="1" formatCells="0" insertRows="0" deleteRows="0"/>
  <mergeCells count="33">
    <mergeCell ref="D7:J7"/>
    <mergeCell ref="D45:J45"/>
    <mergeCell ref="D19:J19"/>
    <mergeCell ref="B68:C68"/>
    <mergeCell ref="B41:C41"/>
    <mergeCell ref="B40:C40"/>
    <mergeCell ref="B39:C39"/>
    <mergeCell ref="B38:C38"/>
    <mergeCell ref="B37:C37"/>
    <mergeCell ref="B36:C36"/>
    <mergeCell ref="B35:C35"/>
    <mergeCell ref="B34:C34"/>
    <mergeCell ref="B32:C32"/>
    <mergeCell ref="B33:C33"/>
    <mergeCell ref="B31:C31"/>
    <mergeCell ref="B30:C30"/>
    <mergeCell ref="B29:C29"/>
    <mergeCell ref="B28:C28"/>
    <mergeCell ref="B27:C27"/>
    <mergeCell ref="B26:C26"/>
    <mergeCell ref="B25:C25"/>
    <mergeCell ref="B24:C24"/>
    <mergeCell ref="B22:C22"/>
    <mergeCell ref="B21:C21"/>
    <mergeCell ref="B23:C23"/>
    <mergeCell ref="B11:C11"/>
    <mergeCell ref="B10:C10"/>
    <mergeCell ref="B9:C9"/>
    <mergeCell ref="B20:C20"/>
    <mergeCell ref="B15:C15"/>
    <mergeCell ref="B14:C14"/>
    <mergeCell ref="B13:C13"/>
    <mergeCell ref="B12:C12"/>
  </mergeCells>
  <pageMargins left="0.7" right="0.7" top="0.75" bottom="0.75" header="0.3" footer="0.3"/>
  <pageSetup paperSize="9" orientation="portrait" r:id="rId1"/>
  <headerFooter>
    <oddFooter>&amp;C_x000D_&amp;1#&amp;"Aptos"&amp;10&amp;K008000 APA-INTERNAL</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24">
    <tabColor theme="3" tint="-0.249977111117893"/>
  </sheetPr>
  <dimension ref="A1:I62"/>
  <sheetViews>
    <sheetView showGridLines="0" topLeftCell="A2" zoomScale="70" zoomScaleNormal="70" workbookViewId="0">
      <selection activeCell="H10" sqref="H10"/>
    </sheetView>
  </sheetViews>
  <sheetFormatPr defaultColWidth="9.140625" defaultRowHeight="15" outlineLevelRow="2" x14ac:dyDescent="0.25"/>
  <cols>
    <col min="1" max="1" width="23.28515625" customWidth="1"/>
    <col min="2" max="2" width="85" customWidth="1"/>
    <col min="3" max="9" width="29.42578125" style="29" customWidth="1"/>
  </cols>
  <sheetData>
    <row r="1" spans="1:9" ht="30.2" customHeight="1" x14ac:dyDescent="0.25">
      <c r="B1" s="281" t="str">
        <f>IF(dms_MultiYear_ResponseFlag="Yes","REGULATORY REPORTING STATEMENT - HISTORICAL INFORMATION",INDEX(dms_Worksheet_List,MATCH(dms_Model,dms_Model_List)))</f>
        <v>REGULATORY REPORTING STATEMENT</v>
      </c>
      <c r="C1" s="977"/>
      <c r="D1" s="977"/>
      <c r="E1" s="977"/>
      <c r="F1" s="977"/>
      <c r="G1" s="1342" t="s">
        <v>1162</v>
      </c>
      <c r="H1" s="1343" t="s">
        <v>1163</v>
      </c>
      <c r="I1" s="936"/>
    </row>
    <row r="2" spans="1:9" ht="30.2" customHeight="1" x14ac:dyDescent="0.25">
      <c r="B2" s="937" t="str">
        <f>INDEX(dms_TradingNameFull_List,MATCH(dms_TradingName,dms_TradingName_List))</f>
        <v>APT Petroleum Pipelines Limited t/a Roma to Brisbane Pipeline</v>
      </c>
      <c r="C2" s="977"/>
      <c r="D2" s="977"/>
      <c r="E2" s="977"/>
      <c r="F2" s="977"/>
      <c r="G2" s="1344" t="s">
        <v>1164</v>
      </c>
      <c r="H2" s="1345" t="s">
        <v>647</v>
      </c>
      <c r="I2" s="936"/>
    </row>
    <row r="3" spans="1:9" ht="30.2" customHeight="1" x14ac:dyDescent="0.25">
      <c r="B3" s="937" t="str">
        <f ca="1">dms_Header_Span</f>
        <v>Data Span 2025-26 - 2031-32</v>
      </c>
      <c r="C3" s="977"/>
      <c r="D3" s="977"/>
      <c r="E3" s="977"/>
      <c r="F3" s="977"/>
      <c r="G3" s="1346" t="s">
        <v>1165</v>
      </c>
      <c r="H3" s="1347" t="s">
        <v>830</v>
      </c>
      <c r="I3" s="938"/>
    </row>
    <row r="4" spans="1:9" ht="30.2" customHeight="1" x14ac:dyDescent="0.25">
      <c r="B4" s="263" t="s">
        <v>986</v>
      </c>
      <c r="C4" s="976"/>
      <c r="D4" s="976"/>
      <c r="E4" s="976"/>
      <c r="F4" s="976"/>
      <c r="G4" s="1348" t="s">
        <v>1166</v>
      </c>
      <c r="H4" s="1349" t="s">
        <v>1167</v>
      </c>
      <c r="I4" s="263"/>
    </row>
    <row r="5" spans="1:9" ht="18.75" customHeight="1" thickBot="1" x14ac:dyDescent="0.3">
      <c r="B5" s="969"/>
    </row>
    <row r="6" spans="1:9" ht="28.7" customHeight="1" thickBot="1" x14ac:dyDescent="0.3">
      <c r="B6" s="1034" t="s">
        <v>1061</v>
      </c>
      <c r="C6" s="1035"/>
      <c r="D6" s="1035"/>
      <c r="E6" s="1035"/>
      <c r="F6" s="1035"/>
      <c r="G6" s="1035"/>
      <c r="H6" s="1035"/>
      <c r="I6" s="1035"/>
    </row>
    <row r="7" spans="1:9" s="972" customFormat="1" ht="24" customHeight="1" thickBot="1" x14ac:dyDescent="0.25">
      <c r="B7" s="998" t="s">
        <v>1074</v>
      </c>
      <c r="C7" s="899"/>
      <c r="D7" s="899"/>
      <c r="E7" s="899"/>
      <c r="F7" s="899"/>
      <c r="G7" s="899"/>
      <c r="H7" s="899"/>
      <c r="I7" s="999"/>
    </row>
    <row r="8" spans="1:9" s="42" customFormat="1" ht="40.5" customHeight="1" outlineLevel="2" x14ac:dyDescent="0.25">
      <c r="A8" s="958"/>
      <c r="B8"/>
      <c r="C8" s="1476" t="str">
        <f ca="1">CONCATENATE("EXPENDITURE
Forecast ($0's real, ",dms_DollarReal,")")</f>
        <v>EXPENDITURE
Forecast ($0's real, June 2027)</v>
      </c>
      <c r="D8" s="1477"/>
      <c r="E8" s="1477"/>
      <c r="F8" s="1477"/>
      <c r="G8" s="1477"/>
      <c r="H8" s="1477"/>
      <c r="I8" s="1478"/>
    </row>
    <row r="9" spans="1:9" s="42" customFormat="1" ht="15.75" customHeight="1" outlineLevel="2" thickBot="1" x14ac:dyDescent="0.3">
      <c r="A9" s="958"/>
      <c r="B9"/>
      <c r="C9" s="1027" t="str">
        <f ca="1">CRCP_y4</f>
        <v>2025-26</v>
      </c>
      <c r="D9" s="1013" t="str">
        <f ca="1">CRCP_y5</f>
        <v>2026-27</v>
      </c>
      <c r="E9" s="1013" t="str">
        <f>FRCP_y1</f>
        <v>2027-28</v>
      </c>
      <c r="F9" s="1013" t="str">
        <f ca="1">FRCP_y2</f>
        <v>2028-29</v>
      </c>
      <c r="G9" s="1013" t="str">
        <f ca="1">FRCP_y3</f>
        <v>2029-30</v>
      </c>
      <c r="H9" s="1013" t="str">
        <f ca="1">FRCP_y4</f>
        <v>2030-31</v>
      </c>
      <c r="I9" s="1028" t="str">
        <f ca="1">FRCP_y5</f>
        <v>2031-32</v>
      </c>
    </row>
    <row r="10" spans="1:9" ht="15.75" customHeight="1" outlineLevel="2" x14ac:dyDescent="0.25">
      <c r="B10" s="1075" t="s">
        <v>1052</v>
      </c>
      <c r="C10" s="995">
        <v>309192.30769230769</v>
      </c>
      <c r="D10" s="885">
        <v>60589.515876851634</v>
      </c>
      <c r="E10" s="885">
        <v>0</v>
      </c>
      <c r="F10" s="885">
        <v>0</v>
      </c>
      <c r="G10" s="885">
        <v>82794.03874564264</v>
      </c>
      <c r="H10" s="885">
        <v>435527.6993325419</v>
      </c>
      <c r="I10" s="886">
        <v>79450.675273537432</v>
      </c>
    </row>
    <row r="11" spans="1:9" ht="15.75" customHeight="1" outlineLevel="2" x14ac:dyDescent="0.25">
      <c r="B11" s="1069" t="s">
        <v>1053</v>
      </c>
      <c r="C11" s="996">
        <v>0</v>
      </c>
      <c r="D11" s="862">
        <v>0</v>
      </c>
      <c r="E11" s="862">
        <v>0</v>
      </c>
      <c r="F11" s="862">
        <v>0</v>
      </c>
      <c r="G11" s="862">
        <v>0</v>
      </c>
      <c r="H11" s="862">
        <v>0</v>
      </c>
      <c r="I11" s="864">
        <v>0</v>
      </c>
    </row>
    <row r="12" spans="1:9" ht="15.75" customHeight="1" outlineLevel="2" x14ac:dyDescent="0.25">
      <c r="B12" s="1069" t="s">
        <v>1054</v>
      </c>
      <c r="C12" s="996">
        <v>0</v>
      </c>
      <c r="D12" s="862">
        <v>0</v>
      </c>
      <c r="E12" s="862">
        <v>0</v>
      </c>
      <c r="F12" s="862">
        <v>0</v>
      </c>
      <c r="G12" s="862">
        <v>0</v>
      </c>
      <c r="H12" s="862">
        <v>0</v>
      </c>
      <c r="I12" s="864">
        <v>0</v>
      </c>
    </row>
    <row r="13" spans="1:9" ht="15.75" customHeight="1" outlineLevel="2" x14ac:dyDescent="0.25">
      <c r="B13" s="1069" t="s">
        <v>966</v>
      </c>
      <c r="C13" s="996">
        <v>4047648.1573312501</v>
      </c>
      <c r="D13" s="862">
        <v>1145563.8589423832</v>
      </c>
      <c r="E13" s="862">
        <v>1159810.8449634383</v>
      </c>
      <c r="F13" s="862">
        <v>1159810.8449634383</v>
      </c>
      <c r="G13" s="862">
        <v>1159810.8449634383</v>
      </c>
      <c r="H13" s="862">
        <v>1159810.8449634383</v>
      </c>
      <c r="I13" s="864">
        <v>1159810.8449634386</v>
      </c>
    </row>
    <row r="14" spans="1:9" ht="15.75" customHeight="1" outlineLevel="2" x14ac:dyDescent="0.25">
      <c r="B14" s="1009" t="s">
        <v>967</v>
      </c>
      <c r="C14" s="1297">
        <v>392115.64185212029</v>
      </c>
      <c r="D14" s="1298">
        <v>108500.74730481447</v>
      </c>
      <c r="E14" s="1298">
        <v>104382.97604670947</v>
      </c>
      <c r="F14" s="1298">
        <v>104382.97604670947</v>
      </c>
      <c r="G14" s="1298">
        <v>111634.86232139728</v>
      </c>
      <c r="H14" s="1298">
        <v>142100.77451518073</v>
      </c>
      <c r="I14" s="1299">
        <v>111216.92348874113</v>
      </c>
    </row>
    <row r="15" spans="1:9" ht="15.75" customHeight="1" outlineLevel="2" thickBot="1" x14ac:dyDescent="0.3">
      <c r="B15" s="1156" t="s">
        <v>1043</v>
      </c>
      <c r="C15" s="1053">
        <v>0</v>
      </c>
      <c r="D15" s="861">
        <v>0</v>
      </c>
      <c r="E15" s="861">
        <v>0</v>
      </c>
      <c r="F15" s="861">
        <v>0</v>
      </c>
      <c r="G15" s="861">
        <v>0</v>
      </c>
      <c r="H15" s="861">
        <v>0</v>
      </c>
      <c r="I15" s="1052">
        <v>0</v>
      </c>
    </row>
    <row r="16" spans="1:9" ht="15.75" customHeight="1" outlineLevel="2" thickBot="1" x14ac:dyDescent="0.3">
      <c r="B16" s="1230" t="s">
        <v>1042</v>
      </c>
      <c r="C16" s="1226">
        <f>SUM(C10:C14)-C15</f>
        <v>4748956.1068756776</v>
      </c>
      <c r="D16" s="1226">
        <f t="shared" ref="D16:I16" si="0">SUM(D10:D14)-D15</f>
        <v>1314654.1221240493</v>
      </c>
      <c r="E16" s="1226">
        <f t="shared" si="0"/>
        <v>1264193.8210101479</v>
      </c>
      <c r="F16" s="1226">
        <f t="shared" si="0"/>
        <v>1264193.8210101479</v>
      </c>
      <c r="G16" s="1226">
        <f t="shared" si="0"/>
        <v>1354239.7460304783</v>
      </c>
      <c r="H16" s="1226">
        <f t="shared" si="0"/>
        <v>1737439.318811161</v>
      </c>
      <c r="I16" s="1227">
        <f t="shared" si="0"/>
        <v>1350478.443725717</v>
      </c>
    </row>
    <row r="17" spans="1:9" ht="15.75" customHeight="1" outlineLevel="2" x14ac:dyDescent="0.25">
      <c r="C17"/>
      <c r="D17"/>
      <c r="E17"/>
      <c r="F17"/>
      <c r="G17"/>
      <c r="H17"/>
      <c r="I17"/>
    </row>
    <row r="18" spans="1:9" ht="15.75" customHeight="1" outlineLevel="2" thickBot="1" x14ac:dyDescent="0.3">
      <c r="C18"/>
      <c r="D18"/>
      <c r="E18"/>
      <c r="F18"/>
      <c r="G18"/>
      <c r="H18"/>
      <c r="I18"/>
    </row>
    <row r="19" spans="1:9" s="972" customFormat="1" ht="24" customHeight="1" thickBot="1" x14ac:dyDescent="0.25">
      <c r="B19" s="998" t="s">
        <v>1075</v>
      </c>
      <c r="C19" s="899"/>
      <c r="D19" s="899"/>
      <c r="E19" s="899"/>
      <c r="F19" s="899"/>
      <c r="G19" s="899"/>
      <c r="H19" s="899"/>
      <c r="I19" s="899"/>
    </row>
    <row r="20" spans="1:9" s="42" customFormat="1" ht="39.75" customHeight="1" outlineLevel="1" x14ac:dyDescent="0.25">
      <c r="A20" s="958"/>
      <c r="B20"/>
      <c r="C20" s="1476" t="str">
        <f ca="1">CONCATENATE("EXPENDITURE
Forecast ($0's real, ",dms_DollarReal,")")</f>
        <v>EXPENDITURE
Forecast ($0's real, June 2027)</v>
      </c>
      <c r="D20" s="1477"/>
      <c r="E20" s="1477"/>
      <c r="F20" s="1477"/>
      <c r="G20" s="1477"/>
      <c r="H20" s="1477"/>
      <c r="I20" s="1478"/>
    </row>
    <row r="21" spans="1:9" s="42" customFormat="1" ht="15.75" customHeight="1" outlineLevel="1" thickBot="1" x14ac:dyDescent="0.3">
      <c r="A21" s="958"/>
      <c r="B21" s="943"/>
      <c r="C21" s="1014" t="str">
        <f ca="1">CRCP_y4</f>
        <v>2025-26</v>
      </c>
      <c r="D21" s="1015" t="str">
        <f ca="1">CRCP_y5</f>
        <v>2026-27</v>
      </c>
      <c r="E21" s="1015" t="str">
        <f>FRCP_y1</f>
        <v>2027-28</v>
      </c>
      <c r="F21" s="1015" t="str">
        <f ca="1">FRCP_y2</f>
        <v>2028-29</v>
      </c>
      <c r="G21" s="1015" t="str">
        <f ca="1">FRCP_y3</f>
        <v>2029-30</v>
      </c>
      <c r="H21" s="1015" t="str">
        <f ca="1">FRCP_y4</f>
        <v>2030-31</v>
      </c>
      <c r="I21" s="1016" t="str">
        <f ca="1">FRCP_y5</f>
        <v>2031-32</v>
      </c>
    </row>
    <row r="22" spans="1:9" ht="15.75" customHeight="1" outlineLevel="1" x14ac:dyDescent="0.25">
      <c r="B22" s="1350" t="s">
        <v>1210</v>
      </c>
      <c r="C22" s="927">
        <v>153485.48725328522</v>
      </c>
      <c r="D22" s="885">
        <v>159624.90674341662</v>
      </c>
      <c r="E22" s="885">
        <v>161610.10712943901</v>
      </c>
      <c r="F22" s="885">
        <v>161610.10712943901</v>
      </c>
      <c r="G22" s="885">
        <v>161610.10712943901</v>
      </c>
      <c r="H22" s="885">
        <v>161610.10712943901</v>
      </c>
      <c r="I22" s="886">
        <v>161610.10712943901</v>
      </c>
    </row>
    <row r="23" spans="1:9" ht="15.75" customHeight="1" outlineLevel="1" x14ac:dyDescent="0.25">
      <c r="B23" s="1033" t="s">
        <v>1211</v>
      </c>
      <c r="C23" s="1300">
        <v>3839064.8014272461</v>
      </c>
      <c r="D23" s="862">
        <v>652878.04858082824</v>
      </c>
      <c r="E23" s="862">
        <v>660997.66963815829</v>
      </c>
      <c r="F23" s="862">
        <v>660997.66963815829</v>
      </c>
      <c r="G23" s="862">
        <v>660997.66963815829</v>
      </c>
      <c r="H23" s="862">
        <v>660997.66963815829</v>
      </c>
      <c r="I23" s="864">
        <v>660997.66963815829</v>
      </c>
    </row>
    <row r="24" spans="1:9" ht="15.75" customHeight="1" outlineLevel="1" x14ac:dyDescent="0.25">
      <c r="B24" s="1033" t="s">
        <v>1212</v>
      </c>
      <c r="C24" s="1300">
        <v>202548.06407701308</v>
      </c>
      <c r="D24" s="862">
        <v>210649.98664009362</v>
      </c>
      <c r="E24" s="862">
        <v>213269.76849823259</v>
      </c>
      <c r="F24" s="862">
        <v>213269.76849823259</v>
      </c>
      <c r="G24" s="862">
        <v>213269.76849823259</v>
      </c>
      <c r="H24" s="862">
        <v>213269.76849823259</v>
      </c>
      <c r="I24" s="864">
        <v>213269.76849823259</v>
      </c>
    </row>
    <row r="25" spans="1:9" ht="15.75" customHeight="1" outlineLevel="1" x14ac:dyDescent="0.25">
      <c r="B25" s="1033" t="s">
        <v>1213</v>
      </c>
      <c r="C25" s="1300">
        <v>216838.13873351854</v>
      </c>
      <c r="D25" s="862">
        <v>225511.66428285924</v>
      </c>
      <c r="E25" s="862">
        <v>228316.27574431812</v>
      </c>
      <c r="F25" s="862">
        <v>228316.27574431812</v>
      </c>
      <c r="G25" s="862">
        <v>228316.27574431812</v>
      </c>
      <c r="H25" s="862">
        <v>228316.27574431812</v>
      </c>
      <c r="I25" s="864">
        <v>228316.27574431812</v>
      </c>
    </row>
    <row r="26" spans="1:9" ht="15.75" customHeight="1" outlineLevel="1" x14ac:dyDescent="0.25">
      <c r="B26" s="1033" t="s">
        <v>1214</v>
      </c>
      <c r="C26" s="1300">
        <v>337019.61538461538</v>
      </c>
      <c r="D26" s="862">
        <v>65989.515876851627</v>
      </c>
      <c r="E26" s="862">
        <v>0</v>
      </c>
      <c r="F26" s="862">
        <v>0</v>
      </c>
      <c r="G26" s="862">
        <v>90045.92502033044</v>
      </c>
      <c r="H26" s="862">
        <v>473245.49780101317</v>
      </c>
      <c r="I26" s="864">
        <v>86284.622715569087</v>
      </c>
    </row>
    <row r="27" spans="1:9" ht="15.75" customHeight="1" outlineLevel="1" x14ac:dyDescent="0.25">
      <c r="B27" s="1033"/>
      <c r="C27" s="1300"/>
      <c r="D27" s="862"/>
      <c r="E27" s="862"/>
      <c r="F27" s="862"/>
      <c r="G27" s="862"/>
      <c r="H27" s="862"/>
      <c r="I27" s="864"/>
    </row>
    <row r="28" spans="1:9" ht="15.75" customHeight="1" outlineLevel="1" x14ac:dyDescent="0.25">
      <c r="B28" s="1033"/>
      <c r="C28" s="1300"/>
      <c r="D28" s="862"/>
      <c r="E28" s="862"/>
      <c r="F28" s="862"/>
      <c r="G28" s="862"/>
      <c r="H28" s="862"/>
      <c r="I28" s="864"/>
    </row>
    <row r="29" spans="1:9" ht="15.75" customHeight="1" outlineLevel="1" x14ac:dyDescent="0.25">
      <c r="B29" s="1033"/>
      <c r="C29" s="1300"/>
      <c r="D29" s="862"/>
      <c r="E29" s="862"/>
      <c r="F29" s="862"/>
      <c r="G29" s="862"/>
      <c r="H29" s="862"/>
      <c r="I29" s="864"/>
    </row>
    <row r="30" spans="1:9" ht="15.75" customHeight="1" outlineLevel="1" x14ac:dyDescent="0.25">
      <c r="B30" s="1033"/>
      <c r="C30" s="1300"/>
      <c r="D30" s="862"/>
      <c r="E30" s="862"/>
      <c r="F30" s="862"/>
      <c r="G30" s="862"/>
      <c r="H30" s="862"/>
      <c r="I30" s="864"/>
    </row>
    <row r="31" spans="1:9" ht="15.75" customHeight="1" outlineLevel="1" x14ac:dyDescent="0.25">
      <c r="B31" s="1033"/>
      <c r="C31" s="1300"/>
      <c r="D31" s="862"/>
      <c r="E31" s="862"/>
      <c r="F31" s="862"/>
      <c r="G31" s="862"/>
      <c r="H31" s="862"/>
      <c r="I31" s="864"/>
    </row>
    <row r="32" spans="1:9" ht="15.75" customHeight="1" outlineLevel="1" x14ac:dyDescent="0.25">
      <c r="B32" s="1033"/>
      <c r="C32" s="1300"/>
      <c r="D32" s="862"/>
      <c r="E32" s="862"/>
      <c r="F32" s="862"/>
      <c r="G32" s="862"/>
      <c r="H32" s="862"/>
      <c r="I32" s="864"/>
    </row>
    <row r="33" spans="2:9" ht="15.75" customHeight="1" outlineLevel="1" x14ac:dyDescent="0.25">
      <c r="B33" s="1033"/>
      <c r="C33" s="1300"/>
      <c r="D33" s="862"/>
      <c r="E33" s="862"/>
      <c r="F33" s="862"/>
      <c r="G33" s="862"/>
      <c r="H33" s="862"/>
      <c r="I33" s="864"/>
    </row>
    <row r="34" spans="2:9" ht="15.75" customHeight="1" outlineLevel="1" x14ac:dyDescent="0.25">
      <c r="B34" s="1033"/>
      <c r="C34" s="1300"/>
      <c r="D34" s="862"/>
      <c r="E34" s="862"/>
      <c r="F34" s="862"/>
      <c r="G34" s="862"/>
      <c r="H34" s="862"/>
      <c r="I34" s="864"/>
    </row>
    <row r="35" spans="2:9" ht="15.75" customHeight="1" outlineLevel="1" x14ac:dyDescent="0.25">
      <c r="B35" s="1033"/>
      <c r="C35" s="1300"/>
      <c r="D35" s="862"/>
      <c r="E35" s="862"/>
      <c r="F35" s="862"/>
      <c r="G35" s="862"/>
      <c r="H35" s="862"/>
      <c r="I35" s="864"/>
    </row>
    <row r="36" spans="2:9" ht="15.75" customHeight="1" outlineLevel="1" x14ac:dyDescent="0.25">
      <c r="B36" s="1033"/>
      <c r="C36" s="1300"/>
      <c r="D36" s="862"/>
      <c r="E36" s="862"/>
      <c r="F36" s="862"/>
      <c r="G36" s="862"/>
      <c r="H36" s="862"/>
      <c r="I36" s="864"/>
    </row>
    <row r="37" spans="2:9" ht="15.75" customHeight="1" outlineLevel="1" thickBot="1" x14ac:dyDescent="0.3">
      <c r="B37" s="1031" t="s">
        <v>985</v>
      </c>
      <c r="C37" s="1301"/>
      <c r="D37" s="888"/>
      <c r="E37" s="888"/>
      <c r="F37" s="888"/>
      <c r="G37" s="888"/>
      <c r="H37" s="888"/>
      <c r="I37" s="889"/>
    </row>
    <row r="38" spans="2:9" ht="15.75" customHeight="1" outlineLevel="1" thickBot="1" x14ac:dyDescent="0.3">
      <c r="B38" s="1225" t="s">
        <v>965</v>
      </c>
      <c r="C38" s="1226">
        <f>SUM(C22:C37)</f>
        <v>4748956.1068756776</v>
      </c>
      <c r="D38" s="1226">
        <f t="shared" ref="D38:I38" si="1">SUM(D22:D37)</f>
        <v>1314654.1221240493</v>
      </c>
      <c r="E38" s="1226">
        <f t="shared" si="1"/>
        <v>1264193.8210101479</v>
      </c>
      <c r="F38" s="1226">
        <f t="shared" si="1"/>
        <v>1264193.8210101479</v>
      </c>
      <c r="G38" s="1226">
        <f t="shared" si="1"/>
        <v>1354239.7460304783</v>
      </c>
      <c r="H38" s="1226">
        <f t="shared" si="1"/>
        <v>1737439.318811161</v>
      </c>
      <c r="I38" s="1226">
        <f t="shared" si="1"/>
        <v>1350478.443725717</v>
      </c>
    </row>
    <row r="39" spans="2:9" ht="15.75" customHeight="1" x14ac:dyDescent="0.25">
      <c r="B39" s="345"/>
    </row>
    <row r="41" spans="2:9" ht="24" customHeight="1" x14ac:dyDescent="0.25">
      <c r="C41"/>
      <c r="D41"/>
      <c r="E41"/>
      <c r="F41"/>
      <c r="G41"/>
      <c r="H41"/>
      <c r="I41"/>
    </row>
    <row r="42" spans="2:9" outlineLevel="1" x14ac:dyDescent="0.25">
      <c r="C42"/>
      <c r="D42"/>
      <c r="E42"/>
      <c r="F42"/>
      <c r="G42"/>
      <c r="H42"/>
      <c r="I42"/>
    </row>
    <row r="43" spans="2:9" outlineLevel="1" x14ac:dyDescent="0.25">
      <c r="C43"/>
      <c r="D43"/>
      <c r="E43"/>
      <c r="F43"/>
      <c r="G43"/>
      <c r="H43"/>
      <c r="I43"/>
    </row>
    <row r="44" spans="2:9" ht="15.75" customHeight="1" outlineLevel="1" x14ac:dyDescent="0.25">
      <c r="C44"/>
      <c r="D44"/>
      <c r="E44"/>
      <c r="F44"/>
      <c r="G44"/>
      <c r="H44"/>
      <c r="I44"/>
    </row>
    <row r="45" spans="2:9" ht="15.75" customHeight="1" outlineLevel="1" x14ac:dyDescent="0.25">
      <c r="C45"/>
      <c r="D45"/>
      <c r="E45"/>
      <c r="F45"/>
      <c r="G45"/>
      <c r="H45"/>
      <c r="I45"/>
    </row>
    <row r="46" spans="2:9" ht="15.75" customHeight="1" outlineLevel="1" x14ac:dyDescent="0.25">
      <c r="C46"/>
      <c r="D46"/>
      <c r="E46"/>
      <c r="F46"/>
      <c r="G46"/>
      <c r="H46"/>
      <c r="I46"/>
    </row>
    <row r="47" spans="2:9" ht="15.75" customHeight="1" outlineLevel="1" x14ac:dyDescent="0.25">
      <c r="C47"/>
      <c r="D47"/>
      <c r="E47"/>
      <c r="F47"/>
      <c r="G47"/>
      <c r="H47"/>
      <c r="I47"/>
    </row>
    <row r="48" spans="2:9" ht="15.75" customHeight="1" outlineLevel="1" x14ac:dyDescent="0.25">
      <c r="C48"/>
      <c r="D48"/>
      <c r="E48"/>
      <c r="F48"/>
      <c r="G48"/>
      <c r="H48"/>
      <c r="I48"/>
    </row>
    <row r="49" customFormat="1" ht="15.75" customHeight="1" outlineLevel="1" x14ac:dyDescent="0.25"/>
    <row r="50" customFormat="1" ht="15.75" customHeight="1" outlineLevel="1" x14ac:dyDescent="0.25"/>
    <row r="51" customFormat="1" ht="15.75" customHeight="1" outlineLevel="1" x14ac:dyDescent="0.25"/>
    <row r="52" customFormat="1" ht="15.75" customHeight="1" outlineLevel="1" x14ac:dyDescent="0.25"/>
    <row r="53" customFormat="1" ht="15.75" customHeight="1" outlineLevel="1" x14ac:dyDescent="0.25"/>
    <row r="54" customFormat="1" ht="15.75" customHeight="1" outlineLevel="1" x14ac:dyDescent="0.25"/>
    <row r="55" customFormat="1" ht="15.75" customHeight="1" outlineLevel="1" x14ac:dyDescent="0.25"/>
    <row r="56" customFormat="1" ht="15.75" customHeight="1" outlineLevel="1" x14ac:dyDescent="0.25"/>
    <row r="57" customFormat="1" ht="15.75" customHeight="1" outlineLevel="1" x14ac:dyDescent="0.25"/>
    <row r="58" customFormat="1" ht="15.75" customHeight="1" outlineLevel="1" x14ac:dyDescent="0.25"/>
    <row r="59" customFormat="1" ht="15.75" customHeight="1" outlineLevel="1" x14ac:dyDescent="0.25"/>
    <row r="60" customFormat="1" ht="15.75" customHeight="1" outlineLevel="1" x14ac:dyDescent="0.25"/>
    <row r="61" customFormat="1" ht="15.75" customHeight="1" outlineLevel="1" x14ac:dyDescent="0.25"/>
    <row r="62" customFormat="1" ht="15.75" customHeight="1" x14ac:dyDescent="0.25"/>
  </sheetData>
  <sheetProtection algorithmName="SHA-256" hashValue="44q6bQ9lZfg7cVFFlkkTQ6HaiMMxzT8S4Yj83FuoPH0=" saltValue="sDEsiqX+ZFfENl+G26pY1w==" spinCount="100000" sheet="1" objects="1" scenarios="1" formatCells="0" insertRows="0" deleteRows="0"/>
  <mergeCells count="2">
    <mergeCell ref="C20:I20"/>
    <mergeCell ref="C8:I8"/>
  </mergeCells>
  <pageMargins left="0.7" right="0.7" top="0.75" bottom="0.75" header="0.3" footer="0.3"/>
  <pageSetup paperSize="9" orientation="portrait" r:id="rId1"/>
  <headerFooter>
    <oddFooter>&amp;C_x000D_&amp;1#&amp;"Aptos"&amp;10&amp;K008000 APA-INTERNAL</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25">
    <tabColor theme="3" tint="-0.249977111117893"/>
  </sheetPr>
  <dimension ref="A1:I32"/>
  <sheetViews>
    <sheetView showGridLines="0" zoomScale="70" zoomScaleNormal="70" workbookViewId="0">
      <selection activeCell="C24" sqref="C24"/>
    </sheetView>
  </sheetViews>
  <sheetFormatPr defaultColWidth="9.140625" defaultRowHeight="15" x14ac:dyDescent="0.25"/>
  <cols>
    <col min="1" max="1" width="22.7109375" customWidth="1"/>
    <col min="2" max="2" width="61.5703125" customWidth="1"/>
    <col min="3" max="9" width="28.7109375" style="29" customWidth="1"/>
  </cols>
  <sheetData>
    <row r="1" spans="1:9" ht="30.2" customHeight="1" x14ac:dyDescent="0.25">
      <c r="B1" s="281" t="str">
        <f>IF(dms_MultiYear_ResponseFlag="Yes","REGULATORY REPORTING STATEMENT - HISTORICAL INFORMATION",INDEX(dms_Worksheet_List,MATCH(dms_Model,dms_Model_List)))</f>
        <v>REGULATORY REPORTING STATEMENT</v>
      </c>
      <c r="C1" s="977"/>
      <c r="D1" s="977"/>
      <c r="E1" s="977"/>
      <c r="F1" s="977"/>
      <c r="G1" s="1342" t="s">
        <v>1162</v>
      </c>
      <c r="H1" s="1343" t="s">
        <v>1163</v>
      </c>
      <c r="I1" s="936"/>
    </row>
    <row r="2" spans="1:9" ht="30.2" customHeight="1" x14ac:dyDescent="0.25">
      <c r="B2" s="937" t="str">
        <f>INDEX(dms_TradingNameFull_List,MATCH(dms_TradingName,dms_TradingName_List))</f>
        <v>APT Petroleum Pipelines Limited t/a Roma to Brisbane Pipeline</v>
      </c>
      <c r="C2" s="977"/>
      <c r="D2" s="977"/>
      <c r="E2" s="977"/>
      <c r="F2" s="977"/>
      <c r="G2" s="1344" t="s">
        <v>1164</v>
      </c>
      <c r="H2" s="1345" t="s">
        <v>647</v>
      </c>
      <c r="I2" s="936"/>
    </row>
    <row r="3" spans="1:9" ht="30.2" customHeight="1" x14ac:dyDescent="0.25">
      <c r="B3" s="937" t="str">
        <f ca="1">dms_Header_Span</f>
        <v>Data Span 2025-26 - 2031-32</v>
      </c>
      <c r="C3" s="977"/>
      <c r="D3" s="977"/>
      <c r="E3" s="977"/>
      <c r="F3" s="977"/>
      <c r="G3" s="1346" t="s">
        <v>1165</v>
      </c>
      <c r="H3" s="1347" t="s">
        <v>830</v>
      </c>
      <c r="I3" s="938"/>
    </row>
    <row r="4" spans="1:9" ht="30.2" customHeight="1" x14ac:dyDescent="0.25">
      <c r="B4" s="263" t="s">
        <v>994</v>
      </c>
      <c r="C4" s="976"/>
      <c r="D4" s="976"/>
      <c r="E4" s="976"/>
      <c r="F4" s="976"/>
      <c r="G4" s="1348" t="s">
        <v>1166</v>
      </c>
      <c r="H4" s="1349" t="s">
        <v>1167</v>
      </c>
      <c r="I4" s="263"/>
    </row>
    <row r="5" spans="1:9" ht="15.75" thickBot="1" x14ac:dyDescent="0.3"/>
    <row r="6" spans="1:9" s="42" customFormat="1" ht="24.75" customHeight="1" thickBot="1" x14ac:dyDescent="0.3">
      <c r="A6"/>
      <c r="B6" s="264" t="s">
        <v>993</v>
      </c>
      <c r="C6" s="975"/>
      <c r="D6" s="975"/>
      <c r="E6" s="975"/>
      <c r="F6" s="975"/>
      <c r="G6" s="975"/>
      <c r="H6" s="975"/>
      <c r="I6" s="975"/>
    </row>
    <row r="7" spans="1:9" s="42" customFormat="1" ht="36.75" customHeight="1" x14ac:dyDescent="0.25">
      <c r="A7"/>
      <c r="B7"/>
      <c r="C7" s="1476" t="str">
        <f ca="1">CONCATENATE("EXPENDITURE
Forecast ($0's real, ",dms_DollarReal,")")</f>
        <v>EXPENDITURE
Forecast ($0's real, June 2027)</v>
      </c>
      <c r="D7" s="1477"/>
      <c r="E7" s="1477"/>
      <c r="F7" s="1477"/>
      <c r="G7" s="1477"/>
      <c r="H7" s="1477"/>
      <c r="I7" s="1478"/>
    </row>
    <row r="8" spans="1:9" s="42" customFormat="1" ht="20.25" customHeight="1" thickBot="1" x14ac:dyDescent="0.3">
      <c r="A8"/>
      <c r="B8"/>
      <c r="C8" s="1027" t="str">
        <f ca="1">CRCP_y4</f>
        <v>2025-26</v>
      </c>
      <c r="D8" s="1013" t="str">
        <f ca="1">CRCP_y5</f>
        <v>2026-27</v>
      </c>
      <c r="E8" s="1013" t="str">
        <f>FRCP_y1</f>
        <v>2027-28</v>
      </c>
      <c r="F8" s="1013" t="str">
        <f ca="1">FRCP_y2</f>
        <v>2028-29</v>
      </c>
      <c r="G8" s="1013" t="str">
        <f ca="1">FRCP_y3</f>
        <v>2029-30</v>
      </c>
      <c r="H8" s="1013" t="str">
        <f ca="1">FRCP_y4</f>
        <v>2030-31</v>
      </c>
      <c r="I8" s="1028" t="str">
        <f ca="1">FRCP_y5</f>
        <v>2031-32</v>
      </c>
    </row>
    <row r="9" spans="1:9" s="42" customFormat="1" ht="24.75" customHeight="1" thickBot="1" x14ac:dyDescent="0.25">
      <c r="A9" s="958"/>
      <c r="B9" s="971" t="s">
        <v>992</v>
      </c>
      <c r="C9" s="974"/>
      <c r="D9" s="974"/>
      <c r="E9" s="974"/>
      <c r="F9" s="974"/>
      <c r="G9" s="974"/>
      <c r="H9" s="974"/>
      <c r="I9" s="1024"/>
    </row>
    <row r="10" spans="1:9" s="42" customFormat="1" ht="16.5" customHeight="1" x14ac:dyDescent="0.25">
      <c r="A10" s="958"/>
      <c r="B10" s="1029" t="s">
        <v>987</v>
      </c>
      <c r="C10" s="927"/>
      <c r="D10" s="885"/>
      <c r="E10" s="885"/>
      <c r="F10" s="885"/>
      <c r="G10" s="885"/>
      <c r="H10" s="885"/>
      <c r="I10" s="886"/>
    </row>
    <row r="11" spans="1:9" s="42" customFormat="1" ht="16.5" customHeight="1" x14ac:dyDescent="0.25">
      <c r="A11" s="958"/>
      <c r="B11" s="898" t="s">
        <v>1117</v>
      </c>
      <c r="C11" s="1232"/>
      <c r="D11" s="1235"/>
      <c r="E11" s="1235"/>
      <c r="F11" s="1235"/>
      <c r="G11" s="1235"/>
      <c r="H11" s="1235"/>
      <c r="I11" s="1236"/>
    </row>
    <row r="12" spans="1:9" s="42" customFormat="1" ht="16.5" customHeight="1" thickBot="1" x14ac:dyDescent="0.3">
      <c r="A12" s="958"/>
      <c r="B12" s="898" t="s">
        <v>1127</v>
      </c>
      <c r="C12" s="1304"/>
      <c r="D12" s="1298"/>
      <c r="E12" s="1298"/>
      <c r="F12" s="1298"/>
      <c r="G12" s="1298"/>
      <c r="H12" s="1298"/>
      <c r="I12" s="1299"/>
    </row>
    <row r="13" spans="1:9" s="42" customFormat="1" ht="24.75" customHeight="1" thickBot="1" x14ac:dyDescent="0.25">
      <c r="A13" s="958"/>
      <c r="B13" s="971" t="s">
        <v>991</v>
      </c>
      <c r="C13" s="984"/>
      <c r="D13" s="984"/>
      <c r="E13" s="984"/>
      <c r="F13" s="984"/>
      <c r="G13" s="984"/>
      <c r="H13" s="984"/>
      <c r="I13" s="1036"/>
    </row>
    <row r="14" spans="1:9" s="42" customFormat="1" ht="16.5" customHeight="1" x14ac:dyDescent="0.25">
      <c r="A14" s="958"/>
      <c r="B14" s="982" t="s">
        <v>987</v>
      </c>
      <c r="C14" s="983"/>
      <c r="D14" s="1017"/>
      <c r="E14" s="1017"/>
      <c r="F14" s="1017"/>
      <c r="G14" s="1017"/>
      <c r="H14" s="1017"/>
      <c r="I14" s="1018"/>
    </row>
    <row r="15" spans="1:9" s="42" customFormat="1" ht="16.5" customHeight="1" x14ac:dyDescent="0.25">
      <c r="A15" s="958"/>
      <c r="B15" s="982" t="s">
        <v>1117</v>
      </c>
      <c r="C15" s="1243"/>
      <c r="D15" s="1244"/>
      <c r="E15" s="1244"/>
      <c r="F15" s="1244"/>
      <c r="G15" s="1244"/>
      <c r="H15" s="1244"/>
      <c r="I15" s="1245"/>
    </row>
    <row r="16" spans="1:9" s="42" customFormat="1" ht="16.5" customHeight="1" thickBot="1" x14ac:dyDescent="0.3">
      <c r="A16" s="958"/>
      <c r="B16" s="1252" t="s">
        <v>1128</v>
      </c>
      <c r="C16" s="1021"/>
      <c r="D16" s="1022"/>
      <c r="E16" s="1022"/>
      <c r="F16" s="1022"/>
      <c r="G16" s="1022"/>
      <c r="H16" s="1022"/>
      <c r="I16" s="1023"/>
    </row>
    <row r="19" spans="1:9" ht="15.75" thickBot="1" x14ac:dyDescent="0.3"/>
    <row r="20" spans="1:9" s="42" customFormat="1" ht="24.75" customHeight="1" thickBot="1" x14ac:dyDescent="0.25">
      <c r="A20" s="958"/>
      <c r="B20" s="264" t="s">
        <v>990</v>
      </c>
      <c r="C20" s="975"/>
      <c r="D20" s="975"/>
      <c r="E20" s="975"/>
      <c r="F20" s="975"/>
      <c r="G20" s="975"/>
      <c r="H20" s="975"/>
      <c r="I20" s="975"/>
    </row>
    <row r="21" spans="1:9" s="42" customFormat="1" ht="36.75" customHeight="1" x14ac:dyDescent="0.25">
      <c r="A21"/>
      <c r="B21"/>
      <c r="C21" s="1476" t="str">
        <f ca="1">CONCATENATE("EXPENDITURE
Forecast ($0's real, ",dms_DollarReal,")")</f>
        <v>EXPENDITURE
Forecast ($0's real, June 2027)</v>
      </c>
      <c r="D21" s="1477"/>
      <c r="E21" s="1477"/>
      <c r="F21" s="1477"/>
      <c r="G21" s="1477"/>
      <c r="H21" s="1477"/>
      <c r="I21" s="1478"/>
    </row>
    <row r="22" spans="1:9" s="42" customFormat="1" ht="20.25" customHeight="1" thickBot="1" x14ac:dyDescent="0.3">
      <c r="A22"/>
      <c r="B22"/>
      <c r="C22" s="1027" t="str">
        <f ca="1">CRCP_y4</f>
        <v>2025-26</v>
      </c>
      <c r="D22" s="1013" t="str">
        <f ca="1">CRCP_y5</f>
        <v>2026-27</v>
      </c>
      <c r="E22" s="1013" t="str">
        <f>FRCP_y1</f>
        <v>2027-28</v>
      </c>
      <c r="F22" s="1013" t="str">
        <f ca="1">FRCP_y2</f>
        <v>2028-29</v>
      </c>
      <c r="G22" s="1013" t="str">
        <f ca="1">FRCP_y3</f>
        <v>2029-30</v>
      </c>
      <c r="H22" s="1013" t="str">
        <f ca="1">FRCP_y4</f>
        <v>2030-31</v>
      </c>
      <c r="I22" s="1028" t="str">
        <f ca="1">FRCP_y5</f>
        <v>2031-32</v>
      </c>
    </row>
    <row r="23" spans="1:9" s="42" customFormat="1" ht="24.75" customHeight="1" thickBot="1" x14ac:dyDescent="0.25">
      <c r="A23" s="958"/>
      <c r="B23" s="971" t="s">
        <v>989</v>
      </c>
      <c r="C23" s="974"/>
      <c r="D23" s="974"/>
      <c r="E23" s="974"/>
      <c r="F23" s="974"/>
      <c r="G23" s="974"/>
      <c r="H23" s="974"/>
      <c r="I23" s="1024"/>
    </row>
    <row r="24" spans="1:9" s="42" customFormat="1" x14ac:dyDescent="0.25">
      <c r="A24" s="958"/>
      <c r="B24" s="982" t="s">
        <v>987</v>
      </c>
      <c r="C24" s="983">
        <f>'E11. Labour'!C16*0.21</f>
        <v>5827274.1954730684</v>
      </c>
      <c r="D24" s="1017">
        <f>'E11. Labour'!D16*0.21</f>
        <v>5827274.1954730684</v>
      </c>
      <c r="E24" s="1017">
        <f>'E11. Labour'!E16*0.21</f>
        <v>5864095.3714634487</v>
      </c>
      <c r="F24" s="1017">
        <f>'E11. Labour'!F16*0.21</f>
        <v>5877557.9926962899</v>
      </c>
      <c r="G24" s="1017">
        <f>'E11. Labour'!G16*0.21</f>
        <v>5893636.0806776825</v>
      </c>
      <c r="H24" s="1017">
        <f>'E11. Labour'!H16*0.21</f>
        <v>5903874.4644096158</v>
      </c>
      <c r="I24" s="1018">
        <f>'E11. Labour'!I16*0.21</f>
        <v>5913860.3401110293</v>
      </c>
    </row>
    <row r="25" spans="1:9" s="42" customFormat="1" x14ac:dyDescent="0.25">
      <c r="A25" s="958"/>
      <c r="B25" s="982" t="s">
        <v>1117</v>
      </c>
      <c r="C25" s="1243">
        <v>0</v>
      </c>
      <c r="D25" s="1244">
        <v>0</v>
      </c>
      <c r="E25" s="1244">
        <v>0</v>
      </c>
      <c r="F25" s="1244">
        <v>0</v>
      </c>
      <c r="G25" s="1244">
        <v>0</v>
      </c>
      <c r="H25" s="1244">
        <v>0</v>
      </c>
      <c r="I25" s="1245">
        <v>0</v>
      </c>
    </row>
    <row r="26" spans="1:9" s="42" customFormat="1" ht="15.75" thickBot="1" x14ac:dyDescent="0.3">
      <c r="A26" s="958"/>
      <c r="B26" s="898" t="s">
        <v>1127</v>
      </c>
      <c r="C26" s="981">
        <f>C24+C25</f>
        <v>5827274.1954730684</v>
      </c>
      <c r="D26" s="1160">
        <f t="shared" ref="D26:I26" si="0">D24+D25</f>
        <v>5827274.1954730684</v>
      </c>
      <c r="E26" s="1160">
        <f t="shared" si="0"/>
        <v>5864095.3714634487</v>
      </c>
      <c r="F26" s="1160">
        <f t="shared" si="0"/>
        <v>5877557.9926962899</v>
      </c>
      <c r="G26" s="1160">
        <f t="shared" si="0"/>
        <v>5893636.0806776825</v>
      </c>
      <c r="H26" s="1160">
        <f t="shared" si="0"/>
        <v>5903874.4644096158</v>
      </c>
      <c r="I26" s="1040">
        <f t="shared" si="0"/>
        <v>5913860.3401110293</v>
      </c>
    </row>
    <row r="27" spans="1:9" s="42" customFormat="1" ht="24.75" customHeight="1" thickBot="1" x14ac:dyDescent="0.25">
      <c r="A27" s="958"/>
      <c r="B27" s="971" t="s">
        <v>988</v>
      </c>
      <c r="C27" s="984"/>
      <c r="D27" s="984"/>
      <c r="E27" s="984"/>
      <c r="F27" s="984"/>
      <c r="G27" s="984"/>
      <c r="H27" s="984"/>
      <c r="I27" s="1036"/>
    </row>
    <row r="28" spans="1:9" s="42" customFormat="1" x14ac:dyDescent="0.25">
      <c r="A28" s="958"/>
      <c r="B28" s="982" t="s">
        <v>987</v>
      </c>
      <c r="C28" s="983">
        <v>950522.64142594603</v>
      </c>
      <c r="D28" s="1017">
        <v>1314411.1892215931</v>
      </c>
      <c r="E28" s="1017">
        <v>2196534.9708059509</v>
      </c>
      <c r="F28" s="1017">
        <v>1641310.7614424392</v>
      </c>
      <c r="G28" s="1017">
        <v>1185944.73164865</v>
      </c>
      <c r="H28" s="1017">
        <v>1290121.6446894505</v>
      </c>
      <c r="I28" s="1018">
        <v>872900.40623203502</v>
      </c>
    </row>
    <row r="29" spans="1:9" s="42" customFormat="1" x14ac:dyDescent="0.25">
      <c r="A29" s="958"/>
      <c r="B29" s="982" t="s">
        <v>1117</v>
      </c>
      <c r="C29" s="1243">
        <v>0</v>
      </c>
      <c r="D29" s="1244">
        <v>0</v>
      </c>
      <c r="E29" s="1244">
        <v>0</v>
      </c>
      <c r="F29" s="1244">
        <v>0</v>
      </c>
      <c r="G29" s="1244">
        <v>0</v>
      </c>
      <c r="H29" s="1244">
        <v>0</v>
      </c>
      <c r="I29" s="1245">
        <v>0</v>
      </c>
    </row>
    <row r="30" spans="1:9" s="42" customFormat="1" ht="15.75" thickBot="1" x14ac:dyDescent="0.3">
      <c r="A30" s="958"/>
      <c r="B30" s="1252" t="s">
        <v>1128</v>
      </c>
      <c r="C30" s="1021">
        <f>C28+C29</f>
        <v>950522.64142594603</v>
      </c>
      <c r="D30" s="1022">
        <f t="shared" ref="D30:I30" si="1">D28+D29</f>
        <v>1314411.1892215931</v>
      </c>
      <c r="E30" s="1022">
        <f t="shared" si="1"/>
        <v>2196534.9708059509</v>
      </c>
      <c r="F30" s="1022">
        <f t="shared" si="1"/>
        <v>1641310.7614424392</v>
      </c>
      <c r="G30" s="1022">
        <f t="shared" si="1"/>
        <v>1185944.73164865</v>
      </c>
      <c r="H30" s="1022">
        <f t="shared" si="1"/>
        <v>1290121.6446894505</v>
      </c>
      <c r="I30" s="1023">
        <f t="shared" si="1"/>
        <v>872900.40623203502</v>
      </c>
    </row>
    <row r="31" spans="1:9" x14ac:dyDescent="0.25">
      <c r="A31" s="297"/>
      <c r="B31" s="980"/>
      <c r="C31" s="979"/>
      <c r="D31" s="979"/>
      <c r="E31" s="979"/>
      <c r="F31" s="979"/>
      <c r="G31" s="979"/>
      <c r="H31" s="979"/>
      <c r="I31" s="979"/>
    </row>
    <row r="32" spans="1:9" s="42" customFormat="1" ht="20.25" x14ac:dyDescent="0.3">
      <c r="A32" s="958"/>
      <c r="B32" s="958"/>
      <c r="C32" s="978"/>
      <c r="D32" s="978"/>
      <c r="E32" s="978"/>
      <c r="F32" s="978"/>
      <c r="G32" s="978"/>
      <c r="H32" s="978"/>
      <c r="I32" s="978"/>
    </row>
  </sheetData>
  <sheetProtection algorithmName="SHA-256" hashValue="oY/cz7bvrV6bH90e6JccIzfkPTbXFQvRDj5HRhn3fko=" saltValue="/YoB8k7igUNrKNuQx8KHow==" spinCount="100000" sheet="1" objects="1" scenarios="1" formatCells="0" insertRows="0" deleteRows="0"/>
  <mergeCells count="2">
    <mergeCell ref="C7:I7"/>
    <mergeCell ref="C21:I21"/>
  </mergeCells>
  <pageMargins left="0.7" right="0.7" top="0.75" bottom="0.75" header="0.3" footer="0.3"/>
  <pageSetup paperSize="9" orientation="portrait" r:id="rId1"/>
  <headerFooter>
    <oddFooter>&amp;C_x000D_&amp;1#&amp;"Aptos"&amp;10&amp;K008000 APA-INTERNAL</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F1C94A243DD86478DDEC51CD091C07C" ma:contentTypeVersion="11" ma:contentTypeDescription="Create a new document." ma:contentTypeScope="" ma:versionID="090fb815e1fe95e88d9580c82d4c3641">
  <xsd:schema xmlns:xsd="http://www.w3.org/2001/XMLSchema" xmlns:xs="http://www.w3.org/2001/XMLSchema" xmlns:p="http://schemas.microsoft.com/office/2006/metadata/properties" xmlns:ns2="c4e34a7c-1d34-49f5-b080-f9903dd85afe" xmlns:ns3="d6ba1362-50be-41f2-a27b-20758cce47af" targetNamespace="http://schemas.microsoft.com/office/2006/metadata/properties" ma:root="true" ma:fieldsID="8da3581e5b82d65607d3e5ef52f3de14" ns2:_="" ns3:_="">
    <xsd:import namespace="c4e34a7c-1d34-49f5-b080-f9903dd85afe"/>
    <xsd:import namespace="d6ba1362-50be-41f2-a27b-20758cce47a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4e34a7c-1d34-49f5-b080-f9903dd85af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13e7742f-285e-485e-85d6-cdf9f73a73c3"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6ba1362-50be-41f2-a27b-20758cce47af"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9e7649b4-365a-46ce-9ba5-7bfb22f3e76c}" ma:internalName="TaxCatchAll" ma:showField="CatchAllData" ma:web="d6ba1362-50be-41f2-a27b-20758cce47a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c4e34a7c-1d34-49f5-b080-f9903dd85afe">
      <Terms xmlns="http://schemas.microsoft.com/office/infopath/2007/PartnerControls"/>
    </lcf76f155ced4ddcb4097134ff3c332f>
    <TaxCatchAll xmlns="d6ba1362-50be-41f2-a27b-20758cce47af"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E5CD81B-3165-496B-BF81-F0C5CAF774A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4e34a7c-1d34-49f5-b080-f9903dd85afe"/>
    <ds:schemaRef ds:uri="d6ba1362-50be-41f2-a27b-20758cce47a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71EC715-9B9A-464B-9226-EDF65D4E53F8}">
  <ds:schemaRefs>
    <ds:schemaRef ds:uri="http://purl.org/dc/terms/"/>
    <ds:schemaRef ds:uri="http://schemas.openxmlformats.org/package/2006/metadata/core-properties"/>
    <ds:schemaRef ds:uri="c4e34a7c-1d34-49f5-b080-f9903dd85afe"/>
    <ds:schemaRef ds:uri="http://purl.org/dc/dcmitype/"/>
    <ds:schemaRef ds:uri="http://schemas.microsoft.com/office/2006/metadata/properties"/>
    <ds:schemaRef ds:uri="http://purl.org/dc/elements/1.1/"/>
    <ds:schemaRef ds:uri="http://schemas.microsoft.com/office/2006/documentManagement/types"/>
    <ds:schemaRef ds:uri="d6ba1362-50be-41f2-a27b-20758cce47af"/>
    <ds:schemaRef ds:uri="http://schemas.microsoft.com/office/infopath/2007/PartnerControls"/>
    <ds:schemaRef ds:uri="http://www.w3.org/XML/1998/namespace"/>
  </ds:schemaRefs>
</ds:datastoreItem>
</file>

<file path=customXml/itemProps3.xml><?xml version="1.0" encoding="utf-8"?>
<ds:datastoreItem xmlns:ds="http://schemas.openxmlformats.org/officeDocument/2006/customXml" ds:itemID="{6BF23961-1697-4C5D-A6DF-FD008E782D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20</vt:i4>
      </vt:variant>
      <vt:variant>
        <vt:lpstr>Named Ranges</vt:lpstr>
      </vt:variant>
      <vt:variant>
        <vt:i4>462</vt:i4>
      </vt:variant>
    </vt:vector>
  </HeadingPairs>
  <TitlesOfParts>
    <vt:vector size="482" baseType="lpstr">
      <vt:lpstr>Instructions</vt:lpstr>
      <vt:lpstr>CONTENTS</vt:lpstr>
      <vt:lpstr>Business &amp; other details</vt:lpstr>
      <vt:lpstr>CPI series</vt:lpstr>
      <vt:lpstr>E1. Expenditure Summary</vt:lpstr>
      <vt:lpstr>E2. Repex</vt:lpstr>
      <vt:lpstr>E3. Expansion</vt:lpstr>
      <vt:lpstr>E6. Non-network</vt:lpstr>
      <vt:lpstr>E10. Overheads</vt:lpstr>
      <vt:lpstr>E11. Labour</vt:lpstr>
      <vt:lpstr>E13. Other capex</vt:lpstr>
      <vt:lpstr>E17. Step changes</vt:lpstr>
      <vt:lpstr>E20. Opex</vt:lpstr>
      <vt:lpstr>N1. Demand</vt:lpstr>
      <vt:lpstr>N2. Network characteristics</vt:lpstr>
      <vt:lpstr>S1. User Numbers</vt:lpstr>
      <vt:lpstr>S10. Supply quality</vt:lpstr>
      <vt:lpstr>F2. Capex</vt:lpstr>
      <vt:lpstr>F3. Revenue</vt:lpstr>
      <vt:lpstr>Additional disclosures</vt:lpstr>
      <vt:lpstr>ARR</vt:lpstr>
      <vt:lpstr>ARR_Fmt2</vt:lpstr>
      <vt:lpstr>CA</vt:lpstr>
      <vt:lpstr>CA_Fmt2</vt:lpstr>
      <vt:lpstr>Calendar</vt:lpstr>
      <vt:lpstr>CESS</vt:lpstr>
      <vt:lpstr>CESS_Fmt2</vt:lpstr>
      <vt:lpstr>CPI</vt:lpstr>
      <vt:lpstr>CPI_Fmt2</vt:lpstr>
      <vt:lpstr>CRCP_final_year</vt:lpstr>
      <vt:lpstr>CRCP_start_year</vt:lpstr>
      <vt:lpstr>CRCP_y1</vt:lpstr>
      <vt:lpstr>CRCP_y10</vt:lpstr>
      <vt:lpstr>CRCP_y11</vt:lpstr>
      <vt:lpstr>CRCP_y12</vt:lpstr>
      <vt:lpstr>CRCP_y13</vt:lpstr>
      <vt:lpstr>CRCP_y14</vt:lpstr>
      <vt:lpstr>CRCP_y15</vt:lpstr>
      <vt:lpstr>CRCP_y2</vt:lpstr>
      <vt:lpstr>CRCP_y3</vt:lpstr>
      <vt:lpstr>CRCP_y4</vt:lpstr>
      <vt:lpstr>CRCP_y5</vt:lpstr>
      <vt:lpstr>CRCP_y6</vt:lpstr>
      <vt:lpstr>CRCP_y7</vt:lpstr>
      <vt:lpstr>CRCP_y8</vt:lpstr>
      <vt:lpstr>CRCP_y9</vt:lpstr>
      <vt:lpstr>dms_020303_01_UOM</vt:lpstr>
      <vt:lpstr>dms_020501_01_UOM</vt:lpstr>
      <vt:lpstr>dms_020501_02_UOM</vt:lpstr>
      <vt:lpstr>dms_020501_03_UOM</vt:lpstr>
      <vt:lpstr>dms_020501_04_UOM</vt:lpstr>
      <vt:lpstr>dms_020603_01_UOM</vt:lpstr>
      <vt:lpstr>dms_020701_01_Rows</vt:lpstr>
      <vt:lpstr>dms_020701_01_UOM</vt:lpstr>
      <vt:lpstr>dms_020701_02_UOM</vt:lpstr>
      <vt:lpstr>dms_0306_Year</vt:lpstr>
      <vt:lpstr>dms_030601_01_UOM</vt:lpstr>
      <vt:lpstr>dms_030601_02_UOM</vt:lpstr>
      <vt:lpstr>dms_030605_UOM</vt:lpstr>
      <vt:lpstr>dms_03060703_UOM</vt:lpstr>
      <vt:lpstr>dms_030701_01_UOM</vt:lpstr>
      <vt:lpstr>dms_030702_01_UOM</vt:lpstr>
      <vt:lpstr>dms_030703_01_UOM</vt:lpstr>
      <vt:lpstr>dms_040102_01_UOM</vt:lpstr>
      <vt:lpstr>dms_040102_04_UOM</vt:lpstr>
      <vt:lpstr>dms_0502_Inst_Year</vt:lpstr>
      <vt:lpstr>dms_060101_Rows</vt:lpstr>
      <vt:lpstr>dms_060101_StartDateTxt</vt:lpstr>
      <vt:lpstr>dms_060101_StartDateVal</vt:lpstr>
      <vt:lpstr>dms_060102_Rows</vt:lpstr>
      <vt:lpstr>dms_0603_FeederList</vt:lpstr>
      <vt:lpstr>dms_060301_Avg_Duration_Sustained_Int_Row</vt:lpstr>
      <vt:lpstr>dms_060301_checkvalue</vt:lpstr>
      <vt:lpstr>dms_060301_CustNo_Affected_Row</vt:lpstr>
      <vt:lpstr>dms_060301_Effect_unplanned_SAIDI_Row</vt:lpstr>
      <vt:lpstr>dms_060301_Effect_unplanned_SAIFI_Row</vt:lpstr>
      <vt:lpstr>dms_060301_LastRow</vt:lpstr>
      <vt:lpstr>dms_060301_MaxRows</vt:lpstr>
      <vt:lpstr>dms_060701_ARR_MaxRows</vt:lpstr>
      <vt:lpstr>dms_060701_Feeder_Header_Lvl4</vt:lpstr>
      <vt:lpstr>dms_060701_MaxCols</vt:lpstr>
      <vt:lpstr>dms_060701_MaxRows</vt:lpstr>
      <vt:lpstr>dms_060701_OffsetRows</vt:lpstr>
      <vt:lpstr>dms_060701_Reset_MaxRows</vt:lpstr>
      <vt:lpstr>dms_060701_Rows</vt:lpstr>
      <vt:lpstr>dms_060701_StartDateTxt</vt:lpstr>
      <vt:lpstr>dms_060701_StartDateVal</vt:lpstr>
      <vt:lpstr>dms_0608_LastRow</vt:lpstr>
      <vt:lpstr>dms_0608_OffsetRows</vt:lpstr>
      <vt:lpstr>dms_060801_01_Rows</vt:lpstr>
      <vt:lpstr>dms_060801_02_Rows</vt:lpstr>
      <vt:lpstr>dms_060801_03_Rows</vt:lpstr>
      <vt:lpstr>dms_060801_04_Rows</vt:lpstr>
      <vt:lpstr>dms_060801_MaxRows</vt:lpstr>
      <vt:lpstr>dms_070904_01_Rows</vt:lpstr>
      <vt:lpstr>dms_070904_Start_Year</vt:lpstr>
      <vt:lpstr>dms_663</vt:lpstr>
      <vt:lpstr>dms_663_List</vt:lpstr>
      <vt:lpstr>dms_ABN</vt:lpstr>
      <vt:lpstr>dms_ABN_List</vt:lpstr>
      <vt:lpstr>dms_Addr1</vt:lpstr>
      <vt:lpstr>dms_Addr1_List</vt:lpstr>
      <vt:lpstr>dms_Addr2</vt:lpstr>
      <vt:lpstr>dms_Addr2_List</vt:lpstr>
      <vt:lpstr>dms_Amendment_Text</vt:lpstr>
      <vt:lpstr>dms_AmendmentReason</vt:lpstr>
      <vt:lpstr>dms_ARR</vt:lpstr>
      <vt:lpstr>dms_Base_Year</vt:lpstr>
      <vt:lpstr>dms_BaseYear_List</vt:lpstr>
      <vt:lpstr>dms_Beg</vt:lpstr>
      <vt:lpstr>dms_CA</vt:lpstr>
      <vt:lpstr>dms_Cal_Year_B4_CRY</vt:lpstr>
      <vt:lpstr>dms_CBD_flag</vt:lpstr>
      <vt:lpstr>dms_CBD_flag_NSP</vt:lpstr>
      <vt:lpstr>dms_CF_3.6.1</vt:lpstr>
      <vt:lpstr>dms_CF_3.6.5</vt:lpstr>
      <vt:lpstr>dms_CF_3.6.6</vt:lpstr>
      <vt:lpstr>dms_CF_3.6.7.1</vt:lpstr>
      <vt:lpstr>dms_CF_3.6.7.2</vt:lpstr>
      <vt:lpstr>dms_CF_3.6.7.3</vt:lpstr>
      <vt:lpstr>dms_CF_3.6.7.4</vt:lpstr>
      <vt:lpstr>dms_CF_3.6.8</vt:lpstr>
      <vt:lpstr>dms_CF_4.1</vt:lpstr>
      <vt:lpstr>dms_CF_4.4.1</vt:lpstr>
      <vt:lpstr>dms_CF_6.6.1</vt:lpstr>
      <vt:lpstr>dms_CF_6.8</vt:lpstr>
      <vt:lpstr>dms_CF_7.12</vt:lpstr>
      <vt:lpstr>dms_CF_8.1_A</vt:lpstr>
      <vt:lpstr>dms_CF_8.1_B</vt:lpstr>
      <vt:lpstr>dms_CF_8.1_Neg</vt:lpstr>
      <vt:lpstr>dms_CF_TradingName</vt:lpstr>
      <vt:lpstr>dms_Classification</vt:lpstr>
      <vt:lpstr>dms_Confid_status_List</vt:lpstr>
      <vt:lpstr>dms_ContactEmail</vt:lpstr>
      <vt:lpstr>dms_ContactEmail2</vt:lpstr>
      <vt:lpstr>dms_ContactName1</vt:lpstr>
      <vt:lpstr>dms_ContactName2</vt:lpstr>
      <vt:lpstr>dms_ContactPh1</vt:lpstr>
      <vt:lpstr>dms_ContactPh2</vt:lpstr>
      <vt:lpstr>dms_CRCP_start_row</vt:lpstr>
      <vt:lpstr>dms_CRCPlength_List</vt:lpstr>
      <vt:lpstr>dms_CRCPlength_Num</vt:lpstr>
      <vt:lpstr>dms_CRY_RYE</vt:lpstr>
      <vt:lpstr>dms_CRY_start_row</vt:lpstr>
      <vt:lpstr>dms_CRY_start_year</vt:lpstr>
      <vt:lpstr>dms_DataQuality</vt:lpstr>
      <vt:lpstr>dms_DataQuality_List</vt:lpstr>
      <vt:lpstr>dms_Defined_Names_Used</vt:lpstr>
      <vt:lpstr>dms_DISCARD</vt:lpstr>
      <vt:lpstr>dms_DNSP_020301_ProjectTrigger</vt:lpstr>
      <vt:lpstr>dms_DNSP_020301_ProjectType</vt:lpstr>
      <vt:lpstr>dms_DNSP_020301_SubstationType</vt:lpstr>
      <vt:lpstr>dms_DNSP_020302_ProjectTrigger</vt:lpstr>
      <vt:lpstr>dms_DNSP_020302_ProjectType</vt:lpstr>
      <vt:lpstr>dms_dollar_nom_UOM</vt:lpstr>
      <vt:lpstr>dms_DollarReal</vt:lpstr>
      <vt:lpstr>dms_DollarReal_Prev</vt:lpstr>
      <vt:lpstr>dms_DollarReal_year</vt:lpstr>
      <vt:lpstr>dms_DQ_1</vt:lpstr>
      <vt:lpstr>dms_DQ_2</vt:lpstr>
      <vt:lpstr>dms_E010101_CC_Rows</vt:lpstr>
      <vt:lpstr>dms_E010101_CC_Values</vt:lpstr>
      <vt:lpstr>dms_E010101_Rows</vt:lpstr>
      <vt:lpstr>dms_E010101_Values</vt:lpstr>
      <vt:lpstr>dms_E010103_CC_Rows</vt:lpstr>
      <vt:lpstr>dms_E010103_CC_Values</vt:lpstr>
      <vt:lpstr>dms_E010103_Rows</vt:lpstr>
      <vt:lpstr>dms_E010103_Values</vt:lpstr>
      <vt:lpstr>dms_E010105_CC_Rows</vt:lpstr>
      <vt:lpstr>dms_E010105_CC_Values</vt:lpstr>
      <vt:lpstr>dms_E010105_Rows</vt:lpstr>
      <vt:lpstr>dms_E010105_Values</vt:lpstr>
      <vt:lpstr>dms_E010201_Rows</vt:lpstr>
      <vt:lpstr>dms_E010201_Values</vt:lpstr>
      <vt:lpstr>dms_E010203_Rows</vt:lpstr>
      <vt:lpstr>dms_E010203_Values</vt:lpstr>
      <vt:lpstr>dms_E010205_Rows</vt:lpstr>
      <vt:lpstr>dms_E010205_Values</vt:lpstr>
      <vt:lpstr>dms_E010301_Rows</vt:lpstr>
      <vt:lpstr>dms_E010301_Values</vt:lpstr>
      <vt:lpstr>dms_E010303_Rows</vt:lpstr>
      <vt:lpstr>dms_E010303_Values</vt:lpstr>
      <vt:lpstr>dms_E010305_Rows</vt:lpstr>
      <vt:lpstr>dms_E010305_Values</vt:lpstr>
      <vt:lpstr>dms_E010401_Rows</vt:lpstr>
      <vt:lpstr>dms_E010401_Values</vt:lpstr>
      <vt:lpstr>dms_E010403_Rows</vt:lpstr>
      <vt:lpstr>dms_E010403_Values</vt:lpstr>
      <vt:lpstr>dms_E010405_Rows</vt:lpstr>
      <vt:lpstr>dms_E010405_Values</vt:lpstr>
      <vt:lpstr>dms_E020101_CC_Rows</vt:lpstr>
      <vt:lpstr>dms_E020101_CC_Values</vt:lpstr>
      <vt:lpstr>dms_E020101_Rows</vt:lpstr>
      <vt:lpstr>dms_E020101_Values</vt:lpstr>
      <vt:lpstr>dms_E0202_ProjectNames</vt:lpstr>
      <vt:lpstr>dms_E020201_Values</vt:lpstr>
      <vt:lpstr>dms_E020202_UOM</vt:lpstr>
      <vt:lpstr>dms_E020202_Values</vt:lpstr>
      <vt:lpstr>dms_E030101_CC_Rows</vt:lpstr>
      <vt:lpstr>dms_E030101_CC_Values</vt:lpstr>
      <vt:lpstr>dms_E030101_Rows</vt:lpstr>
      <vt:lpstr>dms_E030101_Values</vt:lpstr>
      <vt:lpstr>dms_E0302_ProjectNames</vt:lpstr>
      <vt:lpstr>dms_E030201_Values</vt:lpstr>
      <vt:lpstr>dms_E030202_UOM</vt:lpstr>
      <vt:lpstr>dms_E030202_Values</vt:lpstr>
      <vt:lpstr>dms_E0601_ProjectNames</vt:lpstr>
      <vt:lpstr>dms_E060101_CC_Rows</vt:lpstr>
      <vt:lpstr>dms_E060101_CC_Values</vt:lpstr>
      <vt:lpstr>dms_E060101_Rows</vt:lpstr>
      <vt:lpstr>dms_E060101_Values</vt:lpstr>
      <vt:lpstr>dms_E060102_Values</vt:lpstr>
      <vt:lpstr>dms_E10_01_Rows</vt:lpstr>
      <vt:lpstr>dms_E10_02_Rows</vt:lpstr>
      <vt:lpstr>dms_E100101_01_Values</vt:lpstr>
      <vt:lpstr>dms_E100101_02_Values</vt:lpstr>
      <vt:lpstr>dms_E100102_01_Values</vt:lpstr>
      <vt:lpstr>dms_E100102_02_Values</vt:lpstr>
      <vt:lpstr>dms_E100201_01_Values</vt:lpstr>
      <vt:lpstr>dms_E100201_02_Values</vt:lpstr>
      <vt:lpstr>dms_E100202_01_Values</vt:lpstr>
      <vt:lpstr>dms_E100202_02_Values</vt:lpstr>
      <vt:lpstr>dms_E1103_Rows</vt:lpstr>
      <vt:lpstr>dms_E110301_capex_Values</vt:lpstr>
      <vt:lpstr>dms_E110301_opex_Values</vt:lpstr>
      <vt:lpstr>dms_E13_ProjectNames</vt:lpstr>
      <vt:lpstr>dms_E130101_CC_Rows</vt:lpstr>
      <vt:lpstr>dms_E130101_CC_Values</vt:lpstr>
      <vt:lpstr>dms_E130101_Rows</vt:lpstr>
      <vt:lpstr>dms_E130101_Values</vt:lpstr>
      <vt:lpstr>dms_E130102_Values</vt:lpstr>
      <vt:lpstr>dms_E170101_Rows</vt:lpstr>
      <vt:lpstr>dms_E170101_Values</vt:lpstr>
      <vt:lpstr>dms_E170102_Rows</vt:lpstr>
      <vt:lpstr>dms_E170102_Values</vt:lpstr>
      <vt:lpstr>dms_E170201_Rows</vt:lpstr>
      <vt:lpstr>dms_E170201_Values</vt:lpstr>
      <vt:lpstr>dms_E20_Flag</vt:lpstr>
      <vt:lpstr>dms_E200101_Actual_Values</vt:lpstr>
      <vt:lpstr>dms_E200101_Fcast_Values</vt:lpstr>
      <vt:lpstr>dms_E200101_Rows</vt:lpstr>
      <vt:lpstr>dms_E200103_Actual_Values</vt:lpstr>
      <vt:lpstr>dms_E200103_Fcast_Values</vt:lpstr>
      <vt:lpstr>dms_E200103_Rows</vt:lpstr>
      <vt:lpstr>dms_E200105_Actual_Values</vt:lpstr>
      <vt:lpstr>dms_E200105_Fcast_Values</vt:lpstr>
      <vt:lpstr>dms_E200105_Rows</vt:lpstr>
      <vt:lpstr>dms_E200201_Rows</vt:lpstr>
      <vt:lpstr>dms_E200201_Values</vt:lpstr>
      <vt:lpstr>dms_E200203_Rows</vt:lpstr>
      <vt:lpstr>dms_E200203_Values</vt:lpstr>
      <vt:lpstr>dms_E200205_Rows</vt:lpstr>
      <vt:lpstr>dms_E200205_Values</vt:lpstr>
      <vt:lpstr>dms_E200301_Rows</vt:lpstr>
      <vt:lpstr>dms_E200301_Values</vt:lpstr>
      <vt:lpstr>dms_E200303_Rows</vt:lpstr>
      <vt:lpstr>dms_E200303_Values</vt:lpstr>
      <vt:lpstr>dms_E200305_Rows</vt:lpstr>
      <vt:lpstr>dms_E200305_Values</vt:lpstr>
      <vt:lpstr>dms_EB</vt:lpstr>
      <vt:lpstr>dms_EB_RAB_PIT</vt:lpstr>
      <vt:lpstr>dms_End</vt:lpstr>
      <vt:lpstr>dms_F0207_Rows</vt:lpstr>
      <vt:lpstr>dms_F020701_Values</vt:lpstr>
      <vt:lpstr>dms_F0301_Rows</vt:lpstr>
      <vt:lpstr>dms_F0301_Values</vt:lpstr>
      <vt:lpstr>dms_F0303_Rows</vt:lpstr>
      <vt:lpstr>dms_F0303_Values</vt:lpstr>
      <vt:lpstr>dms_F0305_Rows</vt:lpstr>
      <vt:lpstr>dms_F0305_Values</vt:lpstr>
      <vt:lpstr>dms_FeederName_1</vt:lpstr>
      <vt:lpstr>dms_FeederName_2</vt:lpstr>
      <vt:lpstr>dms_FeederName_3</vt:lpstr>
      <vt:lpstr>dms_FeederName_4</vt:lpstr>
      <vt:lpstr>dms_FeederName_5</vt:lpstr>
      <vt:lpstr>dms_FeederType_5_flag</vt:lpstr>
      <vt:lpstr>dms_FifthFeeder_flag_NSP</vt:lpstr>
      <vt:lpstr>dms_FormControl</vt:lpstr>
      <vt:lpstr>dms_FormControl_Choices</vt:lpstr>
      <vt:lpstr>dms_FormControl_List</vt:lpstr>
      <vt:lpstr>dms_FRCP_start_row</vt:lpstr>
      <vt:lpstr>dms_FRCP_y1</vt:lpstr>
      <vt:lpstr>dms_FRCPlength_List</vt:lpstr>
      <vt:lpstr>dms_FRCPlength_Num</vt:lpstr>
      <vt:lpstr>dms_Header_Span</vt:lpstr>
      <vt:lpstr>dms_Jurisdiction</vt:lpstr>
      <vt:lpstr>dms_JurisdictionList</vt:lpstr>
      <vt:lpstr>dms_LeapYear_Result</vt:lpstr>
      <vt:lpstr>dms_LongRural_flag</vt:lpstr>
      <vt:lpstr>dms_LongRural_flag_NSP</vt:lpstr>
      <vt:lpstr>dms_Mid</vt:lpstr>
      <vt:lpstr>dms_Model</vt:lpstr>
      <vt:lpstr>dms_Model_List</vt:lpstr>
      <vt:lpstr>dms_Model_Name_Format1</vt:lpstr>
      <vt:lpstr>dms_Model_Span</vt:lpstr>
      <vt:lpstr>dms_Model_Span_List</vt:lpstr>
      <vt:lpstr>dms_Multi_RYE_flag</vt:lpstr>
      <vt:lpstr>dms_MultiYear_ABC_RIN</vt:lpstr>
      <vt:lpstr>dms_MultiYear_FinalYear_Result</vt:lpstr>
      <vt:lpstr>dms_MultiYear_Flag</vt:lpstr>
      <vt:lpstr>dms_MultiYear_ResponseFlag</vt:lpstr>
      <vt:lpstr>dms_N0101_Rows</vt:lpstr>
      <vt:lpstr>dms_N0101_Values</vt:lpstr>
      <vt:lpstr>dms_N0102_Rows</vt:lpstr>
      <vt:lpstr>dms_N0102_Values</vt:lpstr>
      <vt:lpstr>dms_N0103_Rows</vt:lpstr>
      <vt:lpstr>dms_N010301_A_Values</vt:lpstr>
      <vt:lpstr>dms_N010301_B_Values</vt:lpstr>
      <vt:lpstr>dms_N010301_C_Values</vt:lpstr>
      <vt:lpstr>dms_N010302_Values</vt:lpstr>
      <vt:lpstr>dms_N0104_Rows</vt:lpstr>
      <vt:lpstr>dms_N010401_A_Values</vt:lpstr>
      <vt:lpstr>dms_N010401_B_Values</vt:lpstr>
      <vt:lpstr>dms_N010401_C_Values</vt:lpstr>
      <vt:lpstr>dms_N010402_Values</vt:lpstr>
      <vt:lpstr>dms_N02_Rows</vt:lpstr>
      <vt:lpstr>dms_N0201_Values</vt:lpstr>
      <vt:lpstr>dms_N0202_Values</vt:lpstr>
      <vt:lpstr>dms_N0203_Values</vt:lpstr>
      <vt:lpstr>dms_N0204_Values</vt:lpstr>
      <vt:lpstr>dms_N0205_AssetType</vt:lpstr>
      <vt:lpstr>dms_PAddr1</vt:lpstr>
      <vt:lpstr>dms_PAddr1_List</vt:lpstr>
      <vt:lpstr>dms_PAddr2</vt:lpstr>
      <vt:lpstr>dms_PAddr2_List</vt:lpstr>
      <vt:lpstr>dms_Partial</vt:lpstr>
      <vt:lpstr>dms_PostCode</vt:lpstr>
      <vt:lpstr>dms_PostCode_List</vt:lpstr>
      <vt:lpstr>dms_PPostCode</vt:lpstr>
      <vt:lpstr>dms_PPostCode_List</vt:lpstr>
      <vt:lpstr>dms_PRCP_start_row</vt:lpstr>
      <vt:lpstr>dms_PRCPlength_List</vt:lpstr>
      <vt:lpstr>dms_PRCPlength_Num</vt:lpstr>
      <vt:lpstr>dms_Previous_DollarReal_year</vt:lpstr>
      <vt:lpstr>dms_PState</vt:lpstr>
      <vt:lpstr>dms_PState_List</vt:lpstr>
      <vt:lpstr>dms_PSuburb</vt:lpstr>
      <vt:lpstr>dms_PSuburb_List</vt:lpstr>
      <vt:lpstr>dms_PTRM_RAB_PIT</vt:lpstr>
      <vt:lpstr>dms_PTRM_TAB_PIT</vt:lpstr>
      <vt:lpstr>dms_Public_Lighting</vt:lpstr>
      <vt:lpstr>dms_Public_Lighting_List</vt:lpstr>
      <vt:lpstr>dms_Reason_Interruption</vt:lpstr>
      <vt:lpstr>dms_Reset_final_year</vt:lpstr>
      <vt:lpstr>dms_Reset_RYE</vt:lpstr>
      <vt:lpstr>dms_Reset_Span</vt:lpstr>
      <vt:lpstr>dms_RPT</vt:lpstr>
      <vt:lpstr>dms_RPT_List</vt:lpstr>
      <vt:lpstr>dms_RPTMonth</vt:lpstr>
      <vt:lpstr>dms_RPTMonth_List</vt:lpstr>
      <vt:lpstr>dms_RYE</vt:lpstr>
      <vt:lpstr>dms_RYE_01</vt:lpstr>
      <vt:lpstr>dms_RYE_02</vt:lpstr>
      <vt:lpstr>dms_RYE_03</vt:lpstr>
      <vt:lpstr>dms_RYE_04</vt:lpstr>
      <vt:lpstr>dms_RYE_05</vt:lpstr>
      <vt:lpstr>dms_RYE_06</vt:lpstr>
      <vt:lpstr>dms_RYE_07</vt:lpstr>
      <vt:lpstr>dms_RYE_08</vt:lpstr>
      <vt:lpstr>dms_RYE_09</vt:lpstr>
      <vt:lpstr>dms_RYE_result</vt:lpstr>
      <vt:lpstr>dms_RYE_start_row</vt:lpstr>
      <vt:lpstr>dms_S0101_Rows</vt:lpstr>
      <vt:lpstr>dms_S010102_Values</vt:lpstr>
      <vt:lpstr>dms_S0102_Rows</vt:lpstr>
      <vt:lpstr>dms_S010201_Values</vt:lpstr>
      <vt:lpstr>dms_S010202_Values</vt:lpstr>
      <vt:lpstr>dms_S100101_Rows</vt:lpstr>
      <vt:lpstr>dms_S100101_Values</vt:lpstr>
      <vt:lpstr>dms_S100102_Rows</vt:lpstr>
      <vt:lpstr>dms_S100102_Values</vt:lpstr>
      <vt:lpstr>dms_S140101_UOM</vt:lpstr>
      <vt:lpstr>dms_S140201_UOM</vt:lpstr>
      <vt:lpstr>dms_Sector</vt:lpstr>
      <vt:lpstr>dms_Sector_List</vt:lpstr>
      <vt:lpstr>dms_Segment</vt:lpstr>
      <vt:lpstr>dms_Segment_List</vt:lpstr>
      <vt:lpstr>dms_Selected_Quality</vt:lpstr>
      <vt:lpstr>dms_Selected_Source</vt:lpstr>
      <vt:lpstr>dms_Selected_Status</vt:lpstr>
      <vt:lpstr>dms_ShortRural_flag</vt:lpstr>
      <vt:lpstr>dms_ShortRural_flag_NSP</vt:lpstr>
      <vt:lpstr>dms_SingleYear_FinalYear_Result</vt:lpstr>
      <vt:lpstr>dms_SingleYear_Model</vt:lpstr>
      <vt:lpstr>dms_SingleYearModel</vt:lpstr>
      <vt:lpstr>dms_Source</vt:lpstr>
      <vt:lpstr>dms_SourceList</vt:lpstr>
      <vt:lpstr>dms_Specified_FinalYear</vt:lpstr>
      <vt:lpstr>dms_Specified_RYE</vt:lpstr>
      <vt:lpstr>dms_SpecifiedYear_final_year</vt:lpstr>
      <vt:lpstr>dms_SpecifiedYear_Span</vt:lpstr>
      <vt:lpstr>dms_start_year</vt:lpstr>
      <vt:lpstr>dms_State</vt:lpstr>
      <vt:lpstr>dms_State_List</vt:lpstr>
      <vt:lpstr>dms_STPIS_Exclusion_List</vt:lpstr>
      <vt:lpstr>dms_SubmissionDate</vt:lpstr>
      <vt:lpstr>dms_Suburb</vt:lpstr>
      <vt:lpstr>dms_Suburb_List</vt:lpstr>
      <vt:lpstr>dms_TemplateNumber</vt:lpstr>
      <vt:lpstr>dms_TNSP_0203_ProjectTrigger</vt:lpstr>
      <vt:lpstr>dms_TNSP_0203_SubstationType</vt:lpstr>
      <vt:lpstr>dms_TNSP_020301_ProjectTrigger</vt:lpstr>
      <vt:lpstr>dms_TNSP_020301_ProjectType</vt:lpstr>
      <vt:lpstr>dms_TNSP_020302_ProjectType</vt:lpstr>
      <vt:lpstr>dms_Today</vt:lpstr>
      <vt:lpstr>dms_TradingName</vt:lpstr>
      <vt:lpstr>dms_TradingName_List</vt:lpstr>
      <vt:lpstr>dms_TradingNameFull</vt:lpstr>
      <vt:lpstr>dms_TradingNameFull_List</vt:lpstr>
      <vt:lpstr>dms_Typed_Submission_Date</vt:lpstr>
      <vt:lpstr>dms_UID</vt:lpstr>
      <vt:lpstr>dms_UID_List</vt:lpstr>
      <vt:lpstr>dms_Urban_flag</vt:lpstr>
      <vt:lpstr>dms_Urban_flag_NSP</vt:lpstr>
      <vt:lpstr>dms_Worksheet_List</vt:lpstr>
      <vt:lpstr>DMS_Xfactor</vt:lpstr>
      <vt:lpstr>dms_y1</vt:lpstr>
      <vt:lpstr>dms_y10</vt:lpstr>
      <vt:lpstr>dms_y11</vt:lpstr>
      <vt:lpstr>dms_y12</vt:lpstr>
      <vt:lpstr>dms_y13</vt:lpstr>
      <vt:lpstr>dms_y14</vt:lpstr>
      <vt:lpstr>dms_y15</vt:lpstr>
      <vt:lpstr>dms_y16</vt:lpstr>
      <vt:lpstr>dms_y2</vt:lpstr>
      <vt:lpstr>dms_y3</vt:lpstr>
      <vt:lpstr>dms_y4</vt:lpstr>
      <vt:lpstr>dms_y5</vt:lpstr>
      <vt:lpstr>dms_y6</vt:lpstr>
      <vt:lpstr>dms_y7</vt:lpstr>
      <vt:lpstr>dms_y8</vt:lpstr>
      <vt:lpstr>dms_y9</vt:lpstr>
      <vt:lpstr>EB</vt:lpstr>
      <vt:lpstr>EB_Fmt2</vt:lpstr>
      <vt:lpstr>Financial</vt:lpstr>
      <vt:lpstr>FRCP_final_year</vt:lpstr>
      <vt:lpstr>FRCP_start_year</vt:lpstr>
      <vt:lpstr>FRCP_y1</vt:lpstr>
      <vt:lpstr>FRCP_y10</vt:lpstr>
      <vt:lpstr>FRCP_y2</vt:lpstr>
      <vt:lpstr>FRCP_y3</vt:lpstr>
      <vt:lpstr>FRCP_y4</vt:lpstr>
      <vt:lpstr>FRCP_y5</vt:lpstr>
      <vt:lpstr>FRCP_y6</vt:lpstr>
      <vt:lpstr>FRCP_y7</vt:lpstr>
      <vt:lpstr>FRCP_y8</vt:lpstr>
      <vt:lpstr>FRCP_y9</vt:lpstr>
      <vt:lpstr>FRY</vt:lpstr>
      <vt:lpstr>inserted_Power_and_Water__added_NRs__dms_FeederCat_1_and_dms_FeederCat_2</vt:lpstr>
      <vt:lpstr>JurisdictionList</vt:lpstr>
      <vt:lpstr>MAIFI_flag</vt:lpstr>
      <vt:lpstr>PRCP_final_year</vt:lpstr>
      <vt:lpstr>PRCP_start_year</vt:lpstr>
      <vt:lpstr>PRCP_y1</vt:lpstr>
      <vt:lpstr>PRCP_y10</vt:lpstr>
      <vt:lpstr>PRCP_y11</vt:lpstr>
      <vt:lpstr>PRCP_y12</vt:lpstr>
      <vt:lpstr>PRCP_y13</vt:lpstr>
      <vt:lpstr>PRCP_y14</vt:lpstr>
      <vt:lpstr>PRCP_y15</vt:lpstr>
      <vt:lpstr>PRCP_y16</vt:lpstr>
      <vt:lpstr>PRCP_y2</vt:lpstr>
      <vt:lpstr>PRCP_y3</vt:lpstr>
      <vt:lpstr>PRCP_y4</vt:lpstr>
      <vt:lpstr>PRCP_y5</vt:lpstr>
      <vt:lpstr>PRCP_y6</vt:lpstr>
      <vt:lpstr>PRCP_y7</vt:lpstr>
      <vt:lpstr>PRCP_y8</vt:lpstr>
      <vt:lpstr>PRCP_y9</vt:lpstr>
      <vt:lpstr>Pricing</vt:lpstr>
      <vt:lpstr>Pricing_Fmt2</vt:lpstr>
      <vt:lpstr>PTRM</vt:lpstr>
      <vt:lpstr>PTRM_Fmt2</vt:lpstr>
      <vt:lpstr>Reset</vt:lpstr>
      <vt:lpstr>Reset_Fmt2</vt:lpstr>
      <vt:lpstr>RFM</vt:lpstr>
      <vt:lpstr>RFM_Fmt2</vt:lpstr>
      <vt:lpstr>Sector</vt:lpstr>
      <vt:lpstr>Segment</vt:lpstr>
      <vt:lpstr>select</vt:lpstr>
      <vt:lpstr>WACC</vt:lpstr>
      <vt:lpstr>WACC_Fmt2</vt:lpstr>
    </vt:vector>
  </TitlesOfParts>
  <Company>ACCC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AER</dc:creator>
  <cp:keywords>TNSP; Reset; Gas; 2027-31; NT</cp:keywords>
  <cp:lastModifiedBy>Jana Zeman</cp:lastModifiedBy>
  <dcterms:created xsi:type="dcterms:W3CDTF">2018-03-27T22:19:10Z</dcterms:created>
  <dcterms:modified xsi:type="dcterms:W3CDTF">2026-07-13T05:34:17Z</dcterms:modified>
  <cp:category>TNSP;Reset;Gas;2027-31;NT</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9d5a995-dfdf-4407-9a97-edbbc68c9f53_Enabled">
    <vt:lpwstr>true</vt:lpwstr>
  </property>
  <property fmtid="{D5CDD505-2E9C-101B-9397-08002B2CF9AE}" pid="3" name="MSIP_Label_d9d5a995-dfdf-4407-9a97-edbbc68c9f53_SetDate">
    <vt:lpwstr>2024-06-13T23:19:53Z</vt:lpwstr>
  </property>
  <property fmtid="{D5CDD505-2E9C-101B-9397-08002B2CF9AE}" pid="4" name="MSIP_Label_d9d5a995-dfdf-4407-9a97-edbbc68c9f53_Method">
    <vt:lpwstr>Privileged</vt:lpwstr>
  </property>
  <property fmtid="{D5CDD505-2E9C-101B-9397-08002B2CF9AE}" pid="5" name="MSIP_Label_d9d5a995-dfdf-4407-9a97-edbbc68c9f53_Name">
    <vt:lpwstr>OFFICIAL</vt:lpwstr>
  </property>
  <property fmtid="{D5CDD505-2E9C-101B-9397-08002B2CF9AE}" pid="6" name="MSIP_Label_d9d5a995-dfdf-4407-9a97-edbbc68c9f53_SiteId">
    <vt:lpwstr>b33e9e1a-e443-4edd-9789-24bed26d38d6</vt:lpwstr>
  </property>
  <property fmtid="{D5CDD505-2E9C-101B-9397-08002B2CF9AE}" pid="7" name="MSIP_Label_d9d5a995-dfdf-4407-9a97-edbbc68c9f53_ActionId">
    <vt:lpwstr>4a677b42-4491-4eb3-a89a-70e522c0c891</vt:lpwstr>
  </property>
  <property fmtid="{D5CDD505-2E9C-101B-9397-08002B2CF9AE}" pid="8" name="MSIP_Label_d9d5a995-dfdf-4407-9a97-edbbc68c9f53_ContentBits">
    <vt:lpwstr>0</vt:lpwstr>
  </property>
  <property fmtid="{D5CDD505-2E9C-101B-9397-08002B2CF9AE}" pid="9" name="ContentTypeId">
    <vt:lpwstr>0x0101005F1C94A243DD86478DDEC51CD091C07C</vt:lpwstr>
  </property>
  <property fmtid="{D5CDD505-2E9C-101B-9397-08002B2CF9AE}" pid="10" name="MSIP_Label_8e2e509a-f02b-496b-97a8-09ffbb9893ea_Enabled">
    <vt:lpwstr>true</vt:lpwstr>
  </property>
  <property fmtid="{D5CDD505-2E9C-101B-9397-08002B2CF9AE}" pid="11" name="MSIP_Label_8e2e509a-f02b-496b-97a8-09ffbb9893ea_SetDate">
    <vt:lpwstr>2026-06-11T04:51:33Z</vt:lpwstr>
  </property>
  <property fmtid="{D5CDD505-2E9C-101B-9397-08002B2CF9AE}" pid="12" name="MSIP_Label_8e2e509a-f02b-496b-97a8-09ffbb9893ea_Method">
    <vt:lpwstr>Privileged</vt:lpwstr>
  </property>
  <property fmtid="{D5CDD505-2E9C-101B-9397-08002B2CF9AE}" pid="13" name="MSIP_Label_8e2e509a-f02b-496b-97a8-09ffbb9893ea_Name">
    <vt:lpwstr>APA-Internal</vt:lpwstr>
  </property>
  <property fmtid="{D5CDD505-2E9C-101B-9397-08002B2CF9AE}" pid="14" name="MSIP_Label_8e2e509a-f02b-496b-97a8-09ffbb9893ea_SiteId">
    <vt:lpwstr>234ac309-c216-4661-a5ba-18879f6c4c75</vt:lpwstr>
  </property>
  <property fmtid="{D5CDD505-2E9C-101B-9397-08002B2CF9AE}" pid="15" name="MSIP_Label_8e2e509a-f02b-496b-97a8-09ffbb9893ea_ActionId">
    <vt:lpwstr>c2f89d9f-ec33-4adb-a51d-2935c652ebdc</vt:lpwstr>
  </property>
  <property fmtid="{D5CDD505-2E9C-101B-9397-08002B2CF9AE}" pid="16" name="MSIP_Label_8e2e509a-f02b-496b-97a8-09ffbb9893ea_ContentBits">
    <vt:lpwstr>2</vt:lpwstr>
  </property>
  <property fmtid="{D5CDD505-2E9C-101B-9397-08002B2CF9AE}" pid="17" name="MSIP_Label_8e2e509a-f02b-496b-97a8-09ffbb9893ea_Tag">
    <vt:lpwstr>10, 0, 1, 1</vt:lpwstr>
  </property>
  <property fmtid="{D5CDD505-2E9C-101B-9397-08002B2CF9AE}" pid="18" name="MediaServiceImageTags">
    <vt:lpwstr/>
  </property>
</Properties>
</file>